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1.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comments2.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omments3.xml" ContentType="application/vnd.openxmlformats-officedocument.spreadsheetml.comments+xml"/>
  <Override PartName="/xl/drawings/drawing26.xml" ContentType="application/vnd.openxmlformats-officedocument.drawing+xml"/>
  <Override PartName="/xl/drawings/drawing27.xml" ContentType="application/vnd.openxmlformats-officedocument.drawing+xml"/>
  <Override PartName="/xl/comments4.xml" ContentType="application/vnd.openxmlformats-officedocument.spreadsheetml.comment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D:\Documents\Work-in-progress\Internal\2017\Urban sanitation\Application of faecal waste calculator\Final version of tool\"/>
    </mc:Choice>
  </mc:AlternateContent>
  <bookViews>
    <workbookView xWindow="0" yWindow="0" windowWidth="19200" windowHeight="7700" tabRatio="951"/>
  </bookViews>
  <sheets>
    <sheet name="Home" sheetId="46" r:id="rId1"/>
    <sheet name="Results menu" sheetId="47" r:id="rId2"/>
    <sheet name="Flow diagram ALL" sheetId="45" r:id="rId3"/>
    <sheet name="Flow diagram SLUDGE" sheetId="44" r:id="rId4"/>
    <sheet name="Arrow Templates" sheetId="56" state="hidden" r:id="rId5"/>
    <sheet name="FWF Diagram ALL" sheetId="57" r:id="rId6"/>
    <sheet name="FWF Diagram SLUDGE" sheetId="58" r:id="rId7"/>
    <sheet name="Overview_ALL" sheetId="41" r:id="rId8"/>
    <sheet name="FW Flows_ALL" sheetId="40" r:id="rId9"/>
    <sheet name="Overview_SLUDGE" sheetId="21" r:id="rId10"/>
    <sheet name="FW Flows_SLUDGE" sheetId="20" r:id="rId11"/>
    <sheet name="SUM for FWF Diagram_COMBINED" sheetId="60" state="hidden" r:id="rId12"/>
    <sheet name="SUM for FWF Diagram_ALL" sheetId="42" r:id="rId13"/>
    <sheet name="SUM for FWF Diagram_SLUDGE" sheetId="43" r:id="rId14"/>
    <sheet name="Scorecard Overview" sheetId="9" r:id="rId15"/>
    <sheet name="Population" sheetId="61" r:id="rId16"/>
    <sheet name="Facilities" sheetId="53" r:id="rId17"/>
    <sheet name="Faecal waste flow summary" sheetId="54" r:id="rId18"/>
    <sheet name="Water and Waste flows" sheetId="62" r:id="rId19"/>
    <sheet name="COMBINED WATER&amp;WASTE" sheetId="63" r:id="rId20"/>
    <sheet name="Input menu" sheetId="48" r:id="rId21"/>
    <sheet name="User interface_RES" sheetId="29" r:id="rId22"/>
    <sheet name="User interface_Non-RES" sheetId="31" r:id="rId23"/>
    <sheet name="Interface_Emptying &amp; Transport" sheetId="26" r:id="rId24"/>
    <sheet name="Interface_Treatment" sheetId="24" r:id="rId25"/>
    <sheet name="Treatment Sludge_NO INPUTS" sheetId="50" r:id="rId26"/>
    <sheet name="Interface_City issues" sheetId="22" r:id="rId27"/>
    <sheet name="Interface_Budgets" sheetId="25" r:id="rId28"/>
    <sheet name="Interface_Permits &amp; standards" sheetId="27" r:id="rId29"/>
    <sheet name="Interface_Environment" sheetId="28" r:id="rId30"/>
    <sheet name="Government &amp; city wide SC" sheetId="16" r:id="rId31"/>
    <sheet name="Capture Containment SC" sheetId="10" r:id="rId32"/>
    <sheet name="Emptying SC" sheetId="18" r:id="rId33"/>
    <sheet name="Transport SC" sheetId="19" r:id="rId34"/>
    <sheet name="Treatment SC" sheetId="12" r:id="rId35"/>
    <sheet name="Disposal SC" sheetId="14" r:id="rId36"/>
    <sheet name="Capture volumes" sheetId="1" r:id="rId37"/>
    <sheet name="Containment volumes" sheetId="2" r:id="rId38"/>
    <sheet name="Emptying volumes" sheetId="3" r:id="rId39"/>
    <sheet name="Transport volumes" sheetId="4" r:id="rId40"/>
    <sheet name="Treatment volumes" sheetId="5" r:id="rId41"/>
    <sheet name="Disposal volumes" sheetId="6" r:id="rId42"/>
    <sheet name="FS_Capture volumes" sheetId="33" r:id="rId43"/>
    <sheet name="FS_Containment volumes" sheetId="34" r:id="rId44"/>
    <sheet name="FS_Emptying volumes" sheetId="35" r:id="rId45"/>
    <sheet name="FS_Transport volumes" sheetId="36" r:id="rId46"/>
    <sheet name="FS_Treatment volumes" sheetId="37" r:id="rId47"/>
    <sheet name="FS_Disposal volumes" sheetId="39" r:id="rId48"/>
  </sheets>
  <externalReferences>
    <externalReference r:id="rId49"/>
  </externalReferences>
  <definedNames>
    <definedName name="furthersludgetreatment" localSheetId="19">'Treatment volumes'!#REF!</definedName>
    <definedName name="furthersludgetreatment" localSheetId="16">'Treatment volumes'!#REF!</definedName>
    <definedName name="furthersludgetreatment" localSheetId="17">'Treatment volumes'!#REF!</definedName>
    <definedName name="furthersludgetreatment" localSheetId="2">'Treatment volumes'!#REF!</definedName>
    <definedName name="furthersludgetreatment" localSheetId="42">'Treatment volumes'!#REF!</definedName>
    <definedName name="furthersludgetreatment" localSheetId="43">'Treatment volumes'!#REF!</definedName>
    <definedName name="furthersludgetreatment" localSheetId="47">'Treatment volumes'!#REF!</definedName>
    <definedName name="furthersludgetreatment" localSheetId="44">'Treatment volumes'!#REF!</definedName>
    <definedName name="furthersludgetreatment" localSheetId="45">'Treatment volumes'!#REF!</definedName>
    <definedName name="furthersludgetreatment" localSheetId="46">'FS_Treatment volumes'!#REF!</definedName>
    <definedName name="furthersludgetreatment" localSheetId="8">'Treatment volumes'!#REF!</definedName>
    <definedName name="furthersludgetreatment" localSheetId="6">'Treatment volumes'!#REF!</definedName>
    <definedName name="furthersludgetreatment" localSheetId="20">'Treatment volumes'!#REF!</definedName>
    <definedName name="furthersludgetreatment" localSheetId="7">'Treatment volumes'!#REF!</definedName>
    <definedName name="furthersludgetreatment" localSheetId="15">'Treatment volumes'!#REF!</definedName>
    <definedName name="furthersludgetreatment" localSheetId="1">'Treatment volumes'!#REF!</definedName>
    <definedName name="furthersludgetreatment" localSheetId="11">'Treatment volumes'!#REF!</definedName>
    <definedName name="furthersludgetreatment" localSheetId="13">'Treatment volumes'!#REF!</definedName>
    <definedName name="furthersludgetreatment" localSheetId="25">'Treatment volumes'!#REF!</definedName>
    <definedName name="furthersludgetreatment" localSheetId="22">'[1]Treatment volumes'!#REF!</definedName>
    <definedName name="furthersludgetreatment" localSheetId="18">'Treatment volumes'!#REF!</definedName>
    <definedName name="furthersludgetreatment">'Treatment volumes'!#REF!</definedName>
    <definedName name="help" localSheetId="19">'Treatment volumes'!#REF!</definedName>
    <definedName name="help" localSheetId="16">'Treatment volumes'!#REF!</definedName>
    <definedName name="help" localSheetId="17">'Treatment volumes'!#REF!</definedName>
    <definedName name="help" localSheetId="6">'Treatment volumes'!#REF!</definedName>
    <definedName name="help" localSheetId="15">'Treatment volumes'!#REF!</definedName>
    <definedName name="help" localSheetId="11">'Treatment volumes'!#REF!</definedName>
    <definedName name="help" localSheetId="25">'Treatment volumes'!#REF!</definedName>
    <definedName name="help" localSheetId="18">'Treatment volumes'!#REF!</definedName>
    <definedName name="help">'Treatment volumes'!#REF!</definedName>
    <definedName name="Location_Name">'User interface_RES'!$C$11</definedName>
    <definedName name="PercentageRange" localSheetId="12">'SUM for FWF Diagram_ALL'!$B$110:$T$170</definedName>
    <definedName name="PercentageRange" localSheetId="11">'SUM for FWF Diagram_COMBINED'!$B$88:$V$126</definedName>
    <definedName name="PercentageRange" localSheetId="13">'SUM for FWF Diagram_SLUDGE'!$B$116:$T$176</definedName>
    <definedName name="_xlnm.Print_Area" localSheetId="19">'COMBINED WATER&amp;WASTE'!$B$1:$P$22</definedName>
    <definedName name="_xlnm.Print_Area" localSheetId="16">Facilities!$B$1:$L$33</definedName>
    <definedName name="_xlnm.Print_Area" localSheetId="17">'Faecal waste flow summary'!$B$1:$Q$17</definedName>
    <definedName name="_xlnm.Print_Area" localSheetId="8">'FW Flows_ALL'!$B$1:$X$30</definedName>
    <definedName name="_xlnm.Print_Area" localSheetId="10">'FW Flows_SLUDGE'!$B$1:$X$30</definedName>
    <definedName name="_xlnm.Print_Area" localSheetId="5">'FWF Diagram ALL'!$A$1:$Q$36</definedName>
    <definedName name="_xlnm.Print_Area" localSheetId="6">'FWF Diagram SLUDGE'!$A$1:$Q$35</definedName>
    <definedName name="_xlnm.Print_Area" localSheetId="7">Overview_ALL!$A$17:$K$61</definedName>
    <definedName name="_xlnm.Print_Area" localSheetId="9">Overview_SLUDGE!$A$17:$K$61</definedName>
    <definedName name="_xlnm.Print_Area" localSheetId="15">Population!$B$1:$J$32</definedName>
    <definedName name="_xlnm.Print_Area" localSheetId="18">'Water and Waste flows'!$B$1:$P$19</definedName>
    <definedName name="rngFWFDiagram_ALL" localSheetId="11">'SUM for FWF Diagram_COMBINED'!$J$133:$T$135</definedName>
    <definedName name="rngFWFDiagram_ALL">'SUM for FWF Diagram_ALL'!$J$177:$T$179</definedName>
    <definedName name="rngFWFDiagram_Sludge">'SUM for FWF Diagram_SLUDGE'!$J$183:$T$185</definedName>
    <definedName name="sludgetreatment" localSheetId="19">'Treatment volumes'!#REF!</definedName>
    <definedName name="sludgetreatment" localSheetId="16">'Treatment volumes'!#REF!</definedName>
    <definedName name="sludgetreatment" localSheetId="17">'Treatment volumes'!#REF!</definedName>
    <definedName name="sludgetreatment" localSheetId="2">'Treatment volumes'!#REF!</definedName>
    <definedName name="sludgetreatment" localSheetId="42">'Treatment volumes'!#REF!</definedName>
    <definedName name="sludgetreatment" localSheetId="43">'Treatment volumes'!#REF!</definedName>
    <definedName name="sludgetreatment" localSheetId="47">'Treatment volumes'!#REF!</definedName>
    <definedName name="sludgetreatment" localSheetId="44">'Treatment volumes'!#REF!</definedName>
    <definedName name="sludgetreatment" localSheetId="45">'Treatment volumes'!#REF!</definedName>
    <definedName name="sludgetreatment" localSheetId="46">'FS_Treatment volumes'!#REF!</definedName>
    <definedName name="sludgetreatment" localSheetId="8">'Treatment volumes'!#REF!</definedName>
    <definedName name="sludgetreatment" localSheetId="6">'Treatment volumes'!#REF!</definedName>
    <definedName name="sludgetreatment" localSheetId="20">'Treatment volumes'!#REF!</definedName>
    <definedName name="sludgetreatment" localSheetId="7">'Treatment volumes'!#REF!</definedName>
    <definedName name="sludgetreatment" localSheetId="15">'Treatment volumes'!#REF!</definedName>
    <definedName name="sludgetreatment" localSheetId="1">'Treatment volumes'!#REF!</definedName>
    <definedName name="sludgetreatment" localSheetId="11">'Treatment volumes'!#REF!</definedName>
    <definedName name="sludgetreatment" localSheetId="13">'Treatment volumes'!#REF!</definedName>
    <definedName name="sludgetreatment" localSheetId="25">'Treatment volumes'!#REF!</definedName>
    <definedName name="sludgetreatment" localSheetId="22">'[1]Treatment volumes'!#REF!</definedName>
    <definedName name="sludgetreatment" localSheetId="18">'Treatment volumes'!#REF!</definedName>
    <definedName name="sludgetreatment">'Treatment volumes'!#REF!</definedName>
    <definedName name="Summary_Percentages" localSheetId="12">'SUM for FWF Diagram_ALL'!$B$108:$X$179</definedName>
    <definedName name="Summary_Percentages" localSheetId="11">'SUM for FWF Diagram_COMBINED'!$B$86:$X$135</definedName>
    <definedName name="Transportoptions" localSheetId="45">'FS_Transport volumes'!$V$122:$V$125</definedName>
    <definedName name="Transportoptions" localSheetId="22">'[1]Transport volumes'!$V$128:$V$131</definedName>
    <definedName name="Transportoptions">'Transport volumes'!$V$122:$V$125</definedName>
  </definedNames>
  <calcPr calcId="162913"/>
</workbook>
</file>

<file path=xl/calcChain.xml><?xml version="1.0" encoding="utf-8"?>
<calcChain xmlns="http://schemas.openxmlformats.org/spreadsheetml/2006/main">
  <c r="C42" i="24" l="1"/>
  <c r="E29" i="1"/>
  <c r="F31" i="1"/>
  <c r="B27" i="1"/>
  <c r="B28" i="1"/>
  <c r="B29" i="1"/>
  <c r="B30" i="1"/>
  <c r="E31" i="1"/>
  <c r="B31" i="1"/>
  <c r="B42" i="1"/>
  <c r="F74" i="29"/>
  <c r="G74" i="29"/>
  <c r="B92" i="1"/>
  <c r="E92" i="1"/>
  <c r="B43" i="1"/>
  <c r="F75" i="29"/>
  <c r="G75" i="29"/>
  <c r="B93" i="1"/>
  <c r="E93" i="1"/>
  <c r="E91" i="1"/>
  <c r="E119" i="1"/>
  <c r="B55" i="1"/>
  <c r="G84" i="29"/>
  <c r="B105" i="1"/>
  <c r="E105" i="1"/>
  <c r="B56" i="1"/>
  <c r="G85" i="29"/>
  <c r="B106" i="1"/>
  <c r="E106" i="1"/>
  <c r="E104" i="1"/>
  <c r="E123" i="1"/>
  <c r="E135" i="1"/>
  <c r="B34" i="2"/>
  <c r="D34" i="2"/>
  <c r="F34" i="2"/>
  <c r="L74" i="29"/>
  <c r="M74" i="29"/>
  <c r="G34" i="2"/>
  <c r="B35" i="2"/>
  <c r="D35" i="2"/>
  <c r="F35" i="2"/>
  <c r="L75" i="29"/>
  <c r="M75" i="29"/>
  <c r="G35" i="2"/>
  <c r="G33" i="2"/>
  <c r="G36" i="2"/>
  <c r="D118" i="2"/>
  <c r="D117" i="2"/>
  <c r="B137" i="2"/>
  <c r="B143" i="2"/>
  <c r="C22" i="31"/>
  <c r="G12" i="31"/>
  <c r="E158" i="1"/>
  <c r="O156" i="1"/>
  <c r="O157" i="1"/>
  <c r="O158" i="1"/>
  <c r="O159" i="1"/>
  <c r="B158" i="1"/>
  <c r="G158" i="1"/>
  <c r="E160" i="1"/>
  <c r="B160" i="1"/>
  <c r="G160" i="1"/>
  <c r="E161" i="1"/>
  <c r="B161" i="1"/>
  <c r="G161" i="1"/>
  <c r="E162" i="1"/>
  <c r="B162" i="1"/>
  <c r="G162" i="1"/>
  <c r="E163" i="1"/>
  <c r="B163" i="1"/>
  <c r="G163" i="1"/>
  <c r="G159" i="1"/>
  <c r="G154" i="1"/>
  <c r="B170" i="1"/>
  <c r="F70" i="31"/>
  <c r="G70" i="31"/>
  <c r="B220" i="1"/>
  <c r="E220" i="1"/>
  <c r="B171" i="1"/>
  <c r="G71" i="31"/>
  <c r="B221" i="1"/>
  <c r="E221" i="1"/>
  <c r="E219" i="1"/>
  <c r="E247" i="1"/>
  <c r="B183" i="1"/>
  <c r="G80" i="31"/>
  <c r="B233" i="1"/>
  <c r="E233" i="1"/>
  <c r="B184" i="1"/>
  <c r="G81" i="31"/>
  <c r="B234" i="1"/>
  <c r="E234" i="1"/>
  <c r="E232" i="1"/>
  <c r="E251" i="1"/>
  <c r="E263" i="1"/>
  <c r="B167" i="2"/>
  <c r="D167" i="2"/>
  <c r="F167" i="2"/>
  <c r="L70" i="31"/>
  <c r="M70" i="31"/>
  <c r="G167" i="2"/>
  <c r="B168" i="2"/>
  <c r="D168" i="2"/>
  <c r="F168" i="2"/>
  <c r="M71" i="31"/>
  <c r="G168" i="2"/>
  <c r="G166" i="2"/>
  <c r="G169" i="2"/>
  <c r="D229" i="2"/>
  <c r="D228" i="2"/>
  <c r="B248" i="2"/>
  <c r="B254" i="2"/>
  <c r="B103" i="3"/>
  <c r="B137" i="3"/>
  <c r="B104" i="4"/>
  <c r="B69" i="4"/>
  <c r="C104" i="4"/>
  <c r="D104" i="4"/>
  <c r="B119" i="4"/>
  <c r="D43" i="24"/>
  <c r="C44" i="24"/>
  <c r="C45" i="24"/>
  <c r="G137" i="2"/>
  <c r="B35" i="3"/>
  <c r="D47" i="2"/>
  <c r="E47" i="2"/>
  <c r="F47" i="2"/>
  <c r="G77" i="29"/>
  <c r="M77" i="29"/>
  <c r="G47" i="2"/>
  <c r="D48" i="2"/>
  <c r="E48" i="2"/>
  <c r="F48" i="2"/>
  <c r="G78" i="29"/>
  <c r="M78" i="29"/>
  <c r="G48" i="2"/>
  <c r="G46" i="2"/>
  <c r="B45" i="1"/>
  <c r="B95" i="1"/>
  <c r="E95" i="1"/>
  <c r="B47" i="2"/>
  <c r="I47" i="2"/>
  <c r="J47" i="2"/>
  <c r="K47" i="2"/>
  <c r="L47" i="2"/>
  <c r="M47" i="2"/>
  <c r="B46" i="1"/>
  <c r="B96" i="1"/>
  <c r="E96" i="1"/>
  <c r="B48" i="2"/>
  <c r="I48" i="2"/>
  <c r="J48" i="2"/>
  <c r="K48" i="2"/>
  <c r="L48" i="2"/>
  <c r="M48" i="2"/>
  <c r="M46" i="2"/>
  <c r="G138" i="2"/>
  <c r="B36" i="3"/>
  <c r="B48" i="1"/>
  <c r="F80" i="29"/>
  <c r="G80" i="29"/>
  <c r="B98" i="1"/>
  <c r="E98" i="1"/>
  <c r="B50" i="2"/>
  <c r="C50" i="2"/>
  <c r="D50" i="2"/>
  <c r="E50" i="2"/>
  <c r="F50" i="2"/>
  <c r="L80" i="29"/>
  <c r="M80" i="29"/>
  <c r="G50" i="2"/>
  <c r="B49" i="1"/>
  <c r="G81" i="29"/>
  <c r="B99" i="1"/>
  <c r="E99" i="1"/>
  <c r="B51" i="2"/>
  <c r="C51" i="2"/>
  <c r="D51" i="2"/>
  <c r="E51" i="2"/>
  <c r="F51" i="2"/>
  <c r="L81" i="29"/>
  <c r="M81" i="29"/>
  <c r="G51" i="2"/>
  <c r="G49" i="2"/>
  <c r="B58" i="1"/>
  <c r="B108" i="1"/>
  <c r="E108" i="1"/>
  <c r="B53" i="2"/>
  <c r="C53" i="2"/>
  <c r="D53" i="2"/>
  <c r="E53" i="2"/>
  <c r="F53" i="2"/>
  <c r="M84" i="29"/>
  <c r="G53" i="2"/>
  <c r="B59" i="1"/>
  <c r="B109" i="1"/>
  <c r="E109" i="1"/>
  <c r="B54" i="2"/>
  <c r="C54" i="2"/>
  <c r="D54" i="2"/>
  <c r="E54" i="2"/>
  <c r="F54" i="2"/>
  <c r="L85" i="29"/>
  <c r="M85" i="29"/>
  <c r="G54" i="2"/>
  <c r="G52" i="2"/>
  <c r="I50" i="2"/>
  <c r="J50" i="2"/>
  <c r="K50" i="2"/>
  <c r="L50" i="2"/>
  <c r="M50" i="2"/>
  <c r="I51" i="2"/>
  <c r="J51" i="2"/>
  <c r="K51" i="2"/>
  <c r="L51" i="2"/>
  <c r="M51" i="2"/>
  <c r="M49" i="2"/>
  <c r="I53" i="2"/>
  <c r="J53" i="2"/>
  <c r="K53" i="2"/>
  <c r="L53" i="2"/>
  <c r="M53" i="2"/>
  <c r="I54" i="2"/>
  <c r="J54" i="2"/>
  <c r="K54" i="2"/>
  <c r="L54" i="2"/>
  <c r="M54" i="2"/>
  <c r="M52" i="2"/>
  <c r="G139" i="2"/>
  <c r="B37" i="3"/>
  <c r="B61" i="1"/>
  <c r="B111" i="1"/>
  <c r="E111" i="1"/>
  <c r="B71" i="2"/>
  <c r="C71" i="2"/>
  <c r="D71" i="2"/>
  <c r="E71" i="2"/>
  <c r="F71" i="2"/>
  <c r="G71" i="2"/>
  <c r="B62" i="1"/>
  <c r="B112" i="1"/>
  <c r="E112" i="1"/>
  <c r="B72" i="2"/>
  <c r="C72" i="2"/>
  <c r="D72" i="2"/>
  <c r="E72" i="2"/>
  <c r="F72" i="2"/>
  <c r="G72" i="2"/>
  <c r="B63" i="1"/>
  <c r="G86" i="29"/>
  <c r="B113" i="1"/>
  <c r="E113" i="1"/>
  <c r="B73" i="2"/>
  <c r="C73" i="2"/>
  <c r="D73" i="2"/>
  <c r="E73" i="2"/>
  <c r="F73" i="2"/>
  <c r="M86" i="29"/>
  <c r="G73" i="2"/>
  <c r="G70" i="2"/>
  <c r="B51" i="1"/>
  <c r="B101" i="1"/>
  <c r="E101" i="1"/>
  <c r="B67" i="2"/>
  <c r="C67" i="2"/>
  <c r="D67" i="2"/>
  <c r="E67" i="2"/>
  <c r="F67" i="2"/>
  <c r="G67" i="2"/>
  <c r="B52" i="1"/>
  <c r="B102" i="1"/>
  <c r="E102" i="1"/>
  <c r="B68" i="2"/>
  <c r="C68" i="2"/>
  <c r="D68" i="2"/>
  <c r="E68" i="2"/>
  <c r="F68" i="2"/>
  <c r="G68" i="2"/>
  <c r="B53" i="1"/>
  <c r="G82" i="29"/>
  <c r="B103" i="1"/>
  <c r="E103" i="1"/>
  <c r="B69" i="2"/>
  <c r="C69" i="2"/>
  <c r="D69" i="2"/>
  <c r="E69" i="2"/>
  <c r="F69" i="2"/>
  <c r="M82" i="29"/>
  <c r="G69" i="2"/>
  <c r="G66" i="2"/>
  <c r="G74" i="2"/>
  <c r="I71" i="2"/>
  <c r="J71" i="2"/>
  <c r="K71" i="2"/>
  <c r="L71" i="2"/>
  <c r="M71" i="2"/>
  <c r="I72" i="2"/>
  <c r="J72" i="2"/>
  <c r="K72" i="2"/>
  <c r="L72" i="2"/>
  <c r="M72" i="2"/>
  <c r="I73" i="2"/>
  <c r="J73" i="2"/>
  <c r="K73" i="2"/>
  <c r="L73" i="2"/>
  <c r="M73" i="2"/>
  <c r="M70" i="2"/>
  <c r="I67" i="2"/>
  <c r="J67" i="2"/>
  <c r="K67" i="2"/>
  <c r="L67" i="2"/>
  <c r="M67" i="2"/>
  <c r="I68" i="2"/>
  <c r="J68" i="2"/>
  <c r="K68" i="2"/>
  <c r="L68" i="2"/>
  <c r="M68" i="2"/>
  <c r="I69" i="2"/>
  <c r="J69" i="2"/>
  <c r="K69" i="2"/>
  <c r="L69" i="2"/>
  <c r="M69" i="2"/>
  <c r="M66" i="2"/>
  <c r="M74" i="2"/>
  <c r="G140" i="2"/>
  <c r="B38" i="3"/>
  <c r="B34" i="3"/>
  <c r="G248" i="2"/>
  <c r="B40" i="3"/>
  <c r="D180" i="2"/>
  <c r="E180" i="2"/>
  <c r="F180" i="2"/>
  <c r="G73" i="31"/>
  <c r="M73" i="31"/>
  <c r="G180" i="2"/>
  <c r="D181" i="2"/>
  <c r="E181" i="2"/>
  <c r="F181" i="2"/>
  <c r="G74" i="31"/>
  <c r="M74" i="31"/>
  <c r="G181" i="2"/>
  <c r="G179" i="2"/>
  <c r="B173" i="1"/>
  <c r="B223" i="1"/>
  <c r="E223" i="1"/>
  <c r="B180" i="2"/>
  <c r="I180" i="2"/>
  <c r="J180" i="2"/>
  <c r="K180" i="2"/>
  <c r="L180" i="2"/>
  <c r="M180" i="2"/>
  <c r="B174" i="1"/>
  <c r="B224" i="1"/>
  <c r="E224" i="1"/>
  <c r="B181" i="2"/>
  <c r="I181" i="2"/>
  <c r="J181" i="2"/>
  <c r="K181" i="2"/>
  <c r="L181" i="2"/>
  <c r="M181" i="2"/>
  <c r="M179" i="2"/>
  <c r="G249" i="2"/>
  <c r="B41" i="3"/>
  <c r="B176" i="1"/>
  <c r="G76" i="31"/>
  <c r="B226" i="1"/>
  <c r="E226" i="1"/>
  <c r="B183" i="2"/>
  <c r="C183" i="2"/>
  <c r="D183" i="2"/>
  <c r="E183" i="2"/>
  <c r="F183" i="2"/>
  <c r="M76" i="31"/>
  <c r="G183" i="2"/>
  <c r="B177" i="1"/>
  <c r="G77" i="31"/>
  <c r="B227" i="1"/>
  <c r="E227" i="1"/>
  <c r="B184" i="2"/>
  <c r="C184" i="2"/>
  <c r="D184" i="2"/>
  <c r="E184" i="2"/>
  <c r="F184" i="2"/>
  <c r="L77" i="31"/>
  <c r="M77" i="31"/>
  <c r="G184" i="2"/>
  <c r="G182" i="2"/>
  <c r="B186" i="1"/>
  <c r="B236" i="1"/>
  <c r="E236" i="1"/>
  <c r="B186" i="2"/>
  <c r="C186" i="2"/>
  <c r="D186" i="2"/>
  <c r="E186" i="2"/>
  <c r="F186" i="2"/>
  <c r="M80" i="31"/>
  <c r="G186" i="2"/>
  <c r="B187" i="1"/>
  <c r="B237" i="1"/>
  <c r="E237" i="1"/>
  <c r="B187" i="2"/>
  <c r="C187" i="2"/>
  <c r="D187" i="2"/>
  <c r="E187" i="2"/>
  <c r="F187" i="2"/>
  <c r="L81" i="31"/>
  <c r="M81" i="31"/>
  <c r="G187" i="2"/>
  <c r="G185" i="2"/>
  <c r="I183" i="2"/>
  <c r="J183" i="2"/>
  <c r="K183" i="2"/>
  <c r="L183" i="2"/>
  <c r="M183" i="2"/>
  <c r="I184" i="2"/>
  <c r="J184" i="2"/>
  <c r="K184" i="2"/>
  <c r="L184" i="2"/>
  <c r="M184" i="2"/>
  <c r="M182" i="2"/>
  <c r="I186" i="2"/>
  <c r="J186" i="2"/>
  <c r="K186" i="2"/>
  <c r="L186" i="2"/>
  <c r="M186" i="2"/>
  <c r="I187" i="2"/>
  <c r="J187" i="2"/>
  <c r="K187" i="2"/>
  <c r="L187" i="2"/>
  <c r="M187" i="2"/>
  <c r="M185" i="2"/>
  <c r="G250" i="2"/>
  <c r="B42" i="3"/>
  <c r="D204" i="2"/>
  <c r="E204" i="2"/>
  <c r="F204" i="2"/>
  <c r="G204" i="2"/>
  <c r="D205" i="2"/>
  <c r="E205" i="2"/>
  <c r="F205" i="2"/>
  <c r="G205" i="2"/>
  <c r="D206" i="2"/>
  <c r="E206" i="2"/>
  <c r="F206" i="2"/>
  <c r="G82" i="31"/>
  <c r="M82" i="31"/>
  <c r="G206" i="2"/>
  <c r="G203" i="2"/>
  <c r="B179" i="1"/>
  <c r="B229" i="1"/>
  <c r="E229" i="1"/>
  <c r="B200" i="2"/>
  <c r="C200" i="2"/>
  <c r="D200" i="2"/>
  <c r="E200" i="2"/>
  <c r="F200" i="2"/>
  <c r="G200" i="2"/>
  <c r="B180" i="1"/>
  <c r="B230" i="1"/>
  <c r="E230" i="1"/>
  <c r="B201" i="2"/>
  <c r="C201" i="2"/>
  <c r="D201" i="2"/>
  <c r="E201" i="2"/>
  <c r="F201" i="2"/>
  <c r="G201" i="2"/>
  <c r="B181" i="1"/>
  <c r="G78" i="31"/>
  <c r="B231" i="1"/>
  <c r="E231" i="1"/>
  <c r="B202" i="2"/>
  <c r="C202" i="2"/>
  <c r="D202" i="2"/>
  <c r="E202" i="2"/>
  <c r="F202" i="2"/>
  <c r="M78" i="31"/>
  <c r="G202" i="2"/>
  <c r="G199" i="2"/>
  <c r="G207" i="2"/>
  <c r="B189" i="1"/>
  <c r="B239" i="1"/>
  <c r="E239" i="1"/>
  <c r="B204" i="2"/>
  <c r="I204" i="2"/>
  <c r="J204" i="2"/>
  <c r="K204" i="2"/>
  <c r="L204" i="2"/>
  <c r="M204" i="2"/>
  <c r="B190" i="1"/>
  <c r="B240" i="1"/>
  <c r="E240" i="1"/>
  <c r="B205" i="2"/>
  <c r="I205" i="2"/>
  <c r="J205" i="2"/>
  <c r="K205" i="2"/>
  <c r="L205" i="2"/>
  <c r="M205" i="2"/>
  <c r="B191" i="1"/>
  <c r="B241" i="1"/>
  <c r="E241" i="1"/>
  <c r="B206" i="2"/>
  <c r="I206" i="2"/>
  <c r="J206" i="2"/>
  <c r="K206" i="2"/>
  <c r="L206" i="2"/>
  <c r="M206" i="2"/>
  <c r="M203" i="2"/>
  <c r="I200" i="2"/>
  <c r="J200" i="2"/>
  <c r="K200" i="2"/>
  <c r="L200" i="2"/>
  <c r="M200" i="2"/>
  <c r="I201" i="2"/>
  <c r="J201" i="2"/>
  <c r="K201" i="2"/>
  <c r="L201" i="2"/>
  <c r="M201" i="2"/>
  <c r="I202" i="2"/>
  <c r="J202" i="2"/>
  <c r="K202" i="2"/>
  <c r="L202" i="2"/>
  <c r="M202" i="2"/>
  <c r="M199" i="2"/>
  <c r="M207" i="2"/>
  <c r="G251" i="2"/>
  <c r="B43" i="3"/>
  <c r="B39" i="3"/>
  <c r="B44" i="3"/>
  <c r="B95" i="3"/>
  <c r="E65" i="3"/>
  <c r="B50" i="3"/>
  <c r="B51" i="3"/>
  <c r="B52" i="3"/>
  <c r="B53" i="3"/>
  <c r="D43" i="29"/>
  <c r="B54" i="3"/>
  <c r="D44" i="29"/>
  <c r="C54" i="3"/>
  <c r="D54" i="3"/>
  <c r="B55" i="3"/>
  <c r="B56" i="3"/>
  <c r="C50" i="3"/>
  <c r="C51" i="3"/>
  <c r="C52" i="3"/>
  <c r="C53" i="3"/>
  <c r="C55" i="3"/>
  <c r="C56" i="3"/>
  <c r="D56" i="3"/>
  <c r="G65" i="3"/>
  <c r="D66" i="3"/>
  <c r="E66" i="3"/>
  <c r="F66" i="3"/>
  <c r="G66" i="3"/>
  <c r="D67" i="3"/>
  <c r="E67" i="3"/>
  <c r="F67" i="3"/>
  <c r="G67" i="3"/>
  <c r="D68" i="3"/>
  <c r="E68" i="3"/>
  <c r="F68" i="3"/>
  <c r="G68" i="3"/>
  <c r="G69" i="3"/>
  <c r="D77" i="3"/>
  <c r="H77" i="3"/>
  <c r="I77" i="3"/>
  <c r="D78" i="3"/>
  <c r="H78" i="3"/>
  <c r="I78" i="3"/>
  <c r="E37" i="26"/>
  <c r="D79" i="3"/>
  <c r="H79" i="3"/>
  <c r="I79" i="3"/>
  <c r="D80" i="3"/>
  <c r="H80" i="3"/>
  <c r="I80" i="3"/>
  <c r="D81" i="3"/>
  <c r="H81" i="3"/>
  <c r="I81" i="3"/>
  <c r="D82" i="3"/>
  <c r="H82" i="3"/>
  <c r="I82" i="3"/>
  <c r="D83" i="3"/>
  <c r="H83" i="3"/>
  <c r="I83" i="3"/>
  <c r="D84" i="3"/>
  <c r="H84" i="3"/>
  <c r="I84" i="3"/>
  <c r="I85" i="3"/>
  <c r="B96" i="3"/>
  <c r="B97" i="3"/>
  <c r="G9" i="26"/>
  <c r="H9" i="26"/>
  <c r="F14" i="63"/>
  <c r="H12" i="63"/>
  <c r="H14" i="63"/>
  <c r="H16" i="63"/>
  <c r="P16" i="63"/>
  <c r="J16" i="63"/>
  <c r="E65" i="35"/>
  <c r="B50" i="35"/>
  <c r="B51" i="35"/>
  <c r="B52" i="35"/>
  <c r="B53" i="35"/>
  <c r="B54" i="35"/>
  <c r="C54" i="35"/>
  <c r="D54" i="35"/>
  <c r="B55" i="35"/>
  <c r="B56" i="35"/>
  <c r="C50" i="35"/>
  <c r="C51" i="35"/>
  <c r="C52" i="35"/>
  <c r="C53" i="35"/>
  <c r="C55" i="35"/>
  <c r="C56" i="35"/>
  <c r="D56" i="35"/>
  <c r="F65" i="35"/>
  <c r="G65" i="35"/>
  <c r="H65" i="35"/>
  <c r="J65" i="35"/>
  <c r="D66" i="35"/>
  <c r="E66" i="35"/>
  <c r="F66" i="35"/>
  <c r="G66" i="35"/>
  <c r="H66" i="35"/>
  <c r="J66" i="35"/>
  <c r="D67" i="35"/>
  <c r="E67" i="35"/>
  <c r="F67" i="35"/>
  <c r="G67" i="35"/>
  <c r="H67" i="35"/>
  <c r="J67" i="35"/>
  <c r="D68" i="35"/>
  <c r="E68" i="35"/>
  <c r="F68" i="35"/>
  <c r="G68" i="35"/>
  <c r="H68" i="35"/>
  <c r="J68" i="35"/>
  <c r="J69" i="35"/>
  <c r="C123" i="35"/>
  <c r="B133" i="35"/>
  <c r="B11" i="35"/>
  <c r="K13" i="20"/>
  <c r="D77" i="35"/>
  <c r="H77" i="35"/>
  <c r="I77" i="35"/>
  <c r="J77" i="35"/>
  <c r="L77" i="35"/>
  <c r="D78" i="35"/>
  <c r="H78" i="35"/>
  <c r="I78" i="35"/>
  <c r="J78" i="35"/>
  <c r="L78" i="35"/>
  <c r="D79" i="35"/>
  <c r="H79" i="35"/>
  <c r="I79" i="35"/>
  <c r="J79" i="35"/>
  <c r="L79" i="35"/>
  <c r="D80" i="35"/>
  <c r="H80" i="35"/>
  <c r="I80" i="35"/>
  <c r="J80" i="35"/>
  <c r="L80" i="35"/>
  <c r="D81" i="35"/>
  <c r="H81" i="35"/>
  <c r="I81" i="35"/>
  <c r="J81" i="35"/>
  <c r="L81" i="35"/>
  <c r="D82" i="35"/>
  <c r="H82" i="35"/>
  <c r="I82" i="35"/>
  <c r="J82" i="35"/>
  <c r="L82" i="35"/>
  <c r="D83" i="35"/>
  <c r="H83" i="35"/>
  <c r="I83" i="35"/>
  <c r="J83" i="35"/>
  <c r="L83" i="35"/>
  <c r="D84" i="35"/>
  <c r="H84" i="35"/>
  <c r="I84" i="35"/>
  <c r="J84" i="35"/>
  <c r="L84" i="35"/>
  <c r="L85" i="35"/>
  <c r="C124" i="35"/>
  <c r="B134" i="35"/>
  <c r="E29" i="33"/>
  <c r="F31" i="33"/>
  <c r="B27" i="33"/>
  <c r="B28" i="33"/>
  <c r="B29" i="33"/>
  <c r="B30" i="33"/>
  <c r="E31" i="33"/>
  <c r="B31" i="33"/>
  <c r="B42" i="33"/>
  <c r="B92" i="33"/>
  <c r="E92" i="33"/>
  <c r="B55" i="33"/>
  <c r="L84" i="29"/>
  <c r="B105" i="33"/>
  <c r="E105" i="33"/>
  <c r="B34" i="34"/>
  <c r="D34" i="34"/>
  <c r="F34" i="34"/>
  <c r="G34" i="34"/>
  <c r="B43" i="33"/>
  <c r="B93" i="33"/>
  <c r="E93" i="33"/>
  <c r="B56" i="33"/>
  <c r="B106" i="33"/>
  <c r="E106" i="33"/>
  <c r="B35" i="34"/>
  <c r="D35" i="34"/>
  <c r="F35" i="34"/>
  <c r="G35" i="34"/>
  <c r="G33" i="34"/>
  <c r="G36" i="34"/>
  <c r="D116" i="34"/>
  <c r="D115" i="34"/>
  <c r="B135" i="34"/>
  <c r="E158" i="33"/>
  <c r="O156" i="33"/>
  <c r="O157" i="33"/>
  <c r="O158" i="33"/>
  <c r="O159" i="33"/>
  <c r="B158" i="33"/>
  <c r="G158" i="33"/>
  <c r="E160" i="33"/>
  <c r="B160" i="33"/>
  <c r="G160" i="33"/>
  <c r="E161" i="33"/>
  <c r="B161" i="33"/>
  <c r="G161" i="33"/>
  <c r="E162" i="33"/>
  <c r="B162" i="33"/>
  <c r="G162" i="33"/>
  <c r="E163" i="33"/>
  <c r="B163" i="33"/>
  <c r="G163" i="33"/>
  <c r="G159" i="33"/>
  <c r="G154" i="33"/>
  <c r="B170" i="33"/>
  <c r="B220" i="33"/>
  <c r="E220" i="33"/>
  <c r="B183" i="33"/>
  <c r="L80" i="31"/>
  <c r="B233" i="33"/>
  <c r="E233" i="33"/>
  <c r="B165" i="34"/>
  <c r="D165" i="34"/>
  <c r="F165" i="34"/>
  <c r="G165" i="34"/>
  <c r="B171" i="33"/>
  <c r="L71" i="31"/>
  <c r="B221" i="33"/>
  <c r="E221" i="33"/>
  <c r="B184" i="33"/>
  <c r="B234" i="33"/>
  <c r="E234" i="33"/>
  <c r="B166" i="34"/>
  <c r="D166" i="34"/>
  <c r="F166" i="34"/>
  <c r="G166" i="34"/>
  <c r="G164" i="34"/>
  <c r="G167" i="34"/>
  <c r="D227" i="34"/>
  <c r="D226" i="34"/>
  <c r="B246" i="34"/>
  <c r="B11" i="34"/>
  <c r="D47" i="34"/>
  <c r="E47" i="34"/>
  <c r="F47" i="34"/>
  <c r="G47" i="34"/>
  <c r="D48" i="34"/>
  <c r="E48" i="34"/>
  <c r="F48" i="34"/>
  <c r="G48" i="34"/>
  <c r="G46" i="34"/>
  <c r="D118" i="34"/>
  <c r="D117" i="34"/>
  <c r="B45" i="33"/>
  <c r="L77" i="29"/>
  <c r="B95" i="33"/>
  <c r="E95" i="33"/>
  <c r="B47" i="34"/>
  <c r="I47" i="34"/>
  <c r="J47" i="34"/>
  <c r="K47" i="34"/>
  <c r="L47" i="34"/>
  <c r="M47" i="34"/>
  <c r="B46" i="33"/>
  <c r="L78" i="29"/>
  <c r="B96" i="33"/>
  <c r="E96" i="33"/>
  <c r="B48" i="34"/>
  <c r="I48" i="34"/>
  <c r="J48" i="34"/>
  <c r="K48" i="34"/>
  <c r="L48" i="34"/>
  <c r="M48" i="34"/>
  <c r="M46" i="34"/>
  <c r="F118" i="34"/>
  <c r="F117" i="34"/>
  <c r="N47" i="34"/>
  <c r="N48" i="34"/>
  <c r="N46" i="34"/>
  <c r="G118" i="34"/>
  <c r="G117" i="34"/>
  <c r="B136" i="34"/>
  <c r="D178" i="34"/>
  <c r="E178" i="34"/>
  <c r="F178" i="34"/>
  <c r="G178" i="34"/>
  <c r="D179" i="34"/>
  <c r="E179" i="34"/>
  <c r="F179" i="34"/>
  <c r="G179" i="34"/>
  <c r="G177" i="34"/>
  <c r="D229" i="34"/>
  <c r="B173" i="33"/>
  <c r="L73" i="31"/>
  <c r="B223" i="33"/>
  <c r="E223" i="33"/>
  <c r="B178" i="34"/>
  <c r="I178" i="34"/>
  <c r="J178" i="34"/>
  <c r="K178" i="34"/>
  <c r="L178" i="34"/>
  <c r="M178" i="34"/>
  <c r="B174" i="33"/>
  <c r="L74" i="31"/>
  <c r="B224" i="33"/>
  <c r="E224" i="33"/>
  <c r="B179" i="34"/>
  <c r="I179" i="34"/>
  <c r="J179" i="34"/>
  <c r="K179" i="34"/>
  <c r="L179" i="34"/>
  <c r="M179" i="34"/>
  <c r="M177" i="34"/>
  <c r="F229" i="34"/>
  <c r="N178" i="34"/>
  <c r="N179" i="34"/>
  <c r="N177" i="34"/>
  <c r="G229" i="34"/>
  <c r="B247" i="34"/>
  <c r="B12" i="34"/>
  <c r="B48" i="33"/>
  <c r="B98" i="33"/>
  <c r="E98" i="33"/>
  <c r="B50" i="34"/>
  <c r="C50" i="34"/>
  <c r="D50" i="34"/>
  <c r="E50" i="34"/>
  <c r="F50" i="34"/>
  <c r="G50" i="34"/>
  <c r="B49" i="33"/>
  <c r="B99" i="33"/>
  <c r="E99" i="33"/>
  <c r="B51" i="34"/>
  <c r="C51" i="34"/>
  <c r="D51" i="34"/>
  <c r="E51" i="34"/>
  <c r="F51" i="34"/>
  <c r="G51" i="34"/>
  <c r="G49" i="34"/>
  <c r="D120" i="34"/>
  <c r="D53" i="34"/>
  <c r="E53" i="34"/>
  <c r="F53" i="34"/>
  <c r="G53" i="34"/>
  <c r="D54" i="34"/>
  <c r="E54" i="34"/>
  <c r="F54" i="34"/>
  <c r="G54" i="34"/>
  <c r="G52" i="34"/>
  <c r="D121" i="34"/>
  <c r="D119" i="34"/>
  <c r="I50" i="34"/>
  <c r="J50" i="34"/>
  <c r="K50" i="34"/>
  <c r="L50" i="34"/>
  <c r="M50" i="34"/>
  <c r="I51" i="34"/>
  <c r="J51" i="34"/>
  <c r="K51" i="34"/>
  <c r="L51" i="34"/>
  <c r="M51" i="34"/>
  <c r="M49" i="34"/>
  <c r="F120" i="34"/>
  <c r="B58" i="33"/>
  <c r="B108" i="33"/>
  <c r="E108" i="33"/>
  <c r="B53" i="34"/>
  <c r="I53" i="34"/>
  <c r="J53" i="34"/>
  <c r="K53" i="34"/>
  <c r="L53" i="34"/>
  <c r="M53" i="34"/>
  <c r="B59" i="33"/>
  <c r="B109" i="33"/>
  <c r="E109" i="33"/>
  <c r="B54" i="34"/>
  <c r="I54" i="34"/>
  <c r="J54" i="34"/>
  <c r="K54" i="34"/>
  <c r="L54" i="34"/>
  <c r="M54" i="34"/>
  <c r="M52" i="34"/>
  <c r="F121" i="34"/>
  <c r="F119" i="34"/>
  <c r="N50" i="34"/>
  <c r="N51" i="34"/>
  <c r="N49" i="34"/>
  <c r="G120" i="34"/>
  <c r="N53" i="34"/>
  <c r="N54" i="34"/>
  <c r="N52" i="34"/>
  <c r="G121" i="34"/>
  <c r="G119" i="34"/>
  <c r="B137" i="34"/>
  <c r="B176" i="33"/>
  <c r="L76" i="31"/>
  <c r="B226" i="33"/>
  <c r="E226" i="33"/>
  <c r="B181" i="34"/>
  <c r="C181" i="34"/>
  <c r="D181" i="34"/>
  <c r="E181" i="34"/>
  <c r="F181" i="34"/>
  <c r="G181" i="34"/>
  <c r="B177" i="33"/>
  <c r="B227" i="33"/>
  <c r="E227" i="33"/>
  <c r="B182" i="34"/>
  <c r="C182" i="34"/>
  <c r="D182" i="34"/>
  <c r="E182" i="34"/>
  <c r="F182" i="34"/>
  <c r="G182" i="34"/>
  <c r="G180" i="34"/>
  <c r="D231" i="34"/>
  <c r="D184" i="34"/>
  <c r="E184" i="34"/>
  <c r="F184" i="34"/>
  <c r="G184" i="34"/>
  <c r="D185" i="34"/>
  <c r="E185" i="34"/>
  <c r="F185" i="34"/>
  <c r="G185" i="34"/>
  <c r="G183" i="34"/>
  <c r="D232" i="34"/>
  <c r="D230" i="34"/>
  <c r="I181" i="34"/>
  <c r="J181" i="34"/>
  <c r="K181" i="34"/>
  <c r="L181" i="34"/>
  <c r="M181" i="34"/>
  <c r="I182" i="34"/>
  <c r="J182" i="34"/>
  <c r="K182" i="34"/>
  <c r="L182" i="34"/>
  <c r="M182" i="34"/>
  <c r="M180" i="34"/>
  <c r="F231" i="34"/>
  <c r="B186" i="33"/>
  <c r="B236" i="33"/>
  <c r="E236" i="33"/>
  <c r="B184" i="34"/>
  <c r="I184" i="34"/>
  <c r="J184" i="34"/>
  <c r="K184" i="34"/>
  <c r="L184" i="34"/>
  <c r="M184" i="34"/>
  <c r="B187" i="33"/>
  <c r="B237" i="33"/>
  <c r="E237" i="33"/>
  <c r="B185" i="34"/>
  <c r="I185" i="34"/>
  <c r="J185" i="34"/>
  <c r="K185" i="34"/>
  <c r="L185" i="34"/>
  <c r="M185" i="34"/>
  <c r="M183" i="34"/>
  <c r="F232" i="34"/>
  <c r="F230" i="34"/>
  <c r="N181" i="34"/>
  <c r="N182" i="34"/>
  <c r="N180" i="34"/>
  <c r="G231" i="34"/>
  <c r="N184" i="34"/>
  <c r="N185" i="34"/>
  <c r="N183" i="34"/>
  <c r="G232" i="34"/>
  <c r="G230" i="34"/>
  <c r="B248" i="34"/>
  <c r="B13" i="34"/>
  <c r="B51" i="33"/>
  <c r="B101" i="33"/>
  <c r="E101" i="33"/>
  <c r="B67" i="34"/>
  <c r="C67" i="34"/>
  <c r="D67" i="34"/>
  <c r="E67" i="34"/>
  <c r="F67" i="34"/>
  <c r="G67" i="34"/>
  <c r="B52" i="33"/>
  <c r="B102" i="33"/>
  <c r="E102" i="33"/>
  <c r="B68" i="34"/>
  <c r="C68" i="34"/>
  <c r="D68" i="34"/>
  <c r="E68" i="34"/>
  <c r="F68" i="34"/>
  <c r="G68" i="34"/>
  <c r="B53" i="33"/>
  <c r="L82" i="29"/>
  <c r="B103" i="33"/>
  <c r="E103" i="33"/>
  <c r="B69" i="34"/>
  <c r="C69" i="34"/>
  <c r="D69" i="34"/>
  <c r="E69" i="34"/>
  <c r="F69" i="34"/>
  <c r="G69" i="34"/>
  <c r="G66" i="34"/>
  <c r="D123" i="34"/>
  <c r="B61" i="33"/>
  <c r="B111" i="33"/>
  <c r="E111" i="33"/>
  <c r="B71" i="34"/>
  <c r="C71" i="34"/>
  <c r="D71" i="34"/>
  <c r="E71" i="34"/>
  <c r="F71" i="34"/>
  <c r="G71" i="34"/>
  <c r="B62" i="33"/>
  <c r="B112" i="33"/>
  <c r="E112" i="33"/>
  <c r="B72" i="34"/>
  <c r="C72" i="34"/>
  <c r="D72" i="34"/>
  <c r="E72" i="34"/>
  <c r="F72" i="34"/>
  <c r="G72" i="34"/>
  <c r="B63" i="33"/>
  <c r="L86" i="29"/>
  <c r="B113" i="33"/>
  <c r="E113" i="33"/>
  <c r="B73" i="34"/>
  <c r="C73" i="34"/>
  <c r="D73" i="34"/>
  <c r="E73" i="34"/>
  <c r="F73" i="34"/>
  <c r="G73" i="34"/>
  <c r="G70" i="34"/>
  <c r="D124" i="34"/>
  <c r="D122" i="34"/>
  <c r="I67" i="34"/>
  <c r="J67" i="34"/>
  <c r="K67" i="34"/>
  <c r="L67" i="34"/>
  <c r="M67" i="34"/>
  <c r="I68" i="34"/>
  <c r="J68" i="34"/>
  <c r="K68" i="34"/>
  <c r="L68" i="34"/>
  <c r="M68" i="34"/>
  <c r="I69" i="34"/>
  <c r="J69" i="34"/>
  <c r="K69" i="34"/>
  <c r="L69" i="34"/>
  <c r="M69" i="34"/>
  <c r="M66" i="34"/>
  <c r="F123" i="34"/>
  <c r="I71" i="34"/>
  <c r="J71" i="34"/>
  <c r="K71" i="34"/>
  <c r="L71" i="34"/>
  <c r="M71" i="34"/>
  <c r="I72" i="34"/>
  <c r="J72" i="34"/>
  <c r="K72" i="34"/>
  <c r="L72" i="34"/>
  <c r="M72" i="34"/>
  <c r="I73" i="34"/>
  <c r="J73" i="34"/>
  <c r="K73" i="34"/>
  <c r="L73" i="34"/>
  <c r="M73" i="34"/>
  <c r="M70" i="34"/>
  <c r="F124" i="34"/>
  <c r="F122" i="34"/>
  <c r="N67" i="34"/>
  <c r="N68" i="34"/>
  <c r="N69" i="34"/>
  <c r="N66" i="34"/>
  <c r="G123" i="34"/>
  <c r="N71" i="34"/>
  <c r="N72" i="34"/>
  <c r="N73" i="34"/>
  <c r="N70" i="34"/>
  <c r="G124" i="34"/>
  <c r="G122" i="34"/>
  <c r="B138" i="34"/>
  <c r="B179" i="33"/>
  <c r="B229" i="33"/>
  <c r="E229" i="33"/>
  <c r="B198" i="34"/>
  <c r="C198" i="34"/>
  <c r="D198" i="34"/>
  <c r="E198" i="34"/>
  <c r="F198" i="34"/>
  <c r="G198" i="34"/>
  <c r="B180" i="33"/>
  <c r="B230" i="33"/>
  <c r="E230" i="33"/>
  <c r="B199" i="34"/>
  <c r="C199" i="34"/>
  <c r="D199" i="34"/>
  <c r="E199" i="34"/>
  <c r="F199" i="34"/>
  <c r="G199" i="34"/>
  <c r="B181" i="33"/>
  <c r="L78" i="31"/>
  <c r="B231" i="33"/>
  <c r="E231" i="33"/>
  <c r="B200" i="34"/>
  <c r="C200" i="34"/>
  <c r="D200" i="34"/>
  <c r="E200" i="34"/>
  <c r="F200" i="34"/>
  <c r="G200" i="34"/>
  <c r="G197" i="34"/>
  <c r="D234" i="34"/>
  <c r="D202" i="34"/>
  <c r="E202" i="34"/>
  <c r="F202" i="34"/>
  <c r="G202" i="34"/>
  <c r="D203" i="34"/>
  <c r="E203" i="34"/>
  <c r="F203" i="34"/>
  <c r="G203" i="34"/>
  <c r="D204" i="34"/>
  <c r="E204" i="34"/>
  <c r="F204" i="34"/>
  <c r="G204" i="34"/>
  <c r="G201" i="34"/>
  <c r="D235" i="34"/>
  <c r="D233" i="34"/>
  <c r="I198" i="34"/>
  <c r="J198" i="34"/>
  <c r="K198" i="34"/>
  <c r="L198" i="34"/>
  <c r="M198" i="34"/>
  <c r="I199" i="34"/>
  <c r="J199" i="34"/>
  <c r="K199" i="34"/>
  <c r="L199" i="34"/>
  <c r="M199" i="34"/>
  <c r="I200" i="34"/>
  <c r="J200" i="34"/>
  <c r="K200" i="34"/>
  <c r="L200" i="34"/>
  <c r="M200" i="34"/>
  <c r="M197" i="34"/>
  <c r="F234" i="34"/>
  <c r="B189" i="33"/>
  <c r="B239" i="33"/>
  <c r="E239" i="33"/>
  <c r="B202" i="34"/>
  <c r="I202" i="34"/>
  <c r="J202" i="34"/>
  <c r="K202" i="34"/>
  <c r="L202" i="34"/>
  <c r="M202" i="34"/>
  <c r="B190" i="33"/>
  <c r="B240" i="33"/>
  <c r="E240" i="33"/>
  <c r="B203" i="34"/>
  <c r="I203" i="34"/>
  <c r="J203" i="34"/>
  <c r="K203" i="34"/>
  <c r="L203" i="34"/>
  <c r="M203" i="34"/>
  <c r="B191" i="33"/>
  <c r="L82" i="31"/>
  <c r="B241" i="33"/>
  <c r="E241" i="33"/>
  <c r="B204" i="34"/>
  <c r="I204" i="34"/>
  <c r="J204" i="34"/>
  <c r="K204" i="34"/>
  <c r="L204" i="34"/>
  <c r="M204" i="34"/>
  <c r="M201" i="34"/>
  <c r="F235" i="34"/>
  <c r="F233" i="34"/>
  <c r="N198" i="34"/>
  <c r="N199" i="34"/>
  <c r="N200" i="34"/>
  <c r="N197" i="34"/>
  <c r="G234" i="34"/>
  <c r="N202" i="34"/>
  <c r="N203" i="34"/>
  <c r="N204" i="34"/>
  <c r="N201" i="34"/>
  <c r="G235" i="34"/>
  <c r="G233" i="34"/>
  <c r="B249" i="34"/>
  <c r="B14" i="34"/>
  <c r="B10" i="34"/>
  <c r="B12" i="35"/>
  <c r="K14" i="20"/>
  <c r="K12" i="20"/>
  <c r="N5" i="43"/>
  <c r="E11" i="34"/>
  <c r="L6" i="43"/>
  <c r="L13" i="43"/>
  <c r="N6" i="43"/>
  <c r="N6" i="42"/>
  <c r="N30" i="42"/>
  <c r="B15" i="3"/>
  <c r="K19" i="40"/>
  <c r="N24" i="42"/>
  <c r="I10" i="54"/>
  <c r="E12" i="34"/>
  <c r="L7" i="43"/>
  <c r="L14" i="43"/>
  <c r="N7" i="43"/>
  <c r="N7" i="42"/>
  <c r="N44" i="42"/>
  <c r="D120" i="2"/>
  <c r="D119" i="2"/>
  <c r="F120" i="2"/>
  <c r="F119" i="2"/>
  <c r="N47" i="2"/>
  <c r="N48" i="2"/>
  <c r="N46" i="2"/>
  <c r="G120" i="2"/>
  <c r="G119" i="2"/>
  <c r="B138" i="2"/>
  <c r="D231" i="2"/>
  <c r="F231" i="2"/>
  <c r="N180" i="2"/>
  <c r="N181" i="2"/>
  <c r="N179" i="2"/>
  <c r="G231" i="2"/>
  <c r="B249" i="2"/>
  <c r="B106" i="3"/>
  <c r="B138" i="3"/>
  <c r="B16" i="3"/>
  <c r="K20" i="40"/>
  <c r="N38" i="42"/>
  <c r="I11" i="54"/>
  <c r="E13" i="34"/>
  <c r="L8" i="43"/>
  <c r="L15" i="43"/>
  <c r="N8" i="43"/>
  <c r="N8" i="42"/>
  <c r="N60" i="42"/>
  <c r="E14" i="34"/>
  <c r="L9" i="43"/>
  <c r="L16" i="43"/>
  <c r="N9" i="43"/>
  <c r="N9" i="42"/>
  <c r="N72" i="42"/>
  <c r="D122" i="2"/>
  <c r="D123" i="2"/>
  <c r="D121" i="2"/>
  <c r="F122" i="2"/>
  <c r="F123" i="2"/>
  <c r="F121" i="2"/>
  <c r="N50" i="2"/>
  <c r="N51" i="2"/>
  <c r="N49" i="2"/>
  <c r="G122" i="2"/>
  <c r="N53" i="2"/>
  <c r="N54" i="2"/>
  <c r="N52" i="2"/>
  <c r="G123" i="2"/>
  <c r="G121" i="2"/>
  <c r="B139" i="2"/>
  <c r="D233" i="2"/>
  <c r="D234" i="2"/>
  <c r="D232" i="2"/>
  <c r="F233" i="2"/>
  <c r="F234" i="2"/>
  <c r="F232" i="2"/>
  <c r="N183" i="2"/>
  <c r="N184" i="2"/>
  <c r="N182" i="2"/>
  <c r="G233" i="2"/>
  <c r="N186" i="2"/>
  <c r="N187" i="2"/>
  <c r="N185" i="2"/>
  <c r="G234" i="2"/>
  <c r="G232" i="2"/>
  <c r="B250" i="2"/>
  <c r="B109" i="3"/>
  <c r="B139" i="3"/>
  <c r="B17" i="3"/>
  <c r="K21" i="40"/>
  <c r="N56" i="42"/>
  <c r="I12" i="54"/>
  <c r="I14" i="54"/>
  <c r="H25" i="63"/>
  <c r="J45" i="36"/>
  <c r="L45" i="36"/>
  <c r="N45" i="36"/>
  <c r="B87" i="36"/>
  <c r="B64" i="36"/>
  <c r="C87" i="36"/>
  <c r="D87" i="36"/>
  <c r="T45" i="36"/>
  <c r="U45" i="36"/>
  <c r="F87" i="36"/>
  <c r="G87" i="36"/>
  <c r="H87" i="36"/>
  <c r="K87" i="36"/>
  <c r="J46" i="36"/>
  <c r="L46" i="36"/>
  <c r="N46" i="36"/>
  <c r="B88" i="36"/>
  <c r="C88" i="36"/>
  <c r="D88" i="36"/>
  <c r="T46" i="36"/>
  <c r="U46" i="36"/>
  <c r="F88" i="36"/>
  <c r="G88" i="36"/>
  <c r="H88" i="36"/>
  <c r="K88" i="36"/>
  <c r="J47" i="36"/>
  <c r="L47" i="36"/>
  <c r="N47" i="36"/>
  <c r="B89" i="36"/>
  <c r="C89" i="36"/>
  <c r="D89" i="36"/>
  <c r="T47" i="36"/>
  <c r="U47" i="36"/>
  <c r="F89" i="36"/>
  <c r="G89" i="36"/>
  <c r="H89" i="36"/>
  <c r="K89" i="36"/>
  <c r="J48" i="36"/>
  <c r="L48" i="36"/>
  <c r="N48" i="36"/>
  <c r="B90" i="36"/>
  <c r="C90" i="36"/>
  <c r="D90" i="36"/>
  <c r="T48" i="36"/>
  <c r="U48" i="36"/>
  <c r="F90" i="36"/>
  <c r="G90" i="36"/>
  <c r="H90" i="36"/>
  <c r="K90" i="36"/>
  <c r="J49" i="36"/>
  <c r="L49" i="36"/>
  <c r="N49" i="36"/>
  <c r="B91" i="36"/>
  <c r="C91" i="36"/>
  <c r="D91" i="36"/>
  <c r="T49" i="36"/>
  <c r="U49" i="36"/>
  <c r="F91" i="36"/>
  <c r="G91" i="36"/>
  <c r="H91" i="36"/>
  <c r="K91" i="36"/>
  <c r="J50" i="36"/>
  <c r="L50" i="36"/>
  <c r="N50" i="36"/>
  <c r="B92" i="36"/>
  <c r="C92" i="36"/>
  <c r="D92" i="36"/>
  <c r="T50" i="36"/>
  <c r="U50" i="36"/>
  <c r="F92" i="36"/>
  <c r="G92" i="36"/>
  <c r="H92" i="36"/>
  <c r="K92" i="36"/>
  <c r="J51" i="36"/>
  <c r="L51" i="36"/>
  <c r="N51" i="36"/>
  <c r="B93" i="36"/>
  <c r="C93" i="36"/>
  <c r="D93" i="36"/>
  <c r="T51" i="36"/>
  <c r="U51" i="36"/>
  <c r="F93" i="36"/>
  <c r="G93" i="36"/>
  <c r="H93" i="36"/>
  <c r="K93" i="36"/>
  <c r="J52" i="36"/>
  <c r="L52" i="36"/>
  <c r="N52" i="36"/>
  <c r="B94" i="36"/>
  <c r="C94" i="36"/>
  <c r="D94" i="36"/>
  <c r="T52" i="36"/>
  <c r="U52" i="36"/>
  <c r="F94" i="36"/>
  <c r="G94" i="36"/>
  <c r="H94" i="36"/>
  <c r="K94" i="36"/>
  <c r="K95" i="36"/>
  <c r="J35" i="36"/>
  <c r="L35" i="36"/>
  <c r="N35" i="36"/>
  <c r="B77" i="36"/>
  <c r="B63" i="36"/>
  <c r="C77" i="36"/>
  <c r="D77" i="36"/>
  <c r="T35" i="36"/>
  <c r="U35" i="36"/>
  <c r="F77" i="36"/>
  <c r="G77" i="36"/>
  <c r="H77" i="36"/>
  <c r="K77" i="36"/>
  <c r="J36" i="36"/>
  <c r="L36" i="36"/>
  <c r="N36" i="36"/>
  <c r="B78" i="36"/>
  <c r="C78" i="36"/>
  <c r="D78" i="36"/>
  <c r="T36" i="36"/>
  <c r="U36" i="36"/>
  <c r="F78" i="36"/>
  <c r="G78" i="36"/>
  <c r="H78" i="36"/>
  <c r="K78" i="36"/>
  <c r="J37" i="36"/>
  <c r="L37" i="36"/>
  <c r="N37" i="36"/>
  <c r="B79" i="36"/>
  <c r="C79" i="36"/>
  <c r="D79" i="36"/>
  <c r="T37" i="36"/>
  <c r="U37" i="36"/>
  <c r="F79" i="36"/>
  <c r="G79" i="36"/>
  <c r="H79" i="36"/>
  <c r="K79" i="36"/>
  <c r="J38" i="36"/>
  <c r="L38" i="36"/>
  <c r="N38" i="36"/>
  <c r="B80" i="36"/>
  <c r="C80" i="36"/>
  <c r="D80" i="36"/>
  <c r="T38" i="36"/>
  <c r="U38" i="36"/>
  <c r="F80" i="36"/>
  <c r="G80" i="36"/>
  <c r="H80" i="36"/>
  <c r="K80" i="36"/>
  <c r="J39" i="36"/>
  <c r="L39" i="36"/>
  <c r="N39" i="36"/>
  <c r="B81" i="36"/>
  <c r="C81" i="36"/>
  <c r="D81" i="36"/>
  <c r="T39" i="36"/>
  <c r="U39" i="36"/>
  <c r="F81" i="36"/>
  <c r="G81" i="36"/>
  <c r="H81" i="36"/>
  <c r="K81" i="36"/>
  <c r="J40" i="36"/>
  <c r="L40" i="36"/>
  <c r="N40" i="36"/>
  <c r="B82" i="36"/>
  <c r="C82" i="36"/>
  <c r="D82" i="36"/>
  <c r="T40" i="36"/>
  <c r="U40" i="36"/>
  <c r="F82" i="36"/>
  <c r="G82" i="36"/>
  <c r="H82" i="36"/>
  <c r="K82" i="36"/>
  <c r="J41" i="36"/>
  <c r="L41" i="36"/>
  <c r="N41" i="36"/>
  <c r="B83" i="36"/>
  <c r="C83" i="36"/>
  <c r="D83" i="36"/>
  <c r="T41" i="36"/>
  <c r="U41" i="36"/>
  <c r="F83" i="36"/>
  <c r="G83" i="36"/>
  <c r="H83" i="36"/>
  <c r="K83" i="36"/>
  <c r="J42" i="36"/>
  <c r="L42" i="36"/>
  <c r="N42" i="36"/>
  <c r="B84" i="36"/>
  <c r="C84" i="36"/>
  <c r="D84" i="36"/>
  <c r="T42" i="36"/>
  <c r="U42" i="36"/>
  <c r="F84" i="36"/>
  <c r="G84" i="36"/>
  <c r="H84" i="36"/>
  <c r="K84" i="36"/>
  <c r="K85" i="36"/>
  <c r="K96" i="36"/>
  <c r="B116" i="36"/>
  <c r="B11" i="36"/>
  <c r="O13" i="20"/>
  <c r="P5" i="43"/>
  <c r="P6" i="43"/>
  <c r="P6" i="42"/>
  <c r="P30" i="42"/>
  <c r="B14" i="4"/>
  <c r="O19" i="40"/>
  <c r="P24" i="42"/>
  <c r="K10" i="54"/>
  <c r="P7" i="43"/>
  <c r="P7" i="42"/>
  <c r="P44" i="42"/>
  <c r="P38" i="42"/>
  <c r="K11" i="54"/>
  <c r="P8" i="43"/>
  <c r="P8" i="42"/>
  <c r="P60" i="42"/>
  <c r="P9" i="43"/>
  <c r="P9" i="42"/>
  <c r="P72" i="42"/>
  <c r="B106" i="4"/>
  <c r="D106" i="4"/>
  <c r="B121" i="4"/>
  <c r="B16" i="4"/>
  <c r="O21" i="40"/>
  <c r="P56" i="42"/>
  <c r="K12" i="54"/>
  <c r="K14" i="54"/>
  <c r="J25" i="63"/>
  <c r="J27" i="63"/>
  <c r="J29" i="63"/>
  <c r="J12" i="63"/>
  <c r="J14" i="63"/>
  <c r="I15" i="50"/>
  <c r="I27" i="37"/>
  <c r="K27" i="37"/>
  <c r="I16" i="50"/>
  <c r="I28" i="37"/>
  <c r="K28" i="37"/>
  <c r="I17" i="50"/>
  <c r="I29" i="37"/>
  <c r="K29" i="37"/>
  <c r="I18" i="50"/>
  <c r="I30" i="37"/>
  <c r="K30" i="37"/>
  <c r="I19" i="50"/>
  <c r="I31" i="37"/>
  <c r="K31" i="37"/>
  <c r="I20" i="50"/>
  <c r="I32" i="37"/>
  <c r="K32" i="37"/>
  <c r="K33" i="37"/>
  <c r="B103" i="37"/>
  <c r="I32" i="50"/>
  <c r="I45" i="37"/>
  <c r="D32" i="24"/>
  <c r="H32" i="24"/>
  <c r="E91" i="33"/>
  <c r="E119" i="33"/>
  <c r="E104" i="33"/>
  <c r="E123" i="33"/>
  <c r="E135" i="33"/>
  <c r="B141" i="34"/>
  <c r="E219" i="33"/>
  <c r="E247" i="33"/>
  <c r="E232" i="33"/>
  <c r="E251" i="33"/>
  <c r="E263" i="33"/>
  <c r="B252" i="34"/>
  <c r="B103" i="35"/>
  <c r="B137" i="35"/>
  <c r="B104" i="36"/>
  <c r="B69" i="36"/>
  <c r="C104" i="36"/>
  <c r="D104" i="36"/>
  <c r="B119" i="36"/>
  <c r="C43" i="50"/>
  <c r="C32" i="50"/>
  <c r="G32" i="50"/>
  <c r="G45" i="37"/>
  <c r="K45" i="37"/>
  <c r="I33" i="50"/>
  <c r="I46" i="37"/>
  <c r="D33" i="24"/>
  <c r="H33" i="24"/>
  <c r="C33" i="50"/>
  <c r="G33" i="50"/>
  <c r="G46" i="37"/>
  <c r="K46" i="37"/>
  <c r="I34" i="50"/>
  <c r="I47" i="37"/>
  <c r="K47" i="37"/>
  <c r="I35" i="50"/>
  <c r="I48" i="37"/>
  <c r="K48" i="37"/>
  <c r="I36" i="50"/>
  <c r="I49" i="37"/>
  <c r="K49" i="37"/>
  <c r="I37" i="50"/>
  <c r="I50" i="37"/>
  <c r="K50" i="37"/>
  <c r="I38" i="50"/>
  <c r="I51" i="37"/>
  <c r="K51" i="37"/>
  <c r="I39" i="50"/>
  <c r="I52" i="37"/>
  <c r="K52" i="37"/>
  <c r="I40" i="50"/>
  <c r="I53" i="37"/>
  <c r="K53" i="37"/>
  <c r="I41" i="50"/>
  <c r="I54" i="37"/>
  <c r="K54" i="37"/>
  <c r="K55" i="37"/>
  <c r="B104" i="37"/>
  <c r="I53" i="50"/>
  <c r="I67" i="37"/>
  <c r="K67" i="37"/>
  <c r="I54" i="50"/>
  <c r="I68" i="37"/>
  <c r="K68" i="37"/>
  <c r="I55" i="50"/>
  <c r="I69" i="37"/>
  <c r="K69" i="37"/>
  <c r="I56" i="50"/>
  <c r="I70" i="37"/>
  <c r="K70" i="37"/>
  <c r="I57" i="50"/>
  <c r="I71" i="37"/>
  <c r="K71" i="37"/>
  <c r="I58" i="50"/>
  <c r="I72" i="37"/>
  <c r="K72" i="37"/>
  <c r="K73" i="37"/>
  <c r="B105" i="37"/>
  <c r="I70" i="50"/>
  <c r="I85" i="37"/>
  <c r="K85" i="37"/>
  <c r="I71" i="50"/>
  <c r="I86" i="37"/>
  <c r="D77" i="24"/>
  <c r="D71" i="24"/>
  <c r="H71" i="24"/>
  <c r="G137" i="34"/>
  <c r="G248" i="34"/>
  <c r="B109" i="35"/>
  <c r="B139" i="35"/>
  <c r="B106" i="36"/>
  <c r="D106" i="36"/>
  <c r="B121" i="36"/>
  <c r="C77" i="50"/>
  <c r="C71" i="50"/>
  <c r="G71" i="50"/>
  <c r="G86" i="37"/>
  <c r="K86" i="37"/>
  <c r="I72" i="50"/>
  <c r="I87" i="37"/>
  <c r="K87" i="37"/>
  <c r="I73" i="50"/>
  <c r="I88" i="37"/>
  <c r="K88" i="37"/>
  <c r="I74" i="50"/>
  <c r="I89" i="37"/>
  <c r="K89" i="37"/>
  <c r="I75" i="50"/>
  <c r="I90" i="37"/>
  <c r="K90" i="37"/>
  <c r="K91" i="37"/>
  <c r="B106" i="37"/>
  <c r="B107" i="37"/>
  <c r="B116" i="37"/>
  <c r="B11" i="37"/>
  <c r="S13" i="20"/>
  <c r="J15" i="50"/>
  <c r="L27" i="37"/>
  <c r="N27" i="37"/>
  <c r="J16" i="50"/>
  <c r="L28" i="37"/>
  <c r="N28" i="37"/>
  <c r="J17" i="50"/>
  <c r="L29" i="37"/>
  <c r="N29" i="37"/>
  <c r="J18" i="50"/>
  <c r="L30" i="37"/>
  <c r="N30" i="37"/>
  <c r="J19" i="50"/>
  <c r="L31" i="37"/>
  <c r="N31" i="37"/>
  <c r="J20" i="50"/>
  <c r="L32" i="37"/>
  <c r="N32" i="37"/>
  <c r="N33" i="37"/>
  <c r="D103" i="37"/>
  <c r="J32" i="50"/>
  <c r="L45" i="37"/>
  <c r="N45" i="37"/>
  <c r="J33" i="50"/>
  <c r="L46" i="37"/>
  <c r="N46" i="37"/>
  <c r="J34" i="50"/>
  <c r="L47" i="37"/>
  <c r="N47" i="37"/>
  <c r="J35" i="50"/>
  <c r="L48" i="37"/>
  <c r="N48" i="37"/>
  <c r="J36" i="50"/>
  <c r="L49" i="37"/>
  <c r="N49" i="37"/>
  <c r="J37" i="50"/>
  <c r="L50" i="37"/>
  <c r="N50" i="37"/>
  <c r="J38" i="50"/>
  <c r="L51" i="37"/>
  <c r="N51" i="37"/>
  <c r="J39" i="50"/>
  <c r="L52" i="37"/>
  <c r="N52" i="37"/>
  <c r="J40" i="50"/>
  <c r="L53" i="37"/>
  <c r="N53" i="37"/>
  <c r="J41" i="50"/>
  <c r="L54" i="37"/>
  <c r="N54" i="37"/>
  <c r="N55" i="37"/>
  <c r="D104" i="37"/>
  <c r="J53" i="50"/>
  <c r="L67" i="37"/>
  <c r="N67" i="37"/>
  <c r="J54" i="50"/>
  <c r="L68" i="37"/>
  <c r="N68" i="37"/>
  <c r="J55" i="50"/>
  <c r="L69" i="37"/>
  <c r="N69" i="37"/>
  <c r="J56" i="50"/>
  <c r="L70" i="37"/>
  <c r="N70" i="37"/>
  <c r="J57" i="50"/>
  <c r="L71" i="37"/>
  <c r="N71" i="37"/>
  <c r="J58" i="50"/>
  <c r="L72" i="37"/>
  <c r="N72" i="37"/>
  <c r="N73" i="37"/>
  <c r="D105" i="37"/>
  <c r="J70" i="50"/>
  <c r="L85" i="37"/>
  <c r="N85" i="37"/>
  <c r="J71" i="50"/>
  <c r="L86" i="37"/>
  <c r="N86" i="37"/>
  <c r="J72" i="50"/>
  <c r="L87" i="37"/>
  <c r="N87" i="37"/>
  <c r="J73" i="50"/>
  <c r="L88" i="37"/>
  <c r="N88" i="37"/>
  <c r="J74" i="50"/>
  <c r="L89" i="37"/>
  <c r="N89" i="37"/>
  <c r="J75" i="50"/>
  <c r="L90" i="37"/>
  <c r="N90" i="37"/>
  <c r="N91" i="37"/>
  <c r="D106" i="37"/>
  <c r="D107" i="37"/>
  <c r="B117" i="37"/>
  <c r="B12" i="37"/>
  <c r="S14" i="20"/>
  <c r="S12" i="20"/>
  <c r="G104" i="37"/>
  <c r="R24" i="43"/>
  <c r="R5" i="43"/>
  <c r="R6" i="43"/>
  <c r="R6" i="42"/>
  <c r="R30" i="42"/>
  <c r="I45" i="5"/>
  <c r="G45" i="5"/>
  <c r="K45" i="5"/>
  <c r="I46" i="5"/>
  <c r="G46" i="5"/>
  <c r="K46" i="5"/>
  <c r="I47" i="5"/>
  <c r="K47" i="5"/>
  <c r="I48" i="5"/>
  <c r="K48" i="5"/>
  <c r="I49" i="5"/>
  <c r="K49" i="5"/>
  <c r="I50" i="5"/>
  <c r="K50" i="5"/>
  <c r="I51" i="5"/>
  <c r="K51" i="5"/>
  <c r="I52" i="5"/>
  <c r="K52" i="5"/>
  <c r="I53" i="5"/>
  <c r="K53" i="5"/>
  <c r="I54" i="5"/>
  <c r="K54" i="5"/>
  <c r="K55" i="5"/>
  <c r="B104" i="5"/>
  <c r="L45" i="5"/>
  <c r="N45" i="5"/>
  <c r="L46" i="5"/>
  <c r="N46" i="5"/>
  <c r="L47" i="5"/>
  <c r="N47" i="5"/>
  <c r="L48" i="5"/>
  <c r="N48" i="5"/>
  <c r="L49" i="5"/>
  <c r="N49" i="5"/>
  <c r="L50" i="5"/>
  <c r="N50" i="5"/>
  <c r="L51" i="5"/>
  <c r="N51" i="5"/>
  <c r="L52" i="5"/>
  <c r="N52" i="5"/>
  <c r="L53" i="5"/>
  <c r="N53" i="5"/>
  <c r="L54" i="5"/>
  <c r="N54" i="5"/>
  <c r="N55" i="5"/>
  <c r="D104" i="5"/>
  <c r="G104" i="5"/>
  <c r="R24" i="42"/>
  <c r="M10" i="54"/>
  <c r="R7" i="43"/>
  <c r="R7" i="42"/>
  <c r="R44" i="42"/>
  <c r="I67" i="5"/>
  <c r="K67" i="5"/>
  <c r="I68" i="5"/>
  <c r="K68" i="5"/>
  <c r="I69" i="5"/>
  <c r="K69" i="5"/>
  <c r="I70" i="5"/>
  <c r="K70" i="5"/>
  <c r="I71" i="5"/>
  <c r="K71" i="5"/>
  <c r="I72" i="5"/>
  <c r="K72" i="5"/>
  <c r="K73" i="5"/>
  <c r="B105" i="5"/>
  <c r="R38" i="42"/>
  <c r="M11" i="54"/>
  <c r="R8" i="43"/>
  <c r="R8" i="42"/>
  <c r="R60" i="42"/>
  <c r="R9" i="43"/>
  <c r="R9" i="42"/>
  <c r="R72" i="42"/>
  <c r="I85" i="5"/>
  <c r="K85" i="5"/>
  <c r="I86" i="5"/>
  <c r="G86" i="5"/>
  <c r="K86" i="5"/>
  <c r="I87" i="5"/>
  <c r="K87" i="5"/>
  <c r="I88" i="5"/>
  <c r="K88" i="5"/>
  <c r="I89" i="5"/>
  <c r="K89" i="5"/>
  <c r="I90" i="5"/>
  <c r="K90" i="5"/>
  <c r="K91" i="5"/>
  <c r="B106" i="5"/>
  <c r="R56" i="42"/>
  <c r="M12" i="54"/>
  <c r="M14" i="54"/>
  <c r="L25" i="63"/>
  <c r="N25" i="63"/>
  <c r="D16" i="63"/>
  <c r="P25" i="63"/>
  <c r="B17" i="2"/>
  <c r="G19" i="40"/>
  <c r="L24" i="42"/>
  <c r="B11" i="2"/>
  <c r="G13" i="40"/>
  <c r="L30" i="42"/>
  <c r="G10" i="54"/>
  <c r="B12" i="2"/>
  <c r="G14" i="40"/>
  <c r="L38" i="42"/>
  <c r="G11" i="54"/>
  <c r="B13" i="2"/>
  <c r="G15" i="40"/>
  <c r="L56" i="42"/>
  <c r="D125" i="2"/>
  <c r="D126" i="2"/>
  <c r="D124" i="2"/>
  <c r="F125" i="2"/>
  <c r="F126" i="2"/>
  <c r="F124" i="2"/>
  <c r="N67" i="2"/>
  <c r="N68" i="2"/>
  <c r="N69" i="2"/>
  <c r="N66" i="2"/>
  <c r="G125" i="2"/>
  <c r="N71" i="2"/>
  <c r="N72" i="2"/>
  <c r="N73" i="2"/>
  <c r="N70" i="2"/>
  <c r="G126" i="2"/>
  <c r="G124" i="2"/>
  <c r="B140" i="2"/>
  <c r="D236" i="2"/>
  <c r="D237" i="2"/>
  <c r="D235" i="2"/>
  <c r="F236" i="2"/>
  <c r="F237" i="2"/>
  <c r="F235" i="2"/>
  <c r="N200" i="2"/>
  <c r="N201" i="2"/>
  <c r="N202" i="2"/>
  <c r="N199" i="2"/>
  <c r="G236" i="2"/>
  <c r="N204" i="2"/>
  <c r="N205" i="2"/>
  <c r="N206" i="2"/>
  <c r="N203" i="2"/>
  <c r="G237" i="2"/>
  <c r="G235" i="2"/>
  <c r="B251" i="2"/>
  <c r="B14" i="2"/>
  <c r="G16" i="40"/>
  <c r="L72" i="42"/>
  <c r="G12" i="54"/>
  <c r="G14" i="54"/>
  <c r="F25" i="63"/>
  <c r="H27" i="63"/>
  <c r="L27" i="63"/>
  <c r="B64" i="1"/>
  <c r="G87" i="29"/>
  <c r="B114" i="1"/>
  <c r="E114" i="1"/>
  <c r="E126" i="1"/>
  <c r="E141" i="1"/>
  <c r="F16" i="53"/>
  <c r="H16" i="53"/>
  <c r="C13" i="54"/>
  <c r="B192" i="1"/>
  <c r="G83" i="31"/>
  <c r="B242" i="1"/>
  <c r="E242" i="1"/>
  <c r="E254" i="1"/>
  <c r="E269" i="1"/>
  <c r="F29" i="53"/>
  <c r="H29" i="53"/>
  <c r="D13" i="54"/>
  <c r="E13" i="54"/>
  <c r="D27" i="63"/>
  <c r="B33" i="2"/>
  <c r="B36" i="2"/>
  <c r="B81" i="2"/>
  <c r="C10" i="54"/>
  <c r="B166" i="2"/>
  <c r="B169" i="2"/>
  <c r="B214" i="2"/>
  <c r="D10" i="54"/>
  <c r="E10" i="54"/>
  <c r="B46" i="2"/>
  <c r="B82" i="2"/>
  <c r="C11" i="54"/>
  <c r="B179" i="2"/>
  <c r="B215" i="2"/>
  <c r="D11" i="54"/>
  <c r="E11" i="54"/>
  <c r="B49" i="2"/>
  <c r="B52" i="2"/>
  <c r="B55" i="2"/>
  <c r="B83" i="2"/>
  <c r="B70" i="2"/>
  <c r="B66" i="2"/>
  <c r="B74" i="2"/>
  <c r="B84" i="2"/>
  <c r="C12" i="54"/>
  <c r="B182" i="2"/>
  <c r="B185" i="2"/>
  <c r="B216" i="2"/>
  <c r="B203" i="2"/>
  <c r="B199" i="2"/>
  <c r="B207" i="2"/>
  <c r="B217" i="2"/>
  <c r="D12" i="54"/>
  <c r="E12" i="54"/>
  <c r="E14" i="54"/>
  <c r="D25" i="63"/>
  <c r="F27" i="63"/>
  <c r="D29" i="63"/>
  <c r="L35" i="63"/>
  <c r="N35" i="63"/>
  <c r="L33" i="63"/>
  <c r="N33" i="63"/>
  <c r="J35" i="63"/>
  <c r="J33" i="63"/>
  <c r="H35" i="63"/>
  <c r="H33" i="63"/>
  <c r="F29" i="63"/>
  <c r="F31" i="63"/>
  <c r="F35" i="63"/>
  <c r="F33" i="63"/>
  <c r="D31" i="63"/>
  <c r="D35" i="63"/>
  <c r="D33" i="63"/>
  <c r="N27" i="63"/>
  <c r="N29" i="63"/>
  <c r="N31" i="63"/>
  <c r="L29" i="63"/>
  <c r="L31" i="63"/>
  <c r="J31" i="63"/>
  <c r="H29" i="63"/>
  <c r="H31" i="63"/>
  <c r="J18" i="63"/>
  <c r="H18" i="63"/>
  <c r="F16" i="63"/>
  <c r="F18" i="63"/>
  <c r="D18" i="63"/>
  <c r="C62" i="63"/>
  <c r="C61" i="63"/>
  <c r="E62" i="63"/>
  <c r="C63" i="63"/>
  <c r="D63" i="63"/>
  <c r="E63" i="63"/>
  <c r="C64" i="63"/>
  <c r="D64" i="63"/>
  <c r="E64" i="63"/>
  <c r="E65" i="63"/>
  <c r="F65" i="63"/>
  <c r="G65" i="63"/>
  <c r="AJ11" i="29"/>
  <c r="B1" i="21" s="1"/>
  <c r="B1" i="63"/>
  <c r="C57" i="62"/>
  <c r="C44" i="62"/>
  <c r="C56" i="62"/>
  <c r="E57" i="62"/>
  <c r="C58" i="62"/>
  <c r="D58" i="62"/>
  <c r="E58" i="62"/>
  <c r="C59" i="62"/>
  <c r="D59" i="62"/>
  <c r="E59" i="62"/>
  <c r="E60" i="62"/>
  <c r="C51" i="62"/>
  <c r="C50" i="62"/>
  <c r="E51" i="62"/>
  <c r="C52" i="62"/>
  <c r="H70" i="31"/>
  <c r="D52" i="62"/>
  <c r="E52" i="62"/>
  <c r="C53" i="62"/>
  <c r="H71" i="31"/>
  <c r="D53" i="62"/>
  <c r="E53" i="62"/>
  <c r="E54" i="62"/>
  <c r="F60" i="62"/>
  <c r="G60" i="62"/>
  <c r="B94" i="2"/>
  <c r="B41" i="1"/>
  <c r="B92" i="2"/>
  <c r="B98" i="2"/>
  <c r="D12" i="61"/>
  <c r="C12" i="61"/>
  <c r="C12" i="62"/>
  <c r="W24" i="61"/>
  <c r="Y24" i="61"/>
  <c r="C29" i="61"/>
  <c r="E24" i="61"/>
  <c r="D12" i="62"/>
  <c r="E12" i="62"/>
  <c r="C45" i="62"/>
  <c r="E45" i="62"/>
  <c r="C46" i="62"/>
  <c r="H74" i="29"/>
  <c r="D46" i="62"/>
  <c r="E46" i="62"/>
  <c r="C47" i="62"/>
  <c r="H75" i="29"/>
  <c r="D47" i="62"/>
  <c r="E47" i="62"/>
  <c r="E48" i="62"/>
  <c r="F54" i="62"/>
  <c r="G54" i="62"/>
  <c r="F12" i="62"/>
  <c r="G12" i="62"/>
  <c r="J12" i="62"/>
  <c r="B44" i="1"/>
  <c r="B99" i="2"/>
  <c r="D13" i="61"/>
  <c r="C13" i="61"/>
  <c r="C13" i="62"/>
  <c r="E25" i="61"/>
  <c r="D13" i="62"/>
  <c r="E13" i="62"/>
  <c r="G13" i="62"/>
  <c r="J13" i="62"/>
  <c r="B47" i="1"/>
  <c r="C47" i="29"/>
  <c r="E47" i="1"/>
  <c r="B100" i="2"/>
  <c r="B50" i="1"/>
  <c r="C48" i="29"/>
  <c r="E50" i="1"/>
  <c r="B101" i="2"/>
  <c r="D14" i="61"/>
  <c r="C14" i="61"/>
  <c r="C14" i="62"/>
  <c r="E26" i="61"/>
  <c r="D14" i="62"/>
  <c r="E14" i="62"/>
  <c r="G14" i="62"/>
  <c r="J14" i="62"/>
  <c r="B95" i="2"/>
  <c r="B54" i="1"/>
  <c r="B102" i="2"/>
  <c r="B57" i="1"/>
  <c r="B103" i="2"/>
  <c r="B60" i="1"/>
  <c r="B104" i="2"/>
  <c r="D15" i="61"/>
  <c r="C15" i="61"/>
  <c r="C15" i="62"/>
  <c r="E27" i="61"/>
  <c r="D15" i="62"/>
  <c r="E15" i="62"/>
  <c r="G15" i="62"/>
  <c r="J15" i="62"/>
  <c r="B105" i="2"/>
  <c r="B107" i="2"/>
  <c r="D16" i="61"/>
  <c r="C16" i="61"/>
  <c r="C16" i="62"/>
  <c r="E28" i="61"/>
  <c r="D16" i="62"/>
  <c r="E16" i="62"/>
  <c r="G16" i="62"/>
  <c r="J16" i="62"/>
  <c r="J17" i="62"/>
  <c r="F35" i="1"/>
  <c r="E35" i="1"/>
  <c r="C35" i="1"/>
  <c r="G92" i="2"/>
  <c r="G98" i="2"/>
  <c r="G12" i="61"/>
  <c r="C26" i="62"/>
  <c r="C158" i="1"/>
  <c r="H158" i="1"/>
  <c r="W25" i="61"/>
  <c r="C160" i="1"/>
  <c r="H160" i="1"/>
  <c r="C161" i="1"/>
  <c r="H161" i="1"/>
  <c r="C162" i="1"/>
  <c r="H162" i="1"/>
  <c r="C163" i="1"/>
  <c r="H163" i="1"/>
  <c r="H159" i="1"/>
  <c r="Y25" i="61"/>
  <c r="G29" i="61"/>
  <c r="I24" i="61"/>
  <c r="D26" i="62"/>
  <c r="E26" i="62"/>
  <c r="G26" i="62"/>
  <c r="J26" i="62"/>
  <c r="G99" i="2"/>
  <c r="G13" i="61"/>
  <c r="C27" i="62"/>
  <c r="I25" i="61"/>
  <c r="D27" i="62"/>
  <c r="E27" i="62"/>
  <c r="G27" i="62"/>
  <c r="J27" i="62"/>
  <c r="G100" i="2"/>
  <c r="G101" i="2"/>
  <c r="G14" i="61"/>
  <c r="C28" i="62"/>
  <c r="I26" i="61"/>
  <c r="D28" i="62"/>
  <c r="E28" i="62"/>
  <c r="G28" i="62"/>
  <c r="J28" i="62"/>
  <c r="G102" i="2"/>
  <c r="G103" i="2"/>
  <c r="G104" i="2"/>
  <c r="G15" i="61"/>
  <c r="C29" i="62"/>
  <c r="I27" i="61"/>
  <c r="D29" i="62"/>
  <c r="E29" i="62"/>
  <c r="G29" i="62"/>
  <c r="J29" i="62"/>
  <c r="G107" i="2"/>
  <c r="G16" i="61"/>
  <c r="C30" i="62"/>
  <c r="I28" i="61"/>
  <c r="D30" i="62"/>
  <c r="E30" i="62"/>
  <c r="G30" i="62"/>
  <c r="J30" i="62"/>
  <c r="J31" i="62"/>
  <c r="J33" i="62"/>
  <c r="J35" i="62"/>
  <c r="G17" i="62"/>
  <c r="G31" i="62"/>
  <c r="G33" i="62"/>
  <c r="G35" i="62"/>
  <c r="K31" i="62"/>
  <c r="E31" i="62"/>
  <c r="D31" i="62"/>
  <c r="C31" i="62"/>
  <c r="K30" i="62"/>
  <c r="K29" i="62"/>
  <c r="K28" i="62"/>
  <c r="K27" i="62"/>
  <c r="K26" i="62"/>
  <c r="B11" i="1"/>
  <c r="G11" i="1"/>
  <c r="B46" i="34"/>
  <c r="F13" i="53"/>
  <c r="G13" i="53"/>
  <c r="H13" i="53"/>
  <c r="K13" i="53"/>
  <c r="B177" i="34"/>
  <c r="F26" i="53"/>
  <c r="G26" i="53"/>
  <c r="H26" i="53"/>
  <c r="K26" i="53"/>
  <c r="M13" i="62"/>
  <c r="O13" i="62"/>
  <c r="B49" i="34"/>
  <c r="B66" i="34"/>
  <c r="F14" i="53"/>
  <c r="G14" i="53"/>
  <c r="H14" i="53"/>
  <c r="K14" i="53"/>
  <c r="B180" i="34"/>
  <c r="B197" i="34"/>
  <c r="F27" i="53"/>
  <c r="G27" i="53"/>
  <c r="H27" i="53"/>
  <c r="K27" i="53"/>
  <c r="M14" i="62"/>
  <c r="N14" i="62"/>
  <c r="O14" i="62"/>
  <c r="B52" i="34"/>
  <c r="B70" i="34"/>
  <c r="F15" i="53"/>
  <c r="G15" i="53"/>
  <c r="H15" i="53"/>
  <c r="K15" i="53"/>
  <c r="B183" i="34"/>
  <c r="B201" i="34"/>
  <c r="F28" i="53"/>
  <c r="G28" i="53"/>
  <c r="H28" i="53"/>
  <c r="K28" i="53"/>
  <c r="M15" i="62"/>
  <c r="N15" i="62"/>
  <c r="O15" i="62"/>
  <c r="K16" i="53"/>
  <c r="K29" i="53"/>
  <c r="M16" i="62"/>
  <c r="O16" i="62"/>
  <c r="B33" i="34"/>
  <c r="B36" i="34"/>
  <c r="F12" i="53"/>
  <c r="G12" i="53"/>
  <c r="H12" i="53"/>
  <c r="K12" i="53"/>
  <c r="B164" i="34"/>
  <c r="B167" i="34"/>
  <c r="F25" i="53"/>
  <c r="G25" i="53"/>
  <c r="H25" i="53"/>
  <c r="K25" i="53"/>
  <c r="M12" i="62"/>
  <c r="M17" i="62"/>
  <c r="N12" i="62"/>
  <c r="N13" i="62"/>
  <c r="N16" i="62"/>
  <c r="N17" i="62"/>
  <c r="O17" i="62"/>
  <c r="O12" i="62"/>
  <c r="K13" i="62"/>
  <c r="K14" i="62"/>
  <c r="K15" i="62"/>
  <c r="K16" i="62"/>
  <c r="K17" i="62"/>
  <c r="K12" i="62"/>
  <c r="E17" i="62"/>
  <c r="R36" i="43"/>
  <c r="R30" i="43"/>
  <c r="T36" i="43"/>
  <c r="R50" i="43"/>
  <c r="R66" i="43"/>
  <c r="R78" i="43"/>
  <c r="D17" i="62"/>
  <c r="C17" i="62"/>
  <c r="B1" i="62"/>
  <c r="C17" i="61"/>
  <c r="C31" i="61"/>
  <c r="K12" i="61"/>
  <c r="K13" i="61"/>
  <c r="K14" i="61"/>
  <c r="K15" i="61"/>
  <c r="K16" i="61"/>
  <c r="K17" i="61"/>
  <c r="W26" i="61"/>
  <c r="Y26" i="61"/>
  <c r="K29" i="61"/>
  <c r="K31" i="61"/>
  <c r="L31" i="61"/>
  <c r="L29" i="61"/>
  <c r="K24" i="61"/>
  <c r="AB9" i="61"/>
  <c r="AB21" i="61"/>
  <c r="G21" i="61"/>
  <c r="G17" i="61"/>
  <c r="G31" i="61"/>
  <c r="G24" i="61"/>
  <c r="H12" i="61"/>
  <c r="H13" i="61"/>
  <c r="H14" i="61"/>
  <c r="H15" i="61"/>
  <c r="H16" i="61"/>
  <c r="H17" i="61"/>
  <c r="I17" i="61"/>
  <c r="E29" i="61"/>
  <c r="D17" i="61"/>
  <c r="E12" i="61"/>
  <c r="E13" i="61"/>
  <c r="E14" i="61"/>
  <c r="E15" i="61"/>
  <c r="E16" i="61"/>
  <c r="E17" i="61"/>
  <c r="G9" i="61"/>
  <c r="L13" i="61"/>
  <c r="L14" i="61"/>
  <c r="L15" i="61"/>
  <c r="L16" i="61"/>
  <c r="L17" i="61"/>
  <c r="L12" i="61"/>
  <c r="I13" i="61"/>
  <c r="I14" i="61"/>
  <c r="I15" i="61"/>
  <c r="I16" i="61"/>
  <c r="I12" i="61"/>
  <c r="C28" i="54"/>
  <c r="D28" i="54"/>
  <c r="E28" i="54"/>
  <c r="N66" i="43"/>
  <c r="N78" i="43"/>
  <c r="I28" i="54"/>
  <c r="J28" i="54"/>
  <c r="G135" i="34"/>
  <c r="B35" i="35"/>
  <c r="G136" i="34"/>
  <c r="B36" i="35"/>
  <c r="B37" i="35"/>
  <c r="G74" i="34"/>
  <c r="M74" i="34"/>
  <c r="G138" i="34"/>
  <c r="B38" i="35"/>
  <c r="B34" i="35"/>
  <c r="G246" i="34"/>
  <c r="B40" i="35"/>
  <c r="G247" i="34"/>
  <c r="B41" i="35"/>
  <c r="B42" i="35"/>
  <c r="G205" i="34"/>
  <c r="M205" i="34"/>
  <c r="G249" i="34"/>
  <c r="B43" i="35"/>
  <c r="B39" i="35"/>
  <c r="B44" i="35"/>
  <c r="B95" i="35"/>
  <c r="G69" i="35"/>
  <c r="I85" i="35"/>
  <c r="B96" i="35"/>
  <c r="B97" i="35"/>
  <c r="B146" i="35"/>
  <c r="B24" i="35"/>
  <c r="B17" i="34"/>
  <c r="B16" i="34"/>
  <c r="H8" i="35"/>
  <c r="B90" i="3"/>
  <c r="C90" i="3"/>
  <c r="D35" i="24"/>
  <c r="H35" i="24"/>
  <c r="D34" i="24"/>
  <c r="H34" i="24"/>
  <c r="X37" i="26"/>
  <c r="D55" i="31"/>
  <c r="C10" i="31"/>
  <c r="G105" i="2"/>
  <c r="G95" i="2"/>
  <c r="G94" i="2"/>
  <c r="G109" i="2"/>
  <c r="H154" i="1"/>
  <c r="C170" i="1"/>
  <c r="C220" i="1"/>
  <c r="F220" i="1"/>
  <c r="C183" i="1"/>
  <c r="C233" i="1"/>
  <c r="F233" i="1"/>
  <c r="U167" i="2"/>
  <c r="C171" i="1"/>
  <c r="C221" i="1"/>
  <c r="F221" i="1"/>
  <c r="C184" i="1"/>
  <c r="C234" i="1"/>
  <c r="F234" i="1"/>
  <c r="U168" i="2"/>
  <c r="U166" i="2"/>
  <c r="U169" i="2"/>
  <c r="C173" i="1"/>
  <c r="C223" i="1"/>
  <c r="F223" i="1"/>
  <c r="U180" i="2"/>
  <c r="C174" i="1"/>
  <c r="C224" i="1"/>
  <c r="F224" i="1"/>
  <c r="U181" i="2"/>
  <c r="U179" i="2"/>
  <c r="C176" i="1"/>
  <c r="C226" i="1"/>
  <c r="F226" i="1"/>
  <c r="U183" i="2"/>
  <c r="C177" i="1"/>
  <c r="C227" i="1"/>
  <c r="F227" i="1"/>
  <c r="U184" i="2"/>
  <c r="U182" i="2"/>
  <c r="C179" i="1"/>
  <c r="C229" i="1"/>
  <c r="F229" i="1"/>
  <c r="U200" i="2"/>
  <c r="C180" i="1"/>
  <c r="C230" i="1"/>
  <c r="F230" i="1"/>
  <c r="U201" i="2"/>
  <c r="C181" i="1"/>
  <c r="C231" i="1"/>
  <c r="F231" i="1"/>
  <c r="U202" i="2"/>
  <c r="U199" i="2"/>
  <c r="C186" i="1"/>
  <c r="C236" i="1"/>
  <c r="F236" i="1"/>
  <c r="U186" i="2"/>
  <c r="C187" i="1"/>
  <c r="C237" i="1"/>
  <c r="F237" i="1"/>
  <c r="U187" i="2"/>
  <c r="U185" i="2"/>
  <c r="C189" i="1"/>
  <c r="C239" i="1"/>
  <c r="F239" i="1"/>
  <c r="U204" i="2"/>
  <c r="C190" i="1"/>
  <c r="C240" i="1"/>
  <c r="F240" i="1"/>
  <c r="U205" i="2"/>
  <c r="C191" i="1"/>
  <c r="C241" i="1"/>
  <c r="F241" i="1"/>
  <c r="U206" i="2"/>
  <c r="U203" i="2"/>
  <c r="C192" i="1"/>
  <c r="C242" i="1"/>
  <c r="F242" i="1"/>
  <c r="F254" i="1"/>
  <c r="F269" i="1"/>
  <c r="F219" i="1"/>
  <c r="F247" i="1"/>
  <c r="F232" i="1"/>
  <c r="F251" i="1"/>
  <c r="F263" i="1"/>
  <c r="C56" i="1"/>
  <c r="C106" i="1"/>
  <c r="F106" i="1"/>
  <c r="C55" i="1"/>
  <c r="C105" i="1"/>
  <c r="F105" i="1"/>
  <c r="F104" i="1"/>
  <c r="F123" i="1"/>
  <c r="C42" i="1"/>
  <c r="C92" i="1"/>
  <c r="F92" i="1"/>
  <c r="C43" i="1"/>
  <c r="C93" i="1"/>
  <c r="F93" i="1"/>
  <c r="F91" i="1"/>
  <c r="F119" i="1"/>
  <c r="F135" i="1"/>
  <c r="C11" i="1"/>
  <c r="F222" i="1"/>
  <c r="F248" i="1"/>
  <c r="F264" i="1"/>
  <c r="C45" i="1"/>
  <c r="C95" i="1"/>
  <c r="F95" i="1"/>
  <c r="C46" i="1"/>
  <c r="C96" i="1"/>
  <c r="F96" i="1"/>
  <c r="F94" i="1"/>
  <c r="F120" i="1"/>
  <c r="F136" i="1"/>
  <c r="C12" i="1"/>
  <c r="F225" i="1"/>
  <c r="F249" i="1"/>
  <c r="F235" i="1"/>
  <c r="F252" i="1"/>
  <c r="F265" i="1"/>
  <c r="C59" i="1"/>
  <c r="C109" i="1"/>
  <c r="F109" i="1"/>
  <c r="C58" i="1"/>
  <c r="C108" i="1"/>
  <c r="F108" i="1"/>
  <c r="F107" i="1"/>
  <c r="F124" i="1"/>
  <c r="C48" i="1"/>
  <c r="C98" i="1"/>
  <c r="F98" i="1"/>
  <c r="C49" i="1"/>
  <c r="C99" i="1"/>
  <c r="F99" i="1"/>
  <c r="F97" i="1"/>
  <c r="F121" i="1"/>
  <c r="F137" i="1"/>
  <c r="C13" i="1"/>
  <c r="F266" i="1"/>
  <c r="C62" i="1"/>
  <c r="C112" i="1"/>
  <c r="F112" i="1"/>
  <c r="C51" i="1"/>
  <c r="C101" i="1"/>
  <c r="F101" i="1"/>
  <c r="C52" i="1"/>
  <c r="C102" i="1"/>
  <c r="F102" i="1"/>
  <c r="C53" i="1"/>
  <c r="C103" i="1"/>
  <c r="F103" i="1"/>
  <c r="C61" i="1"/>
  <c r="C111" i="1"/>
  <c r="F111" i="1"/>
  <c r="C63" i="1"/>
  <c r="C113" i="1"/>
  <c r="F113" i="1"/>
  <c r="F138" i="1"/>
  <c r="C14" i="1"/>
  <c r="C10" i="1"/>
  <c r="C64" i="1"/>
  <c r="C114" i="1"/>
  <c r="F114" i="1"/>
  <c r="F126" i="1"/>
  <c r="F141" i="1"/>
  <c r="C17" i="1"/>
  <c r="C16" i="1"/>
  <c r="C8" i="1"/>
  <c r="I29" i="61"/>
  <c r="E222" i="1"/>
  <c r="E248" i="1"/>
  <c r="E264" i="1"/>
  <c r="E94" i="1"/>
  <c r="E120" i="1"/>
  <c r="E136" i="1"/>
  <c r="B12" i="1"/>
  <c r="E225" i="1"/>
  <c r="E249" i="1"/>
  <c r="E235" i="1"/>
  <c r="E252" i="1"/>
  <c r="E265" i="1"/>
  <c r="E107" i="1"/>
  <c r="E124" i="1"/>
  <c r="E97" i="1"/>
  <c r="E121" i="1"/>
  <c r="E137" i="1"/>
  <c r="B13" i="1"/>
  <c r="E266" i="1"/>
  <c r="E138" i="1"/>
  <c r="B14" i="1"/>
  <c r="B10" i="1"/>
  <c r="B17" i="1"/>
  <c r="B16" i="1"/>
  <c r="B8" i="1"/>
  <c r="B11" i="33"/>
  <c r="C13" i="20"/>
  <c r="E222" i="33"/>
  <c r="E248" i="33"/>
  <c r="E264" i="33"/>
  <c r="E94" i="33"/>
  <c r="E120" i="33"/>
  <c r="E136" i="33"/>
  <c r="B12" i="33"/>
  <c r="C14" i="20"/>
  <c r="E225" i="33"/>
  <c r="E249" i="33"/>
  <c r="E235" i="33"/>
  <c r="E252" i="33"/>
  <c r="E265" i="33"/>
  <c r="E97" i="33"/>
  <c r="E121" i="33"/>
  <c r="E107" i="33"/>
  <c r="E124" i="33"/>
  <c r="E137" i="33"/>
  <c r="B13" i="33"/>
  <c r="C15" i="20"/>
  <c r="E266" i="33"/>
  <c r="E138" i="33"/>
  <c r="B14" i="33"/>
  <c r="C16" i="20"/>
  <c r="C12" i="20"/>
  <c r="C9" i="20"/>
  <c r="B192" i="33"/>
  <c r="L83" i="31"/>
  <c r="B242" i="33"/>
  <c r="E242" i="33"/>
  <c r="E254" i="33"/>
  <c r="E269" i="33"/>
  <c r="B64" i="33"/>
  <c r="L87" i="29"/>
  <c r="B114" i="33"/>
  <c r="E114" i="33"/>
  <c r="E126" i="33"/>
  <c r="E141" i="33"/>
  <c r="B17" i="33"/>
  <c r="C24" i="20"/>
  <c r="C23" i="20"/>
  <c r="C10" i="20"/>
  <c r="C7" i="20"/>
  <c r="C6" i="21"/>
  <c r="B24" i="43"/>
  <c r="B100" i="43"/>
  <c r="C24" i="61"/>
  <c r="B1" i="61"/>
  <c r="B14" i="36"/>
  <c r="O19" i="20"/>
  <c r="P30" i="43"/>
  <c r="K26" i="54"/>
  <c r="P50" i="43"/>
  <c r="K27" i="54"/>
  <c r="P66" i="43"/>
  <c r="P78" i="43"/>
  <c r="K28" i="54"/>
  <c r="K30" i="54"/>
  <c r="M26" i="54"/>
  <c r="M27" i="54"/>
  <c r="M28" i="54"/>
  <c r="M30" i="54"/>
  <c r="N36" i="54"/>
  <c r="B15" i="35"/>
  <c r="K19" i="20"/>
  <c r="N30" i="43"/>
  <c r="N36" i="43"/>
  <c r="I26" i="54"/>
  <c r="N50" i="43"/>
  <c r="I27" i="54"/>
  <c r="I30" i="54"/>
  <c r="L35" i="54"/>
  <c r="G19" i="20"/>
  <c r="L30" i="43"/>
  <c r="G13" i="20"/>
  <c r="L36" i="43"/>
  <c r="G26" i="54"/>
  <c r="G14" i="20"/>
  <c r="L50" i="43"/>
  <c r="G27" i="54"/>
  <c r="G15" i="20"/>
  <c r="L66" i="43"/>
  <c r="G16" i="20"/>
  <c r="L78" i="43"/>
  <c r="G28" i="54"/>
  <c r="G30" i="54"/>
  <c r="J34" i="54"/>
  <c r="N20" i="54"/>
  <c r="L19" i="54"/>
  <c r="J18" i="54"/>
  <c r="AB32" i="24"/>
  <c r="AC32" i="24"/>
  <c r="AB32" i="50"/>
  <c r="P44" i="39"/>
  <c r="C44" i="39"/>
  <c r="V44" i="39"/>
  <c r="C45" i="39"/>
  <c r="AB33" i="24"/>
  <c r="AC33" i="24"/>
  <c r="AB33" i="50"/>
  <c r="P45" i="39"/>
  <c r="V45" i="39"/>
  <c r="C46" i="39"/>
  <c r="AB34" i="24"/>
  <c r="AC34" i="24"/>
  <c r="AB34" i="50"/>
  <c r="P46" i="39"/>
  <c r="V46" i="39"/>
  <c r="C47" i="39"/>
  <c r="AB35" i="24"/>
  <c r="AC35" i="24"/>
  <c r="AB35" i="50"/>
  <c r="P47" i="39"/>
  <c r="V47" i="39"/>
  <c r="C48" i="39"/>
  <c r="AB36" i="24"/>
  <c r="AC36" i="24"/>
  <c r="AB36" i="50"/>
  <c r="P48" i="39"/>
  <c r="V48" i="39"/>
  <c r="C49" i="39"/>
  <c r="AB37" i="24"/>
  <c r="AC37" i="24"/>
  <c r="AB37" i="50"/>
  <c r="P49" i="39"/>
  <c r="V49" i="39"/>
  <c r="C50" i="39"/>
  <c r="AB38" i="24"/>
  <c r="AC38" i="24"/>
  <c r="AB38" i="50"/>
  <c r="P50" i="39"/>
  <c r="V50" i="39"/>
  <c r="C51" i="39"/>
  <c r="AB39" i="24"/>
  <c r="AC39" i="24"/>
  <c r="AB39" i="50"/>
  <c r="P51" i="39"/>
  <c r="V51" i="39"/>
  <c r="C52" i="39"/>
  <c r="AB40" i="24"/>
  <c r="AC40" i="24"/>
  <c r="AB40" i="50"/>
  <c r="P52" i="39"/>
  <c r="V52" i="39"/>
  <c r="C53" i="39"/>
  <c r="AB41" i="24"/>
  <c r="AC41" i="24"/>
  <c r="AB41" i="50"/>
  <c r="P53" i="39"/>
  <c r="V53" i="39"/>
  <c r="V54" i="39"/>
  <c r="B159" i="39"/>
  <c r="AD32" i="24"/>
  <c r="AC32" i="50"/>
  <c r="Q44" i="39"/>
  <c r="W44" i="39"/>
  <c r="AD33" i="24"/>
  <c r="AC33" i="50"/>
  <c r="Q45" i="39"/>
  <c r="W45" i="39"/>
  <c r="AD34" i="24"/>
  <c r="AC34" i="50"/>
  <c r="Q46" i="39"/>
  <c r="W46" i="39"/>
  <c r="AD35" i="24"/>
  <c r="AC35" i="50"/>
  <c r="Q47" i="39"/>
  <c r="W47" i="39"/>
  <c r="AD36" i="24"/>
  <c r="AC36" i="50"/>
  <c r="Q48" i="39"/>
  <c r="W48" i="39"/>
  <c r="AD37" i="24"/>
  <c r="AC37" i="50"/>
  <c r="Q49" i="39"/>
  <c r="W49" i="39"/>
  <c r="AD38" i="24"/>
  <c r="AC38" i="50"/>
  <c r="Q50" i="39"/>
  <c r="W50" i="39"/>
  <c r="AD39" i="24"/>
  <c r="AC39" i="50"/>
  <c r="Q51" i="39"/>
  <c r="W51" i="39"/>
  <c r="AD40" i="24"/>
  <c r="AC40" i="50"/>
  <c r="Q52" i="39"/>
  <c r="W52" i="39"/>
  <c r="AD41" i="24"/>
  <c r="AC41" i="50"/>
  <c r="Q53" i="39"/>
  <c r="W53" i="39"/>
  <c r="W54" i="39"/>
  <c r="C159" i="39"/>
  <c r="AE32" i="24"/>
  <c r="AD32" i="50"/>
  <c r="R44" i="39"/>
  <c r="X44" i="39"/>
  <c r="AE33" i="24"/>
  <c r="AD33" i="50"/>
  <c r="R45" i="39"/>
  <c r="X45" i="39"/>
  <c r="AE34" i="24"/>
  <c r="AD34" i="50"/>
  <c r="R46" i="39"/>
  <c r="X46" i="39"/>
  <c r="AE35" i="24"/>
  <c r="AD35" i="50"/>
  <c r="R47" i="39"/>
  <c r="X47" i="39"/>
  <c r="AE36" i="24"/>
  <c r="AD36" i="50"/>
  <c r="R48" i="39"/>
  <c r="X48" i="39"/>
  <c r="AE37" i="24"/>
  <c r="AD37" i="50"/>
  <c r="R49" i="39"/>
  <c r="X49" i="39"/>
  <c r="AE38" i="24"/>
  <c r="AD38" i="50"/>
  <c r="R50" i="39"/>
  <c r="X50" i="39"/>
  <c r="AE39" i="24"/>
  <c r="AD39" i="50"/>
  <c r="R51" i="39"/>
  <c r="X51" i="39"/>
  <c r="AE40" i="24"/>
  <c r="AD40" i="50"/>
  <c r="R52" i="39"/>
  <c r="X52" i="39"/>
  <c r="AE41" i="24"/>
  <c r="AD41" i="50"/>
  <c r="R53" i="39"/>
  <c r="X53" i="39"/>
  <c r="X54" i="39"/>
  <c r="D159" i="39"/>
  <c r="AF32" i="24"/>
  <c r="AE32" i="50"/>
  <c r="S44" i="39"/>
  <c r="Y44" i="39"/>
  <c r="AF33" i="24"/>
  <c r="AE33" i="50"/>
  <c r="S45" i="39"/>
  <c r="Y45" i="39"/>
  <c r="AF34" i="24"/>
  <c r="AE34" i="50"/>
  <c r="S46" i="39"/>
  <c r="Y46" i="39"/>
  <c r="AF35" i="24"/>
  <c r="AE35" i="50"/>
  <c r="S47" i="39"/>
  <c r="Y47" i="39"/>
  <c r="AF36" i="24"/>
  <c r="AE36" i="50"/>
  <c r="S48" i="39"/>
  <c r="Y48" i="39"/>
  <c r="AF37" i="24"/>
  <c r="AE37" i="50"/>
  <c r="S49" i="39"/>
  <c r="Y49" i="39"/>
  <c r="AF38" i="24"/>
  <c r="AE38" i="50"/>
  <c r="S50" i="39"/>
  <c r="Y50" i="39"/>
  <c r="AF39" i="24"/>
  <c r="AE39" i="50"/>
  <c r="S51" i="39"/>
  <c r="Y51" i="39"/>
  <c r="AF40" i="24"/>
  <c r="AE40" i="50"/>
  <c r="S52" i="39"/>
  <c r="Y52" i="39"/>
  <c r="AF41" i="24"/>
  <c r="AE41" i="50"/>
  <c r="S53" i="39"/>
  <c r="Y53" i="39"/>
  <c r="Y54" i="39"/>
  <c r="E159" i="39"/>
  <c r="F159" i="39"/>
  <c r="B188" i="39"/>
  <c r="C63" i="39"/>
  <c r="AB53" i="24"/>
  <c r="AC53" i="24"/>
  <c r="AB53" i="50"/>
  <c r="P63" i="39"/>
  <c r="V63" i="39"/>
  <c r="C64" i="39"/>
  <c r="AB54" i="24"/>
  <c r="AC54" i="24"/>
  <c r="AB54" i="50"/>
  <c r="P64" i="39"/>
  <c r="V64" i="39"/>
  <c r="C65" i="39"/>
  <c r="AB55" i="24"/>
  <c r="AC55" i="24"/>
  <c r="AB55" i="50"/>
  <c r="P65" i="39"/>
  <c r="V65" i="39"/>
  <c r="C66" i="39"/>
  <c r="AB56" i="24"/>
  <c r="AC56" i="24"/>
  <c r="AB56" i="50"/>
  <c r="P66" i="39"/>
  <c r="V66" i="39"/>
  <c r="C67" i="39"/>
  <c r="AB57" i="24"/>
  <c r="AC57" i="24"/>
  <c r="AB57" i="50"/>
  <c r="P67" i="39"/>
  <c r="V67" i="39"/>
  <c r="C68" i="39"/>
  <c r="AB58" i="24"/>
  <c r="AC58" i="24"/>
  <c r="AB58" i="50"/>
  <c r="P68" i="39"/>
  <c r="V68" i="39"/>
  <c r="V69" i="39"/>
  <c r="B160" i="39"/>
  <c r="AD53" i="24"/>
  <c r="AC53" i="50"/>
  <c r="Q63" i="39"/>
  <c r="W63" i="39"/>
  <c r="AD54" i="24"/>
  <c r="AC54" i="50"/>
  <c r="Q64" i="39"/>
  <c r="W64" i="39"/>
  <c r="AD55" i="24"/>
  <c r="AC55" i="50"/>
  <c r="Q65" i="39"/>
  <c r="W65" i="39"/>
  <c r="AD56" i="24"/>
  <c r="AC56" i="50"/>
  <c r="Q66" i="39"/>
  <c r="W66" i="39"/>
  <c r="AD57" i="24"/>
  <c r="AC57" i="50"/>
  <c r="Q67" i="39"/>
  <c r="W67" i="39"/>
  <c r="AD58" i="24"/>
  <c r="AC58" i="50"/>
  <c r="Q68" i="39"/>
  <c r="W68" i="39"/>
  <c r="W69" i="39"/>
  <c r="C160" i="39"/>
  <c r="AE53" i="24"/>
  <c r="AD53" i="50"/>
  <c r="R63" i="39"/>
  <c r="X63" i="39"/>
  <c r="AE54" i="24"/>
  <c r="AD54" i="50"/>
  <c r="R64" i="39"/>
  <c r="X64" i="39"/>
  <c r="AE55" i="24"/>
  <c r="AD55" i="50"/>
  <c r="R65" i="39"/>
  <c r="X65" i="39"/>
  <c r="AE56" i="24"/>
  <c r="AD56" i="50"/>
  <c r="R66" i="39"/>
  <c r="X66" i="39"/>
  <c r="AE57" i="24"/>
  <c r="AD57" i="50"/>
  <c r="R67" i="39"/>
  <c r="X67" i="39"/>
  <c r="AE58" i="24"/>
  <c r="AD58" i="50"/>
  <c r="R68" i="39"/>
  <c r="X68" i="39"/>
  <c r="X69" i="39"/>
  <c r="D160" i="39"/>
  <c r="AF53" i="24"/>
  <c r="AE53" i="50"/>
  <c r="S63" i="39"/>
  <c r="Y63" i="39"/>
  <c r="AF54" i="24"/>
  <c r="AE54" i="50"/>
  <c r="S64" i="39"/>
  <c r="Y64" i="39"/>
  <c r="AF55" i="24"/>
  <c r="AE55" i="50"/>
  <c r="S65" i="39"/>
  <c r="Y65" i="39"/>
  <c r="AF56" i="24"/>
  <c r="AE56" i="50"/>
  <c r="S66" i="39"/>
  <c r="Y66" i="39"/>
  <c r="AF57" i="24"/>
  <c r="AE57" i="50"/>
  <c r="S67" i="39"/>
  <c r="Y67" i="39"/>
  <c r="AF58" i="24"/>
  <c r="AE58" i="50"/>
  <c r="S68" i="39"/>
  <c r="Y68" i="39"/>
  <c r="Y69" i="39"/>
  <c r="E160" i="39"/>
  <c r="F160" i="39"/>
  <c r="B189" i="39"/>
  <c r="AB70" i="24"/>
  <c r="AC70" i="24"/>
  <c r="AB70" i="50"/>
  <c r="P78" i="39"/>
  <c r="C78" i="39"/>
  <c r="V78" i="39"/>
  <c r="AB71" i="24"/>
  <c r="AC71" i="24"/>
  <c r="AB71" i="50"/>
  <c r="P79" i="39"/>
  <c r="C79" i="39"/>
  <c r="V79" i="39"/>
  <c r="AB72" i="24"/>
  <c r="AC72" i="24"/>
  <c r="AB72" i="50"/>
  <c r="P80" i="39"/>
  <c r="C80" i="39"/>
  <c r="V80" i="39"/>
  <c r="AB73" i="24"/>
  <c r="AC73" i="24"/>
  <c r="AB73" i="50"/>
  <c r="P81" i="39"/>
  <c r="C81" i="39"/>
  <c r="V81" i="39"/>
  <c r="C82" i="39"/>
  <c r="AB74" i="24"/>
  <c r="AC74" i="24"/>
  <c r="AB74" i="50"/>
  <c r="P82" i="39"/>
  <c r="V82" i="39"/>
  <c r="C83" i="39"/>
  <c r="AB75" i="24"/>
  <c r="AC75" i="24"/>
  <c r="AB75" i="50"/>
  <c r="P83" i="39"/>
  <c r="V83" i="39"/>
  <c r="V84" i="39"/>
  <c r="B161" i="39"/>
  <c r="AD70" i="24"/>
  <c r="AC70" i="50"/>
  <c r="Q78" i="39"/>
  <c r="W78" i="39"/>
  <c r="AD71" i="24"/>
  <c r="AC71" i="50"/>
  <c r="Q79" i="39"/>
  <c r="W79" i="39"/>
  <c r="AD72" i="24"/>
  <c r="AC72" i="50"/>
  <c r="Q80" i="39"/>
  <c r="W80" i="39"/>
  <c r="AD73" i="24"/>
  <c r="AC73" i="50"/>
  <c r="Q81" i="39"/>
  <c r="W81" i="39"/>
  <c r="AD74" i="24"/>
  <c r="AC74" i="50"/>
  <c r="Q82" i="39"/>
  <c r="W82" i="39"/>
  <c r="AD75" i="24"/>
  <c r="AC75" i="50"/>
  <c r="Q83" i="39"/>
  <c r="W83" i="39"/>
  <c r="W84" i="39"/>
  <c r="C161" i="39"/>
  <c r="AE70" i="24"/>
  <c r="AD70" i="50"/>
  <c r="R78" i="39"/>
  <c r="X78" i="39"/>
  <c r="AE71" i="24"/>
  <c r="AD71" i="50"/>
  <c r="R79" i="39"/>
  <c r="X79" i="39"/>
  <c r="AE72" i="24"/>
  <c r="AD72" i="50"/>
  <c r="R80" i="39"/>
  <c r="X80" i="39"/>
  <c r="AE73" i="24"/>
  <c r="AD73" i="50"/>
  <c r="R81" i="39"/>
  <c r="X81" i="39"/>
  <c r="AE74" i="24"/>
  <c r="AD74" i="50"/>
  <c r="R82" i="39"/>
  <c r="X82" i="39"/>
  <c r="AE75" i="24"/>
  <c r="AD75" i="50"/>
  <c r="R83" i="39"/>
  <c r="X83" i="39"/>
  <c r="X84" i="39"/>
  <c r="D161" i="39"/>
  <c r="AE70" i="50"/>
  <c r="S78" i="39"/>
  <c r="Y78" i="39"/>
  <c r="AE71" i="50"/>
  <c r="S79" i="39"/>
  <c r="Y79" i="39"/>
  <c r="AE72" i="50"/>
  <c r="S80" i="39"/>
  <c r="Y80" i="39"/>
  <c r="AE73" i="50"/>
  <c r="S81" i="39"/>
  <c r="Y81" i="39"/>
  <c r="AE74" i="50"/>
  <c r="S82" i="39"/>
  <c r="Y82" i="39"/>
  <c r="AE75" i="50"/>
  <c r="S83" i="39"/>
  <c r="Y83" i="39"/>
  <c r="Y84" i="39"/>
  <c r="E161" i="39"/>
  <c r="F161" i="39"/>
  <c r="B190" i="39"/>
  <c r="J45" i="4"/>
  <c r="L45" i="4"/>
  <c r="N45" i="4"/>
  <c r="B87" i="4"/>
  <c r="B64" i="4"/>
  <c r="C87" i="4"/>
  <c r="D87" i="4"/>
  <c r="T45" i="4"/>
  <c r="U45" i="4"/>
  <c r="F87" i="4"/>
  <c r="G87" i="4"/>
  <c r="H87" i="4"/>
  <c r="K87" i="4"/>
  <c r="J46" i="4"/>
  <c r="L46" i="4"/>
  <c r="N46" i="4"/>
  <c r="B88" i="4"/>
  <c r="C88" i="4"/>
  <c r="D88" i="4"/>
  <c r="T46" i="4"/>
  <c r="U46" i="4"/>
  <c r="F88" i="4"/>
  <c r="G88" i="4"/>
  <c r="H88" i="4"/>
  <c r="K88" i="4"/>
  <c r="J79" i="3"/>
  <c r="L79" i="3"/>
  <c r="B47" i="4"/>
  <c r="D47" i="4"/>
  <c r="J47" i="4"/>
  <c r="L47" i="4"/>
  <c r="N47" i="4"/>
  <c r="B89" i="4"/>
  <c r="C89" i="4"/>
  <c r="D89" i="4"/>
  <c r="T47" i="4"/>
  <c r="U47" i="4"/>
  <c r="F89" i="4"/>
  <c r="G89" i="4"/>
  <c r="H89" i="4"/>
  <c r="K89" i="4"/>
  <c r="J48" i="4"/>
  <c r="L48" i="4"/>
  <c r="N48" i="4"/>
  <c r="B90" i="4"/>
  <c r="C90" i="4"/>
  <c r="D90" i="4"/>
  <c r="T48" i="4"/>
  <c r="U48" i="4"/>
  <c r="F90" i="4"/>
  <c r="G90" i="4"/>
  <c r="H90" i="4"/>
  <c r="K90" i="4"/>
  <c r="J49" i="4"/>
  <c r="L49" i="4"/>
  <c r="N49" i="4"/>
  <c r="B91" i="4"/>
  <c r="C91" i="4"/>
  <c r="D91" i="4"/>
  <c r="T49" i="4"/>
  <c r="U49" i="4"/>
  <c r="F91" i="4"/>
  <c r="G91" i="4"/>
  <c r="H91" i="4"/>
  <c r="K91" i="4"/>
  <c r="J50" i="4"/>
  <c r="L50" i="4"/>
  <c r="N50" i="4"/>
  <c r="B92" i="4"/>
  <c r="C92" i="4"/>
  <c r="D92" i="4"/>
  <c r="T50" i="4"/>
  <c r="U50" i="4"/>
  <c r="F92" i="4"/>
  <c r="G92" i="4"/>
  <c r="H92" i="4"/>
  <c r="K92" i="4"/>
  <c r="J51" i="4"/>
  <c r="L51" i="4"/>
  <c r="N51" i="4"/>
  <c r="B93" i="4"/>
  <c r="C93" i="4"/>
  <c r="D93" i="4"/>
  <c r="T51" i="4"/>
  <c r="U51" i="4"/>
  <c r="F93" i="4"/>
  <c r="G93" i="4"/>
  <c r="H93" i="4"/>
  <c r="K93" i="4"/>
  <c r="J52" i="4"/>
  <c r="L52" i="4"/>
  <c r="N52" i="4"/>
  <c r="B94" i="4"/>
  <c r="C94" i="4"/>
  <c r="D94" i="4"/>
  <c r="T52" i="4"/>
  <c r="U52" i="4"/>
  <c r="F94" i="4"/>
  <c r="G94" i="4"/>
  <c r="H94" i="4"/>
  <c r="K94" i="4"/>
  <c r="K95" i="4"/>
  <c r="J35" i="4"/>
  <c r="L35" i="4"/>
  <c r="N35" i="4"/>
  <c r="B77" i="4"/>
  <c r="B63" i="4"/>
  <c r="C77" i="4"/>
  <c r="D77" i="4"/>
  <c r="T35" i="4"/>
  <c r="U35" i="4"/>
  <c r="F77" i="4"/>
  <c r="G77" i="4"/>
  <c r="H77" i="4"/>
  <c r="K77" i="4"/>
  <c r="T36" i="4"/>
  <c r="U36" i="4"/>
  <c r="F78" i="4"/>
  <c r="G78" i="4"/>
  <c r="H78" i="4"/>
  <c r="J36" i="4"/>
  <c r="L36" i="4"/>
  <c r="N36" i="4"/>
  <c r="B78" i="4"/>
  <c r="C78" i="4"/>
  <c r="D78" i="4"/>
  <c r="K78" i="4"/>
  <c r="J37" i="4"/>
  <c r="L37" i="4"/>
  <c r="N37" i="4"/>
  <c r="B79" i="4"/>
  <c r="C79" i="4"/>
  <c r="D79" i="4"/>
  <c r="T37" i="4"/>
  <c r="U37" i="4"/>
  <c r="F79" i="4"/>
  <c r="G79" i="4"/>
  <c r="H79" i="4"/>
  <c r="K79" i="4"/>
  <c r="T38" i="4"/>
  <c r="U38" i="4"/>
  <c r="F80" i="4"/>
  <c r="G80" i="4"/>
  <c r="H80" i="4"/>
  <c r="J38" i="4"/>
  <c r="L38" i="4"/>
  <c r="N38" i="4"/>
  <c r="B80" i="4"/>
  <c r="C80" i="4"/>
  <c r="D80" i="4"/>
  <c r="K80" i="4"/>
  <c r="J39" i="4"/>
  <c r="L39" i="4"/>
  <c r="N39" i="4"/>
  <c r="B81" i="4"/>
  <c r="C81" i="4"/>
  <c r="D81" i="4"/>
  <c r="T39" i="4"/>
  <c r="U39" i="4"/>
  <c r="F81" i="4"/>
  <c r="G81" i="4"/>
  <c r="H81" i="4"/>
  <c r="K81" i="4"/>
  <c r="T40" i="4"/>
  <c r="U40" i="4"/>
  <c r="F82" i="4"/>
  <c r="G82" i="4"/>
  <c r="H82" i="4"/>
  <c r="J40" i="4"/>
  <c r="L40" i="4"/>
  <c r="N40" i="4"/>
  <c r="B82" i="4"/>
  <c r="C82" i="4"/>
  <c r="D82" i="4"/>
  <c r="K82" i="4"/>
  <c r="J41" i="4"/>
  <c r="L41" i="4"/>
  <c r="N41" i="4"/>
  <c r="B83" i="4"/>
  <c r="C83" i="4"/>
  <c r="D83" i="4"/>
  <c r="T41" i="4"/>
  <c r="U41" i="4"/>
  <c r="F83" i="4"/>
  <c r="G83" i="4"/>
  <c r="H83" i="4"/>
  <c r="K83" i="4"/>
  <c r="T42" i="4"/>
  <c r="U42" i="4"/>
  <c r="F84" i="4"/>
  <c r="G84" i="4"/>
  <c r="H84" i="4"/>
  <c r="J42" i="4"/>
  <c r="L42" i="4"/>
  <c r="N42" i="4"/>
  <c r="B84" i="4"/>
  <c r="C84" i="4"/>
  <c r="D84" i="4"/>
  <c r="K84" i="4"/>
  <c r="K85" i="4"/>
  <c r="K96" i="4"/>
  <c r="B116" i="4"/>
  <c r="D22" i="24"/>
  <c r="D15" i="24"/>
  <c r="G15" i="50"/>
  <c r="G27" i="37"/>
  <c r="C29" i="39"/>
  <c r="I27" i="5"/>
  <c r="K27" i="5"/>
  <c r="AB15" i="24"/>
  <c r="AC15" i="24"/>
  <c r="P29" i="39"/>
  <c r="V29" i="39"/>
  <c r="I28" i="5"/>
  <c r="K28" i="5"/>
  <c r="AB16" i="24"/>
  <c r="AC16" i="24"/>
  <c r="P30" i="39"/>
  <c r="C30" i="39"/>
  <c r="V30" i="39"/>
  <c r="C31" i="39"/>
  <c r="I29" i="5"/>
  <c r="K29" i="5"/>
  <c r="AB17" i="24"/>
  <c r="AC17" i="24"/>
  <c r="P31" i="39"/>
  <c r="V31" i="39"/>
  <c r="C32" i="39"/>
  <c r="I30" i="5"/>
  <c r="K30" i="5"/>
  <c r="AB18" i="24"/>
  <c r="AC18" i="24"/>
  <c r="P32" i="39"/>
  <c r="V32" i="39"/>
  <c r="C33" i="39"/>
  <c r="I31" i="5"/>
  <c r="K31" i="5"/>
  <c r="AB19" i="24"/>
  <c r="AC19" i="24"/>
  <c r="P33" i="39"/>
  <c r="V33" i="39"/>
  <c r="C34" i="39"/>
  <c r="I32" i="5"/>
  <c r="K32" i="5"/>
  <c r="AB20" i="24"/>
  <c r="AC20" i="24"/>
  <c r="P34" i="39"/>
  <c r="V34" i="39"/>
  <c r="V35" i="39"/>
  <c r="B158" i="39"/>
  <c r="AD15" i="24"/>
  <c r="Q29" i="39"/>
  <c r="W29" i="39"/>
  <c r="AD16" i="24"/>
  <c r="Q30" i="39"/>
  <c r="W30" i="39"/>
  <c r="AD17" i="24"/>
  <c r="Q31" i="39"/>
  <c r="W31" i="39"/>
  <c r="AD18" i="24"/>
  <c r="Q32" i="39"/>
  <c r="W32" i="39"/>
  <c r="AD19" i="24"/>
  <c r="Q33" i="39"/>
  <c r="W33" i="39"/>
  <c r="AD20" i="24"/>
  <c r="Q34" i="39"/>
  <c r="W34" i="39"/>
  <c r="W35" i="39"/>
  <c r="C158" i="39"/>
  <c r="AE15" i="24"/>
  <c r="R29" i="39"/>
  <c r="X29" i="39"/>
  <c r="AE16" i="24"/>
  <c r="R30" i="39"/>
  <c r="X30" i="39"/>
  <c r="AE17" i="24"/>
  <c r="R31" i="39"/>
  <c r="X31" i="39"/>
  <c r="AE18" i="24"/>
  <c r="R32" i="39"/>
  <c r="X32" i="39"/>
  <c r="AE19" i="24"/>
  <c r="R33" i="39"/>
  <c r="X33" i="39"/>
  <c r="AE20" i="24"/>
  <c r="R34" i="39"/>
  <c r="X34" i="39"/>
  <c r="X35" i="39"/>
  <c r="D158" i="39"/>
  <c r="AF15" i="24"/>
  <c r="S29" i="39"/>
  <c r="Y29" i="39"/>
  <c r="AF16" i="24"/>
  <c r="S30" i="39"/>
  <c r="Y30" i="39"/>
  <c r="AF17" i="24"/>
  <c r="S31" i="39"/>
  <c r="Y31" i="39"/>
  <c r="AF18" i="24"/>
  <c r="S32" i="39"/>
  <c r="Y32" i="39"/>
  <c r="AF19" i="24"/>
  <c r="S33" i="39"/>
  <c r="Y33" i="39"/>
  <c r="AF20" i="24"/>
  <c r="S34" i="39"/>
  <c r="Y34" i="39"/>
  <c r="Y35" i="39"/>
  <c r="E158" i="39"/>
  <c r="F158" i="39"/>
  <c r="B187" i="39"/>
  <c r="B191" i="39"/>
  <c r="B200" i="39"/>
  <c r="B11" i="39"/>
  <c r="AQ32" i="24"/>
  <c r="AR32" i="24"/>
  <c r="AQ32" i="50"/>
  <c r="P108" i="39"/>
  <c r="C108" i="39"/>
  <c r="V108" i="39"/>
  <c r="AQ33" i="24"/>
  <c r="AR33" i="24"/>
  <c r="AQ33" i="50"/>
  <c r="P109" i="39"/>
  <c r="C109" i="39"/>
  <c r="V109" i="39"/>
  <c r="AQ34" i="24"/>
  <c r="AR34" i="24"/>
  <c r="AQ34" i="50"/>
  <c r="P110" i="39"/>
  <c r="C110" i="39"/>
  <c r="V110" i="39"/>
  <c r="AQ35" i="24"/>
  <c r="AR35" i="24"/>
  <c r="AQ35" i="50"/>
  <c r="P111" i="39"/>
  <c r="C111" i="39"/>
  <c r="V111" i="39"/>
  <c r="AQ36" i="24"/>
  <c r="AR36" i="24"/>
  <c r="AQ36" i="50"/>
  <c r="P112" i="39"/>
  <c r="C112" i="39"/>
  <c r="V112" i="39"/>
  <c r="AQ37" i="24"/>
  <c r="AR37" i="24"/>
  <c r="AQ37" i="50"/>
  <c r="P113" i="39"/>
  <c r="C113" i="39"/>
  <c r="V113" i="39"/>
  <c r="AQ38" i="24"/>
  <c r="AR38" i="24"/>
  <c r="AQ38" i="50"/>
  <c r="P114" i="39"/>
  <c r="C114" i="39"/>
  <c r="V114" i="39"/>
  <c r="AQ39" i="24"/>
  <c r="AR39" i="24"/>
  <c r="AQ39" i="50"/>
  <c r="P115" i="39"/>
  <c r="C115" i="39"/>
  <c r="V115" i="39"/>
  <c r="AQ40" i="24"/>
  <c r="AR40" i="24"/>
  <c r="AQ40" i="50"/>
  <c r="P116" i="39"/>
  <c r="C116" i="39"/>
  <c r="V116" i="39"/>
  <c r="AQ41" i="24"/>
  <c r="AR41" i="24"/>
  <c r="AQ41" i="50"/>
  <c r="P117" i="39"/>
  <c r="C117" i="39"/>
  <c r="V117" i="39"/>
  <c r="V118" i="39"/>
  <c r="B175" i="39"/>
  <c r="AS32" i="24"/>
  <c r="AR32" i="50"/>
  <c r="Q108" i="39"/>
  <c r="W108" i="39"/>
  <c r="AS33" i="24"/>
  <c r="AR33" i="50"/>
  <c r="Q109" i="39"/>
  <c r="W109" i="39"/>
  <c r="AS34" i="24"/>
  <c r="AR34" i="50"/>
  <c r="Q110" i="39"/>
  <c r="W110" i="39"/>
  <c r="AS35" i="24"/>
  <c r="AR35" i="50"/>
  <c r="Q111" i="39"/>
  <c r="W111" i="39"/>
  <c r="AS36" i="24"/>
  <c r="AR36" i="50"/>
  <c r="Q112" i="39"/>
  <c r="W112" i="39"/>
  <c r="AS37" i="24"/>
  <c r="AR37" i="50"/>
  <c r="Q113" i="39"/>
  <c r="W113" i="39"/>
  <c r="AS38" i="24"/>
  <c r="AR38" i="50"/>
  <c r="Q114" i="39"/>
  <c r="W114" i="39"/>
  <c r="AS39" i="24"/>
  <c r="AR39" i="50"/>
  <c r="Q115" i="39"/>
  <c r="W115" i="39"/>
  <c r="AS40" i="24"/>
  <c r="AR40" i="50"/>
  <c r="Q116" i="39"/>
  <c r="W116" i="39"/>
  <c r="AS41" i="24"/>
  <c r="AR41" i="50"/>
  <c r="Q117" i="39"/>
  <c r="W117" i="39"/>
  <c r="W118" i="39"/>
  <c r="C175" i="39"/>
  <c r="AT32" i="24"/>
  <c r="AS32" i="50"/>
  <c r="R108" i="39"/>
  <c r="X108" i="39"/>
  <c r="AT33" i="24"/>
  <c r="AS33" i="50"/>
  <c r="R109" i="39"/>
  <c r="X109" i="39"/>
  <c r="AT34" i="24"/>
  <c r="AS34" i="50"/>
  <c r="R110" i="39"/>
  <c r="X110" i="39"/>
  <c r="AT35" i="24"/>
  <c r="AS35" i="50"/>
  <c r="R111" i="39"/>
  <c r="X111" i="39"/>
  <c r="AT36" i="24"/>
  <c r="AS36" i="50"/>
  <c r="R112" i="39"/>
  <c r="X112" i="39"/>
  <c r="AT37" i="24"/>
  <c r="AS37" i="50"/>
  <c r="R113" i="39"/>
  <c r="X113" i="39"/>
  <c r="AT38" i="24"/>
  <c r="AS38" i="50"/>
  <c r="R114" i="39"/>
  <c r="X114" i="39"/>
  <c r="AT39" i="24"/>
  <c r="AS39" i="50"/>
  <c r="R115" i="39"/>
  <c r="X115" i="39"/>
  <c r="AT40" i="24"/>
  <c r="AS40" i="50"/>
  <c r="R116" i="39"/>
  <c r="X116" i="39"/>
  <c r="AT41" i="24"/>
  <c r="AS41" i="50"/>
  <c r="R117" i="39"/>
  <c r="X117" i="39"/>
  <c r="X118" i="39"/>
  <c r="D175" i="39"/>
  <c r="AU32" i="24"/>
  <c r="AT32" i="50"/>
  <c r="S108" i="39"/>
  <c r="Y108" i="39"/>
  <c r="AU33" i="24"/>
  <c r="AT33" i="50"/>
  <c r="S109" i="39"/>
  <c r="Y109" i="39"/>
  <c r="AU34" i="24"/>
  <c r="AT34" i="50"/>
  <c r="S110" i="39"/>
  <c r="Y110" i="39"/>
  <c r="AU35" i="24"/>
  <c r="AT35" i="50"/>
  <c r="S111" i="39"/>
  <c r="Y111" i="39"/>
  <c r="AU36" i="24"/>
  <c r="AT36" i="50"/>
  <c r="S112" i="39"/>
  <c r="Y112" i="39"/>
  <c r="AU37" i="24"/>
  <c r="AT37" i="50"/>
  <c r="S113" i="39"/>
  <c r="Y113" i="39"/>
  <c r="AU38" i="24"/>
  <c r="AT38" i="50"/>
  <c r="S114" i="39"/>
  <c r="Y114" i="39"/>
  <c r="AU39" i="24"/>
  <c r="AT39" i="50"/>
  <c r="S115" i="39"/>
  <c r="Y115" i="39"/>
  <c r="AU40" i="24"/>
  <c r="AT40" i="50"/>
  <c r="S116" i="39"/>
  <c r="Y116" i="39"/>
  <c r="AU41" i="24"/>
  <c r="AT41" i="50"/>
  <c r="S117" i="39"/>
  <c r="Y117" i="39"/>
  <c r="Y118" i="39"/>
  <c r="E175" i="39"/>
  <c r="F175" i="39"/>
  <c r="E188" i="39"/>
  <c r="C127" i="39"/>
  <c r="L67" i="5"/>
  <c r="N67" i="5"/>
  <c r="AQ53" i="24"/>
  <c r="AR53" i="24"/>
  <c r="AQ53" i="50"/>
  <c r="P127" i="39"/>
  <c r="V127" i="39"/>
  <c r="C128" i="39"/>
  <c r="L68" i="5"/>
  <c r="N68" i="5"/>
  <c r="AQ54" i="24"/>
  <c r="AR54" i="24"/>
  <c r="AQ54" i="50"/>
  <c r="P128" i="39"/>
  <c r="V128" i="39"/>
  <c r="C129" i="39"/>
  <c r="L69" i="5"/>
  <c r="N69" i="5"/>
  <c r="AQ55" i="24"/>
  <c r="AR55" i="24"/>
  <c r="AQ55" i="50"/>
  <c r="P129" i="39"/>
  <c r="V129" i="39"/>
  <c r="C130" i="39"/>
  <c r="L70" i="5"/>
  <c r="N70" i="5"/>
  <c r="AQ56" i="24"/>
  <c r="AR56" i="24"/>
  <c r="AQ56" i="50"/>
  <c r="P130" i="39"/>
  <c r="V130" i="39"/>
  <c r="C131" i="39"/>
  <c r="L71" i="5"/>
  <c r="N71" i="5"/>
  <c r="AQ57" i="24"/>
  <c r="AR57" i="24"/>
  <c r="AQ57" i="50"/>
  <c r="P131" i="39"/>
  <c r="V131" i="39"/>
  <c r="C132" i="39"/>
  <c r="L72" i="5"/>
  <c r="N72" i="5"/>
  <c r="AQ58" i="24"/>
  <c r="AR58" i="24"/>
  <c r="AQ58" i="50"/>
  <c r="P132" i="39"/>
  <c r="V132" i="39"/>
  <c r="V133" i="39"/>
  <c r="B176" i="39"/>
  <c r="AS53" i="24"/>
  <c r="AR53" i="50"/>
  <c r="Q127" i="39"/>
  <c r="W127" i="39"/>
  <c r="AS54" i="24"/>
  <c r="AR54" i="50"/>
  <c r="Q128" i="39"/>
  <c r="W128" i="39"/>
  <c r="AS55" i="24"/>
  <c r="AR55" i="50"/>
  <c r="Q129" i="39"/>
  <c r="W129" i="39"/>
  <c r="AS56" i="24"/>
  <c r="AR56" i="50"/>
  <c r="Q130" i="39"/>
  <c r="W130" i="39"/>
  <c r="AS57" i="24"/>
  <c r="AR57" i="50"/>
  <c r="Q131" i="39"/>
  <c r="W131" i="39"/>
  <c r="AS58" i="24"/>
  <c r="AR58" i="50"/>
  <c r="Q132" i="39"/>
  <c r="W132" i="39"/>
  <c r="W133" i="39"/>
  <c r="C176" i="39"/>
  <c r="AT53" i="24"/>
  <c r="AS53" i="50"/>
  <c r="R127" i="39"/>
  <c r="X127" i="39"/>
  <c r="AT54" i="24"/>
  <c r="AS54" i="50"/>
  <c r="R128" i="39"/>
  <c r="X128" i="39"/>
  <c r="AT55" i="24"/>
  <c r="AS55" i="50"/>
  <c r="R129" i="39"/>
  <c r="X129" i="39"/>
  <c r="AT56" i="24"/>
  <c r="AS56" i="50"/>
  <c r="R130" i="39"/>
  <c r="X130" i="39"/>
  <c r="AT57" i="24"/>
  <c r="AS57" i="50"/>
  <c r="R131" i="39"/>
  <c r="X131" i="39"/>
  <c r="AT58" i="24"/>
  <c r="AS58" i="50"/>
  <c r="R132" i="39"/>
  <c r="X132" i="39"/>
  <c r="X133" i="39"/>
  <c r="D176" i="39"/>
  <c r="AU53" i="24"/>
  <c r="AT53" i="50"/>
  <c r="S127" i="39"/>
  <c r="Y127" i="39"/>
  <c r="AU54" i="24"/>
  <c r="AT54" i="50"/>
  <c r="S128" i="39"/>
  <c r="Y128" i="39"/>
  <c r="AU55" i="24"/>
  <c r="AT55" i="50"/>
  <c r="S129" i="39"/>
  <c r="Y129" i="39"/>
  <c r="AU56" i="24"/>
  <c r="AT56" i="50"/>
  <c r="S130" i="39"/>
  <c r="Y130" i="39"/>
  <c r="AU57" i="24"/>
  <c r="AT57" i="50"/>
  <c r="S131" i="39"/>
  <c r="Y131" i="39"/>
  <c r="AU58" i="24"/>
  <c r="AT58" i="50"/>
  <c r="S132" i="39"/>
  <c r="Y132" i="39"/>
  <c r="Y133" i="39"/>
  <c r="E176" i="39"/>
  <c r="F176" i="39"/>
  <c r="E189" i="39"/>
  <c r="L85" i="5"/>
  <c r="N85" i="5"/>
  <c r="AQ70" i="24"/>
  <c r="AQ70" i="50"/>
  <c r="P142" i="39"/>
  <c r="C142" i="39"/>
  <c r="V142" i="39"/>
  <c r="L86" i="5"/>
  <c r="N86" i="5"/>
  <c r="AQ71" i="24"/>
  <c r="AQ71" i="50"/>
  <c r="P143" i="39"/>
  <c r="C143" i="39"/>
  <c r="V143" i="39"/>
  <c r="L87" i="5"/>
  <c r="N87" i="5"/>
  <c r="AQ72" i="24"/>
  <c r="AQ72" i="50"/>
  <c r="P144" i="39"/>
  <c r="C144" i="39"/>
  <c r="V144" i="39"/>
  <c r="L88" i="5"/>
  <c r="N88" i="5"/>
  <c r="AQ73" i="24"/>
  <c r="AQ73" i="50"/>
  <c r="P145" i="39"/>
  <c r="C145" i="39"/>
  <c r="V145" i="39"/>
  <c r="L89" i="5"/>
  <c r="N89" i="5"/>
  <c r="AQ74" i="24"/>
  <c r="AQ74" i="50"/>
  <c r="P146" i="39"/>
  <c r="C146" i="39"/>
  <c r="V146" i="39"/>
  <c r="L90" i="5"/>
  <c r="N90" i="5"/>
  <c r="AQ75" i="24"/>
  <c r="AQ75" i="50"/>
  <c r="P147" i="39"/>
  <c r="C147" i="39"/>
  <c r="V147" i="39"/>
  <c r="V148" i="39"/>
  <c r="B177" i="39"/>
  <c r="AR70" i="24"/>
  <c r="AR70" i="50"/>
  <c r="Q142" i="39"/>
  <c r="W142" i="39"/>
  <c r="AR71" i="24"/>
  <c r="AR71" i="50"/>
  <c r="Q143" i="39"/>
  <c r="W143" i="39"/>
  <c r="AR72" i="24"/>
  <c r="AR72" i="50"/>
  <c r="Q144" i="39"/>
  <c r="W144" i="39"/>
  <c r="AR73" i="24"/>
  <c r="AR73" i="50"/>
  <c r="Q145" i="39"/>
  <c r="W145" i="39"/>
  <c r="AR74" i="24"/>
  <c r="AR74" i="50"/>
  <c r="Q146" i="39"/>
  <c r="W146" i="39"/>
  <c r="AR75" i="24"/>
  <c r="AR75" i="50"/>
  <c r="Q147" i="39"/>
  <c r="W147" i="39"/>
  <c r="W148" i="39"/>
  <c r="C177" i="39"/>
  <c r="AS70" i="24"/>
  <c r="AS70" i="50"/>
  <c r="R142" i="39"/>
  <c r="X142" i="39"/>
  <c r="AS71" i="24"/>
  <c r="AS71" i="50"/>
  <c r="R143" i="39"/>
  <c r="X143" i="39"/>
  <c r="AS72" i="24"/>
  <c r="AS72" i="50"/>
  <c r="R144" i="39"/>
  <c r="X144" i="39"/>
  <c r="AS73" i="24"/>
  <c r="AS73" i="50"/>
  <c r="R145" i="39"/>
  <c r="X145" i="39"/>
  <c r="AS74" i="24"/>
  <c r="AS74" i="50"/>
  <c r="R146" i="39"/>
  <c r="X146" i="39"/>
  <c r="AS75" i="24"/>
  <c r="AS75" i="50"/>
  <c r="R147" i="39"/>
  <c r="X147" i="39"/>
  <c r="X148" i="39"/>
  <c r="D177" i="39"/>
  <c r="AT70" i="24"/>
  <c r="AT70" i="50"/>
  <c r="S142" i="39"/>
  <c r="Y142" i="39"/>
  <c r="AT71" i="24"/>
  <c r="AT71" i="50"/>
  <c r="S143" i="39"/>
  <c r="Y143" i="39"/>
  <c r="AT72" i="24"/>
  <c r="AT72" i="50"/>
  <c r="S144" i="39"/>
  <c r="Y144" i="39"/>
  <c r="AT73" i="24"/>
  <c r="AT73" i="50"/>
  <c r="S145" i="39"/>
  <c r="Y145" i="39"/>
  <c r="AT74" i="24"/>
  <c r="AT74" i="50"/>
  <c r="S146" i="39"/>
  <c r="Y146" i="39"/>
  <c r="AT75" i="24"/>
  <c r="AT75" i="50"/>
  <c r="S147" i="39"/>
  <c r="Y147" i="39"/>
  <c r="Y148" i="39"/>
  <c r="E177" i="39"/>
  <c r="F177" i="39"/>
  <c r="E190" i="39"/>
  <c r="I15" i="24"/>
  <c r="H27" i="5"/>
  <c r="L27" i="5"/>
  <c r="N27" i="5"/>
  <c r="AQ15" i="24"/>
  <c r="AR15" i="24"/>
  <c r="AQ15" i="50"/>
  <c r="P94" i="39"/>
  <c r="C22" i="50"/>
  <c r="C15" i="50"/>
  <c r="H15" i="50"/>
  <c r="H27" i="37"/>
  <c r="C94" i="39"/>
  <c r="V94" i="39"/>
  <c r="L28" i="5"/>
  <c r="N28" i="5"/>
  <c r="AQ16" i="24"/>
  <c r="AR16" i="24"/>
  <c r="AQ16" i="50"/>
  <c r="P95" i="39"/>
  <c r="C95" i="39"/>
  <c r="V95" i="39"/>
  <c r="L29" i="5"/>
  <c r="N29" i="5"/>
  <c r="AQ17" i="24"/>
  <c r="AR17" i="24"/>
  <c r="AQ17" i="50"/>
  <c r="P96" i="39"/>
  <c r="C96" i="39"/>
  <c r="V96" i="39"/>
  <c r="L30" i="5"/>
  <c r="N30" i="5"/>
  <c r="AQ18" i="24"/>
  <c r="AR18" i="24"/>
  <c r="AQ18" i="50"/>
  <c r="P97" i="39"/>
  <c r="C97" i="39"/>
  <c r="V97" i="39"/>
  <c r="L31" i="5"/>
  <c r="N31" i="5"/>
  <c r="AQ19" i="24"/>
  <c r="AR19" i="24"/>
  <c r="AQ19" i="50"/>
  <c r="P98" i="39"/>
  <c r="C98" i="39"/>
  <c r="V98" i="39"/>
  <c r="L32" i="5"/>
  <c r="N32" i="5"/>
  <c r="AQ20" i="24"/>
  <c r="AR20" i="24"/>
  <c r="AQ20" i="50"/>
  <c r="P99" i="39"/>
  <c r="C99" i="39"/>
  <c r="V99" i="39"/>
  <c r="V100" i="39"/>
  <c r="B174" i="39"/>
  <c r="AS15" i="24"/>
  <c r="AR15" i="50"/>
  <c r="Q94" i="39"/>
  <c r="W94" i="39"/>
  <c r="AS16" i="24"/>
  <c r="AR16" i="50"/>
  <c r="Q95" i="39"/>
  <c r="W95" i="39"/>
  <c r="AS17" i="24"/>
  <c r="AR17" i="50"/>
  <c r="Q96" i="39"/>
  <c r="W96" i="39"/>
  <c r="AS18" i="24"/>
  <c r="AR18" i="50"/>
  <c r="Q97" i="39"/>
  <c r="W97" i="39"/>
  <c r="AS19" i="24"/>
  <c r="AR19" i="50"/>
  <c r="Q98" i="39"/>
  <c r="W98" i="39"/>
  <c r="AS20" i="24"/>
  <c r="AR20" i="50"/>
  <c r="Q99" i="39"/>
  <c r="W99" i="39"/>
  <c r="W100" i="39"/>
  <c r="C174" i="39"/>
  <c r="AT15" i="24"/>
  <c r="AS15" i="50"/>
  <c r="R94" i="39"/>
  <c r="X94" i="39"/>
  <c r="AT16" i="24"/>
  <c r="AS16" i="50"/>
  <c r="R95" i="39"/>
  <c r="X95" i="39"/>
  <c r="AT17" i="24"/>
  <c r="AS17" i="50"/>
  <c r="R96" i="39"/>
  <c r="X96" i="39"/>
  <c r="AT18" i="24"/>
  <c r="AS18" i="50"/>
  <c r="R97" i="39"/>
  <c r="X97" i="39"/>
  <c r="AT19" i="24"/>
  <c r="AS19" i="50"/>
  <c r="R98" i="39"/>
  <c r="X98" i="39"/>
  <c r="AT20" i="24"/>
  <c r="AS20" i="50"/>
  <c r="R99" i="39"/>
  <c r="X99" i="39"/>
  <c r="X100" i="39"/>
  <c r="D174" i="39"/>
  <c r="AU15" i="24"/>
  <c r="AT15" i="50"/>
  <c r="S94" i="39"/>
  <c r="Y94" i="39"/>
  <c r="AU16" i="24"/>
  <c r="AT16" i="50"/>
  <c r="S95" i="39"/>
  <c r="Y95" i="39"/>
  <c r="AU17" i="24"/>
  <c r="AT17" i="50"/>
  <c r="S96" i="39"/>
  <c r="Y96" i="39"/>
  <c r="AU18" i="24"/>
  <c r="AT18" i="50"/>
  <c r="S97" i="39"/>
  <c r="Y97" i="39"/>
  <c r="AU19" i="24"/>
  <c r="AT19" i="50"/>
  <c r="S98" i="39"/>
  <c r="Y98" i="39"/>
  <c r="AU20" i="24"/>
  <c r="AT20" i="50"/>
  <c r="S99" i="39"/>
  <c r="Y99" i="39"/>
  <c r="Y100" i="39"/>
  <c r="E174" i="39"/>
  <c r="F174" i="39"/>
  <c r="E187" i="39"/>
  <c r="E191" i="39"/>
  <c r="B202" i="39"/>
  <c r="B12" i="39"/>
  <c r="B10" i="39"/>
  <c r="B44" i="39"/>
  <c r="T32" i="50"/>
  <c r="D44" i="39"/>
  <c r="J44" i="39"/>
  <c r="AB44" i="39"/>
  <c r="B45" i="39"/>
  <c r="T33" i="50"/>
  <c r="D45" i="39"/>
  <c r="J45" i="39"/>
  <c r="AB45" i="39"/>
  <c r="C34" i="50"/>
  <c r="G34" i="50"/>
  <c r="G47" i="37"/>
  <c r="B46" i="39"/>
  <c r="T34" i="50"/>
  <c r="D46" i="39"/>
  <c r="J46" i="39"/>
  <c r="AB46" i="39"/>
  <c r="C35" i="50"/>
  <c r="G35" i="50"/>
  <c r="G48" i="37"/>
  <c r="B47" i="39"/>
  <c r="T35" i="50"/>
  <c r="D47" i="39"/>
  <c r="J47" i="39"/>
  <c r="AB47" i="39"/>
  <c r="D36" i="24"/>
  <c r="G36" i="50"/>
  <c r="G49" i="37"/>
  <c r="B48" i="39"/>
  <c r="T36" i="50"/>
  <c r="D48" i="39"/>
  <c r="J48" i="39"/>
  <c r="AB48" i="39"/>
  <c r="D37" i="24"/>
  <c r="G37" i="50"/>
  <c r="G50" i="37"/>
  <c r="B49" i="39"/>
  <c r="T37" i="50"/>
  <c r="D49" i="39"/>
  <c r="J49" i="39"/>
  <c r="AB49" i="39"/>
  <c r="D38" i="24"/>
  <c r="G38" i="50"/>
  <c r="G51" i="37"/>
  <c r="B50" i="39"/>
  <c r="T38" i="50"/>
  <c r="D50" i="39"/>
  <c r="J50" i="39"/>
  <c r="AB50" i="39"/>
  <c r="D39" i="24"/>
  <c r="G39" i="50"/>
  <c r="G52" i="37"/>
  <c r="B51" i="39"/>
  <c r="T39" i="50"/>
  <c r="D51" i="39"/>
  <c r="J51" i="39"/>
  <c r="AB51" i="39"/>
  <c r="D40" i="24"/>
  <c r="G40" i="50"/>
  <c r="G53" i="37"/>
  <c r="B52" i="39"/>
  <c r="T40" i="50"/>
  <c r="D52" i="39"/>
  <c r="J52" i="39"/>
  <c r="AB52" i="39"/>
  <c r="D41" i="24"/>
  <c r="G41" i="50"/>
  <c r="G54" i="37"/>
  <c r="B53" i="39"/>
  <c r="T41" i="50"/>
  <c r="D53" i="39"/>
  <c r="J53" i="39"/>
  <c r="AB53" i="39"/>
  <c r="AB54" i="39"/>
  <c r="G159" i="39"/>
  <c r="U32" i="50"/>
  <c r="E44" i="39"/>
  <c r="K44" i="39"/>
  <c r="AC44" i="39"/>
  <c r="U33" i="50"/>
  <c r="E45" i="39"/>
  <c r="K45" i="39"/>
  <c r="AC45" i="39"/>
  <c r="U34" i="50"/>
  <c r="E46" i="39"/>
  <c r="K46" i="39"/>
  <c r="AC46" i="39"/>
  <c r="U35" i="50"/>
  <c r="E47" i="39"/>
  <c r="K47" i="39"/>
  <c r="AC47" i="39"/>
  <c r="U36" i="50"/>
  <c r="E48" i="39"/>
  <c r="K48" i="39"/>
  <c r="AC48" i="39"/>
  <c r="U37" i="50"/>
  <c r="E49" i="39"/>
  <c r="K49" i="39"/>
  <c r="AC49" i="39"/>
  <c r="U38" i="50"/>
  <c r="E50" i="39"/>
  <c r="K50" i="39"/>
  <c r="AC50" i="39"/>
  <c r="U39" i="50"/>
  <c r="E51" i="39"/>
  <c r="K51" i="39"/>
  <c r="AC51" i="39"/>
  <c r="U40" i="50"/>
  <c r="E52" i="39"/>
  <c r="K52" i="39"/>
  <c r="AC52" i="39"/>
  <c r="U41" i="50"/>
  <c r="E53" i="39"/>
  <c r="K53" i="39"/>
  <c r="AC53" i="39"/>
  <c r="AC54" i="39"/>
  <c r="H159" i="39"/>
  <c r="V32" i="50"/>
  <c r="F44" i="39"/>
  <c r="L44" i="39"/>
  <c r="AD44" i="39"/>
  <c r="V33" i="50"/>
  <c r="F45" i="39"/>
  <c r="L45" i="39"/>
  <c r="AD45" i="39"/>
  <c r="V34" i="50"/>
  <c r="F46" i="39"/>
  <c r="L46" i="39"/>
  <c r="AD46" i="39"/>
  <c r="V35" i="50"/>
  <c r="F47" i="39"/>
  <c r="L47" i="39"/>
  <c r="AD47" i="39"/>
  <c r="V36" i="50"/>
  <c r="F48" i="39"/>
  <c r="L48" i="39"/>
  <c r="AD48" i="39"/>
  <c r="V37" i="50"/>
  <c r="F49" i="39"/>
  <c r="L49" i="39"/>
  <c r="AD49" i="39"/>
  <c r="V38" i="50"/>
  <c r="F50" i="39"/>
  <c r="L50" i="39"/>
  <c r="AD50" i="39"/>
  <c r="V39" i="50"/>
  <c r="F51" i="39"/>
  <c r="L51" i="39"/>
  <c r="AD51" i="39"/>
  <c r="V40" i="50"/>
  <c r="F52" i="39"/>
  <c r="L52" i="39"/>
  <c r="AD52" i="39"/>
  <c r="V41" i="50"/>
  <c r="F53" i="39"/>
  <c r="L53" i="39"/>
  <c r="AD53" i="39"/>
  <c r="AD54" i="39"/>
  <c r="I159" i="39"/>
  <c r="W32" i="50"/>
  <c r="G44" i="39"/>
  <c r="M44" i="39"/>
  <c r="AE44" i="39"/>
  <c r="W33" i="50"/>
  <c r="G45" i="39"/>
  <c r="M45" i="39"/>
  <c r="AE45" i="39"/>
  <c r="W34" i="50"/>
  <c r="G46" i="39"/>
  <c r="M46" i="39"/>
  <c r="AE46" i="39"/>
  <c r="W35" i="50"/>
  <c r="G47" i="39"/>
  <c r="M47" i="39"/>
  <c r="AE47" i="39"/>
  <c r="W36" i="50"/>
  <c r="G48" i="39"/>
  <c r="M48" i="39"/>
  <c r="AE48" i="39"/>
  <c r="W37" i="50"/>
  <c r="G49" i="39"/>
  <c r="M49" i="39"/>
  <c r="AE49" i="39"/>
  <c r="W38" i="50"/>
  <c r="G50" i="39"/>
  <c r="M50" i="39"/>
  <c r="AE50" i="39"/>
  <c r="W39" i="50"/>
  <c r="G51" i="39"/>
  <c r="M51" i="39"/>
  <c r="AE51" i="39"/>
  <c r="W40" i="50"/>
  <c r="G52" i="39"/>
  <c r="M52" i="39"/>
  <c r="AE52" i="39"/>
  <c r="W41" i="50"/>
  <c r="G53" i="39"/>
  <c r="M53" i="39"/>
  <c r="AE53" i="39"/>
  <c r="AE54" i="39"/>
  <c r="J159" i="39"/>
  <c r="K159" i="39"/>
  <c r="C188" i="39"/>
  <c r="D60" i="24"/>
  <c r="D53" i="24"/>
  <c r="G53" i="50"/>
  <c r="G67" i="37"/>
  <c r="B63" i="39"/>
  <c r="T53" i="50"/>
  <c r="D63" i="39"/>
  <c r="J63" i="39"/>
  <c r="AB63" i="39"/>
  <c r="D54" i="24"/>
  <c r="G54" i="50"/>
  <c r="G68" i="37"/>
  <c r="B64" i="39"/>
  <c r="T54" i="50"/>
  <c r="D64" i="39"/>
  <c r="J64" i="39"/>
  <c r="AB64" i="39"/>
  <c r="D55" i="24"/>
  <c r="G55" i="50"/>
  <c r="G69" i="37"/>
  <c r="B65" i="39"/>
  <c r="T55" i="50"/>
  <c r="D65" i="39"/>
  <c r="J65" i="39"/>
  <c r="AB65" i="39"/>
  <c r="D56" i="24"/>
  <c r="G56" i="50"/>
  <c r="G70" i="37"/>
  <c r="B66" i="39"/>
  <c r="T56" i="50"/>
  <c r="D66" i="39"/>
  <c r="J66" i="39"/>
  <c r="AB66" i="39"/>
  <c r="D57" i="24"/>
  <c r="G57" i="50"/>
  <c r="G71" i="37"/>
  <c r="B67" i="39"/>
  <c r="T57" i="50"/>
  <c r="D67" i="39"/>
  <c r="J67" i="39"/>
  <c r="AB67" i="39"/>
  <c r="D58" i="24"/>
  <c r="G58" i="50"/>
  <c r="G72" i="37"/>
  <c r="B68" i="39"/>
  <c r="T58" i="50"/>
  <c r="D68" i="39"/>
  <c r="J68" i="39"/>
  <c r="AB68" i="39"/>
  <c r="AB69" i="39"/>
  <c r="G160" i="39"/>
  <c r="U53" i="50"/>
  <c r="E63" i="39"/>
  <c r="K63" i="39"/>
  <c r="AC63" i="39"/>
  <c r="U54" i="50"/>
  <c r="E64" i="39"/>
  <c r="K64" i="39"/>
  <c r="AC64" i="39"/>
  <c r="U55" i="50"/>
  <c r="E65" i="39"/>
  <c r="K65" i="39"/>
  <c r="AC65" i="39"/>
  <c r="U56" i="50"/>
  <c r="E66" i="39"/>
  <c r="K66" i="39"/>
  <c r="AC66" i="39"/>
  <c r="U57" i="50"/>
  <c r="E67" i="39"/>
  <c r="K67" i="39"/>
  <c r="AC67" i="39"/>
  <c r="U58" i="50"/>
  <c r="E68" i="39"/>
  <c r="K68" i="39"/>
  <c r="AC68" i="39"/>
  <c r="AC69" i="39"/>
  <c r="H160" i="39"/>
  <c r="V53" i="50"/>
  <c r="F63" i="39"/>
  <c r="L63" i="39"/>
  <c r="AD63" i="39"/>
  <c r="V54" i="50"/>
  <c r="F64" i="39"/>
  <c r="L64" i="39"/>
  <c r="AD64" i="39"/>
  <c r="V55" i="50"/>
  <c r="F65" i="39"/>
  <c r="L65" i="39"/>
  <c r="AD65" i="39"/>
  <c r="V56" i="50"/>
  <c r="F66" i="39"/>
  <c r="L66" i="39"/>
  <c r="AD66" i="39"/>
  <c r="V57" i="50"/>
  <c r="F67" i="39"/>
  <c r="L67" i="39"/>
  <c r="AD67" i="39"/>
  <c r="V58" i="50"/>
  <c r="F68" i="39"/>
  <c r="L68" i="39"/>
  <c r="AD68" i="39"/>
  <c r="AD69" i="39"/>
  <c r="I160" i="39"/>
  <c r="W53" i="50"/>
  <c r="G63" i="39"/>
  <c r="M63" i="39"/>
  <c r="AE63" i="39"/>
  <c r="W54" i="50"/>
  <c r="G64" i="39"/>
  <c r="M64" i="39"/>
  <c r="AE64" i="39"/>
  <c r="W55" i="50"/>
  <c r="G65" i="39"/>
  <c r="M65" i="39"/>
  <c r="AE65" i="39"/>
  <c r="W56" i="50"/>
  <c r="G66" i="39"/>
  <c r="M66" i="39"/>
  <c r="AE66" i="39"/>
  <c r="W57" i="50"/>
  <c r="G67" i="39"/>
  <c r="M67" i="39"/>
  <c r="AE67" i="39"/>
  <c r="W58" i="50"/>
  <c r="G68" i="39"/>
  <c r="M68" i="39"/>
  <c r="AE68" i="39"/>
  <c r="AE69" i="39"/>
  <c r="J160" i="39"/>
  <c r="K160" i="39"/>
  <c r="C189" i="39"/>
  <c r="D70" i="24"/>
  <c r="H70" i="24"/>
  <c r="C70" i="50"/>
  <c r="G70" i="50"/>
  <c r="G85" i="37"/>
  <c r="B78" i="39"/>
  <c r="T70" i="50"/>
  <c r="D78" i="39"/>
  <c r="J78" i="39"/>
  <c r="AB78" i="39"/>
  <c r="B79" i="39"/>
  <c r="T71" i="50"/>
  <c r="D79" i="39"/>
  <c r="J79" i="39"/>
  <c r="AB79" i="39"/>
  <c r="D72" i="24"/>
  <c r="G72" i="50"/>
  <c r="G87" i="37"/>
  <c r="B80" i="39"/>
  <c r="T72" i="50"/>
  <c r="D80" i="39"/>
  <c r="J80" i="39"/>
  <c r="AB80" i="39"/>
  <c r="D73" i="24"/>
  <c r="G73" i="50"/>
  <c r="G88" i="37"/>
  <c r="B81" i="39"/>
  <c r="T73" i="50"/>
  <c r="D81" i="39"/>
  <c r="J81" i="39"/>
  <c r="AB81" i="39"/>
  <c r="D74" i="24"/>
  <c r="G74" i="50"/>
  <c r="G89" i="37"/>
  <c r="B82" i="39"/>
  <c r="T74" i="50"/>
  <c r="D82" i="39"/>
  <c r="J82" i="39"/>
  <c r="AB82" i="39"/>
  <c r="D75" i="24"/>
  <c r="G75" i="50"/>
  <c r="G90" i="37"/>
  <c r="B83" i="39"/>
  <c r="T75" i="50"/>
  <c r="D83" i="39"/>
  <c r="J83" i="39"/>
  <c r="AB83" i="39"/>
  <c r="AB84" i="39"/>
  <c r="G161" i="39"/>
  <c r="U70" i="50"/>
  <c r="E78" i="39"/>
  <c r="K78" i="39"/>
  <c r="AC78" i="39"/>
  <c r="U71" i="50"/>
  <c r="E79" i="39"/>
  <c r="K79" i="39"/>
  <c r="AC79" i="39"/>
  <c r="U72" i="50"/>
  <c r="E80" i="39"/>
  <c r="K80" i="39"/>
  <c r="AC80" i="39"/>
  <c r="U73" i="50"/>
  <c r="E81" i="39"/>
  <c r="K81" i="39"/>
  <c r="AC81" i="39"/>
  <c r="U74" i="50"/>
  <c r="E82" i="39"/>
  <c r="K82" i="39"/>
  <c r="AC82" i="39"/>
  <c r="U75" i="50"/>
  <c r="E83" i="39"/>
  <c r="K83" i="39"/>
  <c r="AC83" i="39"/>
  <c r="AC84" i="39"/>
  <c r="H161" i="39"/>
  <c r="V70" i="50"/>
  <c r="F78" i="39"/>
  <c r="L78" i="39"/>
  <c r="AD78" i="39"/>
  <c r="V71" i="50"/>
  <c r="F79" i="39"/>
  <c r="L79" i="39"/>
  <c r="AD79" i="39"/>
  <c r="V72" i="50"/>
  <c r="F80" i="39"/>
  <c r="L80" i="39"/>
  <c r="AD80" i="39"/>
  <c r="V73" i="50"/>
  <c r="F81" i="39"/>
  <c r="L81" i="39"/>
  <c r="AD81" i="39"/>
  <c r="V74" i="50"/>
  <c r="F82" i="39"/>
  <c r="L82" i="39"/>
  <c r="AD82" i="39"/>
  <c r="V75" i="50"/>
  <c r="F83" i="39"/>
  <c r="L83" i="39"/>
  <c r="AD83" i="39"/>
  <c r="AD84" i="39"/>
  <c r="I161" i="39"/>
  <c r="W70" i="50"/>
  <c r="G78" i="39"/>
  <c r="M78" i="39"/>
  <c r="AE78" i="39"/>
  <c r="W71" i="50"/>
  <c r="G79" i="39"/>
  <c r="M79" i="39"/>
  <c r="AE79" i="39"/>
  <c r="W72" i="50"/>
  <c r="G80" i="39"/>
  <c r="M80" i="39"/>
  <c r="AE80" i="39"/>
  <c r="W73" i="50"/>
  <c r="G81" i="39"/>
  <c r="M81" i="39"/>
  <c r="AE81" i="39"/>
  <c r="W74" i="50"/>
  <c r="G82" i="39"/>
  <c r="M82" i="39"/>
  <c r="AE82" i="39"/>
  <c r="W75" i="50"/>
  <c r="G83" i="39"/>
  <c r="M83" i="39"/>
  <c r="AE83" i="39"/>
  <c r="AE84" i="39"/>
  <c r="J161" i="39"/>
  <c r="K161" i="39"/>
  <c r="C190" i="39"/>
  <c r="B29" i="39"/>
  <c r="D29" i="39"/>
  <c r="J29" i="39"/>
  <c r="AB29" i="39"/>
  <c r="D16" i="24"/>
  <c r="G16" i="50"/>
  <c r="G28" i="37"/>
  <c r="B30" i="39"/>
  <c r="D30" i="39"/>
  <c r="J30" i="39"/>
  <c r="AB30" i="39"/>
  <c r="D17" i="24"/>
  <c r="G17" i="50"/>
  <c r="G29" i="37"/>
  <c r="B31" i="39"/>
  <c r="D31" i="39"/>
  <c r="J31" i="39"/>
  <c r="AB31" i="39"/>
  <c r="D18" i="24"/>
  <c r="G18" i="50"/>
  <c r="G30" i="37"/>
  <c r="B32" i="39"/>
  <c r="D32" i="39"/>
  <c r="J32" i="39"/>
  <c r="AB32" i="39"/>
  <c r="D19" i="24"/>
  <c r="G19" i="50"/>
  <c r="G31" i="37"/>
  <c r="B33" i="39"/>
  <c r="D33" i="39"/>
  <c r="J33" i="39"/>
  <c r="AB33" i="39"/>
  <c r="D20" i="24"/>
  <c r="G20" i="50"/>
  <c r="G32" i="37"/>
  <c r="B34" i="39"/>
  <c r="D34" i="39"/>
  <c r="J34" i="39"/>
  <c r="AB34" i="39"/>
  <c r="AB35" i="39"/>
  <c r="G158" i="39"/>
  <c r="E29" i="39"/>
  <c r="K29" i="39"/>
  <c r="AC29" i="39"/>
  <c r="E30" i="39"/>
  <c r="K30" i="39"/>
  <c r="AC30" i="39"/>
  <c r="E31" i="39"/>
  <c r="K31" i="39"/>
  <c r="AC31" i="39"/>
  <c r="E32" i="39"/>
  <c r="K32" i="39"/>
  <c r="AC32" i="39"/>
  <c r="E33" i="39"/>
  <c r="K33" i="39"/>
  <c r="AC33" i="39"/>
  <c r="E34" i="39"/>
  <c r="K34" i="39"/>
  <c r="AC34" i="39"/>
  <c r="AC35" i="39"/>
  <c r="H158" i="39"/>
  <c r="F29" i="39"/>
  <c r="L29" i="39"/>
  <c r="AD29" i="39"/>
  <c r="F30" i="39"/>
  <c r="L30" i="39"/>
  <c r="AD30" i="39"/>
  <c r="F31" i="39"/>
  <c r="L31" i="39"/>
  <c r="AD31" i="39"/>
  <c r="F32" i="39"/>
  <c r="L32" i="39"/>
  <c r="AD32" i="39"/>
  <c r="F33" i="39"/>
  <c r="L33" i="39"/>
  <c r="AD33" i="39"/>
  <c r="F34" i="39"/>
  <c r="L34" i="39"/>
  <c r="AD34" i="39"/>
  <c r="AD35" i="39"/>
  <c r="I158" i="39"/>
  <c r="G29" i="39"/>
  <c r="M29" i="39"/>
  <c r="AE29" i="39"/>
  <c r="G30" i="39"/>
  <c r="M30" i="39"/>
  <c r="AE30" i="39"/>
  <c r="G31" i="39"/>
  <c r="M31" i="39"/>
  <c r="AE31" i="39"/>
  <c r="G32" i="39"/>
  <c r="M32" i="39"/>
  <c r="AE32" i="39"/>
  <c r="G33" i="39"/>
  <c r="M33" i="39"/>
  <c r="AE33" i="39"/>
  <c r="G34" i="39"/>
  <c r="M34" i="39"/>
  <c r="AE34" i="39"/>
  <c r="AE35" i="39"/>
  <c r="J158" i="39"/>
  <c r="K158" i="39"/>
  <c r="C187" i="39"/>
  <c r="C191" i="39"/>
  <c r="B204" i="39"/>
  <c r="B15" i="39"/>
  <c r="H32" i="50"/>
  <c r="H45" i="37"/>
  <c r="B108" i="39"/>
  <c r="AI32" i="50"/>
  <c r="D108" i="39"/>
  <c r="J108" i="39"/>
  <c r="AB108" i="39"/>
  <c r="H33" i="50"/>
  <c r="H46" i="37"/>
  <c r="B109" i="39"/>
  <c r="AI33" i="50"/>
  <c r="D109" i="39"/>
  <c r="J109" i="39"/>
  <c r="AB109" i="39"/>
  <c r="H34" i="50"/>
  <c r="H47" i="37"/>
  <c r="B110" i="39"/>
  <c r="AI34" i="50"/>
  <c r="D110" i="39"/>
  <c r="J110" i="39"/>
  <c r="AB110" i="39"/>
  <c r="H35" i="50"/>
  <c r="H48" i="37"/>
  <c r="B111" i="39"/>
  <c r="AI35" i="50"/>
  <c r="D111" i="39"/>
  <c r="J111" i="39"/>
  <c r="AB111" i="39"/>
  <c r="C36" i="50"/>
  <c r="H36" i="50"/>
  <c r="H49" i="37"/>
  <c r="B112" i="39"/>
  <c r="AI36" i="50"/>
  <c r="D112" i="39"/>
  <c r="J112" i="39"/>
  <c r="AB112" i="39"/>
  <c r="C37" i="50"/>
  <c r="H37" i="50"/>
  <c r="H50" i="37"/>
  <c r="B113" i="39"/>
  <c r="AI37" i="50"/>
  <c r="D113" i="39"/>
  <c r="J113" i="39"/>
  <c r="AB113" i="39"/>
  <c r="C38" i="50"/>
  <c r="H38" i="50"/>
  <c r="H51" i="37"/>
  <c r="B114" i="39"/>
  <c r="AI38" i="50"/>
  <c r="D114" i="39"/>
  <c r="J114" i="39"/>
  <c r="AB114" i="39"/>
  <c r="C39" i="50"/>
  <c r="H39" i="50"/>
  <c r="H52" i="37"/>
  <c r="B115" i="39"/>
  <c r="AI39" i="50"/>
  <c r="D115" i="39"/>
  <c r="J115" i="39"/>
  <c r="AB115" i="39"/>
  <c r="C40" i="50"/>
  <c r="H40" i="50"/>
  <c r="H53" i="37"/>
  <c r="B116" i="39"/>
  <c r="AI40" i="50"/>
  <c r="D116" i="39"/>
  <c r="J116" i="39"/>
  <c r="AB116" i="39"/>
  <c r="C41" i="50"/>
  <c r="H41" i="50"/>
  <c r="H54" i="37"/>
  <c r="B117" i="39"/>
  <c r="AI41" i="50"/>
  <c r="D117" i="39"/>
  <c r="J117" i="39"/>
  <c r="AB117" i="39"/>
  <c r="AB118" i="39"/>
  <c r="G175" i="39"/>
  <c r="AJ32" i="50"/>
  <c r="E108" i="39"/>
  <c r="K108" i="39"/>
  <c r="AC108" i="39"/>
  <c r="AJ33" i="50"/>
  <c r="E109" i="39"/>
  <c r="K109" i="39"/>
  <c r="AC109" i="39"/>
  <c r="AJ34" i="50"/>
  <c r="E110" i="39"/>
  <c r="K110" i="39"/>
  <c r="AC110" i="39"/>
  <c r="AJ35" i="50"/>
  <c r="E111" i="39"/>
  <c r="K111" i="39"/>
  <c r="AC111" i="39"/>
  <c r="AJ36" i="50"/>
  <c r="E112" i="39"/>
  <c r="K112" i="39"/>
  <c r="AC112" i="39"/>
  <c r="AJ37" i="50"/>
  <c r="E113" i="39"/>
  <c r="K113" i="39"/>
  <c r="AC113" i="39"/>
  <c r="AJ38" i="50"/>
  <c r="E114" i="39"/>
  <c r="K114" i="39"/>
  <c r="AC114" i="39"/>
  <c r="AJ39" i="50"/>
  <c r="E115" i="39"/>
  <c r="K115" i="39"/>
  <c r="AC115" i="39"/>
  <c r="AJ40" i="50"/>
  <c r="E116" i="39"/>
  <c r="K116" i="39"/>
  <c r="AC116" i="39"/>
  <c r="AJ41" i="50"/>
  <c r="E117" i="39"/>
  <c r="K117" i="39"/>
  <c r="AC117" i="39"/>
  <c r="AC118" i="39"/>
  <c r="H175" i="39"/>
  <c r="AK32" i="50"/>
  <c r="F108" i="39"/>
  <c r="L108" i="39"/>
  <c r="AD108" i="39"/>
  <c r="AK33" i="50"/>
  <c r="F109" i="39"/>
  <c r="L109" i="39"/>
  <c r="AD109" i="39"/>
  <c r="AK34" i="50"/>
  <c r="F110" i="39"/>
  <c r="L110" i="39"/>
  <c r="AD110" i="39"/>
  <c r="AK35" i="50"/>
  <c r="F111" i="39"/>
  <c r="L111" i="39"/>
  <c r="AD111" i="39"/>
  <c r="AK36" i="50"/>
  <c r="F112" i="39"/>
  <c r="L112" i="39"/>
  <c r="AD112" i="39"/>
  <c r="AK37" i="50"/>
  <c r="F113" i="39"/>
  <c r="L113" i="39"/>
  <c r="AD113" i="39"/>
  <c r="AK38" i="50"/>
  <c r="F114" i="39"/>
  <c r="L114" i="39"/>
  <c r="AD114" i="39"/>
  <c r="AK39" i="50"/>
  <c r="F115" i="39"/>
  <c r="L115" i="39"/>
  <c r="AD115" i="39"/>
  <c r="AK40" i="50"/>
  <c r="F116" i="39"/>
  <c r="L116" i="39"/>
  <c r="AD116" i="39"/>
  <c r="AK41" i="50"/>
  <c r="F117" i="39"/>
  <c r="L117" i="39"/>
  <c r="AD117" i="39"/>
  <c r="AD118" i="39"/>
  <c r="I175" i="39"/>
  <c r="AL32" i="50"/>
  <c r="G108" i="39"/>
  <c r="M108" i="39"/>
  <c r="AE108" i="39"/>
  <c r="AL33" i="50"/>
  <c r="G109" i="39"/>
  <c r="M109" i="39"/>
  <c r="AE109" i="39"/>
  <c r="AL34" i="50"/>
  <c r="G110" i="39"/>
  <c r="M110" i="39"/>
  <c r="AE110" i="39"/>
  <c r="AL35" i="50"/>
  <c r="G111" i="39"/>
  <c r="M111" i="39"/>
  <c r="AE111" i="39"/>
  <c r="AL36" i="50"/>
  <c r="G112" i="39"/>
  <c r="M112" i="39"/>
  <c r="AE112" i="39"/>
  <c r="AL37" i="50"/>
  <c r="G113" i="39"/>
  <c r="M113" i="39"/>
  <c r="AE113" i="39"/>
  <c r="AL38" i="50"/>
  <c r="G114" i="39"/>
  <c r="M114" i="39"/>
  <c r="AE114" i="39"/>
  <c r="AL39" i="50"/>
  <c r="G115" i="39"/>
  <c r="M115" i="39"/>
  <c r="AE115" i="39"/>
  <c r="AL40" i="50"/>
  <c r="G116" i="39"/>
  <c r="M116" i="39"/>
  <c r="AE116" i="39"/>
  <c r="AL41" i="50"/>
  <c r="G117" i="39"/>
  <c r="M117" i="39"/>
  <c r="AE117" i="39"/>
  <c r="AE118" i="39"/>
  <c r="J175" i="39"/>
  <c r="K175" i="39"/>
  <c r="F188" i="39"/>
  <c r="B105" i="4"/>
  <c r="B70" i="4"/>
  <c r="C105" i="4"/>
  <c r="D105" i="4"/>
  <c r="B120" i="4"/>
  <c r="C60" i="50"/>
  <c r="C53" i="50"/>
  <c r="H53" i="50"/>
  <c r="H67" i="37"/>
  <c r="B127" i="39"/>
  <c r="AI53" i="50"/>
  <c r="D127" i="39"/>
  <c r="J127" i="39"/>
  <c r="AB127" i="39"/>
  <c r="C54" i="50"/>
  <c r="H54" i="50"/>
  <c r="H68" i="37"/>
  <c r="B128" i="39"/>
  <c r="AI54" i="50"/>
  <c r="D128" i="39"/>
  <c r="J128" i="39"/>
  <c r="AB128" i="39"/>
  <c r="C55" i="50"/>
  <c r="H55" i="50"/>
  <c r="H69" i="37"/>
  <c r="B129" i="39"/>
  <c r="AI55" i="50"/>
  <c r="D129" i="39"/>
  <c r="J129" i="39"/>
  <c r="AB129" i="39"/>
  <c r="C56" i="50"/>
  <c r="H56" i="50"/>
  <c r="H70" i="37"/>
  <c r="B130" i="39"/>
  <c r="AI56" i="50"/>
  <c r="D130" i="39"/>
  <c r="J130" i="39"/>
  <c r="AB130" i="39"/>
  <c r="C57" i="50"/>
  <c r="H57" i="50"/>
  <c r="H71" i="37"/>
  <c r="B131" i="39"/>
  <c r="AI57" i="50"/>
  <c r="D131" i="39"/>
  <c r="J131" i="39"/>
  <c r="AB131" i="39"/>
  <c r="C58" i="50"/>
  <c r="H58" i="50"/>
  <c r="H72" i="37"/>
  <c r="B132" i="39"/>
  <c r="AI58" i="50"/>
  <c r="D132" i="39"/>
  <c r="J132" i="39"/>
  <c r="AB132" i="39"/>
  <c r="AB133" i="39"/>
  <c r="G176" i="39"/>
  <c r="AJ53" i="50"/>
  <c r="E127" i="39"/>
  <c r="K127" i="39"/>
  <c r="AC127" i="39"/>
  <c r="AJ54" i="50"/>
  <c r="E128" i="39"/>
  <c r="K128" i="39"/>
  <c r="AC128" i="39"/>
  <c r="AJ55" i="50"/>
  <c r="E129" i="39"/>
  <c r="K129" i="39"/>
  <c r="AC129" i="39"/>
  <c r="AJ56" i="50"/>
  <c r="E130" i="39"/>
  <c r="K130" i="39"/>
  <c r="AC130" i="39"/>
  <c r="AJ57" i="50"/>
  <c r="E131" i="39"/>
  <c r="K131" i="39"/>
  <c r="AC131" i="39"/>
  <c r="AJ58" i="50"/>
  <c r="E132" i="39"/>
  <c r="K132" i="39"/>
  <c r="AC132" i="39"/>
  <c r="AC133" i="39"/>
  <c r="H176" i="39"/>
  <c r="AK53" i="50"/>
  <c r="F127" i="39"/>
  <c r="L127" i="39"/>
  <c r="AD127" i="39"/>
  <c r="AK54" i="50"/>
  <c r="F128" i="39"/>
  <c r="L128" i="39"/>
  <c r="AD128" i="39"/>
  <c r="AK55" i="50"/>
  <c r="F129" i="39"/>
  <c r="L129" i="39"/>
  <c r="AD129" i="39"/>
  <c r="AK56" i="50"/>
  <c r="F130" i="39"/>
  <c r="L130" i="39"/>
  <c r="AD130" i="39"/>
  <c r="AK57" i="50"/>
  <c r="F131" i="39"/>
  <c r="L131" i="39"/>
  <c r="AD131" i="39"/>
  <c r="AK58" i="50"/>
  <c r="F132" i="39"/>
  <c r="L132" i="39"/>
  <c r="AD132" i="39"/>
  <c r="AD133" i="39"/>
  <c r="I176" i="39"/>
  <c r="AL53" i="50"/>
  <c r="G127" i="39"/>
  <c r="M127" i="39"/>
  <c r="AE127" i="39"/>
  <c r="AL54" i="50"/>
  <c r="G128" i="39"/>
  <c r="M128" i="39"/>
  <c r="AE128" i="39"/>
  <c r="AL55" i="50"/>
  <c r="G129" i="39"/>
  <c r="M129" i="39"/>
  <c r="AE129" i="39"/>
  <c r="AL56" i="50"/>
  <c r="G130" i="39"/>
  <c r="M130" i="39"/>
  <c r="AE130" i="39"/>
  <c r="AL57" i="50"/>
  <c r="G131" i="39"/>
  <c r="M131" i="39"/>
  <c r="AE131" i="39"/>
  <c r="AL58" i="50"/>
  <c r="G132" i="39"/>
  <c r="M132" i="39"/>
  <c r="AE132" i="39"/>
  <c r="AE133" i="39"/>
  <c r="J176" i="39"/>
  <c r="K176" i="39"/>
  <c r="F189" i="39"/>
  <c r="H70" i="50"/>
  <c r="H85" i="37"/>
  <c r="B142" i="39"/>
  <c r="AI70" i="50"/>
  <c r="D142" i="39"/>
  <c r="J142" i="39"/>
  <c r="AB142" i="39"/>
  <c r="H71" i="50"/>
  <c r="H86" i="37"/>
  <c r="B143" i="39"/>
  <c r="AI71" i="50"/>
  <c r="D143" i="39"/>
  <c r="J143" i="39"/>
  <c r="AB143" i="39"/>
  <c r="C72" i="50"/>
  <c r="H72" i="50"/>
  <c r="H87" i="37"/>
  <c r="B144" i="39"/>
  <c r="AI72" i="50"/>
  <c r="D144" i="39"/>
  <c r="J144" i="39"/>
  <c r="AB144" i="39"/>
  <c r="C73" i="50"/>
  <c r="H73" i="50"/>
  <c r="H88" i="37"/>
  <c r="B145" i="39"/>
  <c r="AI73" i="50"/>
  <c r="D145" i="39"/>
  <c r="J145" i="39"/>
  <c r="AB145" i="39"/>
  <c r="C74" i="50"/>
  <c r="H74" i="50"/>
  <c r="H89" i="37"/>
  <c r="B146" i="39"/>
  <c r="AI74" i="50"/>
  <c r="D146" i="39"/>
  <c r="J146" i="39"/>
  <c r="AB146" i="39"/>
  <c r="C75" i="50"/>
  <c r="H75" i="50"/>
  <c r="H90" i="37"/>
  <c r="B147" i="39"/>
  <c r="AI75" i="50"/>
  <c r="D147" i="39"/>
  <c r="J147" i="39"/>
  <c r="AB147" i="39"/>
  <c r="AB148" i="39"/>
  <c r="G177" i="39"/>
  <c r="AJ70" i="50"/>
  <c r="E142" i="39"/>
  <c r="K142" i="39"/>
  <c r="AC142" i="39"/>
  <c r="AJ71" i="50"/>
  <c r="E143" i="39"/>
  <c r="K143" i="39"/>
  <c r="AC143" i="39"/>
  <c r="AJ72" i="50"/>
  <c r="E144" i="39"/>
  <c r="K144" i="39"/>
  <c r="AC144" i="39"/>
  <c r="AJ73" i="50"/>
  <c r="E145" i="39"/>
  <c r="K145" i="39"/>
  <c r="AC145" i="39"/>
  <c r="AJ74" i="50"/>
  <c r="E146" i="39"/>
  <c r="K146" i="39"/>
  <c r="AC146" i="39"/>
  <c r="AJ75" i="50"/>
  <c r="E147" i="39"/>
  <c r="K147" i="39"/>
  <c r="AC147" i="39"/>
  <c r="AC148" i="39"/>
  <c r="H177" i="39"/>
  <c r="AK70" i="50"/>
  <c r="F142" i="39"/>
  <c r="L142" i="39"/>
  <c r="AD142" i="39"/>
  <c r="AK71" i="50"/>
  <c r="F143" i="39"/>
  <c r="L143" i="39"/>
  <c r="AD143" i="39"/>
  <c r="AK72" i="50"/>
  <c r="F144" i="39"/>
  <c r="L144" i="39"/>
  <c r="AD144" i="39"/>
  <c r="AK73" i="50"/>
  <c r="F145" i="39"/>
  <c r="L145" i="39"/>
  <c r="AD145" i="39"/>
  <c r="AK74" i="50"/>
  <c r="F146" i="39"/>
  <c r="L146" i="39"/>
  <c r="AD146" i="39"/>
  <c r="AK75" i="50"/>
  <c r="F147" i="39"/>
  <c r="L147" i="39"/>
  <c r="AD147" i="39"/>
  <c r="AD148" i="39"/>
  <c r="I177" i="39"/>
  <c r="AL70" i="50"/>
  <c r="G142" i="39"/>
  <c r="M142" i="39"/>
  <c r="AE142" i="39"/>
  <c r="AL71" i="50"/>
  <c r="G143" i="39"/>
  <c r="M143" i="39"/>
  <c r="AE143" i="39"/>
  <c r="AL72" i="50"/>
  <c r="G144" i="39"/>
  <c r="M144" i="39"/>
  <c r="AE144" i="39"/>
  <c r="AL73" i="50"/>
  <c r="G145" i="39"/>
  <c r="M145" i="39"/>
  <c r="AE145" i="39"/>
  <c r="AL74" i="50"/>
  <c r="G146" i="39"/>
  <c r="M146" i="39"/>
  <c r="AE146" i="39"/>
  <c r="AL75" i="50"/>
  <c r="G147" i="39"/>
  <c r="M147" i="39"/>
  <c r="AE147" i="39"/>
  <c r="AE148" i="39"/>
  <c r="J177" i="39"/>
  <c r="K177" i="39"/>
  <c r="F190" i="39"/>
  <c r="B94" i="39"/>
  <c r="AI15" i="50"/>
  <c r="D94" i="39"/>
  <c r="J94" i="39"/>
  <c r="AB94" i="39"/>
  <c r="C16" i="50"/>
  <c r="H16" i="50"/>
  <c r="H28" i="37"/>
  <c r="B95" i="39"/>
  <c r="AI16" i="50"/>
  <c r="D95" i="39"/>
  <c r="J95" i="39"/>
  <c r="AB95" i="39"/>
  <c r="C17" i="50"/>
  <c r="H17" i="50"/>
  <c r="H29" i="37"/>
  <c r="B96" i="39"/>
  <c r="AI17" i="50"/>
  <c r="D96" i="39"/>
  <c r="J96" i="39"/>
  <c r="AB96" i="39"/>
  <c r="C18" i="50"/>
  <c r="H18" i="50"/>
  <c r="H30" i="37"/>
  <c r="B97" i="39"/>
  <c r="AI18" i="50"/>
  <c r="D97" i="39"/>
  <c r="J97" i="39"/>
  <c r="AB97" i="39"/>
  <c r="C19" i="50"/>
  <c r="H19" i="50"/>
  <c r="H31" i="37"/>
  <c r="B98" i="39"/>
  <c r="AI19" i="50"/>
  <c r="D98" i="39"/>
  <c r="J98" i="39"/>
  <c r="AB98" i="39"/>
  <c r="C20" i="50"/>
  <c r="H20" i="50"/>
  <c r="H32" i="37"/>
  <c r="B99" i="39"/>
  <c r="AI20" i="50"/>
  <c r="D99" i="39"/>
  <c r="J99" i="39"/>
  <c r="AB99" i="39"/>
  <c r="AB100" i="39"/>
  <c r="G174" i="39"/>
  <c r="AJ15" i="50"/>
  <c r="E94" i="39"/>
  <c r="K94" i="39"/>
  <c r="AC94" i="39"/>
  <c r="AJ16" i="50"/>
  <c r="E95" i="39"/>
  <c r="K95" i="39"/>
  <c r="AC95" i="39"/>
  <c r="AJ17" i="50"/>
  <c r="E96" i="39"/>
  <c r="K96" i="39"/>
  <c r="AC96" i="39"/>
  <c r="AJ18" i="50"/>
  <c r="E97" i="39"/>
  <c r="K97" i="39"/>
  <c r="AC97" i="39"/>
  <c r="AJ19" i="50"/>
  <c r="E98" i="39"/>
  <c r="K98" i="39"/>
  <c r="AC98" i="39"/>
  <c r="AJ20" i="50"/>
  <c r="E99" i="39"/>
  <c r="K99" i="39"/>
  <c r="AC99" i="39"/>
  <c r="AC100" i="39"/>
  <c r="H174" i="39"/>
  <c r="AK15" i="50"/>
  <c r="F94" i="39"/>
  <c r="L94" i="39"/>
  <c r="AD94" i="39"/>
  <c r="AK16" i="50"/>
  <c r="F95" i="39"/>
  <c r="L95" i="39"/>
  <c r="AD95" i="39"/>
  <c r="AK17" i="50"/>
  <c r="F96" i="39"/>
  <c r="L96" i="39"/>
  <c r="AD96" i="39"/>
  <c r="AK18" i="50"/>
  <c r="F97" i="39"/>
  <c r="L97" i="39"/>
  <c r="AD97" i="39"/>
  <c r="AK19" i="50"/>
  <c r="F98" i="39"/>
  <c r="L98" i="39"/>
  <c r="AD98" i="39"/>
  <c r="AK20" i="50"/>
  <c r="F99" i="39"/>
  <c r="L99" i="39"/>
  <c r="AD99" i="39"/>
  <c r="AD100" i="39"/>
  <c r="I174" i="39"/>
  <c r="AL15" i="50"/>
  <c r="G94" i="39"/>
  <c r="M94" i="39"/>
  <c r="AE94" i="39"/>
  <c r="AL16" i="50"/>
  <c r="G95" i="39"/>
  <c r="M95" i="39"/>
  <c r="AE95" i="39"/>
  <c r="AL17" i="50"/>
  <c r="G96" i="39"/>
  <c r="M96" i="39"/>
  <c r="AE96" i="39"/>
  <c r="AL18" i="50"/>
  <c r="G97" i="39"/>
  <c r="M97" i="39"/>
  <c r="AE97" i="39"/>
  <c r="AL19" i="50"/>
  <c r="G98" i="39"/>
  <c r="M98" i="39"/>
  <c r="AE98" i="39"/>
  <c r="AL20" i="50"/>
  <c r="G99" i="39"/>
  <c r="M99" i="39"/>
  <c r="AE99" i="39"/>
  <c r="AE100" i="39"/>
  <c r="J174" i="39"/>
  <c r="K174" i="39"/>
  <c r="F187" i="39"/>
  <c r="F191" i="39"/>
  <c r="B206" i="39"/>
  <c r="B16" i="39"/>
  <c r="B14" i="39"/>
  <c r="B8" i="39"/>
  <c r="A1" i="16"/>
  <c r="B47" i="36"/>
  <c r="D47" i="36"/>
  <c r="B99" i="34"/>
  <c r="B100" i="34"/>
  <c r="B101" i="34"/>
  <c r="B103" i="34"/>
  <c r="B104" i="34"/>
  <c r="B90" i="35"/>
  <c r="B92" i="34"/>
  <c r="B102" i="34"/>
  <c r="B98" i="34"/>
  <c r="B109" i="2"/>
  <c r="C60" i="1"/>
  <c r="C84" i="1"/>
  <c r="F84" i="1"/>
  <c r="C50" i="1"/>
  <c r="C83" i="1"/>
  <c r="F83" i="1"/>
  <c r="C47" i="1"/>
  <c r="C78" i="1"/>
  <c r="F78" i="1"/>
  <c r="C57" i="1"/>
  <c r="C79" i="1"/>
  <c r="F79" i="1"/>
  <c r="C44" i="1"/>
  <c r="C77" i="1"/>
  <c r="F77" i="1"/>
  <c r="B84" i="1"/>
  <c r="E84" i="1"/>
  <c r="B83" i="1"/>
  <c r="E83" i="1"/>
  <c r="B78" i="1"/>
  <c r="E78" i="1"/>
  <c r="B79" i="1"/>
  <c r="E79" i="1"/>
  <c r="B77" i="1"/>
  <c r="E77" i="1"/>
  <c r="B73" i="1"/>
  <c r="B71" i="1"/>
  <c r="B70" i="1"/>
  <c r="B69" i="1"/>
  <c r="B68" i="1"/>
  <c r="J14" i="54"/>
  <c r="H14" i="54"/>
  <c r="B10" i="33"/>
  <c r="B16" i="33"/>
  <c r="B8" i="33"/>
  <c r="E17" i="33"/>
  <c r="U34" i="2"/>
  <c r="U35" i="2"/>
  <c r="U33" i="2"/>
  <c r="U36" i="2"/>
  <c r="M12" i="53"/>
  <c r="O12" i="53"/>
  <c r="U47" i="2"/>
  <c r="U48" i="2"/>
  <c r="U46" i="2"/>
  <c r="M13" i="53"/>
  <c r="O13" i="53"/>
  <c r="U50" i="2"/>
  <c r="U51" i="2"/>
  <c r="U49" i="2"/>
  <c r="U67" i="2"/>
  <c r="U68" i="2"/>
  <c r="U69" i="2"/>
  <c r="U66" i="2"/>
  <c r="M14" i="53"/>
  <c r="O14" i="53"/>
  <c r="U53" i="2"/>
  <c r="U54" i="2"/>
  <c r="U52" i="2"/>
  <c r="U71" i="2"/>
  <c r="U72" i="2"/>
  <c r="U73" i="2"/>
  <c r="U70" i="2"/>
  <c r="M15" i="53"/>
  <c r="O15" i="53"/>
  <c r="M16" i="53"/>
  <c r="O16" i="53"/>
  <c r="O17" i="53"/>
  <c r="M25" i="53"/>
  <c r="O25" i="53"/>
  <c r="M26" i="53"/>
  <c r="O26" i="53"/>
  <c r="M27" i="53"/>
  <c r="O27" i="53"/>
  <c r="M28" i="53"/>
  <c r="O28" i="53"/>
  <c r="M29" i="53"/>
  <c r="O29" i="53"/>
  <c r="O30" i="53"/>
  <c r="O32" i="53"/>
  <c r="M35" i="53"/>
  <c r="M17" i="53"/>
  <c r="M30" i="53"/>
  <c r="M32" i="53"/>
  <c r="M36" i="53"/>
  <c r="H35" i="53"/>
  <c r="B11" i="4"/>
  <c r="D11" i="4"/>
  <c r="O45" i="4"/>
  <c r="E87" i="4"/>
  <c r="V45" i="4"/>
  <c r="I87" i="4"/>
  <c r="M87" i="4"/>
  <c r="O46" i="4"/>
  <c r="E88" i="4"/>
  <c r="V46" i="4"/>
  <c r="I88" i="4"/>
  <c r="M88" i="4"/>
  <c r="O47" i="4"/>
  <c r="E89" i="4"/>
  <c r="V47" i="4"/>
  <c r="I89" i="4"/>
  <c r="M89" i="4"/>
  <c r="J80" i="3"/>
  <c r="L80" i="3"/>
  <c r="B48" i="4"/>
  <c r="D48" i="4"/>
  <c r="O48" i="4"/>
  <c r="E90" i="4"/>
  <c r="V48" i="4"/>
  <c r="I90" i="4"/>
  <c r="M90" i="4"/>
  <c r="O49" i="4"/>
  <c r="E91" i="4"/>
  <c r="V49" i="4"/>
  <c r="I91" i="4"/>
  <c r="M91" i="4"/>
  <c r="O50" i="4"/>
  <c r="E92" i="4"/>
  <c r="V50" i="4"/>
  <c r="I92" i="4"/>
  <c r="M92" i="4"/>
  <c r="O51" i="4"/>
  <c r="E93" i="4"/>
  <c r="V51" i="4"/>
  <c r="I93" i="4"/>
  <c r="M93" i="4"/>
  <c r="O52" i="4"/>
  <c r="E94" i="4"/>
  <c r="V52" i="4"/>
  <c r="I94" i="4"/>
  <c r="M94" i="4"/>
  <c r="M95" i="4"/>
  <c r="O35" i="4"/>
  <c r="E77" i="4"/>
  <c r="V35" i="4"/>
  <c r="I77" i="4"/>
  <c r="M77" i="4"/>
  <c r="V36" i="4"/>
  <c r="I78" i="4"/>
  <c r="O36" i="4"/>
  <c r="E78" i="4"/>
  <c r="M78" i="4"/>
  <c r="H66" i="3"/>
  <c r="J66" i="3"/>
  <c r="C37" i="4"/>
  <c r="D37" i="4"/>
  <c r="O37" i="4"/>
  <c r="E79" i="4"/>
  <c r="V37" i="4"/>
  <c r="I79" i="4"/>
  <c r="M79" i="4"/>
  <c r="V38" i="4"/>
  <c r="I80" i="4"/>
  <c r="O38" i="4"/>
  <c r="E80" i="4"/>
  <c r="M80" i="4"/>
  <c r="O39" i="4"/>
  <c r="E81" i="4"/>
  <c r="V39" i="4"/>
  <c r="I81" i="4"/>
  <c r="M81" i="4"/>
  <c r="V40" i="4"/>
  <c r="I82" i="4"/>
  <c r="O40" i="4"/>
  <c r="E82" i="4"/>
  <c r="M82" i="4"/>
  <c r="O41" i="4"/>
  <c r="E83" i="4"/>
  <c r="V41" i="4"/>
  <c r="I83" i="4"/>
  <c r="M83" i="4"/>
  <c r="V42" i="4"/>
  <c r="I84" i="4"/>
  <c r="O42" i="4"/>
  <c r="E84" i="4"/>
  <c r="M84" i="4"/>
  <c r="M85" i="4"/>
  <c r="M96" i="4"/>
  <c r="B125" i="4"/>
  <c r="B20" i="4"/>
  <c r="D12" i="4"/>
  <c r="D13" i="4"/>
  <c r="E11" i="4"/>
  <c r="B10" i="2"/>
  <c r="B16" i="2"/>
  <c r="K46" i="2"/>
  <c r="E120" i="2"/>
  <c r="E119" i="2"/>
  <c r="E46" i="2"/>
  <c r="B120" i="2"/>
  <c r="B119" i="2"/>
  <c r="B146" i="2"/>
  <c r="K179" i="2"/>
  <c r="E231" i="2"/>
  <c r="E230" i="2"/>
  <c r="E179" i="2"/>
  <c r="B231" i="2"/>
  <c r="B230" i="2"/>
  <c r="B257" i="2"/>
  <c r="H47" i="2"/>
  <c r="H48" i="2"/>
  <c r="H46" i="2"/>
  <c r="C120" i="2"/>
  <c r="C119" i="2"/>
  <c r="B147" i="2"/>
  <c r="H180" i="2"/>
  <c r="H181" i="2"/>
  <c r="H179" i="2"/>
  <c r="C231" i="2"/>
  <c r="C230" i="2"/>
  <c r="B258" i="2"/>
  <c r="B20" i="2"/>
  <c r="E49" i="2"/>
  <c r="B122" i="2"/>
  <c r="E52" i="2"/>
  <c r="B123" i="2"/>
  <c r="B121" i="2"/>
  <c r="K49" i="2"/>
  <c r="E122" i="2"/>
  <c r="K52" i="2"/>
  <c r="E123" i="2"/>
  <c r="E121" i="2"/>
  <c r="B148" i="2"/>
  <c r="H50" i="2"/>
  <c r="H51" i="2"/>
  <c r="H49" i="2"/>
  <c r="C122" i="2"/>
  <c r="H53" i="2"/>
  <c r="H54" i="2"/>
  <c r="H52" i="2"/>
  <c r="C123" i="2"/>
  <c r="C121" i="2"/>
  <c r="B149" i="2"/>
  <c r="E182" i="2"/>
  <c r="B233" i="2"/>
  <c r="E185" i="2"/>
  <c r="B234" i="2"/>
  <c r="B232" i="2"/>
  <c r="K182" i="2"/>
  <c r="E233" i="2"/>
  <c r="K185" i="2"/>
  <c r="E234" i="2"/>
  <c r="E232" i="2"/>
  <c r="B259" i="2"/>
  <c r="H183" i="2"/>
  <c r="H184" i="2"/>
  <c r="H182" i="2"/>
  <c r="C233" i="2"/>
  <c r="H186" i="2"/>
  <c r="H187" i="2"/>
  <c r="H185" i="2"/>
  <c r="C234" i="2"/>
  <c r="C232" i="2"/>
  <c r="B260" i="2"/>
  <c r="B21" i="2"/>
  <c r="E66" i="2"/>
  <c r="B125" i="2"/>
  <c r="E70" i="2"/>
  <c r="B126" i="2"/>
  <c r="B124" i="2"/>
  <c r="K66" i="2"/>
  <c r="E125" i="2"/>
  <c r="K70" i="2"/>
  <c r="E126" i="2"/>
  <c r="E124" i="2"/>
  <c r="B150" i="2"/>
  <c r="H67" i="2"/>
  <c r="H68" i="2"/>
  <c r="H69" i="2"/>
  <c r="H66" i="2"/>
  <c r="C125" i="2"/>
  <c r="H71" i="2"/>
  <c r="H72" i="2"/>
  <c r="H73" i="2"/>
  <c r="H70" i="2"/>
  <c r="C126" i="2"/>
  <c r="C124" i="2"/>
  <c r="B151" i="2"/>
  <c r="E199" i="2"/>
  <c r="B236" i="2"/>
  <c r="E203" i="2"/>
  <c r="B237" i="2"/>
  <c r="B235" i="2"/>
  <c r="K199" i="2"/>
  <c r="E236" i="2"/>
  <c r="K203" i="2"/>
  <c r="E237" i="2"/>
  <c r="E235" i="2"/>
  <c r="B261" i="2"/>
  <c r="H200" i="2"/>
  <c r="H201" i="2"/>
  <c r="H202" i="2"/>
  <c r="H199" i="2"/>
  <c r="C236" i="2"/>
  <c r="H204" i="2"/>
  <c r="H205" i="2"/>
  <c r="H206" i="2"/>
  <c r="H203" i="2"/>
  <c r="C237" i="2"/>
  <c r="C235" i="2"/>
  <c r="B262" i="2"/>
  <c r="B22" i="2"/>
  <c r="B19" i="2"/>
  <c r="B8" i="2"/>
  <c r="E20" i="2"/>
  <c r="E21" i="2"/>
  <c r="E22" i="2"/>
  <c r="E19" i="2"/>
  <c r="E11" i="2"/>
  <c r="E12" i="2"/>
  <c r="E13" i="2"/>
  <c r="E14" i="2"/>
  <c r="E10" i="2"/>
  <c r="E11" i="1"/>
  <c r="C26" i="54"/>
  <c r="D26" i="54"/>
  <c r="E26" i="54"/>
  <c r="C27" i="54"/>
  <c r="D27" i="54"/>
  <c r="E27" i="54"/>
  <c r="C29" i="54"/>
  <c r="D29" i="54"/>
  <c r="E29" i="54"/>
  <c r="E30" i="54"/>
  <c r="E32" i="54"/>
  <c r="E16" i="54"/>
  <c r="P29" i="54"/>
  <c r="P13" i="54"/>
  <c r="H17" i="53"/>
  <c r="H30" i="53"/>
  <c r="H32" i="53"/>
  <c r="I32" i="53"/>
  <c r="I30" i="53"/>
  <c r="I29" i="53"/>
  <c r="I28" i="53"/>
  <c r="I27" i="53"/>
  <c r="I26" i="53"/>
  <c r="I25" i="53"/>
  <c r="I13" i="53"/>
  <c r="I14" i="53"/>
  <c r="I15" i="53"/>
  <c r="I16" i="53"/>
  <c r="I17" i="53"/>
  <c r="I12" i="53"/>
  <c r="V45" i="36"/>
  <c r="V46" i="36"/>
  <c r="V47" i="36"/>
  <c r="V48" i="36"/>
  <c r="V49" i="36"/>
  <c r="V50" i="36"/>
  <c r="V51" i="36"/>
  <c r="V52" i="36"/>
  <c r="V53" i="36"/>
  <c r="U53" i="36"/>
  <c r="O45" i="36"/>
  <c r="O46" i="36"/>
  <c r="O47" i="36"/>
  <c r="B48" i="36"/>
  <c r="D48" i="36"/>
  <c r="O48" i="36"/>
  <c r="J81" i="3"/>
  <c r="L81" i="3"/>
  <c r="B49" i="36"/>
  <c r="D49" i="36"/>
  <c r="O49" i="36"/>
  <c r="O50" i="36"/>
  <c r="O51" i="36"/>
  <c r="O52" i="36"/>
  <c r="O53" i="36"/>
  <c r="N53" i="36"/>
  <c r="B46" i="36"/>
  <c r="G46" i="36"/>
  <c r="B45" i="36"/>
  <c r="G45" i="36"/>
  <c r="G47" i="36"/>
  <c r="G48" i="36"/>
  <c r="G49" i="36"/>
  <c r="B50" i="36"/>
  <c r="G50" i="36"/>
  <c r="B51" i="36"/>
  <c r="G51" i="36"/>
  <c r="B52" i="36"/>
  <c r="G52" i="36"/>
  <c r="G53" i="36"/>
  <c r="D45" i="36"/>
  <c r="D46" i="36"/>
  <c r="D50" i="36"/>
  <c r="D51" i="36"/>
  <c r="D52" i="36"/>
  <c r="D53" i="36"/>
  <c r="V53" i="4"/>
  <c r="U53" i="4"/>
  <c r="B49" i="4"/>
  <c r="D49" i="4"/>
  <c r="O53" i="4"/>
  <c r="N53" i="4"/>
  <c r="B45" i="4"/>
  <c r="G45" i="4"/>
  <c r="B46" i="4"/>
  <c r="G46" i="4"/>
  <c r="G47" i="4"/>
  <c r="G48" i="4"/>
  <c r="G49" i="4"/>
  <c r="B50" i="4"/>
  <c r="G50" i="4"/>
  <c r="B51" i="4"/>
  <c r="G51" i="4"/>
  <c r="B52" i="4"/>
  <c r="G52" i="4"/>
  <c r="G53" i="4"/>
  <c r="D45" i="4"/>
  <c r="D46" i="4"/>
  <c r="D50" i="4"/>
  <c r="D51" i="4"/>
  <c r="D52" i="4"/>
  <c r="D53" i="4"/>
  <c r="J30" i="54"/>
  <c r="H30" i="54"/>
  <c r="H32" i="54"/>
  <c r="F35" i="53"/>
  <c r="C13" i="40"/>
  <c r="C14" i="40"/>
  <c r="C15" i="40"/>
  <c r="C16" i="40"/>
  <c r="C12" i="40"/>
  <c r="C9" i="40"/>
  <c r="C24" i="40"/>
  <c r="C23" i="40"/>
  <c r="C10" i="40"/>
  <c r="C7" i="40"/>
  <c r="C6" i="41"/>
  <c r="B24" i="42"/>
  <c r="B94" i="42"/>
  <c r="G24" i="40"/>
  <c r="G25" i="40"/>
  <c r="G26" i="40"/>
  <c r="G23" i="40"/>
  <c r="G39" i="40"/>
  <c r="B146" i="3"/>
  <c r="B24" i="3"/>
  <c r="K29" i="40"/>
  <c r="K28" i="40"/>
  <c r="G40" i="40"/>
  <c r="B112" i="3"/>
  <c r="B149" i="3"/>
  <c r="B27" i="3"/>
  <c r="K32" i="40"/>
  <c r="K31" i="40"/>
  <c r="G41" i="40"/>
  <c r="G42" i="40"/>
  <c r="H42" i="40"/>
  <c r="T160" i="42"/>
  <c r="T148" i="42"/>
  <c r="G85" i="5"/>
  <c r="J85" i="5"/>
  <c r="J86" i="5"/>
  <c r="J87" i="5"/>
  <c r="H73" i="24"/>
  <c r="G88" i="5"/>
  <c r="J88" i="5"/>
  <c r="J89" i="5"/>
  <c r="J90" i="5"/>
  <c r="J91" i="5"/>
  <c r="C106" i="5"/>
  <c r="R58" i="42"/>
  <c r="T58" i="42"/>
  <c r="T144" i="42"/>
  <c r="P78" i="6"/>
  <c r="C78" i="6"/>
  <c r="V78" i="6"/>
  <c r="P79" i="6"/>
  <c r="C79" i="6"/>
  <c r="V79" i="6"/>
  <c r="H72" i="24"/>
  <c r="G87" i="5"/>
  <c r="P80" i="6"/>
  <c r="C80" i="6"/>
  <c r="V80" i="6"/>
  <c r="P81" i="6"/>
  <c r="C81" i="6"/>
  <c r="V81" i="6"/>
  <c r="P82" i="6"/>
  <c r="C82" i="6"/>
  <c r="V82" i="6"/>
  <c r="P83" i="6"/>
  <c r="C83" i="6"/>
  <c r="V83" i="6"/>
  <c r="V84" i="6"/>
  <c r="B161" i="6"/>
  <c r="Q78" i="6"/>
  <c r="W78" i="6"/>
  <c r="Q79" i="6"/>
  <c r="W79" i="6"/>
  <c r="Q80" i="6"/>
  <c r="W80" i="6"/>
  <c r="Q81" i="6"/>
  <c r="W81" i="6"/>
  <c r="Q82" i="6"/>
  <c r="W82" i="6"/>
  <c r="Q83" i="6"/>
  <c r="W83" i="6"/>
  <c r="W84" i="6"/>
  <c r="C161" i="6"/>
  <c r="R78" i="6"/>
  <c r="X78" i="6"/>
  <c r="R79" i="6"/>
  <c r="X79" i="6"/>
  <c r="R80" i="6"/>
  <c r="X80" i="6"/>
  <c r="R81" i="6"/>
  <c r="X81" i="6"/>
  <c r="R82" i="6"/>
  <c r="X82" i="6"/>
  <c r="R83" i="6"/>
  <c r="X83" i="6"/>
  <c r="X84" i="6"/>
  <c r="D161" i="6"/>
  <c r="AF70" i="24"/>
  <c r="S78" i="6"/>
  <c r="Y78" i="6"/>
  <c r="AF71" i="24"/>
  <c r="S79" i="6"/>
  <c r="Y79" i="6"/>
  <c r="AF72" i="24"/>
  <c r="S80" i="6"/>
  <c r="Y80" i="6"/>
  <c r="AF73" i="24"/>
  <c r="S81" i="6"/>
  <c r="Y81" i="6"/>
  <c r="AF74" i="24"/>
  <c r="S82" i="6"/>
  <c r="Y82" i="6"/>
  <c r="AF75" i="24"/>
  <c r="S83" i="6"/>
  <c r="Y83" i="6"/>
  <c r="Y84" i="6"/>
  <c r="E161" i="6"/>
  <c r="F161" i="6"/>
  <c r="T56" i="42"/>
  <c r="T142" i="42"/>
  <c r="T132" i="42"/>
  <c r="T126" i="42"/>
  <c r="P63" i="6"/>
  <c r="C63" i="6"/>
  <c r="V63" i="6"/>
  <c r="P64" i="6"/>
  <c r="C64" i="6"/>
  <c r="V64" i="6"/>
  <c r="P65" i="6"/>
  <c r="C65" i="6"/>
  <c r="V65" i="6"/>
  <c r="P66" i="6"/>
  <c r="C66" i="6"/>
  <c r="V66" i="6"/>
  <c r="P67" i="6"/>
  <c r="C67" i="6"/>
  <c r="V67" i="6"/>
  <c r="P68" i="6"/>
  <c r="C68" i="6"/>
  <c r="V68" i="6"/>
  <c r="V69" i="6"/>
  <c r="B160" i="6"/>
  <c r="Q63" i="6"/>
  <c r="W63" i="6"/>
  <c r="Q64" i="6"/>
  <c r="W64" i="6"/>
  <c r="Q65" i="6"/>
  <c r="W65" i="6"/>
  <c r="Q66" i="6"/>
  <c r="W66" i="6"/>
  <c r="Q67" i="6"/>
  <c r="W67" i="6"/>
  <c r="Q68" i="6"/>
  <c r="W68" i="6"/>
  <c r="W69" i="6"/>
  <c r="C160" i="6"/>
  <c r="R63" i="6"/>
  <c r="X63" i="6"/>
  <c r="R64" i="6"/>
  <c r="X64" i="6"/>
  <c r="R65" i="6"/>
  <c r="X65" i="6"/>
  <c r="R66" i="6"/>
  <c r="X66" i="6"/>
  <c r="R67" i="6"/>
  <c r="X67" i="6"/>
  <c r="R68" i="6"/>
  <c r="X68" i="6"/>
  <c r="X69" i="6"/>
  <c r="D160" i="6"/>
  <c r="S63" i="6"/>
  <c r="Y63" i="6"/>
  <c r="S64" i="6"/>
  <c r="Y64" i="6"/>
  <c r="S65" i="6"/>
  <c r="Y65" i="6"/>
  <c r="S66" i="6"/>
  <c r="Y66" i="6"/>
  <c r="S67" i="6"/>
  <c r="Y67" i="6"/>
  <c r="S68" i="6"/>
  <c r="Y68" i="6"/>
  <c r="Y69" i="6"/>
  <c r="E160" i="6"/>
  <c r="F160" i="6"/>
  <c r="T38" i="42"/>
  <c r="T124" i="42"/>
  <c r="C30" i="54"/>
  <c r="I33" i="24"/>
  <c r="H46" i="5"/>
  <c r="T124" i="43"/>
  <c r="T30" i="43"/>
  <c r="J45" i="37"/>
  <c r="J46" i="37"/>
  <c r="J47" i="37"/>
  <c r="J48" i="37"/>
  <c r="J49" i="37"/>
  <c r="J50" i="37"/>
  <c r="J51" i="37"/>
  <c r="J52" i="37"/>
  <c r="J53" i="37"/>
  <c r="J54" i="37"/>
  <c r="J55" i="37"/>
  <c r="C104" i="37"/>
  <c r="M45" i="37"/>
  <c r="M46" i="37"/>
  <c r="M47" i="37"/>
  <c r="M48" i="37"/>
  <c r="M49" i="37"/>
  <c r="M50" i="37"/>
  <c r="M51" i="37"/>
  <c r="M52" i="37"/>
  <c r="M53" i="37"/>
  <c r="M54" i="37"/>
  <c r="M55" i="37"/>
  <c r="E104" i="37"/>
  <c r="H104" i="37"/>
  <c r="R32" i="43"/>
  <c r="J67" i="37"/>
  <c r="J68" i="37"/>
  <c r="J69" i="37"/>
  <c r="J70" i="37"/>
  <c r="J71" i="37"/>
  <c r="J72" i="37"/>
  <c r="J73" i="37"/>
  <c r="C105" i="37"/>
  <c r="J85" i="37"/>
  <c r="J86" i="37"/>
  <c r="J87" i="37"/>
  <c r="J88" i="37"/>
  <c r="J89" i="37"/>
  <c r="J90" i="37"/>
  <c r="J91" i="37"/>
  <c r="C106" i="37"/>
  <c r="J27" i="37"/>
  <c r="J29" i="37"/>
  <c r="J30" i="37"/>
  <c r="J31" i="37"/>
  <c r="J32" i="37"/>
  <c r="M67" i="37"/>
  <c r="M68" i="37"/>
  <c r="M69" i="37"/>
  <c r="M70" i="37"/>
  <c r="M71" i="37"/>
  <c r="M72" i="37"/>
  <c r="M73" i="37"/>
  <c r="E105" i="37"/>
  <c r="M85" i="37"/>
  <c r="M86" i="37"/>
  <c r="M87" i="37"/>
  <c r="M88" i="37"/>
  <c r="M89" i="37"/>
  <c r="M90" i="37"/>
  <c r="M91" i="37"/>
  <c r="E106" i="37"/>
  <c r="M27" i="37"/>
  <c r="M28" i="37"/>
  <c r="M29" i="37"/>
  <c r="M30" i="37"/>
  <c r="M31" i="37"/>
  <c r="M32" i="37"/>
  <c r="R26" i="43"/>
  <c r="P34" i="43"/>
  <c r="L89" i="36"/>
  <c r="L93" i="36"/>
  <c r="L94" i="36"/>
  <c r="N122" i="43"/>
  <c r="L122" i="43"/>
  <c r="L87" i="36"/>
  <c r="L77" i="36"/>
  <c r="L78" i="36"/>
  <c r="L79" i="36"/>
  <c r="L80" i="36"/>
  <c r="L81" i="36"/>
  <c r="L82" i="36"/>
  <c r="L83" i="36"/>
  <c r="L84" i="36"/>
  <c r="L85" i="36"/>
  <c r="E87" i="36"/>
  <c r="I87" i="36"/>
  <c r="M87" i="36"/>
  <c r="E88" i="36"/>
  <c r="E89" i="36"/>
  <c r="I89" i="36"/>
  <c r="M89" i="36"/>
  <c r="E90" i="36"/>
  <c r="E91" i="36"/>
  <c r="I91" i="36"/>
  <c r="M91" i="36"/>
  <c r="E92" i="36"/>
  <c r="I92" i="36"/>
  <c r="M92" i="36"/>
  <c r="E93" i="36"/>
  <c r="I93" i="36"/>
  <c r="M93" i="36"/>
  <c r="E94" i="36"/>
  <c r="I94" i="36"/>
  <c r="M94" i="36"/>
  <c r="O35" i="36"/>
  <c r="E77" i="36"/>
  <c r="V35" i="36"/>
  <c r="I77" i="36"/>
  <c r="M77" i="36"/>
  <c r="V36" i="36"/>
  <c r="I78" i="36"/>
  <c r="O36" i="36"/>
  <c r="E78" i="36"/>
  <c r="M78" i="36"/>
  <c r="C37" i="36"/>
  <c r="D37" i="36"/>
  <c r="O37" i="36"/>
  <c r="E79" i="36"/>
  <c r="V37" i="36"/>
  <c r="I79" i="36"/>
  <c r="M79" i="36"/>
  <c r="V38" i="36"/>
  <c r="I80" i="36"/>
  <c r="O38" i="36"/>
  <c r="E80" i="36"/>
  <c r="M80" i="36"/>
  <c r="O39" i="36"/>
  <c r="E81" i="36"/>
  <c r="V39" i="36"/>
  <c r="I81" i="36"/>
  <c r="M81" i="36"/>
  <c r="V40" i="36"/>
  <c r="I82" i="36"/>
  <c r="O40" i="36"/>
  <c r="E82" i="36"/>
  <c r="M82" i="36"/>
  <c r="O41" i="36"/>
  <c r="E83" i="36"/>
  <c r="V41" i="36"/>
  <c r="I83" i="36"/>
  <c r="M83" i="36"/>
  <c r="V42" i="36"/>
  <c r="I84" i="36"/>
  <c r="O42" i="36"/>
  <c r="E84" i="36"/>
  <c r="M84" i="36"/>
  <c r="M85" i="36"/>
  <c r="N97" i="43"/>
  <c r="L97" i="43"/>
  <c r="J45" i="5"/>
  <c r="J46" i="5"/>
  <c r="G47" i="5"/>
  <c r="J47" i="5"/>
  <c r="G48" i="5"/>
  <c r="J48" i="5"/>
  <c r="J49" i="5"/>
  <c r="J50" i="5"/>
  <c r="J51" i="5"/>
  <c r="J52" i="5"/>
  <c r="J53" i="5"/>
  <c r="J54" i="5"/>
  <c r="J55" i="5"/>
  <c r="C104" i="5"/>
  <c r="M45" i="5"/>
  <c r="M46" i="5"/>
  <c r="M47" i="5"/>
  <c r="M48" i="5"/>
  <c r="M49" i="5"/>
  <c r="M50" i="5"/>
  <c r="M51" i="5"/>
  <c r="M52" i="5"/>
  <c r="M53" i="5"/>
  <c r="M54" i="5"/>
  <c r="M55" i="5"/>
  <c r="E104" i="5"/>
  <c r="H104" i="5"/>
  <c r="R26" i="42"/>
  <c r="T26" i="42"/>
  <c r="N42" i="43"/>
  <c r="E35" i="33"/>
  <c r="F35" i="33"/>
  <c r="C35" i="33"/>
  <c r="C42" i="33"/>
  <c r="C92" i="33"/>
  <c r="F92" i="33"/>
  <c r="C43" i="33"/>
  <c r="C93" i="33"/>
  <c r="F93" i="33"/>
  <c r="F91" i="33"/>
  <c r="F119" i="33"/>
  <c r="C55" i="33"/>
  <c r="C105" i="33"/>
  <c r="F105" i="33"/>
  <c r="C56" i="33"/>
  <c r="C106" i="33"/>
  <c r="F106" i="33"/>
  <c r="F104" i="33"/>
  <c r="F123" i="33"/>
  <c r="F135" i="33"/>
  <c r="U34" i="34"/>
  <c r="W34" i="34"/>
  <c r="Y34" i="34"/>
  <c r="Z34" i="34"/>
  <c r="U35" i="34"/>
  <c r="W35" i="34"/>
  <c r="Y35" i="34"/>
  <c r="Z35" i="34"/>
  <c r="Z33" i="34"/>
  <c r="Z36" i="34"/>
  <c r="J116" i="34"/>
  <c r="J115" i="34"/>
  <c r="C135" i="34"/>
  <c r="C141" i="34"/>
  <c r="C158" i="33"/>
  <c r="H158" i="33"/>
  <c r="C160" i="33"/>
  <c r="H160" i="33"/>
  <c r="C161" i="33"/>
  <c r="H161" i="33"/>
  <c r="C162" i="33"/>
  <c r="H162" i="33"/>
  <c r="C163" i="33"/>
  <c r="H163" i="33"/>
  <c r="H159" i="33"/>
  <c r="H154" i="33"/>
  <c r="C170" i="33"/>
  <c r="C220" i="33"/>
  <c r="F220" i="33"/>
  <c r="C171" i="33"/>
  <c r="C221" i="33"/>
  <c r="F221" i="33"/>
  <c r="F219" i="33"/>
  <c r="F247" i="33"/>
  <c r="C183" i="33"/>
  <c r="C233" i="33"/>
  <c r="F233" i="33"/>
  <c r="C184" i="33"/>
  <c r="C234" i="33"/>
  <c r="F234" i="33"/>
  <c r="F232" i="33"/>
  <c r="F251" i="33"/>
  <c r="F263" i="33"/>
  <c r="U165" i="34"/>
  <c r="W165" i="34"/>
  <c r="Y165" i="34"/>
  <c r="Z165" i="34"/>
  <c r="U166" i="34"/>
  <c r="W166" i="34"/>
  <c r="Y166" i="34"/>
  <c r="Z166" i="34"/>
  <c r="Z164" i="34"/>
  <c r="Z167" i="34"/>
  <c r="J227" i="34"/>
  <c r="J226" i="34"/>
  <c r="C246" i="34"/>
  <c r="C252" i="34"/>
  <c r="C103" i="35"/>
  <c r="W34" i="2"/>
  <c r="Y34" i="2"/>
  <c r="Z34" i="2"/>
  <c r="W35" i="2"/>
  <c r="Y35" i="2"/>
  <c r="Z35" i="2"/>
  <c r="Z33" i="2"/>
  <c r="Z36" i="2"/>
  <c r="J118" i="2"/>
  <c r="J117" i="2"/>
  <c r="C137" i="2"/>
  <c r="W167" i="2"/>
  <c r="Y167" i="2"/>
  <c r="Z167" i="2"/>
  <c r="W168" i="2"/>
  <c r="Y168" i="2"/>
  <c r="Z168" i="2"/>
  <c r="Z166" i="2"/>
  <c r="Z169" i="2"/>
  <c r="J229" i="2"/>
  <c r="J228" i="2"/>
  <c r="C248" i="2"/>
  <c r="C11" i="2"/>
  <c r="AB47" i="2"/>
  <c r="W47" i="2"/>
  <c r="AC47" i="2"/>
  <c r="AD47" i="2"/>
  <c r="AE47" i="2"/>
  <c r="AF47" i="2"/>
  <c r="AB48" i="2"/>
  <c r="W48" i="2"/>
  <c r="AC48" i="2"/>
  <c r="AD48" i="2"/>
  <c r="AE48" i="2"/>
  <c r="AF48" i="2"/>
  <c r="AF46" i="2"/>
  <c r="L120" i="2"/>
  <c r="L119" i="2"/>
  <c r="AG47" i="2"/>
  <c r="AG48" i="2"/>
  <c r="AG46" i="2"/>
  <c r="M120" i="2"/>
  <c r="M119" i="2"/>
  <c r="X47" i="2"/>
  <c r="Y47" i="2"/>
  <c r="Z47" i="2"/>
  <c r="X48" i="2"/>
  <c r="Y48" i="2"/>
  <c r="Z48" i="2"/>
  <c r="Z46" i="2"/>
  <c r="J120" i="2"/>
  <c r="J119" i="2"/>
  <c r="C138" i="2"/>
  <c r="AB180" i="2"/>
  <c r="W180" i="2"/>
  <c r="AC180" i="2"/>
  <c r="AD180" i="2"/>
  <c r="AE180" i="2"/>
  <c r="AF180" i="2"/>
  <c r="AB181" i="2"/>
  <c r="W181" i="2"/>
  <c r="AC181" i="2"/>
  <c r="AD181" i="2"/>
  <c r="AE181" i="2"/>
  <c r="AF181" i="2"/>
  <c r="AF179" i="2"/>
  <c r="L231" i="2"/>
  <c r="AG180" i="2"/>
  <c r="AG181" i="2"/>
  <c r="AG179" i="2"/>
  <c r="M231" i="2"/>
  <c r="X180" i="2"/>
  <c r="Y180" i="2"/>
  <c r="Z180" i="2"/>
  <c r="X181" i="2"/>
  <c r="Y181" i="2"/>
  <c r="Z181" i="2"/>
  <c r="Z179" i="2"/>
  <c r="J231" i="2"/>
  <c r="C249" i="2"/>
  <c r="C12" i="2"/>
  <c r="V50" i="2"/>
  <c r="W50" i="2"/>
  <c r="X50" i="2"/>
  <c r="Y50" i="2"/>
  <c r="Z50" i="2"/>
  <c r="V51" i="2"/>
  <c r="W51" i="2"/>
  <c r="X51" i="2"/>
  <c r="Y51" i="2"/>
  <c r="Z51" i="2"/>
  <c r="Z49" i="2"/>
  <c r="J122" i="2"/>
  <c r="V53" i="2"/>
  <c r="W53" i="2"/>
  <c r="X53" i="2"/>
  <c r="Y53" i="2"/>
  <c r="Z53" i="2"/>
  <c r="V54" i="2"/>
  <c r="W54" i="2"/>
  <c r="X54" i="2"/>
  <c r="Y54" i="2"/>
  <c r="Z54" i="2"/>
  <c r="Z52" i="2"/>
  <c r="J123" i="2"/>
  <c r="J121" i="2"/>
  <c r="AB50" i="2"/>
  <c r="AC50" i="2"/>
  <c r="AD50" i="2"/>
  <c r="AE50" i="2"/>
  <c r="AF50" i="2"/>
  <c r="AB51" i="2"/>
  <c r="AC51" i="2"/>
  <c r="AD51" i="2"/>
  <c r="AE51" i="2"/>
  <c r="AF51" i="2"/>
  <c r="AF49" i="2"/>
  <c r="L122" i="2"/>
  <c r="AB53" i="2"/>
  <c r="AC53" i="2"/>
  <c r="AD53" i="2"/>
  <c r="AE53" i="2"/>
  <c r="AF53" i="2"/>
  <c r="AB54" i="2"/>
  <c r="AC54" i="2"/>
  <c r="AD54" i="2"/>
  <c r="AE54" i="2"/>
  <c r="AF54" i="2"/>
  <c r="AF52" i="2"/>
  <c r="L123" i="2"/>
  <c r="L121" i="2"/>
  <c r="AG50" i="2"/>
  <c r="AG51" i="2"/>
  <c r="AG49" i="2"/>
  <c r="M122" i="2"/>
  <c r="AG53" i="2"/>
  <c r="AG54" i="2"/>
  <c r="AG52" i="2"/>
  <c r="M123" i="2"/>
  <c r="M121" i="2"/>
  <c r="C139" i="2"/>
  <c r="V183" i="2"/>
  <c r="W183" i="2"/>
  <c r="X183" i="2"/>
  <c r="Y183" i="2"/>
  <c r="Z183" i="2"/>
  <c r="V184" i="2"/>
  <c r="W184" i="2"/>
  <c r="X184" i="2"/>
  <c r="Y184" i="2"/>
  <c r="Z184" i="2"/>
  <c r="Z182" i="2"/>
  <c r="J233" i="2"/>
  <c r="V186" i="2"/>
  <c r="W186" i="2"/>
  <c r="X186" i="2"/>
  <c r="Y186" i="2"/>
  <c r="Z186" i="2"/>
  <c r="V187" i="2"/>
  <c r="W187" i="2"/>
  <c r="X187" i="2"/>
  <c r="Y187" i="2"/>
  <c r="Z187" i="2"/>
  <c r="Z185" i="2"/>
  <c r="J234" i="2"/>
  <c r="J232" i="2"/>
  <c r="AB183" i="2"/>
  <c r="AC183" i="2"/>
  <c r="AD183" i="2"/>
  <c r="AE183" i="2"/>
  <c r="AF183" i="2"/>
  <c r="AB184" i="2"/>
  <c r="AC184" i="2"/>
  <c r="AD184" i="2"/>
  <c r="AE184" i="2"/>
  <c r="AF184" i="2"/>
  <c r="AF182" i="2"/>
  <c r="L233" i="2"/>
  <c r="AB186" i="2"/>
  <c r="AC186" i="2"/>
  <c r="AD186" i="2"/>
  <c r="AE186" i="2"/>
  <c r="AF186" i="2"/>
  <c r="AB187" i="2"/>
  <c r="AC187" i="2"/>
  <c r="AD187" i="2"/>
  <c r="AE187" i="2"/>
  <c r="AF187" i="2"/>
  <c r="AF185" i="2"/>
  <c r="L234" i="2"/>
  <c r="L232" i="2"/>
  <c r="AG183" i="2"/>
  <c r="AG184" i="2"/>
  <c r="AG182" i="2"/>
  <c r="M233" i="2"/>
  <c r="AG186" i="2"/>
  <c r="AG187" i="2"/>
  <c r="AG185" i="2"/>
  <c r="M234" i="2"/>
  <c r="M232" i="2"/>
  <c r="C250" i="2"/>
  <c r="C13" i="2"/>
  <c r="V67" i="2"/>
  <c r="W67" i="2"/>
  <c r="X67" i="2"/>
  <c r="Y67" i="2"/>
  <c r="Z67" i="2"/>
  <c r="V68" i="2"/>
  <c r="W68" i="2"/>
  <c r="X68" i="2"/>
  <c r="Y68" i="2"/>
  <c r="Z68" i="2"/>
  <c r="V69" i="2"/>
  <c r="W69" i="2"/>
  <c r="X69" i="2"/>
  <c r="Y69" i="2"/>
  <c r="Z69" i="2"/>
  <c r="Z66" i="2"/>
  <c r="J125" i="2"/>
  <c r="V71" i="2"/>
  <c r="W71" i="2"/>
  <c r="X71" i="2"/>
  <c r="Y71" i="2"/>
  <c r="Z71" i="2"/>
  <c r="V72" i="2"/>
  <c r="W72" i="2"/>
  <c r="X72" i="2"/>
  <c r="Y72" i="2"/>
  <c r="Z72" i="2"/>
  <c r="V73" i="2"/>
  <c r="W73" i="2"/>
  <c r="X73" i="2"/>
  <c r="Y73" i="2"/>
  <c r="Z73" i="2"/>
  <c r="Z70" i="2"/>
  <c r="J126" i="2"/>
  <c r="J124" i="2"/>
  <c r="AB67" i="2"/>
  <c r="AC67" i="2"/>
  <c r="AD67" i="2"/>
  <c r="AE67" i="2"/>
  <c r="AF67" i="2"/>
  <c r="AB68" i="2"/>
  <c r="AC68" i="2"/>
  <c r="AD68" i="2"/>
  <c r="AE68" i="2"/>
  <c r="AF68" i="2"/>
  <c r="AB69" i="2"/>
  <c r="AC69" i="2"/>
  <c r="AD69" i="2"/>
  <c r="AE69" i="2"/>
  <c r="AF69" i="2"/>
  <c r="AF66" i="2"/>
  <c r="L125" i="2"/>
  <c r="AB71" i="2"/>
  <c r="AC71" i="2"/>
  <c r="AD71" i="2"/>
  <c r="AE71" i="2"/>
  <c r="AF71" i="2"/>
  <c r="AB72" i="2"/>
  <c r="AC72" i="2"/>
  <c r="AD72" i="2"/>
  <c r="AE72" i="2"/>
  <c r="AF72" i="2"/>
  <c r="AB73" i="2"/>
  <c r="AC73" i="2"/>
  <c r="AD73" i="2"/>
  <c r="AE73" i="2"/>
  <c r="AF73" i="2"/>
  <c r="AF70" i="2"/>
  <c r="L126" i="2"/>
  <c r="L124" i="2"/>
  <c r="AG67" i="2"/>
  <c r="AG68" i="2"/>
  <c r="AG69" i="2"/>
  <c r="AG66" i="2"/>
  <c r="M125" i="2"/>
  <c r="AG71" i="2"/>
  <c r="AG72" i="2"/>
  <c r="AG73" i="2"/>
  <c r="AG70" i="2"/>
  <c r="M126" i="2"/>
  <c r="M124" i="2"/>
  <c r="C140" i="2"/>
  <c r="V200" i="2"/>
  <c r="W200" i="2"/>
  <c r="X200" i="2"/>
  <c r="Y200" i="2"/>
  <c r="Z200" i="2"/>
  <c r="V201" i="2"/>
  <c r="W201" i="2"/>
  <c r="X201" i="2"/>
  <c r="Y201" i="2"/>
  <c r="Z201" i="2"/>
  <c r="V202" i="2"/>
  <c r="W202" i="2"/>
  <c r="X202" i="2"/>
  <c r="Y202" i="2"/>
  <c r="Z202" i="2"/>
  <c r="Z199" i="2"/>
  <c r="J236" i="2"/>
  <c r="V204" i="2"/>
  <c r="W204" i="2"/>
  <c r="X204" i="2"/>
  <c r="Y204" i="2"/>
  <c r="Z204" i="2"/>
  <c r="V205" i="2"/>
  <c r="W205" i="2"/>
  <c r="X205" i="2"/>
  <c r="Y205" i="2"/>
  <c r="Z205" i="2"/>
  <c r="V206" i="2"/>
  <c r="W206" i="2"/>
  <c r="X206" i="2"/>
  <c r="Y206" i="2"/>
  <c r="Z206" i="2"/>
  <c r="Z203" i="2"/>
  <c r="J237" i="2"/>
  <c r="J235" i="2"/>
  <c r="AB200" i="2"/>
  <c r="AC200" i="2"/>
  <c r="AD200" i="2"/>
  <c r="AE200" i="2"/>
  <c r="AF200" i="2"/>
  <c r="AB201" i="2"/>
  <c r="AC201" i="2"/>
  <c r="AD201" i="2"/>
  <c r="AE201" i="2"/>
  <c r="AF201" i="2"/>
  <c r="AB202" i="2"/>
  <c r="AC202" i="2"/>
  <c r="AD202" i="2"/>
  <c r="AE202" i="2"/>
  <c r="AF202" i="2"/>
  <c r="AF199" i="2"/>
  <c r="L236" i="2"/>
  <c r="AB204" i="2"/>
  <c r="AC204" i="2"/>
  <c r="AD204" i="2"/>
  <c r="AE204" i="2"/>
  <c r="AF204" i="2"/>
  <c r="AB205" i="2"/>
  <c r="AC205" i="2"/>
  <c r="AD205" i="2"/>
  <c r="AE205" i="2"/>
  <c r="AF205" i="2"/>
  <c r="AB206" i="2"/>
  <c r="AC206" i="2"/>
  <c r="AD206" i="2"/>
  <c r="AE206" i="2"/>
  <c r="AF206" i="2"/>
  <c r="AF203" i="2"/>
  <c r="L237" i="2"/>
  <c r="L235" i="2"/>
  <c r="AG200" i="2"/>
  <c r="AG201" i="2"/>
  <c r="AG202" i="2"/>
  <c r="AG199" i="2"/>
  <c r="M236" i="2"/>
  <c r="AG204" i="2"/>
  <c r="AG205" i="2"/>
  <c r="AG206" i="2"/>
  <c r="AG203" i="2"/>
  <c r="M237" i="2"/>
  <c r="M235" i="2"/>
  <c r="C251" i="2"/>
  <c r="C14" i="2"/>
  <c r="C10" i="2"/>
  <c r="C143" i="2"/>
  <c r="C254" i="2"/>
  <c r="C17" i="2"/>
  <c r="C16" i="2"/>
  <c r="C305" i="2"/>
  <c r="C301" i="1"/>
  <c r="C300" i="1"/>
  <c r="C340" i="1"/>
  <c r="C290" i="2"/>
  <c r="C305" i="1"/>
  <c r="C342" i="1"/>
  <c r="C292" i="2"/>
  <c r="C314" i="1"/>
  <c r="C313" i="1"/>
  <c r="C341" i="1"/>
  <c r="C291" i="2"/>
  <c r="C318" i="1"/>
  <c r="C343" i="1"/>
  <c r="C293" i="2"/>
  <c r="C289" i="2"/>
  <c r="C302" i="1"/>
  <c r="C345" i="1"/>
  <c r="C295" i="2"/>
  <c r="C315" i="1"/>
  <c r="C346" i="1"/>
  <c r="C296" i="2"/>
  <c r="C294" i="2"/>
  <c r="C280" i="2"/>
  <c r="C299" i="2"/>
  <c r="C298" i="2"/>
  <c r="C297" i="2"/>
  <c r="C282" i="2"/>
  <c r="C302" i="2"/>
  <c r="C301" i="2"/>
  <c r="C300" i="2"/>
  <c r="C303" i="2"/>
  <c r="C307" i="2"/>
  <c r="B305" i="2"/>
  <c r="B301" i="1"/>
  <c r="B300" i="1"/>
  <c r="B340" i="1"/>
  <c r="B290" i="2"/>
  <c r="B305" i="1"/>
  <c r="B342" i="1"/>
  <c r="B292" i="2"/>
  <c r="B314" i="1"/>
  <c r="B313" i="1"/>
  <c r="B341" i="1"/>
  <c r="B291" i="2"/>
  <c r="B318" i="1"/>
  <c r="B343" i="1"/>
  <c r="B293" i="2"/>
  <c r="B289" i="2"/>
  <c r="B295" i="2"/>
  <c r="G230" i="2"/>
  <c r="B296" i="2"/>
  <c r="B294" i="2"/>
  <c r="B298" i="2"/>
  <c r="B299" i="2"/>
  <c r="B297" i="2"/>
  <c r="B301" i="2"/>
  <c r="B302" i="2"/>
  <c r="B300" i="2"/>
  <c r="B303" i="2"/>
  <c r="B307" i="2"/>
  <c r="C318" i="33"/>
  <c r="C343" i="33"/>
  <c r="C291" i="34"/>
  <c r="C305" i="33"/>
  <c r="C342" i="33"/>
  <c r="C290" i="34"/>
  <c r="C313" i="33"/>
  <c r="C341" i="33"/>
  <c r="C289" i="34"/>
  <c r="C300" i="33"/>
  <c r="C340" i="33"/>
  <c r="C288" i="34"/>
  <c r="B318" i="33"/>
  <c r="B343" i="33"/>
  <c r="B291" i="34"/>
  <c r="B305" i="33"/>
  <c r="B342" i="33"/>
  <c r="B290" i="34"/>
  <c r="B313" i="33"/>
  <c r="B341" i="33"/>
  <c r="B289" i="34"/>
  <c r="B300" i="33"/>
  <c r="B340" i="33"/>
  <c r="B288" i="34"/>
  <c r="C287" i="34"/>
  <c r="C293" i="34"/>
  <c r="C294" i="34"/>
  <c r="C292" i="34"/>
  <c r="C296" i="34"/>
  <c r="H53" i="34"/>
  <c r="H54" i="34"/>
  <c r="H52" i="34"/>
  <c r="C121" i="34"/>
  <c r="H184" i="34"/>
  <c r="H185" i="34"/>
  <c r="H183" i="34"/>
  <c r="C232" i="34"/>
  <c r="C278" i="34"/>
  <c r="C297" i="34"/>
  <c r="C295" i="34"/>
  <c r="C299" i="34"/>
  <c r="H67" i="34"/>
  <c r="H68" i="34"/>
  <c r="H69" i="34"/>
  <c r="H66" i="34"/>
  <c r="C123" i="34"/>
  <c r="H198" i="34"/>
  <c r="H199" i="34"/>
  <c r="H200" i="34"/>
  <c r="H197" i="34"/>
  <c r="C234" i="34"/>
  <c r="C280" i="34"/>
  <c r="C300" i="34"/>
  <c r="C298" i="34"/>
  <c r="C301" i="34"/>
  <c r="B287" i="34"/>
  <c r="B293" i="34"/>
  <c r="G228" i="34"/>
  <c r="B294" i="34"/>
  <c r="B292" i="34"/>
  <c r="B296" i="34"/>
  <c r="B297" i="34"/>
  <c r="B295" i="34"/>
  <c r="B299" i="34"/>
  <c r="B300" i="34"/>
  <c r="B298" i="34"/>
  <c r="B301" i="34"/>
  <c r="I34" i="34"/>
  <c r="N34" i="34"/>
  <c r="I35" i="34"/>
  <c r="N35" i="34"/>
  <c r="N33" i="34"/>
  <c r="N36" i="34"/>
  <c r="H34" i="34"/>
  <c r="H35" i="34"/>
  <c r="H33" i="34"/>
  <c r="H36" i="34"/>
  <c r="G116" i="34"/>
  <c r="I165" i="34"/>
  <c r="N165" i="34"/>
  <c r="I166" i="34"/>
  <c r="N166" i="34"/>
  <c r="N164" i="34"/>
  <c r="N167" i="34"/>
  <c r="H165" i="34"/>
  <c r="H166" i="34"/>
  <c r="H164" i="34"/>
  <c r="H167" i="34"/>
  <c r="G227" i="34"/>
  <c r="AA166" i="34"/>
  <c r="AB166" i="34"/>
  <c r="AG166" i="34"/>
  <c r="AJ166" i="34"/>
  <c r="Q166" i="34"/>
  <c r="AA35" i="34"/>
  <c r="AB35" i="34"/>
  <c r="AG35" i="34"/>
  <c r="AJ35" i="34"/>
  <c r="Q35" i="34"/>
  <c r="AA35" i="2"/>
  <c r="AB35" i="2"/>
  <c r="AG35" i="2"/>
  <c r="AJ35" i="2"/>
  <c r="H35" i="2"/>
  <c r="I35" i="2"/>
  <c r="N35" i="2"/>
  <c r="Q35" i="2"/>
  <c r="B106" i="35"/>
  <c r="B138" i="35"/>
  <c r="B105" i="36"/>
  <c r="B70" i="36"/>
  <c r="C105" i="36"/>
  <c r="D105" i="36"/>
  <c r="B120" i="36"/>
  <c r="B15" i="36"/>
  <c r="B16" i="36"/>
  <c r="B13" i="36"/>
  <c r="B129" i="36"/>
  <c r="B24" i="36"/>
  <c r="B128" i="36"/>
  <c r="B23" i="36"/>
  <c r="B22" i="36"/>
  <c r="B16" i="35"/>
  <c r="B17" i="35"/>
  <c r="B14" i="35"/>
  <c r="B23" i="35"/>
  <c r="B112" i="35"/>
  <c r="B149" i="35"/>
  <c r="B27" i="35"/>
  <c r="B26" i="35"/>
  <c r="B10" i="35"/>
  <c r="I65" i="35"/>
  <c r="I66" i="35"/>
  <c r="I67" i="35"/>
  <c r="I68" i="35"/>
  <c r="I69" i="35"/>
  <c r="B123" i="35"/>
  <c r="B142" i="35"/>
  <c r="B20" i="35"/>
  <c r="K77" i="35"/>
  <c r="K78" i="35"/>
  <c r="K79" i="35"/>
  <c r="K80" i="35"/>
  <c r="K81" i="35"/>
  <c r="K82" i="35"/>
  <c r="K83" i="35"/>
  <c r="K84" i="35"/>
  <c r="K85" i="35"/>
  <c r="B124" i="35"/>
  <c r="B143" i="35"/>
  <c r="B21" i="35"/>
  <c r="B19" i="35"/>
  <c r="B8" i="35"/>
  <c r="E177" i="34"/>
  <c r="B229" i="34"/>
  <c r="B228" i="34"/>
  <c r="K177" i="34"/>
  <c r="E229" i="34"/>
  <c r="E228" i="34"/>
  <c r="B255" i="34"/>
  <c r="H178" i="34"/>
  <c r="H179" i="34"/>
  <c r="H177" i="34"/>
  <c r="C229" i="34"/>
  <c r="C228" i="34"/>
  <c r="B256" i="34"/>
  <c r="E46" i="34"/>
  <c r="B118" i="34"/>
  <c r="B117" i="34"/>
  <c r="K46" i="34"/>
  <c r="E118" i="34"/>
  <c r="E117" i="34"/>
  <c r="B144" i="34"/>
  <c r="B20" i="34"/>
  <c r="E180" i="34"/>
  <c r="B231" i="34"/>
  <c r="E183" i="34"/>
  <c r="B232" i="34"/>
  <c r="B230" i="34"/>
  <c r="K180" i="34"/>
  <c r="E231" i="34"/>
  <c r="K183" i="34"/>
  <c r="E232" i="34"/>
  <c r="E230" i="34"/>
  <c r="B257" i="34"/>
  <c r="H181" i="34"/>
  <c r="H182" i="34"/>
  <c r="H180" i="34"/>
  <c r="C231" i="34"/>
  <c r="C230" i="34"/>
  <c r="B258" i="34"/>
  <c r="E49" i="34"/>
  <c r="B120" i="34"/>
  <c r="E52" i="34"/>
  <c r="B121" i="34"/>
  <c r="B119" i="34"/>
  <c r="K49" i="34"/>
  <c r="E120" i="34"/>
  <c r="K52" i="34"/>
  <c r="E121" i="34"/>
  <c r="E119" i="34"/>
  <c r="B146" i="34"/>
  <c r="H50" i="34"/>
  <c r="H51" i="34"/>
  <c r="H49" i="34"/>
  <c r="C120" i="34"/>
  <c r="C119" i="34"/>
  <c r="B147" i="34"/>
  <c r="B21" i="34"/>
  <c r="E197" i="34"/>
  <c r="B234" i="34"/>
  <c r="E201" i="34"/>
  <c r="B235" i="34"/>
  <c r="B233" i="34"/>
  <c r="K197" i="34"/>
  <c r="E234" i="34"/>
  <c r="K201" i="34"/>
  <c r="E235" i="34"/>
  <c r="E233" i="34"/>
  <c r="B259" i="34"/>
  <c r="H202" i="34"/>
  <c r="H203" i="34"/>
  <c r="H204" i="34"/>
  <c r="H201" i="34"/>
  <c r="C235" i="34"/>
  <c r="C233" i="34"/>
  <c r="B260" i="34"/>
  <c r="E66" i="34"/>
  <c r="B123" i="34"/>
  <c r="E70" i="34"/>
  <c r="B124" i="34"/>
  <c r="B122" i="34"/>
  <c r="K66" i="34"/>
  <c r="E123" i="34"/>
  <c r="K70" i="34"/>
  <c r="E124" i="34"/>
  <c r="E122" i="34"/>
  <c r="B148" i="34"/>
  <c r="H71" i="34"/>
  <c r="H72" i="34"/>
  <c r="H73" i="34"/>
  <c r="H70" i="34"/>
  <c r="C124" i="34"/>
  <c r="C122" i="34"/>
  <c r="B149" i="34"/>
  <c r="B22" i="34"/>
  <c r="B19" i="34"/>
  <c r="B8" i="34"/>
  <c r="P44" i="6"/>
  <c r="C44" i="6"/>
  <c r="V44" i="6"/>
  <c r="P45" i="6"/>
  <c r="C45" i="6"/>
  <c r="V45" i="6"/>
  <c r="P46" i="6"/>
  <c r="C46" i="6"/>
  <c r="V46" i="6"/>
  <c r="P47" i="6"/>
  <c r="C47" i="6"/>
  <c r="V47" i="6"/>
  <c r="P48" i="6"/>
  <c r="C48" i="6"/>
  <c r="V48" i="6"/>
  <c r="P49" i="6"/>
  <c r="C49" i="6"/>
  <c r="V49" i="6"/>
  <c r="P50" i="6"/>
  <c r="C50" i="6"/>
  <c r="V50" i="6"/>
  <c r="P51" i="6"/>
  <c r="C51" i="6"/>
  <c r="V51" i="6"/>
  <c r="P52" i="6"/>
  <c r="C52" i="6"/>
  <c r="V52" i="6"/>
  <c r="P53" i="6"/>
  <c r="C53" i="6"/>
  <c r="V53" i="6"/>
  <c r="V54" i="6"/>
  <c r="B159" i="6"/>
  <c r="Q44" i="6"/>
  <c r="W44" i="6"/>
  <c r="Q45" i="6"/>
  <c r="W45" i="6"/>
  <c r="Q46" i="6"/>
  <c r="W46" i="6"/>
  <c r="Q47" i="6"/>
  <c r="W47" i="6"/>
  <c r="Q48" i="6"/>
  <c r="W48" i="6"/>
  <c r="Q49" i="6"/>
  <c r="W49" i="6"/>
  <c r="Q50" i="6"/>
  <c r="W50" i="6"/>
  <c r="Q51" i="6"/>
  <c r="W51" i="6"/>
  <c r="Q52" i="6"/>
  <c r="W52" i="6"/>
  <c r="Q53" i="6"/>
  <c r="W53" i="6"/>
  <c r="W54" i="6"/>
  <c r="C159" i="6"/>
  <c r="R44" i="6"/>
  <c r="X44" i="6"/>
  <c r="R45" i="6"/>
  <c r="X45" i="6"/>
  <c r="R46" i="6"/>
  <c r="X46" i="6"/>
  <c r="R47" i="6"/>
  <c r="X47" i="6"/>
  <c r="R48" i="6"/>
  <c r="X48" i="6"/>
  <c r="R49" i="6"/>
  <c r="X49" i="6"/>
  <c r="R50" i="6"/>
  <c r="X50" i="6"/>
  <c r="R51" i="6"/>
  <c r="X51" i="6"/>
  <c r="R52" i="6"/>
  <c r="X52" i="6"/>
  <c r="R53" i="6"/>
  <c r="X53" i="6"/>
  <c r="X54" i="6"/>
  <c r="D159" i="6"/>
  <c r="S44" i="6"/>
  <c r="Y44" i="6"/>
  <c r="S45" i="6"/>
  <c r="Y45" i="6"/>
  <c r="S46" i="6"/>
  <c r="Y46" i="6"/>
  <c r="S47" i="6"/>
  <c r="Y47" i="6"/>
  <c r="S48" i="6"/>
  <c r="Y48" i="6"/>
  <c r="S49" i="6"/>
  <c r="Y49" i="6"/>
  <c r="S50" i="6"/>
  <c r="Y50" i="6"/>
  <c r="S51" i="6"/>
  <c r="Y51" i="6"/>
  <c r="S52" i="6"/>
  <c r="Y52" i="6"/>
  <c r="S53" i="6"/>
  <c r="Y53" i="6"/>
  <c r="Y54" i="6"/>
  <c r="E159" i="6"/>
  <c r="F159" i="6"/>
  <c r="B188" i="6"/>
  <c r="B190" i="6"/>
  <c r="P108" i="6"/>
  <c r="C108" i="6"/>
  <c r="V108" i="6"/>
  <c r="P109" i="6"/>
  <c r="C109" i="6"/>
  <c r="V109" i="6"/>
  <c r="P110" i="6"/>
  <c r="C110" i="6"/>
  <c r="V110" i="6"/>
  <c r="P111" i="6"/>
  <c r="C111" i="6"/>
  <c r="V111" i="6"/>
  <c r="P112" i="6"/>
  <c r="C112" i="6"/>
  <c r="V112" i="6"/>
  <c r="P113" i="6"/>
  <c r="C113" i="6"/>
  <c r="V113" i="6"/>
  <c r="P114" i="6"/>
  <c r="C114" i="6"/>
  <c r="V114" i="6"/>
  <c r="P115" i="6"/>
  <c r="C115" i="6"/>
  <c r="V115" i="6"/>
  <c r="P116" i="6"/>
  <c r="C116" i="6"/>
  <c r="V116" i="6"/>
  <c r="P117" i="6"/>
  <c r="C117" i="6"/>
  <c r="V117" i="6"/>
  <c r="V118" i="6"/>
  <c r="B175" i="6"/>
  <c r="Q108" i="6"/>
  <c r="W108" i="6"/>
  <c r="Q109" i="6"/>
  <c r="W109" i="6"/>
  <c r="Q110" i="6"/>
  <c r="W110" i="6"/>
  <c r="Q111" i="6"/>
  <c r="W111" i="6"/>
  <c r="Q112" i="6"/>
  <c r="W112" i="6"/>
  <c r="Q113" i="6"/>
  <c r="W113" i="6"/>
  <c r="Q114" i="6"/>
  <c r="W114" i="6"/>
  <c r="Q115" i="6"/>
  <c r="W115" i="6"/>
  <c r="Q116" i="6"/>
  <c r="W116" i="6"/>
  <c r="Q117" i="6"/>
  <c r="W117" i="6"/>
  <c r="W118" i="6"/>
  <c r="C175" i="6"/>
  <c r="R108" i="6"/>
  <c r="X108" i="6"/>
  <c r="R109" i="6"/>
  <c r="X109" i="6"/>
  <c r="R110" i="6"/>
  <c r="X110" i="6"/>
  <c r="R111" i="6"/>
  <c r="X111" i="6"/>
  <c r="R112" i="6"/>
  <c r="X112" i="6"/>
  <c r="R113" i="6"/>
  <c r="X113" i="6"/>
  <c r="R114" i="6"/>
  <c r="X114" i="6"/>
  <c r="R115" i="6"/>
  <c r="X115" i="6"/>
  <c r="R116" i="6"/>
  <c r="X116" i="6"/>
  <c r="R117" i="6"/>
  <c r="X117" i="6"/>
  <c r="X118" i="6"/>
  <c r="D175" i="6"/>
  <c r="S108" i="6"/>
  <c r="Y108" i="6"/>
  <c r="S109" i="6"/>
  <c r="Y109" i="6"/>
  <c r="S110" i="6"/>
  <c r="Y110" i="6"/>
  <c r="S111" i="6"/>
  <c r="Y111" i="6"/>
  <c r="S112" i="6"/>
  <c r="Y112" i="6"/>
  <c r="S113" i="6"/>
  <c r="Y113" i="6"/>
  <c r="S114" i="6"/>
  <c r="Y114" i="6"/>
  <c r="S115" i="6"/>
  <c r="Y115" i="6"/>
  <c r="S116" i="6"/>
  <c r="Y116" i="6"/>
  <c r="S117" i="6"/>
  <c r="Y117" i="6"/>
  <c r="Y118" i="6"/>
  <c r="E175" i="6"/>
  <c r="F175" i="6"/>
  <c r="E188" i="6"/>
  <c r="P142" i="6"/>
  <c r="C142" i="6"/>
  <c r="V142" i="6"/>
  <c r="P143" i="6"/>
  <c r="C143" i="6"/>
  <c r="V143" i="6"/>
  <c r="P144" i="6"/>
  <c r="C144" i="6"/>
  <c r="V144" i="6"/>
  <c r="P145" i="6"/>
  <c r="C145" i="6"/>
  <c r="V145" i="6"/>
  <c r="P146" i="6"/>
  <c r="C146" i="6"/>
  <c r="V146" i="6"/>
  <c r="P147" i="6"/>
  <c r="C147" i="6"/>
  <c r="V147" i="6"/>
  <c r="V148" i="6"/>
  <c r="B177" i="6"/>
  <c r="Q142" i="6"/>
  <c r="W142" i="6"/>
  <c r="Q143" i="6"/>
  <c r="W143" i="6"/>
  <c r="Q144" i="6"/>
  <c r="W144" i="6"/>
  <c r="Q145" i="6"/>
  <c r="W145" i="6"/>
  <c r="Q146" i="6"/>
  <c r="W146" i="6"/>
  <c r="Q147" i="6"/>
  <c r="W147" i="6"/>
  <c r="W148" i="6"/>
  <c r="C177" i="6"/>
  <c r="R142" i="6"/>
  <c r="X142" i="6"/>
  <c r="R143" i="6"/>
  <c r="X143" i="6"/>
  <c r="R144" i="6"/>
  <c r="X144" i="6"/>
  <c r="R145" i="6"/>
  <c r="X145" i="6"/>
  <c r="R146" i="6"/>
  <c r="X146" i="6"/>
  <c r="R147" i="6"/>
  <c r="X147" i="6"/>
  <c r="X148" i="6"/>
  <c r="D177" i="6"/>
  <c r="AU70" i="24"/>
  <c r="S142" i="6"/>
  <c r="Y142" i="6"/>
  <c r="AU71" i="24"/>
  <c r="S143" i="6"/>
  <c r="Y143" i="6"/>
  <c r="AU72" i="24"/>
  <c r="S144" i="6"/>
  <c r="Y144" i="6"/>
  <c r="AU73" i="24"/>
  <c r="S145" i="6"/>
  <c r="Y145" i="6"/>
  <c r="AU74" i="24"/>
  <c r="S146" i="6"/>
  <c r="Y146" i="6"/>
  <c r="AU75" i="24"/>
  <c r="S147" i="6"/>
  <c r="Y147" i="6"/>
  <c r="Y148" i="6"/>
  <c r="E177" i="6"/>
  <c r="F177" i="6"/>
  <c r="E190" i="6"/>
  <c r="C94" i="6"/>
  <c r="P96" i="6"/>
  <c r="C96" i="6"/>
  <c r="V96" i="6"/>
  <c r="P97" i="6"/>
  <c r="C97" i="6"/>
  <c r="V97" i="6"/>
  <c r="C98" i="6"/>
  <c r="C99" i="6"/>
  <c r="Q94" i="6"/>
  <c r="W94" i="6"/>
  <c r="Q97" i="6"/>
  <c r="W97" i="6"/>
  <c r="Q98" i="6"/>
  <c r="W98" i="6"/>
  <c r="R96" i="6"/>
  <c r="X96" i="6"/>
  <c r="R97" i="6"/>
  <c r="X97" i="6"/>
  <c r="S94" i="6"/>
  <c r="Y94" i="6"/>
  <c r="S96" i="6"/>
  <c r="Y96" i="6"/>
  <c r="S98" i="6"/>
  <c r="Y98" i="6"/>
  <c r="P127" i="6"/>
  <c r="C127" i="6"/>
  <c r="V127" i="6"/>
  <c r="P128" i="6"/>
  <c r="C128" i="6"/>
  <c r="V128" i="6"/>
  <c r="P129" i="6"/>
  <c r="C129" i="6"/>
  <c r="V129" i="6"/>
  <c r="P130" i="6"/>
  <c r="C130" i="6"/>
  <c r="V130" i="6"/>
  <c r="P131" i="6"/>
  <c r="C131" i="6"/>
  <c r="V131" i="6"/>
  <c r="P132" i="6"/>
  <c r="C132" i="6"/>
  <c r="V132" i="6"/>
  <c r="V133" i="6"/>
  <c r="B176" i="6"/>
  <c r="Q127" i="6"/>
  <c r="W127" i="6"/>
  <c r="Q128" i="6"/>
  <c r="W128" i="6"/>
  <c r="Q129" i="6"/>
  <c r="W129" i="6"/>
  <c r="Q130" i="6"/>
  <c r="W130" i="6"/>
  <c r="Q131" i="6"/>
  <c r="W131" i="6"/>
  <c r="Q132" i="6"/>
  <c r="W132" i="6"/>
  <c r="W133" i="6"/>
  <c r="C176" i="6"/>
  <c r="R127" i="6"/>
  <c r="X127" i="6"/>
  <c r="R128" i="6"/>
  <c r="X128" i="6"/>
  <c r="R129" i="6"/>
  <c r="X129" i="6"/>
  <c r="R130" i="6"/>
  <c r="X130" i="6"/>
  <c r="R131" i="6"/>
  <c r="X131" i="6"/>
  <c r="R132" i="6"/>
  <c r="X132" i="6"/>
  <c r="X133" i="6"/>
  <c r="D176" i="6"/>
  <c r="S127" i="6"/>
  <c r="Y127" i="6"/>
  <c r="S128" i="6"/>
  <c r="Y128" i="6"/>
  <c r="S129" i="6"/>
  <c r="Y129" i="6"/>
  <c r="S130" i="6"/>
  <c r="Y130" i="6"/>
  <c r="S131" i="6"/>
  <c r="Y131" i="6"/>
  <c r="S132" i="6"/>
  <c r="Y132" i="6"/>
  <c r="Y133" i="6"/>
  <c r="E176" i="6"/>
  <c r="F176" i="6"/>
  <c r="E189" i="6"/>
  <c r="B44" i="6"/>
  <c r="D44" i="6"/>
  <c r="J44" i="6"/>
  <c r="AB44" i="6"/>
  <c r="B45" i="6"/>
  <c r="D45" i="6"/>
  <c r="J45" i="6"/>
  <c r="AB45" i="6"/>
  <c r="B46" i="6"/>
  <c r="D46" i="6"/>
  <c r="J46" i="6"/>
  <c r="AB46" i="6"/>
  <c r="B47" i="6"/>
  <c r="D47" i="6"/>
  <c r="J47" i="6"/>
  <c r="AB47" i="6"/>
  <c r="D48" i="6"/>
  <c r="G49" i="5"/>
  <c r="B48" i="6"/>
  <c r="J48" i="6"/>
  <c r="AB48" i="6"/>
  <c r="D49" i="6"/>
  <c r="G50" i="5"/>
  <c r="B49" i="6"/>
  <c r="J49" i="6"/>
  <c r="AB49" i="6"/>
  <c r="D50" i="6"/>
  <c r="G51" i="5"/>
  <c r="B50" i="6"/>
  <c r="J50" i="6"/>
  <c r="AB50" i="6"/>
  <c r="D51" i="6"/>
  <c r="G52" i="5"/>
  <c r="B51" i="6"/>
  <c r="J51" i="6"/>
  <c r="AB51" i="6"/>
  <c r="D52" i="6"/>
  <c r="G53" i="5"/>
  <c r="B52" i="6"/>
  <c r="J52" i="6"/>
  <c r="AB52" i="6"/>
  <c r="D53" i="6"/>
  <c r="G54" i="5"/>
  <c r="B53" i="6"/>
  <c r="J53" i="6"/>
  <c r="AB53" i="6"/>
  <c r="AB54" i="6"/>
  <c r="G159" i="6"/>
  <c r="E44" i="6"/>
  <c r="K44" i="6"/>
  <c r="AC44" i="6"/>
  <c r="E45" i="6"/>
  <c r="K45" i="6"/>
  <c r="AC45" i="6"/>
  <c r="E46" i="6"/>
  <c r="K46" i="6"/>
  <c r="AC46" i="6"/>
  <c r="E47" i="6"/>
  <c r="K47" i="6"/>
  <c r="AC47" i="6"/>
  <c r="E48" i="6"/>
  <c r="K48" i="6"/>
  <c r="AC48" i="6"/>
  <c r="E49" i="6"/>
  <c r="K49" i="6"/>
  <c r="AC49" i="6"/>
  <c r="E50" i="6"/>
  <c r="K50" i="6"/>
  <c r="AC50" i="6"/>
  <c r="E51" i="6"/>
  <c r="K51" i="6"/>
  <c r="AC51" i="6"/>
  <c r="E52" i="6"/>
  <c r="K52" i="6"/>
  <c r="AC52" i="6"/>
  <c r="E53" i="6"/>
  <c r="K53" i="6"/>
  <c r="AC53" i="6"/>
  <c r="AC54" i="6"/>
  <c r="H159" i="6"/>
  <c r="F44" i="6"/>
  <c r="L44" i="6"/>
  <c r="AD44" i="6"/>
  <c r="F45" i="6"/>
  <c r="L45" i="6"/>
  <c r="AD45" i="6"/>
  <c r="F46" i="6"/>
  <c r="L46" i="6"/>
  <c r="AD46" i="6"/>
  <c r="F47" i="6"/>
  <c r="L47" i="6"/>
  <c r="AD47" i="6"/>
  <c r="F48" i="6"/>
  <c r="L48" i="6"/>
  <c r="AD48" i="6"/>
  <c r="F49" i="6"/>
  <c r="L49" i="6"/>
  <c r="AD49" i="6"/>
  <c r="F50" i="6"/>
  <c r="L50" i="6"/>
  <c r="AD50" i="6"/>
  <c r="F51" i="6"/>
  <c r="L51" i="6"/>
  <c r="AD51" i="6"/>
  <c r="F52" i="6"/>
  <c r="L52" i="6"/>
  <c r="AD52" i="6"/>
  <c r="F53" i="6"/>
  <c r="L53" i="6"/>
  <c r="AD53" i="6"/>
  <c r="AD54" i="6"/>
  <c r="I159" i="6"/>
  <c r="G44" i="6"/>
  <c r="M44" i="6"/>
  <c r="AE44" i="6"/>
  <c r="G45" i="6"/>
  <c r="M45" i="6"/>
  <c r="AE45" i="6"/>
  <c r="G46" i="6"/>
  <c r="M46" i="6"/>
  <c r="AE46" i="6"/>
  <c r="G47" i="6"/>
  <c r="M47" i="6"/>
  <c r="AE47" i="6"/>
  <c r="G48" i="6"/>
  <c r="M48" i="6"/>
  <c r="AE48" i="6"/>
  <c r="G49" i="6"/>
  <c r="M49" i="6"/>
  <c r="AE49" i="6"/>
  <c r="G50" i="6"/>
  <c r="M50" i="6"/>
  <c r="AE50" i="6"/>
  <c r="G51" i="6"/>
  <c r="M51" i="6"/>
  <c r="AE51" i="6"/>
  <c r="G52" i="6"/>
  <c r="M52" i="6"/>
  <c r="AE52" i="6"/>
  <c r="G53" i="6"/>
  <c r="M53" i="6"/>
  <c r="AE53" i="6"/>
  <c r="AE54" i="6"/>
  <c r="J159" i="6"/>
  <c r="K159" i="6"/>
  <c r="C188" i="6"/>
  <c r="B78" i="6"/>
  <c r="D78" i="6"/>
  <c r="J78" i="6"/>
  <c r="AB78" i="6"/>
  <c r="B79" i="6"/>
  <c r="D79" i="6"/>
  <c r="J79" i="6"/>
  <c r="AB79" i="6"/>
  <c r="B80" i="6"/>
  <c r="D80" i="6"/>
  <c r="J80" i="6"/>
  <c r="AB80" i="6"/>
  <c r="B81" i="6"/>
  <c r="D81" i="6"/>
  <c r="J81" i="6"/>
  <c r="AB81" i="6"/>
  <c r="D82" i="6"/>
  <c r="G89" i="5"/>
  <c r="B82" i="6"/>
  <c r="J82" i="6"/>
  <c r="AB82" i="6"/>
  <c r="D83" i="6"/>
  <c r="G90" i="5"/>
  <c r="B83" i="6"/>
  <c r="J83" i="6"/>
  <c r="AB83" i="6"/>
  <c r="AB84" i="6"/>
  <c r="G161" i="6"/>
  <c r="E78" i="6"/>
  <c r="K78" i="6"/>
  <c r="AC78" i="6"/>
  <c r="E79" i="6"/>
  <c r="K79" i="6"/>
  <c r="AC79" i="6"/>
  <c r="E80" i="6"/>
  <c r="K80" i="6"/>
  <c r="AC80" i="6"/>
  <c r="E81" i="6"/>
  <c r="K81" i="6"/>
  <c r="AC81" i="6"/>
  <c r="E82" i="6"/>
  <c r="K82" i="6"/>
  <c r="AC82" i="6"/>
  <c r="E83" i="6"/>
  <c r="K83" i="6"/>
  <c r="AC83" i="6"/>
  <c r="AC84" i="6"/>
  <c r="H161" i="6"/>
  <c r="F78" i="6"/>
  <c r="L78" i="6"/>
  <c r="AD78" i="6"/>
  <c r="F79" i="6"/>
  <c r="L79" i="6"/>
  <c r="AD79" i="6"/>
  <c r="F80" i="6"/>
  <c r="L80" i="6"/>
  <c r="AD80" i="6"/>
  <c r="F81" i="6"/>
  <c r="L81" i="6"/>
  <c r="AD81" i="6"/>
  <c r="F82" i="6"/>
  <c r="L82" i="6"/>
  <c r="AD82" i="6"/>
  <c r="F83" i="6"/>
  <c r="L83" i="6"/>
  <c r="AD83" i="6"/>
  <c r="AD84" i="6"/>
  <c r="I161" i="6"/>
  <c r="G78" i="6"/>
  <c r="M78" i="6"/>
  <c r="AE78" i="6"/>
  <c r="G79" i="6"/>
  <c r="M79" i="6"/>
  <c r="AE79" i="6"/>
  <c r="G80" i="6"/>
  <c r="M80" i="6"/>
  <c r="AE80" i="6"/>
  <c r="G81" i="6"/>
  <c r="M81" i="6"/>
  <c r="AE81" i="6"/>
  <c r="G82" i="6"/>
  <c r="M82" i="6"/>
  <c r="AE82" i="6"/>
  <c r="G83" i="6"/>
  <c r="M83" i="6"/>
  <c r="AE83" i="6"/>
  <c r="AE84" i="6"/>
  <c r="J161" i="6"/>
  <c r="K161" i="6"/>
  <c r="C190" i="6"/>
  <c r="F29" i="6"/>
  <c r="I32" i="24"/>
  <c r="H45" i="5"/>
  <c r="B108" i="6"/>
  <c r="D108" i="6"/>
  <c r="J108" i="6"/>
  <c r="AB108" i="6"/>
  <c r="B109" i="6"/>
  <c r="D109" i="6"/>
  <c r="J109" i="6"/>
  <c r="AB109" i="6"/>
  <c r="I34" i="24"/>
  <c r="H47" i="5"/>
  <c r="B110" i="6"/>
  <c r="D110" i="6"/>
  <c r="J110" i="6"/>
  <c r="AB110" i="6"/>
  <c r="I35" i="24"/>
  <c r="H48" i="5"/>
  <c r="B111" i="6"/>
  <c r="D111" i="6"/>
  <c r="J111" i="6"/>
  <c r="AB111" i="6"/>
  <c r="I36" i="24"/>
  <c r="H49" i="5"/>
  <c r="B112" i="6"/>
  <c r="D112" i="6"/>
  <c r="J112" i="6"/>
  <c r="AB112" i="6"/>
  <c r="I37" i="24"/>
  <c r="H50" i="5"/>
  <c r="B113" i="6"/>
  <c r="D113" i="6"/>
  <c r="J113" i="6"/>
  <c r="AB113" i="6"/>
  <c r="I38" i="24"/>
  <c r="H51" i="5"/>
  <c r="B114" i="6"/>
  <c r="D114" i="6"/>
  <c r="J114" i="6"/>
  <c r="AB114" i="6"/>
  <c r="I39" i="24"/>
  <c r="H52" i="5"/>
  <c r="B115" i="6"/>
  <c r="D115" i="6"/>
  <c r="J115" i="6"/>
  <c r="AB115" i="6"/>
  <c r="I40" i="24"/>
  <c r="H53" i="5"/>
  <c r="B116" i="6"/>
  <c r="D116" i="6"/>
  <c r="J116" i="6"/>
  <c r="AB116" i="6"/>
  <c r="I41" i="24"/>
  <c r="H54" i="5"/>
  <c r="B117" i="6"/>
  <c r="D117" i="6"/>
  <c r="J117" i="6"/>
  <c r="AB117" i="6"/>
  <c r="AB118" i="6"/>
  <c r="G175" i="6"/>
  <c r="E108" i="6"/>
  <c r="K108" i="6"/>
  <c r="AC108" i="6"/>
  <c r="E109" i="6"/>
  <c r="K109" i="6"/>
  <c r="AC109" i="6"/>
  <c r="E110" i="6"/>
  <c r="K110" i="6"/>
  <c r="AC110" i="6"/>
  <c r="E111" i="6"/>
  <c r="K111" i="6"/>
  <c r="AC111" i="6"/>
  <c r="E112" i="6"/>
  <c r="K112" i="6"/>
  <c r="AC112" i="6"/>
  <c r="E113" i="6"/>
  <c r="K113" i="6"/>
  <c r="AC113" i="6"/>
  <c r="E114" i="6"/>
  <c r="K114" i="6"/>
  <c r="AC114" i="6"/>
  <c r="E115" i="6"/>
  <c r="K115" i="6"/>
  <c r="AC115" i="6"/>
  <c r="E116" i="6"/>
  <c r="K116" i="6"/>
  <c r="AC116" i="6"/>
  <c r="E117" i="6"/>
  <c r="K117" i="6"/>
  <c r="AC117" i="6"/>
  <c r="AC118" i="6"/>
  <c r="H175" i="6"/>
  <c r="F108" i="6"/>
  <c r="L108" i="6"/>
  <c r="AD108" i="6"/>
  <c r="F109" i="6"/>
  <c r="L109" i="6"/>
  <c r="AD109" i="6"/>
  <c r="F110" i="6"/>
  <c r="L110" i="6"/>
  <c r="AD110" i="6"/>
  <c r="F111" i="6"/>
  <c r="L111" i="6"/>
  <c r="AD111" i="6"/>
  <c r="F112" i="6"/>
  <c r="L112" i="6"/>
  <c r="AD112" i="6"/>
  <c r="F113" i="6"/>
  <c r="L113" i="6"/>
  <c r="AD113" i="6"/>
  <c r="F114" i="6"/>
  <c r="L114" i="6"/>
  <c r="AD114" i="6"/>
  <c r="F115" i="6"/>
  <c r="L115" i="6"/>
  <c r="AD115" i="6"/>
  <c r="F116" i="6"/>
  <c r="L116" i="6"/>
  <c r="AD116" i="6"/>
  <c r="F117" i="6"/>
  <c r="L117" i="6"/>
  <c r="AD117" i="6"/>
  <c r="AD118" i="6"/>
  <c r="I175" i="6"/>
  <c r="G108" i="6"/>
  <c r="M108" i="6"/>
  <c r="AE108" i="6"/>
  <c r="G109" i="6"/>
  <c r="M109" i="6"/>
  <c r="AE109" i="6"/>
  <c r="G110" i="6"/>
  <c r="M110" i="6"/>
  <c r="AE110" i="6"/>
  <c r="G111" i="6"/>
  <c r="M111" i="6"/>
  <c r="AE111" i="6"/>
  <c r="G112" i="6"/>
  <c r="M112" i="6"/>
  <c r="AE112" i="6"/>
  <c r="G113" i="6"/>
  <c r="M113" i="6"/>
  <c r="AE113" i="6"/>
  <c r="G114" i="6"/>
  <c r="M114" i="6"/>
  <c r="AE114" i="6"/>
  <c r="G115" i="6"/>
  <c r="M115" i="6"/>
  <c r="AE115" i="6"/>
  <c r="G116" i="6"/>
  <c r="M116" i="6"/>
  <c r="AE116" i="6"/>
  <c r="G117" i="6"/>
  <c r="M117" i="6"/>
  <c r="AE117" i="6"/>
  <c r="AE118" i="6"/>
  <c r="J175" i="6"/>
  <c r="K175" i="6"/>
  <c r="F188" i="6"/>
  <c r="I70" i="24"/>
  <c r="H85" i="5"/>
  <c r="B142" i="6"/>
  <c r="D142" i="6"/>
  <c r="J142" i="6"/>
  <c r="AB142" i="6"/>
  <c r="I71" i="24"/>
  <c r="H86" i="5"/>
  <c r="B143" i="6"/>
  <c r="D143" i="6"/>
  <c r="J143" i="6"/>
  <c r="AB143" i="6"/>
  <c r="I72" i="24"/>
  <c r="H87" i="5"/>
  <c r="B144" i="6"/>
  <c r="D144" i="6"/>
  <c r="J144" i="6"/>
  <c r="AB144" i="6"/>
  <c r="I73" i="24"/>
  <c r="H88" i="5"/>
  <c r="B145" i="6"/>
  <c r="D145" i="6"/>
  <c r="J145" i="6"/>
  <c r="AB145" i="6"/>
  <c r="I74" i="24"/>
  <c r="H89" i="5"/>
  <c r="B146" i="6"/>
  <c r="D146" i="6"/>
  <c r="J146" i="6"/>
  <c r="AB146" i="6"/>
  <c r="I75" i="24"/>
  <c r="H90" i="5"/>
  <c r="B147" i="6"/>
  <c r="D147" i="6"/>
  <c r="J147" i="6"/>
  <c r="AB147" i="6"/>
  <c r="AB148" i="6"/>
  <c r="G177" i="6"/>
  <c r="E142" i="6"/>
  <c r="K142" i="6"/>
  <c r="AC142" i="6"/>
  <c r="E143" i="6"/>
  <c r="K143" i="6"/>
  <c r="AC143" i="6"/>
  <c r="E144" i="6"/>
  <c r="K144" i="6"/>
  <c r="AC144" i="6"/>
  <c r="E145" i="6"/>
  <c r="K145" i="6"/>
  <c r="AC145" i="6"/>
  <c r="E146" i="6"/>
  <c r="K146" i="6"/>
  <c r="AC146" i="6"/>
  <c r="E147" i="6"/>
  <c r="K147" i="6"/>
  <c r="AC147" i="6"/>
  <c r="AC148" i="6"/>
  <c r="H177" i="6"/>
  <c r="F142" i="6"/>
  <c r="L142" i="6"/>
  <c r="AD142" i="6"/>
  <c r="F143" i="6"/>
  <c r="L143" i="6"/>
  <c r="AD143" i="6"/>
  <c r="F144" i="6"/>
  <c r="L144" i="6"/>
  <c r="AD144" i="6"/>
  <c r="F145" i="6"/>
  <c r="L145" i="6"/>
  <c r="AD145" i="6"/>
  <c r="F146" i="6"/>
  <c r="L146" i="6"/>
  <c r="AD146" i="6"/>
  <c r="F147" i="6"/>
  <c r="L147" i="6"/>
  <c r="AD147" i="6"/>
  <c r="AD148" i="6"/>
  <c r="I177" i="6"/>
  <c r="G142" i="6"/>
  <c r="M142" i="6"/>
  <c r="AE142" i="6"/>
  <c r="G143" i="6"/>
  <c r="M143" i="6"/>
  <c r="AE143" i="6"/>
  <c r="G144" i="6"/>
  <c r="M144" i="6"/>
  <c r="AE144" i="6"/>
  <c r="G145" i="6"/>
  <c r="M145" i="6"/>
  <c r="AE145" i="6"/>
  <c r="G146" i="6"/>
  <c r="M146" i="6"/>
  <c r="AE146" i="6"/>
  <c r="G147" i="6"/>
  <c r="M147" i="6"/>
  <c r="AE147" i="6"/>
  <c r="AE148" i="6"/>
  <c r="J177" i="6"/>
  <c r="K177" i="6"/>
  <c r="F190" i="6"/>
  <c r="I53" i="24"/>
  <c r="H67" i="5"/>
  <c r="B127" i="6"/>
  <c r="D127" i="6"/>
  <c r="J127" i="6"/>
  <c r="AB127" i="6"/>
  <c r="D128" i="6"/>
  <c r="I54" i="24"/>
  <c r="H68" i="5"/>
  <c r="B128" i="6"/>
  <c r="J128" i="6"/>
  <c r="AB128" i="6"/>
  <c r="D129" i="6"/>
  <c r="I55" i="24"/>
  <c r="H69" i="5"/>
  <c r="B129" i="6"/>
  <c r="J129" i="6"/>
  <c r="AB129" i="6"/>
  <c r="D130" i="6"/>
  <c r="I56" i="24"/>
  <c r="H70" i="5"/>
  <c r="B130" i="6"/>
  <c r="J130" i="6"/>
  <c r="AB130" i="6"/>
  <c r="D131" i="6"/>
  <c r="I57" i="24"/>
  <c r="H71" i="5"/>
  <c r="B131" i="6"/>
  <c r="J131" i="6"/>
  <c r="AB131" i="6"/>
  <c r="D132" i="6"/>
  <c r="I58" i="24"/>
  <c r="H72" i="5"/>
  <c r="B132" i="6"/>
  <c r="J132" i="6"/>
  <c r="AB132" i="6"/>
  <c r="AB133" i="6"/>
  <c r="G176" i="6"/>
  <c r="E127" i="6"/>
  <c r="K127" i="6"/>
  <c r="AC127" i="6"/>
  <c r="E128" i="6"/>
  <c r="K128" i="6"/>
  <c r="AC128" i="6"/>
  <c r="E129" i="6"/>
  <c r="K129" i="6"/>
  <c r="AC129" i="6"/>
  <c r="E130" i="6"/>
  <c r="K130" i="6"/>
  <c r="AC130" i="6"/>
  <c r="E131" i="6"/>
  <c r="K131" i="6"/>
  <c r="AC131" i="6"/>
  <c r="E132" i="6"/>
  <c r="K132" i="6"/>
  <c r="AC132" i="6"/>
  <c r="AC133" i="6"/>
  <c r="H176" i="6"/>
  <c r="F127" i="6"/>
  <c r="L127" i="6"/>
  <c r="AD127" i="6"/>
  <c r="F128" i="6"/>
  <c r="L128" i="6"/>
  <c r="AD128" i="6"/>
  <c r="F129" i="6"/>
  <c r="L129" i="6"/>
  <c r="AD129" i="6"/>
  <c r="F130" i="6"/>
  <c r="L130" i="6"/>
  <c r="AD130" i="6"/>
  <c r="F131" i="6"/>
  <c r="L131" i="6"/>
  <c r="AD131" i="6"/>
  <c r="F132" i="6"/>
  <c r="L132" i="6"/>
  <c r="AD132" i="6"/>
  <c r="AD133" i="6"/>
  <c r="I176" i="6"/>
  <c r="G127" i="6"/>
  <c r="M127" i="6"/>
  <c r="AE127" i="6"/>
  <c r="G128" i="6"/>
  <c r="M128" i="6"/>
  <c r="AE128" i="6"/>
  <c r="G129" i="6"/>
  <c r="M129" i="6"/>
  <c r="AE129" i="6"/>
  <c r="G130" i="6"/>
  <c r="M130" i="6"/>
  <c r="AE130" i="6"/>
  <c r="G131" i="6"/>
  <c r="M131" i="6"/>
  <c r="AE131" i="6"/>
  <c r="G132" i="6"/>
  <c r="M132" i="6"/>
  <c r="AE132" i="6"/>
  <c r="AE133" i="6"/>
  <c r="J176" i="6"/>
  <c r="K176" i="6"/>
  <c r="F189" i="6"/>
  <c r="N91" i="5"/>
  <c r="D106" i="5"/>
  <c r="N33" i="5"/>
  <c r="D103" i="5"/>
  <c r="N73" i="5"/>
  <c r="D105" i="5"/>
  <c r="D107" i="5"/>
  <c r="B117" i="5"/>
  <c r="B12" i="5"/>
  <c r="J27" i="5"/>
  <c r="M85" i="5"/>
  <c r="M86" i="5"/>
  <c r="M87" i="5"/>
  <c r="M88" i="5"/>
  <c r="M89" i="5"/>
  <c r="M90" i="5"/>
  <c r="M91" i="5"/>
  <c r="E106" i="5"/>
  <c r="M27" i="5"/>
  <c r="M28" i="5"/>
  <c r="M29" i="5"/>
  <c r="M30" i="5"/>
  <c r="M31" i="5"/>
  <c r="M32" i="5"/>
  <c r="M33" i="5"/>
  <c r="M67" i="5"/>
  <c r="M68" i="5"/>
  <c r="M69" i="5"/>
  <c r="M70" i="5"/>
  <c r="M71" i="5"/>
  <c r="M72" i="5"/>
  <c r="M73" i="5"/>
  <c r="E105" i="5"/>
  <c r="B15" i="4"/>
  <c r="B13" i="4"/>
  <c r="B128" i="4"/>
  <c r="B23" i="4"/>
  <c r="B129" i="4"/>
  <c r="B24" i="4"/>
  <c r="B22" i="4"/>
  <c r="L87" i="4"/>
  <c r="L88" i="4"/>
  <c r="L89" i="4"/>
  <c r="L90" i="4"/>
  <c r="L91" i="4"/>
  <c r="L94" i="4"/>
  <c r="L77" i="4"/>
  <c r="L78" i="4"/>
  <c r="L79" i="4"/>
  <c r="L80" i="4"/>
  <c r="L81" i="4"/>
  <c r="L82" i="4"/>
  <c r="L83" i="4"/>
  <c r="L84" i="4"/>
  <c r="L85" i="4"/>
  <c r="B14" i="3"/>
  <c r="B23" i="3"/>
  <c r="B26" i="3"/>
  <c r="H65" i="3"/>
  <c r="J65" i="3"/>
  <c r="H67" i="3"/>
  <c r="J67" i="3"/>
  <c r="H68" i="3"/>
  <c r="J68" i="3"/>
  <c r="J69" i="3"/>
  <c r="C123" i="3"/>
  <c r="B133" i="3"/>
  <c r="B11" i="3"/>
  <c r="J77" i="3"/>
  <c r="L77" i="3"/>
  <c r="J78" i="3"/>
  <c r="L78" i="3"/>
  <c r="J82" i="3"/>
  <c r="L82" i="3"/>
  <c r="J83" i="3"/>
  <c r="L83" i="3"/>
  <c r="J84" i="3"/>
  <c r="L84" i="3"/>
  <c r="L85" i="3"/>
  <c r="C124" i="3"/>
  <c r="B134" i="3"/>
  <c r="B12" i="3"/>
  <c r="B10" i="3"/>
  <c r="I65" i="3"/>
  <c r="I66" i="3"/>
  <c r="I67" i="3"/>
  <c r="I68" i="3"/>
  <c r="I69" i="3"/>
  <c r="B123" i="3"/>
  <c r="B142" i="3"/>
  <c r="B20" i="3"/>
  <c r="K77" i="3"/>
  <c r="K78" i="3"/>
  <c r="K79" i="3"/>
  <c r="K80" i="3"/>
  <c r="K81" i="3"/>
  <c r="K82" i="3"/>
  <c r="K83" i="3"/>
  <c r="K84" i="3"/>
  <c r="K85" i="3"/>
  <c r="B124" i="3"/>
  <c r="B143" i="3"/>
  <c r="B21" i="3"/>
  <c r="B19" i="3"/>
  <c r="B8" i="3"/>
  <c r="H246" i="34"/>
  <c r="H135" i="34"/>
  <c r="C104" i="35"/>
  <c r="C102" i="35"/>
  <c r="B104" i="35"/>
  <c r="B102" i="35"/>
  <c r="B212" i="34"/>
  <c r="E262" i="1"/>
  <c r="E268" i="1"/>
  <c r="E271" i="1"/>
  <c r="C292" i="1"/>
  <c r="E134" i="1"/>
  <c r="E140" i="1"/>
  <c r="E143" i="1"/>
  <c r="B292" i="1"/>
  <c r="B294" i="1"/>
  <c r="E292" i="1"/>
  <c r="F292" i="1"/>
  <c r="E294" i="1"/>
  <c r="B290" i="1"/>
  <c r="E290" i="1"/>
  <c r="C290" i="1"/>
  <c r="F290" i="1"/>
  <c r="C287" i="1"/>
  <c r="F287" i="1"/>
  <c r="C286" i="1"/>
  <c r="F286" i="1"/>
  <c r="C285" i="1"/>
  <c r="F285" i="1"/>
  <c r="C284" i="1"/>
  <c r="F284" i="1"/>
  <c r="B290" i="33"/>
  <c r="C290" i="33"/>
  <c r="H290" i="33"/>
  <c r="H289" i="33"/>
  <c r="B284" i="33"/>
  <c r="C284" i="33"/>
  <c r="H284" i="33"/>
  <c r="B285" i="33"/>
  <c r="C285" i="33"/>
  <c r="H285" i="33"/>
  <c r="B286" i="33"/>
  <c r="C286" i="33"/>
  <c r="H286" i="33"/>
  <c r="B287" i="33"/>
  <c r="C287" i="33"/>
  <c r="H287" i="33"/>
  <c r="H283" i="33"/>
  <c r="E134" i="33"/>
  <c r="E140" i="33"/>
  <c r="E143" i="33"/>
  <c r="B292" i="33"/>
  <c r="E262" i="33"/>
  <c r="E268" i="33"/>
  <c r="E271" i="33"/>
  <c r="C292" i="33"/>
  <c r="B294" i="33"/>
  <c r="E292" i="33"/>
  <c r="F292" i="33"/>
  <c r="E294" i="33"/>
  <c r="F290" i="33"/>
  <c r="F287" i="33"/>
  <c r="F286" i="33"/>
  <c r="F285" i="33"/>
  <c r="F284" i="33"/>
  <c r="C45" i="33"/>
  <c r="C95" i="33"/>
  <c r="F95" i="33"/>
  <c r="U47" i="34"/>
  <c r="C46" i="33"/>
  <c r="C96" i="33"/>
  <c r="F96" i="33"/>
  <c r="U48" i="34"/>
  <c r="U46" i="34"/>
  <c r="C82" i="34"/>
  <c r="B82" i="34"/>
  <c r="C173" i="33"/>
  <c r="C223" i="33"/>
  <c r="F223" i="33"/>
  <c r="U178" i="34"/>
  <c r="C174" i="33"/>
  <c r="C224" i="33"/>
  <c r="F224" i="33"/>
  <c r="U179" i="34"/>
  <c r="U177" i="34"/>
  <c r="C213" i="34"/>
  <c r="B213" i="34"/>
  <c r="C82" i="2"/>
  <c r="B218" i="2"/>
  <c r="B219" i="2"/>
  <c r="B221" i="2"/>
  <c r="C215" i="2"/>
  <c r="AA165" i="34"/>
  <c r="AA34" i="34"/>
  <c r="B140" i="34"/>
  <c r="B134" i="34"/>
  <c r="H47" i="34"/>
  <c r="H48" i="34"/>
  <c r="H46" i="34"/>
  <c r="C118" i="34"/>
  <c r="C117" i="34"/>
  <c r="B145" i="34"/>
  <c r="B143" i="34"/>
  <c r="B151" i="34"/>
  <c r="B152" i="34"/>
  <c r="T108" i="60"/>
  <c r="Z54" i="60"/>
  <c r="Z34" i="60"/>
  <c r="U54" i="37"/>
  <c r="T54" i="37"/>
  <c r="S54" i="37"/>
  <c r="R54" i="37"/>
  <c r="Q54" i="37"/>
  <c r="P54" i="37"/>
  <c r="U53" i="37"/>
  <c r="T53" i="37"/>
  <c r="S53" i="37"/>
  <c r="R53" i="37"/>
  <c r="Q53" i="37"/>
  <c r="P53" i="37"/>
  <c r="U52" i="37"/>
  <c r="T52" i="37"/>
  <c r="S52" i="37"/>
  <c r="R52" i="37"/>
  <c r="Q52" i="37"/>
  <c r="P52" i="37"/>
  <c r="U51" i="37"/>
  <c r="T51" i="37"/>
  <c r="S51" i="37"/>
  <c r="R51" i="37"/>
  <c r="Q51" i="37"/>
  <c r="P51" i="37"/>
  <c r="U50" i="37"/>
  <c r="T50" i="37"/>
  <c r="S50" i="37"/>
  <c r="R50" i="37"/>
  <c r="Q50" i="37"/>
  <c r="P50" i="37"/>
  <c r="U49" i="37"/>
  <c r="T49" i="37"/>
  <c r="S49" i="37"/>
  <c r="R49" i="37"/>
  <c r="Q49" i="37"/>
  <c r="P49" i="37"/>
  <c r="U48" i="37"/>
  <c r="T48" i="37"/>
  <c r="S48" i="37"/>
  <c r="R48" i="37"/>
  <c r="Q48" i="37"/>
  <c r="P48" i="37"/>
  <c r="U47" i="37"/>
  <c r="T47" i="37"/>
  <c r="S47" i="37"/>
  <c r="R47" i="37"/>
  <c r="Q47" i="37"/>
  <c r="P47" i="37"/>
  <c r="U46" i="37"/>
  <c r="T46" i="37"/>
  <c r="S46" i="37"/>
  <c r="R46" i="37"/>
  <c r="Q46" i="37"/>
  <c r="P46" i="37"/>
  <c r="U45" i="37"/>
  <c r="T45" i="37"/>
  <c r="S45" i="37"/>
  <c r="R45" i="37"/>
  <c r="Q45" i="37"/>
  <c r="P45" i="37"/>
  <c r="Z33" i="37"/>
  <c r="Y33" i="37"/>
  <c r="X33" i="37"/>
  <c r="Z32" i="37"/>
  <c r="Y32" i="37"/>
  <c r="X32" i="37"/>
  <c r="U32" i="37"/>
  <c r="T32" i="37"/>
  <c r="S32" i="37"/>
  <c r="R32" i="37"/>
  <c r="Q32" i="37"/>
  <c r="P32" i="37"/>
  <c r="Z31" i="37"/>
  <c r="Y31" i="37"/>
  <c r="X31" i="37"/>
  <c r="U31" i="37"/>
  <c r="T31" i="37"/>
  <c r="S31" i="37"/>
  <c r="R31" i="37"/>
  <c r="Q31" i="37"/>
  <c r="P31" i="37"/>
  <c r="Z30" i="37"/>
  <c r="Y30" i="37"/>
  <c r="X30" i="37"/>
  <c r="U30" i="37"/>
  <c r="T30" i="37"/>
  <c r="S30" i="37"/>
  <c r="R30" i="37"/>
  <c r="Q30" i="37"/>
  <c r="P30" i="37"/>
  <c r="Z29" i="37"/>
  <c r="Y29" i="37"/>
  <c r="X29" i="37"/>
  <c r="U29" i="37"/>
  <c r="T29" i="37"/>
  <c r="S29" i="37"/>
  <c r="R29" i="37"/>
  <c r="Q29" i="37"/>
  <c r="P29" i="37"/>
  <c r="Z28" i="37"/>
  <c r="Y28" i="37"/>
  <c r="X28" i="37"/>
  <c r="U28" i="37"/>
  <c r="T28" i="37"/>
  <c r="S28" i="37"/>
  <c r="R28" i="37"/>
  <c r="Q28" i="37"/>
  <c r="P28" i="37"/>
  <c r="Z27" i="37"/>
  <c r="Y27" i="37"/>
  <c r="X27" i="37"/>
  <c r="U27" i="37"/>
  <c r="T27" i="37"/>
  <c r="S27" i="37"/>
  <c r="R27" i="37"/>
  <c r="Q27" i="37"/>
  <c r="P27" i="37"/>
  <c r="B66" i="36"/>
  <c r="B65" i="36"/>
  <c r="S52" i="36"/>
  <c r="R52" i="36"/>
  <c r="Q52" i="36"/>
  <c r="P52" i="36"/>
  <c r="H52" i="36"/>
  <c r="F52" i="36"/>
  <c r="E52" i="36"/>
  <c r="A52" i="36"/>
  <c r="A94" i="36"/>
  <c r="S51" i="36"/>
  <c r="R51" i="36"/>
  <c r="Q51" i="36"/>
  <c r="P51" i="36"/>
  <c r="H51" i="36"/>
  <c r="F51" i="36"/>
  <c r="E51" i="36"/>
  <c r="A51" i="36"/>
  <c r="A93" i="36"/>
  <c r="S50" i="36"/>
  <c r="R50" i="36"/>
  <c r="Q50" i="36"/>
  <c r="P50" i="36"/>
  <c r="H50" i="36"/>
  <c r="F50" i="36"/>
  <c r="E50" i="36"/>
  <c r="A50" i="36"/>
  <c r="A92" i="36"/>
  <c r="S49" i="36"/>
  <c r="R49" i="36"/>
  <c r="Q49" i="36"/>
  <c r="P49" i="36"/>
  <c r="H49" i="36"/>
  <c r="F49" i="36"/>
  <c r="E49" i="36"/>
  <c r="A49" i="36"/>
  <c r="A91" i="36"/>
  <c r="S48" i="36"/>
  <c r="R48" i="36"/>
  <c r="Q48" i="36"/>
  <c r="P48" i="36"/>
  <c r="H48" i="36"/>
  <c r="F48" i="36"/>
  <c r="E48" i="36"/>
  <c r="A48" i="36"/>
  <c r="A90" i="36"/>
  <c r="S47" i="36"/>
  <c r="R47" i="36"/>
  <c r="Q47" i="36"/>
  <c r="P47" i="36"/>
  <c r="H47" i="36"/>
  <c r="F47" i="36"/>
  <c r="E47" i="36"/>
  <c r="A47" i="36"/>
  <c r="A89" i="36"/>
  <c r="S46" i="36"/>
  <c r="R46" i="36"/>
  <c r="Q46" i="36"/>
  <c r="P46" i="36"/>
  <c r="H46" i="36"/>
  <c r="F46" i="36"/>
  <c r="E46" i="36"/>
  <c r="A46" i="36"/>
  <c r="A88" i="36"/>
  <c r="S45" i="36"/>
  <c r="R45" i="36"/>
  <c r="Q45" i="36"/>
  <c r="P45" i="36"/>
  <c r="H45" i="36"/>
  <c r="F45" i="36"/>
  <c r="E45" i="36"/>
  <c r="A45" i="36"/>
  <c r="A87" i="36"/>
  <c r="S42" i="36"/>
  <c r="R42" i="36"/>
  <c r="Q42" i="36"/>
  <c r="P42" i="36"/>
  <c r="H42" i="36"/>
  <c r="F42" i="36"/>
  <c r="E42" i="36"/>
  <c r="S41" i="36"/>
  <c r="R41" i="36"/>
  <c r="Q41" i="36"/>
  <c r="P41" i="36"/>
  <c r="H41" i="36"/>
  <c r="C41" i="36"/>
  <c r="S40" i="36"/>
  <c r="R40" i="36"/>
  <c r="Q40" i="36"/>
  <c r="P40" i="36"/>
  <c r="H40" i="36"/>
  <c r="F40" i="36"/>
  <c r="E40" i="36"/>
  <c r="S39" i="36"/>
  <c r="R39" i="36"/>
  <c r="Q39" i="36"/>
  <c r="P39" i="36"/>
  <c r="H39" i="36"/>
  <c r="C39" i="36"/>
  <c r="S38" i="36"/>
  <c r="R38" i="36"/>
  <c r="Q38" i="36"/>
  <c r="P38" i="36"/>
  <c r="H38" i="36"/>
  <c r="F38" i="36"/>
  <c r="E38" i="36"/>
  <c r="S37" i="36"/>
  <c r="R37" i="36"/>
  <c r="Q37" i="36"/>
  <c r="P37" i="36"/>
  <c r="H37" i="36"/>
  <c r="S36" i="36"/>
  <c r="R36" i="36"/>
  <c r="Q36" i="36"/>
  <c r="P36" i="36"/>
  <c r="H36" i="36"/>
  <c r="F36" i="36"/>
  <c r="E36" i="36"/>
  <c r="S35" i="36"/>
  <c r="R35" i="36"/>
  <c r="Q35" i="36"/>
  <c r="P35" i="36"/>
  <c r="H35" i="36"/>
  <c r="C35" i="36"/>
  <c r="Y84" i="35"/>
  <c r="X84" i="35"/>
  <c r="V84" i="35"/>
  <c r="U84" i="35"/>
  <c r="T84" i="35"/>
  <c r="R84" i="35"/>
  <c r="Q84" i="35"/>
  <c r="P84" i="35"/>
  <c r="O84" i="35"/>
  <c r="N84" i="35"/>
  <c r="G84" i="35"/>
  <c r="F84" i="35"/>
  <c r="E84" i="35"/>
  <c r="B84" i="35"/>
  <c r="A84" i="35"/>
  <c r="Y83" i="35"/>
  <c r="X83" i="35"/>
  <c r="V83" i="35"/>
  <c r="U83" i="35"/>
  <c r="T83" i="35"/>
  <c r="R83" i="35"/>
  <c r="Q83" i="35"/>
  <c r="P83" i="35"/>
  <c r="O83" i="35"/>
  <c r="N83" i="35"/>
  <c r="G83" i="35"/>
  <c r="F83" i="35"/>
  <c r="E83" i="35"/>
  <c r="B83" i="35"/>
  <c r="A83" i="35"/>
  <c r="Y82" i="35"/>
  <c r="X82" i="35"/>
  <c r="V82" i="35"/>
  <c r="U82" i="35"/>
  <c r="T82" i="35"/>
  <c r="R82" i="35"/>
  <c r="Q82" i="35"/>
  <c r="P82" i="35"/>
  <c r="O82" i="35"/>
  <c r="N82" i="35"/>
  <c r="G82" i="35"/>
  <c r="F82" i="35"/>
  <c r="E82" i="35"/>
  <c r="B82" i="35"/>
  <c r="A82" i="35"/>
  <c r="Y81" i="35"/>
  <c r="X81" i="35"/>
  <c r="V81" i="35"/>
  <c r="U81" i="35"/>
  <c r="T81" i="35"/>
  <c r="R81" i="35"/>
  <c r="Q81" i="35"/>
  <c r="P81" i="35"/>
  <c r="O81" i="35"/>
  <c r="N81" i="35"/>
  <c r="G81" i="35"/>
  <c r="F81" i="35"/>
  <c r="E81" i="35"/>
  <c r="B81" i="35"/>
  <c r="A81" i="35"/>
  <c r="Y80" i="35"/>
  <c r="X80" i="35"/>
  <c r="V80" i="35"/>
  <c r="U80" i="35"/>
  <c r="T80" i="35"/>
  <c r="R80" i="35"/>
  <c r="Q80" i="35"/>
  <c r="P80" i="35"/>
  <c r="O80" i="35"/>
  <c r="N80" i="35"/>
  <c r="G80" i="35"/>
  <c r="F80" i="35"/>
  <c r="E80" i="35"/>
  <c r="B80" i="35"/>
  <c r="A80" i="35"/>
  <c r="Y79" i="35"/>
  <c r="X79" i="35"/>
  <c r="V79" i="35"/>
  <c r="U79" i="35"/>
  <c r="T79" i="35"/>
  <c r="R79" i="35"/>
  <c r="Q79" i="35"/>
  <c r="P79" i="35"/>
  <c r="O79" i="35"/>
  <c r="N79" i="35"/>
  <c r="G79" i="35"/>
  <c r="F79" i="35"/>
  <c r="E79" i="35"/>
  <c r="B79" i="35"/>
  <c r="A79" i="35"/>
  <c r="Y78" i="35"/>
  <c r="X78" i="35"/>
  <c r="V78" i="35"/>
  <c r="U78" i="35"/>
  <c r="T78" i="35"/>
  <c r="R78" i="35"/>
  <c r="Q78" i="35"/>
  <c r="P78" i="35"/>
  <c r="O78" i="35"/>
  <c r="N78" i="35"/>
  <c r="G78" i="35"/>
  <c r="F78" i="35"/>
  <c r="E78" i="35"/>
  <c r="B78" i="35"/>
  <c r="A78" i="35"/>
  <c r="Y77" i="35"/>
  <c r="X77" i="35"/>
  <c r="V77" i="35"/>
  <c r="U77" i="35"/>
  <c r="T77" i="35"/>
  <c r="R77" i="35"/>
  <c r="Q77" i="35"/>
  <c r="P77" i="35"/>
  <c r="O77" i="35"/>
  <c r="N77" i="35"/>
  <c r="G77" i="35"/>
  <c r="F77" i="35"/>
  <c r="E77" i="35"/>
  <c r="B77" i="35"/>
  <c r="A77" i="35"/>
  <c r="U68" i="35"/>
  <c r="T68" i="35"/>
  <c r="R68" i="35"/>
  <c r="Q68" i="35"/>
  <c r="P68" i="35"/>
  <c r="O68" i="35"/>
  <c r="N68" i="35"/>
  <c r="B68" i="35"/>
  <c r="U67" i="35"/>
  <c r="T67" i="35"/>
  <c r="R67" i="35"/>
  <c r="Q67" i="35"/>
  <c r="P67" i="35"/>
  <c r="O67" i="35"/>
  <c r="N67" i="35"/>
  <c r="U66" i="35"/>
  <c r="T66" i="35"/>
  <c r="R66" i="35"/>
  <c r="Q66" i="35"/>
  <c r="P66" i="35"/>
  <c r="O66" i="35"/>
  <c r="N66" i="35"/>
  <c r="U65" i="35"/>
  <c r="T65" i="35"/>
  <c r="R65" i="35"/>
  <c r="Q65" i="35"/>
  <c r="P65" i="35"/>
  <c r="O65" i="35"/>
  <c r="N65" i="35"/>
  <c r="L227" i="34"/>
  <c r="K227" i="34"/>
  <c r="K226" i="34"/>
  <c r="H227" i="34"/>
  <c r="H226" i="34"/>
  <c r="F227" i="34"/>
  <c r="E227" i="34"/>
  <c r="E226" i="34"/>
  <c r="B227" i="34"/>
  <c r="B226" i="34"/>
  <c r="L226" i="34"/>
  <c r="I226" i="34"/>
  <c r="F226" i="34"/>
  <c r="C226" i="34"/>
  <c r="W204" i="34"/>
  <c r="AC204" i="34"/>
  <c r="W203" i="34"/>
  <c r="AC203" i="34"/>
  <c r="W202" i="34"/>
  <c r="AC202" i="34"/>
  <c r="C201" i="34"/>
  <c r="W200" i="34"/>
  <c r="AC200" i="34"/>
  <c r="W199" i="34"/>
  <c r="AC199" i="34"/>
  <c r="W198" i="34"/>
  <c r="AC198" i="34"/>
  <c r="W185" i="34"/>
  <c r="W184" i="34"/>
  <c r="V183" i="34"/>
  <c r="C183" i="34"/>
  <c r="W182" i="34"/>
  <c r="AC182" i="34"/>
  <c r="W181" i="34"/>
  <c r="AC181" i="34"/>
  <c r="J180" i="34"/>
  <c r="W179" i="34"/>
  <c r="AC179" i="34"/>
  <c r="W178" i="34"/>
  <c r="AC178" i="34"/>
  <c r="V177" i="34"/>
  <c r="J177" i="34"/>
  <c r="C177" i="34"/>
  <c r="AI164" i="34"/>
  <c r="AI167" i="34"/>
  <c r="P164" i="34"/>
  <c r="P167" i="34"/>
  <c r="L116" i="34"/>
  <c r="L115" i="34"/>
  <c r="K116" i="34"/>
  <c r="H116" i="34"/>
  <c r="H115" i="34"/>
  <c r="F116" i="34"/>
  <c r="F115" i="34"/>
  <c r="E116" i="34"/>
  <c r="B116" i="34"/>
  <c r="K115" i="34"/>
  <c r="I115" i="34"/>
  <c r="E115" i="34"/>
  <c r="C115" i="34"/>
  <c r="B115" i="34"/>
  <c r="B95" i="34"/>
  <c r="B94" i="34"/>
  <c r="AC73" i="34"/>
  <c r="W73" i="34"/>
  <c r="AC72" i="34"/>
  <c r="W72" i="34"/>
  <c r="AC71" i="34"/>
  <c r="W71" i="34"/>
  <c r="AC69" i="34"/>
  <c r="W69" i="34"/>
  <c r="AC68" i="34"/>
  <c r="W68" i="34"/>
  <c r="AC67" i="34"/>
  <c r="W67" i="34"/>
  <c r="W54" i="34"/>
  <c r="X54" i="34"/>
  <c r="Y54" i="34"/>
  <c r="Z54" i="34"/>
  <c r="AC54" i="34"/>
  <c r="W53" i="34"/>
  <c r="X53" i="34"/>
  <c r="AC53" i="34"/>
  <c r="J52" i="34"/>
  <c r="V52" i="34"/>
  <c r="C52" i="34"/>
  <c r="W51" i="34"/>
  <c r="AC51" i="34"/>
  <c r="W50" i="34"/>
  <c r="AC50" i="34"/>
  <c r="J49" i="34"/>
  <c r="W48" i="34"/>
  <c r="W47" i="34"/>
  <c r="AC47" i="34"/>
  <c r="J46" i="34"/>
  <c r="V46" i="34"/>
  <c r="C46" i="34"/>
  <c r="AI33" i="34"/>
  <c r="AI36" i="34"/>
  <c r="P33" i="34"/>
  <c r="P36" i="34"/>
  <c r="B326" i="33"/>
  <c r="E326" i="33"/>
  <c r="F289" i="33"/>
  <c r="F283" i="33"/>
  <c r="C192" i="33"/>
  <c r="F199" i="33"/>
  <c r="C181" i="33"/>
  <c r="C191" i="33"/>
  <c r="F198" i="33"/>
  <c r="E199" i="33"/>
  <c r="C190" i="33"/>
  <c r="C189" i="33"/>
  <c r="B188" i="33"/>
  <c r="C188" i="33"/>
  <c r="C187" i="33"/>
  <c r="B185" i="33"/>
  <c r="C186" i="33"/>
  <c r="C185" i="33"/>
  <c r="C182" i="33"/>
  <c r="B182" i="33"/>
  <c r="C180" i="33"/>
  <c r="C179" i="33"/>
  <c r="C178" i="33"/>
  <c r="B178" i="33"/>
  <c r="C177" i="33"/>
  <c r="C176" i="33"/>
  <c r="C175" i="33"/>
  <c r="B175" i="33"/>
  <c r="C172" i="33"/>
  <c r="B172" i="33"/>
  <c r="B169" i="33"/>
  <c r="F79" i="33"/>
  <c r="F78" i="33"/>
  <c r="C64" i="33"/>
  <c r="F71" i="33"/>
  <c r="E71" i="33"/>
  <c r="C63" i="33"/>
  <c r="C62" i="33"/>
  <c r="B60" i="33"/>
  <c r="C61" i="33"/>
  <c r="C60" i="33"/>
  <c r="C59" i="33"/>
  <c r="C58" i="33"/>
  <c r="C57" i="33"/>
  <c r="B57" i="33"/>
  <c r="C54" i="33"/>
  <c r="B54" i="33"/>
  <c r="C53" i="33"/>
  <c r="E70" i="33"/>
  <c r="C52" i="33"/>
  <c r="C51" i="33"/>
  <c r="C50" i="33"/>
  <c r="C49" i="33"/>
  <c r="C48" i="33"/>
  <c r="B47" i="33"/>
  <c r="B44" i="33"/>
  <c r="C44" i="33"/>
  <c r="E69" i="33"/>
  <c r="C41" i="33"/>
  <c r="J37" i="33"/>
  <c r="I38" i="33"/>
  <c r="A85" i="5"/>
  <c r="A142" i="6"/>
  <c r="A72" i="5"/>
  <c r="A132" i="6"/>
  <c r="A53" i="5"/>
  <c r="A116" i="6"/>
  <c r="A51" i="5"/>
  <c r="A114" i="6"/>
  <c r="A49" i="5"/>
  <c r="A112" i="6"/>
  <c r="A45" i="5"/>
  <c r="A108" i="6" s="1"/>
  <c r="G99" i="6"/>
  <c r="F99" i="6"/>
  <c r="E99" i="6"/>
  <c r="D99" i="6"/>
  <c r="G98" i="6"/>
  <c r="F98" i="6"/>
  <c r="E98" i="6"/>
  <c r="D98" i="6"/>
  <c r="G97" i="6"/>
  <c r="F97" i="6"/>
  <c r="E97" i="6"/>
  <c r="D97" i="6"/>
  <c r="A30" i="5"/>
  <c r="A97" i="6"/>
  <c r="G96" i="6"/>
  <c r="F96" i="6"/>
  <c r="E96" i="6"/>
  <c r="D96" i="6"/>
  <c r="G95" i="6"/>
  <c r="F95" i="6"/>
  <c r="E95" i="6"/>
  <c r="D95" i="6"/>
  <c r="G94" i="6"/>
  <c r="F94" i="6"/>
  <c r="E94" i="6"/>
  <c r="D94" i="6"/>
  <c r="A78" i="6"/>
  <c r="G68" i="6"/>
  <c r="G72" i="5"/>
  <c r="B68" i="6"/>
  <c r="M68" i="6"/>
  <c r="F68" i="6"/>
  <c r="L68" i="6"/>
  <c r="E68" i="6"/>
  <c r="K68" i="6"/>
  <c r="D68" i="6"/>
  <c r="J68" i="6"/>
  <c r="G67" i="6"/>
  <c r="F67" i="6"/>
  <c r="E67" i="6"/>
  <c r="D67" i="6"/>
  <c r="G66" i="6"/>
  <c r="F66" i="6"/>
  <c r="E66" i="6"/>
  <c r="D66" i="6"/>
  <c r="G65" i="6"/>
  <c r="F65" i="6"/>
  <c r="E65" i="6"/>
  <c r="D65" i="6"/>
  <c r="G64" i="6"/>
  <c r="G68" i="5"/>
  <c r="B64" i="6"/>
  <c r="M64" i="6"/>
  <c r="F64" i="6"/>
  <c r="L64" i="6"/>
  <c r="E64" i="6"/>
  <c r="K64" i="6"/>
  <c r="D64" i="6"/>
  <c r="A68" i="5"/>
  <c r="A64" i="6"/>
  <c r="G63" i="6"/>
  <c r="F63" i="6"/>
  <c r="E63" i="6"/>
  <c r="G67" i="5"/>
  <c r="B63" i="6"/>
  <c r="K63" i="6"/>
  <c r="D63" i="6"/>
  <c r="A52" i="6"/>
  <c r="A50" i="5"/>
  <c r="A49" i="6"/>
  <c r="A46" i="5"/>
  <c r="A45" i="6"/>
  <c r="G34" i="6"/>
  <c r="F34" i="6"/>
  <c r="E34" i="6"/>
  <c r="D34" i="6"/>
  <c r="G33" i="6"/>
  <c r="F33" i="6"/>
  <c r="E33" i="6"/>
  <c r="D33" i="6"/>
  <c r="G32" i="6"/>
  <c r="G30" i="5"/>
  <c r="B32" i="6"/>
  <c r="M32" i="6"/>
  <c r="AE32" i="6"/>
  <c r="F32" i="6"/>
  <c r="L32" i="6"/>
  <c r="E32" i="6"/>
  <c r="D32" i="6"/>
  <c r="A32" i="6"/>
  <c r="G31" i="6"/>
  <c r="F31" i="6"/>
  <c r="E31" i="6"/>
  <c r="G29" i="5"/>
  <c r="B31" i="6"/>
  <c r="K31" i="6"/>
  <c r="D31" i="6"/>
  <c r="G30" i="6"/>
  <c r="F30" i="6"/>
  <c r="E30" i="6"/>
  <c r="D30" i="6"/>
  <c r="G29" i="6"/>
  <c r="E29" i="6"/>
  <c r="D29" i="6"/>
  <c r="E90" i="5"/>
  <c r="C90" i="5"/>
  <c r="A90" i="5"/>
  <c r="A147" i="6"/>
  <c r="E89" i="5"/>
  <c r="C89" i="5"/>
  <c r="A89" i="5"/>
  <c r="A82" i="6"/>
  <c r="E88" i="5"/>
  <c r="C88" i="5"/>
  <c r="A88" i="5"/>
  <c r="A145" i="6"/>
  <c r="E87" i="5"/>
  <c r="C87" i="5"/>
  <c r="A87" i="5"/>
  <c r="E86" i="5"/>
  <c r="C86" i="5"/>
  <c r="A86" i="5"/>
  <c r="A143" i="6"/>
  <c r="E85" i="5"/>
  <c r="C85" i="5"/>
  <c r="E72" i="5"/>
  <c r="C72" i="5"/>
  <c r="A68" i="39"/>
  <c r="J71" i="5"/>
  <c r="G71" i="5"/>
  <c r="B67" i="6"/>
  <c r="E71" i="5"/>
  <c r="C71" i="5"/>
  <c r="A71" i="5"/>
  <c r="A67" i="39"/>
  <c r="G70" i="5"/>
  <c r="B66" i="6"/>
  <c r="M66" i="6"/>
  <c r="E70" i="5"/>
  <c r="C70" i="5"/>
  <c r="A70" i="5"/>
  <c r="J69" i="5"/>
  <c r="G69" i="5"/>
  <c r="B65" i="6"/>
  <c r="K65" i="6"/>
  <c r="E69" i="5"/>
  <c r="C69" i="5"/>
  <c r="A69" i="5"/>
  <c r="E68" i="5"/>
  <c r="C68" i="5"/>
  <c r="A64" i="39"/>
  <c r="J67" i="5"/>
  <c r="B69" i="6"/>
  <c r="E67" i="5"/>
  <c r="C67" i="5"/>
  <c r="A67" i="5"/>
  <c r="A63" i="39"/>
  <c r="T54" i="5"/>
  <c r="S54" i="5"/>
  <c r="R54" i="5"/>
  <c r="Q54" i="5"/>
  <c r="P54" i="5"/>
  <c r="E54" i="5"/>
  <c r="C54" i="5"/>
  <c r="A54" i="5"/>
  <c r="T53" i="5"/>
  <c r="S53" i="5"/>
  <c r="R53" i="5"/>
  <c r="Q53" i="5"/>
  <c r="P53" i="5"/>
  <c r="E53" i="5"/>
  <c r="C53" i="5"/>
  <c r="A52" i="39"/>
  <c r="T52" i="5"/>
  <c r="S52" i="5"/>
  <c r="R52" i="5"/>
  <c r="Q52" i="5"/>
  <c r="P52" i="5"/>
  <c r="E52" i="5"/>
  <c r="C52" i="5"/>
  <c r="A52" i="5"/>
  <c r="T51" i="5"/>
  <c r="S51" i="5"/>
  <c r="R51" i="5"/>
  <c r="Q51" i="5"/>
  <c r="P51" i="5"/>
  <c r="E51" i="5"/>
  <c r="C51" i="5"/>
  <c r="A50" i="39"/>
  <c r="T50" i="5"/>
  <c r="S50" i="5"/>
  <c r="R50" i="5"/>
  <c r="Q50" i="5"/>
  <c r="P50" i="5"/>
  <c r="E50" i="5"/>
  <c r="C50" i="5"/>
  <c r="T49" i="5"/>
  <c r="S49" i="5"/>
  <c r="R49" i="5"/>
  <c r="Q49" i="5"/>
  <c r="P49" i="5"/>
  <c r="E49" i="5"/>
  <c r="C49" i="5"/>
  <c r="A48" i="39"/>
  <c r="T48" i="5"/>
  <c r="S48" i="5"/>
  <c r="R48" i="5"/>
  <c r="Q48" i="5"/>
  <c r="P48" i="5"/>
  <c r="E48" i="5"/>
  <c r="C48" i="5"/>
  <c r="A48" i="5"/>
  <c r="A47" i="39" s="1"/>
  <c r="T47" i="5"/>
  <c r="S47" i="5"/>
  <c r="R47" i="5"/>
  <c r="Q47" i="5"/>
  <c r="P47" i="5"/>
  <c r="E47" i="5"/>
  <c r="C47" i="5"/>
  <c r="A47" i="5"/>
  <c r="A110" i="6" s="1"/>
  <c r="T46" i="5"/>
  <c r="S46" i="5"/>
  <c r="R46" i="5"/>
  <c r="Q46" i="5"/>
  <c r="P46" i="5"/>
  <c r="E46" i="5"/>
  <c r="C46" i="5"/>
  <c r="T45" i="5"/>
  <c r="S45" i="5"/>
  <c r="R45" i="5"/>
  <c r="Q45" i="5"/>
  <c r="P45" i="5"/>
  <c r="E45" i="5"/>
  <c r="E55" i="5"/>
  <c r="C45" i="5"/>
  <c r="Y33" i="5"/>
  <c r="X33" i="5"/>
  <c r="W33" i="5"/>
  <c r="Y32" i="5"/>
  <c r="X32" i="5"/>
  <c r="W32" i="5"/>
  <c r="T32" i="5"/>
  <c r="S32" i="5"/>
  <c r="R32" i="5"/>
  <c r="Q32" i="5"/>
  <c r="P32" i="5"/>
  <c r="G32" i="5"/>
  <c r="B34" i="6"/>
  <c r="E32" i="5"/>
  <c r="C32" i="5"/>
  <c r="A32" i="5"/>
  <c r="Y31" i="5"/>
  <c r="X31" i="5"/>
  <c r="W31" i="5"/>
  <c r="T31" i="5"/>
  <c r="S31" i="5"/>
  <c r="R31" i="5"/>
  <c r="Q31" i="5"/>
  <c r="P31" i="5"/>
  <c r="G31" i="5"/>
  <c r="B33" i="6"/>
  <c r="E31" i="5"/>
  <c r="C31" i="5"/>
  <c r="A31" i="5"/>
  <c r="Y30" i="5"/>
  <c r="X30" i="5"/>
  <c r="W30" i="5"/>
  <c r="T30" i="5"/>
  <c r="S30" i="5"/>
  <c r="R30" i="5"/>
  <c r="Q30" i="5"/>
  <c r="P30" i="5"/>
  <c r="E30" i="5"/>
  <c r="C30" i="5"/>
  <c r="Y29" i="5"/>
  <c r="X29" i="5"/>
  <c r="W29" i="5"/>
  <c r="T29" i="5"/>
  <c r="S29" i="5"/>
  <c r="R29" i="5"/>
  <c r="Q29" i="5"/>
  <c r="P29" i="5"/>
  <c r="E29" i="5"/>
  <c r="C29" i="5"/>
  <c r="A29" i="5"/>
  <c r="A96" i="6"/>
  <c r="Y28" i="5"/>
  <c r="X28" i="5"/>
  <c r="W28" i="5"/>
  <c r="T28" i="5"/>
  <c r="S28" i="5"/>
  <c r="R28" i="5"/>
  <c r="Q28" i="5"/>
  <c r="P28" i="5"/>
  <c r="E28" i="5"/>
  <c r="C28" i="5"/>
  <c r="A28" i="5"/>
  <c r="A95" i="6" s="1"/>
  <c r="Y27" i="5"/>
  <c r="X27" i="5"/>
  <c r="W27" i="5"/>
  <c r="T27" i="5"/>
  <c r="S27" i="5"/>
  <c r="R27" i="5"/>
  <c r="Q27" i="5"/>
  <c r="P27" i="5"/>
  <c r="E27" i="5"/>
  <c r="C27" i="5"/>
  <c r="A27" i="5"/>
  <c r="A94" i="6" s="1"/>
  <c r="A50" i="4"/>
  <c r="A92" i="4"/>
  <c r="A47" i="4"/>
  <c r="A89" i="4"/>
  <c r="B66" i="4"/>
  <c r="B65" i="4"/>
  <c r="S52" i="4"/>
  <c r="R52" i="4"/>
  <c r="Q52" i="4"/>
  <c r="P52" i="4"/>
  <c r="H52" i="4"/>
  <c r="F52" i="4"/>
  <c r="E52" i="4"/>
  <c r="A52" i="4"/>
  <c r="A94" i="4"/>
  <c r="S51" i="4"/>
  <c r="R51" i="4"/>
  <c r="Q51" i="4"/>
  <c r="P51" i="4"/>
  <c r="H51" i="4"/>
  <c r="F51" i="4"/>
  <c r="E51" i="4"/>
  <c r="A51" i="4"/>
  <c r="A93" i="4"/>
  <c r="S50" i="4"/>
  <c r="R50" i="4"/>
  <c r="Q50" i="4"/>
  <c r="P50" i="4"/>
  <c r="H50" i="4"/>
  <c r="F50" i="4"/>
  <c r="E50" i="4"/>
  <c r="S49" i="4"/>
  <c r="R49" i="4"/>
  <c r="Q49" i="4"/>
  <c r="P49" i="4"/>
  <c r="H49" i="4"/>
  <c r="F49" i="4"/>
  <c r="E49" i="4"/>
  <c r="A49" i="4"/>
  <c r="A91" i="4"/>
  <c r="S48" i="4"/>
  <c r="R48" i="4"/>
  <c r="Q48" i="4"/>
  <c r="P48" i="4"/>
  <c r="H48" i="4"/>
  <c r="F48" i="4"/>
  <c r="E48" i="4"/>
  <c r="A48" i="4"/>
  <c r="A90" i="4"/>
  <c r="S47" i="4"/>
  <c r="R47" i="4"/>
  <c r="Q47" i="4"/>
  <c r="P47" i="4"/>
  <c r="H47" i="4"/>
  <c r="F47" i="4"/>
  <c r="E47" i="4"/>
  <c r="S46" i="4"/>
  <c r="R46" i="4"/>
  <c r="Q46" i="4"/>
  <c r="P46" i="4"/>
  <c r="H46" i="4"/>
  <c r="F46" i="4"/>
  <c r="E46" i="4"/>
  <c r="A46" i="4"/>
  <c r="A88" i="4"/>
  <c r="S45" i="4"/>
  <c r="R45" i="4"/>
  <c r="Q45" i="4"/>
  <c r="P45" i="4"/>
  <c r="H45" i="4"/>
  <c r="F45" i="4"/>
  <c r="E45" i="4"/>
  <c r="A45" i="4"/>
  <c r="A87" i="4"/>
  <c r="S42" i="4"/>
  <c r="R42" i="4"/>
  <c r="Q42" i="4"/>
  <c r="P42" i="4"/>
  <c r="H42" i="4"/>
  <c r="F42" i="4"/>
  <c r="E42" i="4"/>
  <c r="S41" i="4"/>
  <c r="R41" i="4"/>
  <c r="Q41" i="4"/>
  <c r="P41" i="4"/>
  <c r="H41" i="4"/>
  <c r="C41" i="4"/>
  <c r="S40" i="4"/>
  <c r="R40" i="4"/>
  <c r="Q40" i="4"/>
  <c r="P40" i="4"/>
  <c r="H40" i="4"/>
  <c r="F40" i="4"/>
  <c r="E40" i="4"/>
  <c r="S39" i="4"/>
  <c r="R39" i="4"/>
  <c r="Q39" i="4"/>
  <c r="P39" i="4"/>
  <c r="H39" i="4"/>
  <c r="C39" i="4"/>
  <c r="S38" i="4"/>
  <c r="R38" i="4"/>
  <c r="Q38" i="4"/>
  <c r="P38" i="4"/>
  <c r="H38" i="4"/>
  <c r="F38" i="4"/>
  <c r="E38" i="4"/>
  <c r="S37" i="4"/>
  <c r="R37" i="4"/>
  <c r="Q37" i="4"/>
  <c r="P37" i="4"/>
  <c r="H37" i="4"/>
  <c r="S36" i="4"/>
  <c r="R36" i="4"/>
  <c r="Q36" i="4"/>
  <c r="P36" i="4"/>
  <c r="H36" i="4"/>
  <c r="F36" i="4"/>
  <c r="E36" i="4"/>
  <c r="S35" i="4"/>
  <c r="R35" i="4"/>
  <c r="Q35" i="4"/>
  <c r="P35" i="4"/>
  <c r="H35" i="4"/>
  <c r="C35" i="4"/>
  <c r="Y84" i="3"/>
  <c r="X84" i="3"/>
  <c r="V84" i="3"/>
  <c r="U84" i="3"/>
  <c r="T84" i="3"/>
  <c r="R84" i="3"/>
  <c r="Q84" i="3"/>
  <c r="P84" i="3"/>
  <c r="O84" i="3"/>
  <c r="N84" i="3"/>
  <c r="G84" i="3"/>
  <c r="F84" i="3"/>
  <c r="E84" i="3"/>
  <c r="B84" i="3"/>
  <c r="A84" i="3"/>
  <c r="Y83" i="3"/>
  <c r="X83" i="3"/>
  <c r="V83" i="3"/>
  <c r="U83" i="3"/>
  <c r="T83" i="3"/>
  <c r="R83" i="3"/>
  <c r="Q83" i="3"/>
  <c r="P83" i="3"/>
  <c r="O83" i="3"/>
  <c r="N83" i="3"/>
  <c r="G83" i="3"/>
  <c r="F83" i="3"/>
  <c r="E83" i="3"/>
  <c r="B83" i="3"/>
  <c r="A83" i="3"/>
  <c r="Y82" i="3"/>
  <c r="X82" i="3"/>
  <c r="V82" i="3"/>
  <c r="U82" i="3"/>
  <c r="T82" i="3"/>
  <c r="R82" i="3"/>
  <c r="Q82" i="3"/>
  <c r="P82" i="3"/>
  <c r="O82" i="3"/>
  <c r="N82" i="3"/>
  <c r="G82" i="3"/>
  <c r="F82" i="3"/>
  <c r="E82" i="3"/>
  <c r="B82" i="3"/>
  <c r="A82" i="3"/>
  <c r="Y81" i="3"/>
  <c r="X81" i="3"/>
  <c r="V81" i="3"/>
  <c r="U81" i="3"/>
  <c r="T81" i="3"/>
  <c r="R81" i="3"/>
  <c r="Q81" i="3"/>
  <c r="P81" i="3"/>
  <c r="O81" i="3"/>
  <c r="N81" i="3"/>
  <c r="G81" i="3"/>
  <c r="F81" i="3"/>
  <c r="E81" i="3"/>
  <c r="B81" i="3"/>
  <c r="A81" i="3"/>
  <c r="Y80" i="3"/>
  <c r="X80" i="3"/>
  <c r="V80" i="3"/>
  <c r="U80" i="3"/>
  <c r="T80" i="3"/>
  <c r="R80" i="3"/>
  <c r="Q80" i="3"/>
  <c r="P80" i="3"/>
  <c r="O80" i="3"/>
  <c r="N80" i="3"/>
  <c r="G80" i="3"/>
  <c r="F80" i="3"/>
  <c r="E80" i="3"/>
  <c r="B80" i="3"/>
  <c r="A80" i="3"/>
  <c r="Y79" i="3"/>
  <c r="X79" i="3"/>
  <c r="V79" i="3"/>
  <c r="U79" i="3"/>
  <c r="T79" i="3"/>
  <c r="R79" i="3"/>
  <c r="Q79" i="3"/>
  <c r="P79" i="3"/>
  <c r="O79" i="3"/>
  <c r="N79" i="3"/>
  <c r="G79" i="3"/>
  <c r="F79" i="3"/>
  <c r="E79" i="3"/>
  <c r="B79" i="3"/>
  <c r="A79" i="3"/>
  <c r="Y78" i="3"/>
  <c r="X78" i="3"/>
  <c r="V78" i="3"/>
  <c r="U78" i="3"/>
  <c r="T78" i="3"/>
  <c r="R78" i="3"/>
  <c r="Q78" i="3"/>
  <c r="P78" i="3"/>
  <c r="O78" i="3"/>
  <c r="N78" i="3"/>
  <c r="G78" i="3"/>
  <c r="F78" i="3"/>
  <c r="F77" i="3"/>
  <c r="F85" i="3"/>
  <c r="E78" i="3"/>
  <c r="B78" i="3"/>
  <c r="A78" i="3"/>
  <c r="Y77" i="3"/>
  <c r="X77" i="3"/>
  <c r="V77" i="3"/>
  <c r="U77" i="3"/>
  <c r="T77" i="3"/>
  <c r="R77" i="3"/>
  <c r="Q77" i="3"/>
  <c r="P77" i="3"/>
  <c r="O77" i="3"/>
  <c r="N77" i="3"/>
  <c r="G77" i="3"/>
  <c r="E77" i="3"/>
  <c r="B77" i="3"/>
  <c r="A77" i="3"/>
  <c r="U68" i="3"/>
  <c r="T68" i="3"/>
  <c r="R68" i="3"/>
  <c r="Q68" i="3"/>
  <c r="P68" i="3"/>
  <c r="O68" i="3"/>
  <c r="N68" i="3"/>
  <c r="B68" i="3"/>
  <c r="U67" i="3"/>
  <c r="T67" i="3"/>
  <c r="R67" i="3"/>
  <c r="Q67" i="3"/>
  <c r="P67" i="3"/>
  <c r="O67" i="3"/>
  <c r="N67" i="3"/>
  <c r="U66" i="3"/>
  <c r="T66" i="3"/>
  <c r="R66" i="3"/>
  <c r="Q66" i="3"/>
  <c r="P66" i="3"/>
  <c r="O66" i="3"/>
  <c r="N66" i="3"/>
  <c r="U65" i="3"/>
  <c r="T65" i="3"/>
  <c r="R65" i="3"/>
  <c r="Q65" i="3"/>
  <c r="P65" i="3"/>
  <c r="O65" i="3"/>
  <c r="N65" i="3"/>
  <c r="L229" i="2"/>
  <c r="K229" i="2"/>
  <c r="H229" i="2"/>
  <c r="H228" i="2"/>
  <c r="F229" i="2"/>
  <c r="E229" i="2"/>
  <c r="E228" i="2"/>
  <c r="B229" i="2"/>
  <c r="B228" i="2"/>
  <c r="L228" i="2"/>
  <c r="K228" i="2"/>
  <c r="I228" i="2"/>
  <c r="F228" i="2"/>
  <c r="C228" i="2"/>
  <c r="C203" i="2"/>
  <c r="V179" i="2"/>
  <c r="C179" i="2"/>
  <c r="AI166" i="2"/>
  <c r="AI169" i="2"/>
  <c r="P166" i="2"/>
  <c r="P169" i="2"/>
  <c r="L118" i="2"/>
  <c r="L117" i="2"/>
  <c r="K118" i="2"/>
  <c r="K117" i="2"/>
  <c r="H118" i="2"/>
  <c r="H117" i="2"/>
  <c r="F118" i="2"/>
  <c r="F117" i="2"/>
  <c r="E118" i="2"/>
  <c r="B118" i="2"/>
  <c r="B117" i="2"/>
  <c r="I117" i="2"/>
  <c r="E117" i="2"/>
  <c r="C117" i="2"/>
  <c r="J52" i="2"/>
  <c r="J49" i="2"/>
  <c r="V46" i="2"/>
  <c r="J46" i="2"/>
  <c r="C46" i="2"/>
  <c r="AI33" i="2"/>
  <c r="AI36" i="2"/>
  <c r="P33" i="2"/>
  <c r="P36" i="2"/>
  <c r="F199" i="1"/>
  <c r="E199" i="1"/>
  <c r="B188" i="1"/>
  <c r="C188" i="1"/>
  <c r="C185" i="1"/>
  <c r="B185" i="1"/>
  <c r="C182" i="1"/>
  <c r="B182" i="1"/>
  <c r="E198" i="1"/>
  <c r="C178" i="1"/>
  <c r="B178" i="1"/>
  <c r="B175" i="1"/>
  <c r="C175" i="1"/>
  <c r="B172" i="1"/>
  <c r="C172" i="1"/>
  <c r="F197" i="1"/>
  <c r="C169" i="1"/>
  <c r="F71" i="1"/>
  <c r="F70" i="1"/>
  <c r="E71" i="1"/>
  <c r="C54" i="1"/>
  <c r="E70" i="1"/>
  <c r="C41" i="1"/>
  <c r="H131" i="14"/>
  <c r="N127" i="14"/>
  <c r="M127" i="14"/>
  <c r="J127" i="14"/>
  <c r="C127" i="14"/>
  <c r="N126" i="14"/>
  <c r="M126" i="14"/>
  <c r="J126" i="14"/>
  <c r="C126" i="14"/>
  <c r="G126" i="14"/>
  <c r="H126" i="14"/>
  <c r="N125" i="14"/>
  <c r="M125" i="14"/>
  <c r="J125" i="14"/>
  <c r="C125" i="14"/>
  <c r="N124" i="14"/>
  <c r="M124" i="14"/>
  <c r="J124" i="14"/>
  <c r="C124" i="14"/>
  <c r="G124" i="14"/>
  <c r="H124" i="14"/>
  <c r="N123" i="14"/>
  <c r="M123" i="14"/>
  <c r="J123" i="14"/>
  <c r="C123" i="14"/>
  <c r="N122" i="14"/>
  <c r="M122" i="14"/>
  <c r="J122" i="14"/>
  <c r="C122" i="14"/>
  <c r="E122" i="14"/>
  <c r="G122" i="14"/>
  <c r="H122" i="14"/>
  <c r="N121" i="14"/>
  <c r="M121" i="14"/>
  <c r="J121" i="14"/>
  <c r="C121" i="14"/>
  <c r="G121" i="14"/>
  <c r="N120" i="14"/>
  <c r="M120" i="14"/>
  <c r="J120" i="14"/>
  <c r="C120" i="14"/>
  <c r="H133" i="14"/>
  <c r="H113" i="14"/>
  <c r="N109" i="14"/>
  <c r="M109" i="14"/>
  <c r="J109" i="14"/>
  <c r="C109" i="14"/>
  <c r="E109" i="14"/>
  <c r="G109" i="14"/>
  <c r="H109" i="14"/>
  <c r="N108" i="14"/>
  <c r="M108" i="14"/>
  <c r="J108" i="14"/>
  <c r="C108" i="14"/>
  <c r="N107" i="14"/>
  <c r="M107" i="14"/>
  <c r="J107" i="14"/>
  <c r="C107" i="14"/>
  <c r="G107" i="14"/>
  <c r="H107" i="14"/>
  <c r="N106" i="14"/>
  <c r="M106" i="14"/>
  <c r="J106" i="14"/>
  <c r="C106" i="14"/>
  <c r="N105" i="14"/>
  <c r="M105" i="14"/>
  <c r="J105" i="14"/>
  <c r="C105" i="14"/>
  <c r="E105" i="14"/>
  <c r="G105" i="14"/>
  <c r="H105" i="14"/>
  <c r="N104" i="14"/>
  <c r="M104" i="14"/>
  <c r="J104" i="14"/>
  <c r="C104" i="14"/>
  <c r="C103" i="14"/>
  <c r="C115" i="14"/>
  <c r="N103" i="14"/>
  <c r="M103" i="14"/>
  <c r="J103" i="14"/>
  <c r="E103" i="14"/>
  <c r="G103" i="14"/>
  <c r="N102" i="14"/>
  <c r="M102" i="14"/>
  <c r="J102" i="14"/>
  <c r="C102" i="14"/>
  <c r="H115" i="14" s="1"/>
  <c r="R17" i="9" s="1"/>
  <c r="R51" i="9" s="1"/>
  <c r="R54" i="9" s="1"/>
  <c r="R48" i="9" s="1"/>
  <c r="R14" i="9" s="1"/>
  <c r="H103" i="14"/>
  <c r="G104" i="14"/>
  <c r="H104" i="14"/>
  <c r="G106" i="14"/>
  <c r="H106" i="14"/>
  <c r="G108" i="14"/>
  <c r="H108" i="14"/>
  <c r="H111" i="14"/>
  <c r="H95" i="14"/>
  <c r="N91" i="14"/>
  <c r="M91" i="14"/>
  <c r="J91" i="14"/>
  <c r="C91" i="14"/>
  <c r="N90" i="14"/>
  <c r="M90" i="14"/>
  <c r="J90" i="14"/>
  <c r="C90" i="14"/>
  <c r="N89" i="14"/>
  <c r="M89" i="14"/>
  <c r="J89" i="14"/>
  <c r="C89" i="14"/>
  <c r="E89" i="14"/>
  <c r="N88" i="14"/>
  <c r="M88" i="14"/>
  <c r="J88" i="14"/>
  <c r="C88" i="14"/>
  <c r="E88" i="14"/>
  <c r="G88" i="14"/>
  <c r="H88" i="14"/>
  <c r="N87" i="14"/>
  <c r="M87" i="14"/>
  <c r="J87" i="14"/>
  <c r="C87" i="14"/>
  <c r="N86" i="14"/>
  <c r="M86" i="14"/>
  <c r="J86" i="14"/>
  <c r="C86" i="14"/>
  <c r="G86" i="14"/>
  <c r="H86" i="14"/>
  <c r="N85" i="14"/>
  <c r="M85" i="14"/>
  <c r="J85" i="14"/>
  <c r="C85" i="14"/>
  <c r="G85" i="14"/>
  <c r="N84" i="14"/>
  <c r="M84" i="14"/>
  <c r="J84" i="14"/>
  <c r="C84" i="14"/>
  <c r="H97" i="14" s="1"/>
  <c r="P18" i="9" s="1"/>
  <c r="P52" i="9" s="1"/>
  <c r="P55" i="9" s="1"/>
  <c r="H85" i="14"/>
  <c r="G87" i="14"/>
  <c r="H87" i="14"/>
  <c r="G89" i="14"/>
  <c r="H89" i="14"/>
  <c r="G90" i="14"/>
  <c r="H90" i="14"/>
  <c r="G91" i="14"/>
  <c r="H91" i="14"/>
  <c r="H93" i="14"/>
  <c r="H77" i="14"/>
  <c r="N73" i="14"/>
  <c r="M73" i="14"/>
  <c r="J73" i="14"/>
  <c r="C73" i="14"/>
  <c r="G73" i="14"/>
  <c r="H73" i="14"/>
  <c r="N72" i="14"/>
  <c r="M72" i="14"/>
  <c r="J72" i="14"/>
  <c r="C72" i="14"/>
  <c r="N71" i="14"/>
  <c r="M71" i="14"/>
  <c r="J71" i="14"/>
  <c r="C71" i="14"/>
  <c r="N70" i="14"/>
  <c r="M70" i="14"/>
  <c r="J70" i="14"/>
  <c r="C70" i="14"/>
  <c r="E70" i="14"/>
  <c r="N69" i="14"/>
  <c r="M69" i="14"/>
  <c r="J69" i="14"/>
  <c r="C69" i="14"/>
  <c r="E69" i="14"/>
  <c r="G69" i="14"/>
  <c r="H69" i="14"/>
  <c r="N68" i="14"/>
  <c r="M68" i="14"/>
  <c r="J68" i="14"/>
  <c r="C68" i="14"/>
  <c r="N67" i="14"/>
  <c r="M67" i="14"/>
  <c r="J67" i="14"/>
  <c r="C67" i="14"/>
  <c r="G67" i="14"/>
  <c r="N66" i="14"/>
  <c r="M66" i="14"/>
  <c r="J66" i="14"/>
  <c r="C66" i="14"/>
  <c r="H79" i="14" s="1"/>
  <c r="P17" i="9" s="1"/>
  <c r="P51" i="9" s="1"/>
  <c r="P54" i="9" s="1"/>
  <c r="H67" i="14"/>
  <c r="G68" i="14"/>
  <c r="H68" i="14"/>
  <c r="G70" i="14"/>
  <c r="H70" i="14"/>
  <c r="G71" i="14"/>
  <c r="H71" i="14"/>
  <c r="G72" i="14"/>
  <c r="H72" i="14"/>
  <c r="H75" i="14"/>
  <c r="H59" i="14"/>
  <c r="L55" i="14"/>
  <c r="K55" i="14"/>
  <c r="J55" i="14"/>
  <c r="C55" i="14"/>
  <c r="G55" i="14"/>
  <c r="H55" i="14"/>
  <c r="L54" i="14"/>
  <c r="K54" i="14"/>
  <c r="J54" i="14"/>
  <c r="C54" i="14"/>
  <c r="G54" i="14"/>
  <c r="H54" i="14"/>
  <c r="L53" i="14"/>
  <c r="K53" i="14"/>
  <c r="J53" i="14"/>
  <c r="C53" i="14"/>
  <c r="L52" i="14"/>
  <c r="K52" i="14"/>
  <c r="J52" i="14"/>
  <c r="C52" i="14"/>
  <c r="H45" i="14"/>
  <c r="L41" i="14"/>
  <c r="K41" i="14"/>
  <c r="J41" i="14"/>
  <c r="C41" i="14"/>
  <c r="G41" i="14"/>
  <c r="H41" i="14"/>
  <c r="L40" i="14"/>
  <c r="K40" i="14"/>
  <c r="J40" i="14"/>
  <c r="C40" i="14"/>
  <c r="G40" i="14"/>
  <c r="H40" i="14"/>
  <c r="L39" i="14"/>
  <c r="K39" i="14"/>
  <c r="J39" i="14"/>
  <c r="C39" i="14"/>
  <c r="G39" i="14"/>
  <c r="L38" i="14"/>
  <c r="K38" i="14"/>
  <c r="J38" i="14"/>
  <c r="C38" i="14"/>
  <c r="C23" i="14"/>
  <c r="G23" i="14"/>
  <c r="H23" i="14"/>
  <c r="C26" i="14"/>
  <c r="G26" i="14"/>
  <c r="H26" i="14"/>
  <c r="C25" i="14"/>
  <c r="G25" i="14"/>
  <c r="H25" i="14"/>
  <c r="C24" i="14"/>
  <c r="G24" i="14"/>
  <c r="H24" i="14"/>
  <c r="C27" i="14"/>
  <c r="G27" i="14"/>
  <c r="H27" i="14"/>
  <c r="H29" i="14"/>
  <c r="H31" i="14"/>
  <c r="H33" i="14"/>
  <c r="R26" i="9"/>
  <c r="M27" i="14"/>
  <c r="L27" i="14"/>
  <c r="K27" i="14"/>
  <c r="J27" i="14"/>
  <c r="E27" i="14"/>
  <c r="M26" i="14"/>
  <c r="L26" i="14"/>
  <c r="K26" i="14"/>
  <c r="J26" i="14"/>
  <c r="M25" i="14"/>
  <c r="L25" i="14"/>
  <c r="K25" i="14"/>
  <c r="J25" i="14"/>
  <c r="E25" i="14"/>
  <c r="M24" i="14"/>
  <c r="L24" i="14"/>
  <c r="K24" i="14"/>
  <c r="J24" i="14"/>
  <c r="M23" i="14"/>
  <c r="L23" i="14"/>
  <c r="K23" i="14"/>
  <c r="J23" i="14"/>
  <c r="E23" i="14"/>
  <c r="H16" i="14"/>
  <c r="L12" i="14"/>
  <c r="K12" i="14"/>
  <c r="J12" i="14"/>
  <c r="C12" i="14"/>
  <c r="L11" i="14"/>
  <c r="K11" i="14"/>
  <c r="J11" i="14"/>
  <c r="C11" i="14"/>
  <c r="L10" i="14"/>
  <c r="K10" i="14"/>
  <c r="J10" i="14"/>
  <c r="C10" i="14"/>
  <c r="G10" i="14"/>
  <c r="H10" i="14"/>
  <c r="E10" i="14"/>
  <c r="L9" i="14"/>
  <c r="K9" i="14"/>
  <c r="J9" i="14"/>
  <c r="C9" i="14"/>
  <c r="E9" i="14"/>
  <c r="L8" i="14"/>
  <c r="K8" i="14"/>
  <c r="J8" i="14"/>
  <c r="C8" i="14"/>
  <c r="H85" i="12"/>
  <c r="N81" i="12"/>
  <c r="M81" i="12"/>
  <c r="J81" i="12"/>
  <c r="C81" i="12"/>
  <c r="N80" i="12"/>
  <c r="M80" i="12"/>
  <c r="J80" i="12"/>
  <c r="C80" i="12"/>
  <c r="N79" i="12"/>
  <c r="M79" i="12"/>
  <c r="J79" i="12"/>
  <c r="C79" i="12"/>
  <c r="G79" i="12"/>
  <c r="H79" i="12"/>
  <c r="E79" i="12"/>
  <c r="N78" i="12"/>
  <c r="M78" i="12"/>
  <c r="J78" i="12"/>
  <c r="C78" i="12"/>
  <c r="E78" i="12"/>
  <c r="G78" i="12"/>
  <c r="H78" i="12"/>
  <c r="N77" i="12"/>
  <c r="M77" i="12"/>
  <c r="J77" i="12"/>
  <c r="C77" i="12"/>
  <c r="N76" i="12"/>
  <c r="M76" i="12"/>
  <c r="J76" i="12"/>
  <c r="C76" i="12"/>
  <c r="G76" i="12"/>
  <c r="H76" i="12"/>
  <c r="N75" i="12"/>
  <c r="M75" i="12"/>
  <c r="J75" i="12"/>
  <c r="C75" i="12"/>
  <c r="G75" i="12"/>
  <c r="N74" i="12"/>
  <c r="M74" i="12"/>
  <c r="J74" i="12"/>
  <c r="C74" i="12"/>
  <c r="H87" i="12" s="1"/>
  <c r="N18" i="9" s="1"/>
  <c r="N52" i="9" s="1"/>
  <c r="N55" i="9" s="1"/>
  <c r="H75" i="12"/>
  <c r="G77" i="12"/>
  <c r="H77" i="12"/>
  <c r="G80" i="12"/>
  <c r="H80" i="12"/>
  <c r="G81" i="12"/>
  <c r="H81" i="12"/>
  <c r="H83" i="12"/>
  <c r="H67" i="12"/>
  <c r="N63" i="12"/>
  <c r="M63" i="12"/>
  <c r="J63" i="12"/>
  <c r="C63" i="12"/>
  <c r="E63" i="12"/>
  <c r="G63" i="12"/>
  <c r="H63" i="12"/>
  <c r="N62" i="12"/>
  <c r="M62" i="12"/>
  <c r="J62" i="12"/>
  <c r="C62" i="12"/>
  <c r="N61" i="12"/>
  <c r="M61" i="12"/>
  <c r="J61" i="12"/>
  <c r="C61" i="12"/>
  <c r="G61" i="12"/>
  <c r="H61" i="12"/>
  <c r="N60" i="12"/>
  <c r="M60" i="12"/>
  <c r="J60" i="12"/>
  <c r="C60" i="12"/>
  <c r="N59" i="12"/>
  <c r="M59" i="12"/>
  <c r="J59" i="12"/>
  <c r="C59" i="12"/>
  <c r="E59" i="12"/>
  <c r="G59" i="12"/>
  <c r="H59" i="12"/>
  <c r="N58" i="12"/>
  <c r="M58" i="12"/>
  <c r="J58" i="12"/>
  <c r="C58" i="12"/>
  <c r="N57" i="12"/>
  <c r="M57" i="12"/>
  <c r="J57" i="12"/>
  <c r="C57" i="12"/>
  <c r="E57" i="12"/>
  <c r="G57" i="12"/>
  <c r="N56" i="12"/>
  <c r="M56" i="12"/>
  <c r="J56" i="12"/>
  <c r="C56" i="12"/>
  <c r="H57" i="12"/>
  <c r="G58" i="12"/>
  <c r="H58" i="12"/>
  <c r="G60" i="12"/>
  <c r="H60" i="12"/>
  <c r="G62" i="12"/>
  <c r="H62" i="12"/>
  <c r="H65" i="12"/>
  <c r="H69" i="12"/>
  <c r="N17" i="9" s="1"/>
  <c r="N51" i="9" s="1"/>
  <c r="N54" i="9" s="1"/>
  <c r="H48" i="12"/>
  <c r="L44" i="12"/>
  <c r="K44" i="12"/>
  <c r="J44" i="12"/>
  <c r="C44" i="12"/>
  <c r="G44" i="12"/>
  <c r="H44" i="12"/>
  <c r="L43" i="12"/>
  <c r="K43" i="12"/>
  <c r="J43" i="12"/>
  <c r="C43" i="12"/>
  <c r="G43" i="12"/>
  <c r="H43" i="12"/>
  <c r="L42" i="12"/>
  <c r="K42" i="12"/>
  <c r="J42" i="12"/>
  <c r="C42" i="12"/>
  <c r="L41" i="12"/>
  <c r="K41" i="12"/>
  <c r="J41" i="12"/>
  <c r="C41" i="12"/>
  <c r="H34" i="12"/>
  <c r="L30" i="12"/>
  <c r="K30" i="12"/>
  <c r="J30" i="12"/>
  <c r="C30" i="12"/>
  <c r="E30" i="12"/>
  <c r="G30" i="12"/>
  <c r="L29" i="12"/>
  <c r="K29" i="12"/>
  <c r="J29" i="12"/>
  <c r="C29" i="12"/>
  <c r="E29" i="12"/>
  <c r="L28" i="12"/>
  <c r="K28" i="12"/>
  <c r="J28" i="12"/>
  <c r="C28" i="12"/>
  <c r="L27" i="12"/>
  <c r="K27" i="12"/>
  <c r="J27" i="12"/>
  <c r="C27" i="12"/>
  <c r="H30" i="12"/>
  <c r="L26" i="12"/>
  <c r="K26" i="12"/>
  <c r="J26" i="12"/>
  <c r="C26" i="12"/>
  <c r="E26" i="12"/>
  <c r="G26" i="12"/>
  <c r="C25" i="12"/>
  <c r="H26" i="12"/>
  <c r="G27" i="12"/>
  <c r="H27" i="12"/>
  <c r="G28" i="12"/>
  <c r="H28" i="12"/>
  <c r="G29" i="12"/>
  <c r="H29" i="12"/>
  <c r="H32" i="12"/>
  <c r="H36" i="12"/>
  <c r="H17" i="12"/>
  <c r="L13" i="12"/>
  <c r="K13" i="12"/>
  <c r="J13" i="12"/>
  <c r="C13" i="12"/>
  <c r="E13" i="12"/>
  <c r="G13" i="12"/>
  <c r="L12" i="12"/>
  <c r="K12" i="12"/>
  <c r="J12" i="12"/>
  <c r="C12" i="12"/>
  <c r="L11" i="12"/>
  <c r="K11" i="12"/>
  <c r="J11" i="12"/>
  <c r="C11" i="12"/>
  <c r="E11" i="12"/>
  <c r="G11" i="12"/>
  <c r="H11" i="12"/>
  <c r="L10" i="12"/>
  <c r="K10" i="12"/>
  <c r="J10" i="12"/>
  <c r="C10" i="12"/>
  <c r="E10" i="12"/>
  <c r="L9" i="12"/>
  <c r="K9" i="12"/>
  <c r="J9" i="12"/>
  <c r="C9" i="12"/>
  <c r="C8" i="12"/>
  <c r="H84" i="19"/>
  <c r="N80" i="19"/>
  <c r="M80" i="19"/>
  <c r="J80" i="19"/>
  <c r="C80" i="19"/>
  <c r="N79" i="19"/>
  <c r="M79" i="19"/>
  <c r="J79" i="19"/>
  <c r="C79" i="19"/>
  <c r="G79" i="19"/>
  <c r="H79" i="19"/>
  <c r="N78" i="19"/>
  <c r="M78" i="19"/>
  <c r="J78" i="19"/>
  <c r="C78" i="19"/>
  <c r="N77" i="19"/>
  <c r="M77" i="19"/>
  <c r="J77" i="19"/>
  <c r="C77" i="19"/>
  <c r="E77" i="19"/>
  <c r="G77" i="19"/>
  <c r="H77" i="19"/>
  <c r="N76" i="19"/>
  <c r="M76" i="19"/>
  <c r="J76" i="19"/>
  <c r="C76" i="19"/>
  <c r="N75" i="19"/>
  <c r="M75" i="19"/>
  <c r="J75" i="19"/>
  <c r="C75" i="19"/>
  <c r="E75" i="19"/>
  <c r="G75" i="19"/>
  <c r="H75" i="19"/>
  <c r="N74" i="19"/>
  <c r="M74" i="19"/>
  <c r="J74" i="19"/>
  <c r="C74" i="19"/>
  <c r="G74" i="19"/>
  <c r="N73" i="19"/>
  <c r="M73" i="19"/>
  <c r="J73" i="19"/>
  <c r="C73" i="19"/>
  <c r="H86" i="19" s="1"/>
  <c r="L18" i="9" s="1"/>
  <c r="L52" i="9" s="1"/>
  <c r="L55" i="9" s="1"/>
  <c r="H74" i="19"/>
  <c r="G76" i="19"/>
  <c r="H76" i="19"/>
  <c r="G78" i="19"/>
  <c r="H78" i="19"/>
  <c r="G80" i="19"/>
  <c r="H80" i="19"/>
  <c r="H82" i="19"/>
  <c r="H66" i="19"/>
  <c r="N62" i="19"/>
  <c r="M62" i="19"/>
  <c r="J62" i="19"/>
  <c r="C62" i="19"/>
  <c r="G62" i="19"/>
  <c r="H62" i="19"/>
  <c r="N61" i="19"/>
  <c r="M61" i="19"/>
  <c r="J61" i="19"/>
  <c r="C61" i="19"/>
  <c r="N60" i="19"/>
  <c r="M60" i="19"/>
  <c r="J60" i="19"/>
  <c r="C60" i="19"/>
  <c r="E60" i="19"/>
  <c r="G60" i="19"/>
  <c r="H60" i="19"/>
  <c r="N59" i="19"/>
  <c r="M59" i="19"/>
  <c r="J59" i="19"/>
  <c r="C59" i="19"/>
  <c r="E59" i="19"/>
  <c r="N58" i="19"/>
  <c r="M58" i="19"/>
  <c r="J58" i="19"/>
  <c r="C58" i="19"/>
  <c r="N57" i="19"/>
  <c r="M57" i="19"/>
  <c r="J57" i="19"/>
  <c r="C57" i="19"/>
  <c r="N56" i="19"/>
  <c r="M56" i="19"/>
  <c r="J56" i="19"/>
  <c r="C56" i="19"/>
  <c r="E56" i="19"/>
  <c r="G56" i="19"/>
  <c r="N55" i="19"/>
  <c r="M55" i="19"/>
  <c r="J55" i="19"/>
  <c r="C55" i="19"/>
  <c r="H56" i="19"/>
  <c r="G57" i="19"/>
  <c r="H57" i="19"/>
  <c r="G58" i="19"/>
  <c r="H58" i="19"/>
  <c r="G59" i="19"/>
  <c r="H59" i="19"/>
  <c r="G61" i="19"/>
  <c r="H61" i="19"/>
  <c r="H64" i="19"/>
  <c r="H68" i="19"/>
  <c r="L17" i="9" s="1"/>
  <c r="L51" i="9" s="1"/>
  <c r="L54" i="9" s="1"/>
  <c r="H48" i="19"/>
  <c r="L44" i="19"/>
  <c r="K44" i="19"/>
  <c r="J44" i="19"/>
  <c r="C44" i="19"/>
  <c r="G44" i="19"/>
  <c r="H44" i="19"/>
  <c r="L43" i="19"/>
  <c r="K43" i="19"/>
  <c r="J43" i="19"/>
  <c r="C43" i="19"/>
  <c r="G43" i="19"/>
  <c r="H43" i="19"/>
  <c r="L42" i="19"/>
  <c r="K42" i="19"/>
  <c r="J42" i="19"/>
  <c r="C42" i="19"/>
  <c r="L41" i="19"/>
  <c r="K41" i="19"/>
  <c r="J41" i="19"/>
  <c r="C41" i="19"/>
  <c r="H34" i="19"/>
  <c r="J30" i="19"/>
  <c r="C30" i="19"/>
  <c r="G30" i="19"/>
  <c r="H30" i="19"/>
  <c r="J29" i="19"/>
  <c r="C29" i="19"/>
  <c r="G29" i="19"/>
  <c r="H29" i="19"/>
  <c r="J28" i="19"/>
  <c r="C28" i="19"/>
  <c r="G28" i="19"/>
  <c r="H28" i="19"/>
  <c r="J27" i="19"/>
  <c r="C27" i="19"/>
  <c r="C24" i="19"/>
  <c r="C25" i="19"/>
  <c r="C26" i="19"/>
  <c r="C36" i="19"/>
  <c r="J26" i="19"/>
  <c r="G26" i="19"/>
  <c r="H26" i="19"/>
  <c r="J25" i="19"/>
  <c r="G25" i="19"/>
  <c r="H25" i="19"/>
  <c r="J24" i="19"/>
  <c r="G24" i="19"/>
  <c r="C23" i="19"/>
  <c r="H16" i="19"/>
  <c r="L12" i="19"/>
  <c r="K12" i="19"/>
  <c r="J12" i="19"/>
  <c r="C12" i="19"/>
  <c r="G12" i="19"/>
  <c r="L11" i="19"/>
  <c r="K11" i="19"/>
  <c r="J11" i="19"/>
  <c r="C11" i="19"/>
  <c r="L10" i="19"/>
  <c r="K10" i="19"/>
  <c r="J10" i="19"/>
  <c r="C10" i="19"/>
  <c r="E10" i="19"/>
  <c r="G10" i="19"/>
  <c r="H10" i="19"/>
  <c r="L9" i="19"/>
  <c r="K9" i="19"/>
  <c r="J9" i="19"/>
  <c r="C9" i="19"/>
  <c r="L8" i="19"/>
  <c r="K8" i="19"/>
  <c r="J8" i="19"/>
  <c r="C8" i="19"/>
  <c r="E8" i="19"/>
  <c r="G8" i="19"/>
  <c r="H8" i="19"/>
  <c r="G11" i="19"/>
  <c r="H11" i="19"/>
  <c r="G9" i="19"/>
  <c r="H9" i="19"/>
  <c r="H12" i="19"/>
  <c r="H14" i="19"/>
  <c r="H18" i="19"/>
  <c r="H102" i="18"/>
  <c r="N98" i="18"/>
  <c r="M98" i="18"/>
  <c r="J98" i="18"/>
  <c r="C98" i="18"/>
  <c r="E98" i="18"/>
  <c r="G98" i="18"/>
  <c r="H98" i="18"/>
  <c r="N97" i="18"/>
  <c r="M97" i="18"/>
  <c r="J97" i="18"/>
  <c r="C97" i="18"/>
  <c r="N96" i="18"/>
  <c r="M96" i="18"/>
  <c r="J96" i="18"/>
  <c r="C96" i="18"/>
  <c r="G96" i="18"/>
  <c r="H96" i="18"/>
  <c r="N95" i="18"/>
  <c r="M95" i="18"/>
  <c r="J95" i="18"/>
  <c r="C95" i="18"/>
  <c r="N94" i="18"/>
  <c r="M94" i="18"/>
  <c r="J94" i="18"/>
  <c r="C94" i="18"/>
  <c r="E94" i="18"/>
  <c r="G94" i="18"/>
  <c r="H94" i="18"/>
  <c r="N93" i="18"/>
  <c r="M93" i="18"/>
  <c r="J93" i="18"/>
  <c r="C93" i="18"/>
  <c r="G93" i="18"/>
  <c r="H93" i="18"/>
  <c r="E93" i="18"/>
  <c r="N92" i="18"/>
  <c r="M92" i="18"/>
  <c r="J92" i="18"/>
  <c r="C92" i="18"/>
  <c r="N91" i="18"/>
  <c r="M91" i="18"/>
  <c r="J91" i="18"/>
  <c r="C91" i="18"/>
  <c r="G92" i="18"/>
  <c r="H92" i="18"/>
  <c r="G95" i="18"/>
  <c r="H95" i="18"/>
  <c r="G97" i="18"/>
  <c r="H97" i="18"/>
  <c r="H100" i="18"/>
  <c r="H104" i="18"/>
  <c r="J29" i="9" s="1"/>
  <c r="H84" i="18"/>
  <c r="N80" i="18"/>
  <c r="M80" i="18"/>
  <c r="J80" i="18"/>
  <c r="C80" i="18"/>
  <c r="E80" i="18"/>
  <c r="N79" i="18"/>
  <c r="M79" i="18"/>
  <c r="J79" i="18"/>
  <c r="C79" i="18"/>
  <c r="E79" i="18"/>
  <c r="G79" i="18"/>
  <c r="H79" i="18"/>
  <c r="N78" i="18"/>
  <c r="M78" i="18"/>
  <c r="J78" i="18"/>
  <c r="C78" i="18"/>
  <c r="N77" i="18"/>
  <c r="M77" i="18"/>
  <c r="J77" i="18"/>
  <c r="C77" i="18"/>
  <c r="N76" i="18"/>
  <c r="M76" i="18"/>
  <c r="J76" i="18"/>
  <c r="C76" i="18"/>
  <c r="G76" i="18"/>
  <c r="H76" i="18"/>
  <c r="E76" i="18"/>
  <c r="N75" i="18"/>
  <c r="M75" i="18"/>
  <c r="J75" i="18"/>
  <c r="C75" i="18"/>
  <c r="G75" i="18"/>
  <c r="H75" i="18"/>
  <c r="N74" i="18"/>
  <c r="M74" i="18"/>
  <c r="J74" i="18"/>
  <c r="C74" i="18"/>
  <c r="N73" i="18"/>
  <c r="M73" i="18"/>
  <c r="J73" i="18"/>
  <c r="C73" i="18"/>
  <c r="G74" i="18"/>
  <c r="H74" i="18"/>
  <c r="G77" i="18"/>
  <c r="H77" i="18"/>
  <c r="G78" i="18"/>
  <c r="H78" i="18"/>
  <c r="G80" i="18"/>
  <c r="H80" i="18"/>
  <c r="H82" i="18"/>
  <c r="H86" i="18"/>
  <c r="J21" i="9" s="1"/>
  <c r="J20" i="9" s="1"/>
  <c r="H66" i="18"/>
  <c r="L62" i="18"/>
  <c r="K62" i="18"/>
  <c r="J62" i="18"/>
  <c r="C62" i="18"/>
  <c r="G62" i="18"/>
  <c r="H62" i="18"/>
  <c r="L61" i="18"/>
  <c r="K61" i="18"/>
  <c r="J61" i="18"/>
  <c r="C61" i="18"/>
  <c r="G61" i="18"/>
  <c r="H61" i="18"/>
  <c r="L60" i="18"/>
  <c r="K60" i="18"/>
  <c r="J60" i="18"/>
  <c r="C60" i="18"/>
  <c r="G60" i="18"/>
  <c r="C68" i="18"/>
  <c r="L59" i="18"/>
  <c r="K59" i="18"/>
  <c r="J59" i="18"/>
  <c r="C59" i="18"/>
  <c r="H52" i="18"/>
  <c r="J48" i="18"/>
  <c r="C48" i="18"/>
  <c r="J47" i="18"/>
  <c r="C47" i="18"/>
  <c r="E47" i="18"/>
  <c r="G47" i="18"/>
  <c r="H47" i="18"/>
  <c r="J46" i="18"/>
  <c r="C46" i="18"/>
  <c r="J45" i="18"/>
  <c r="C45" i="18"/>
  <c r="E45" i="18"/>
  <c r="G45" i="18"/>
  <c r="H45" i="18"/>
  <c r="J44" i="18"/>
  <c r="C44" i="18"/>
  <c r="J43" i="18"/>
  <c r="C43" i="18"/>
  <c r="J42" i="18"/>
  <c r="C42" i="18"/>
  <c r="G42" i="18"/>
  <c r="C41" i="18"/>
  <c r="H34" i="18"/>
  <c r="J30" i="18"/>
  <c r="C30" i="18"/>
  <c r="J29" i="18"/>
  <c r="C29" i="18"/>
  <c r="G29" i="18"/>
  <c r="H29" i="18"/>
  <c r="J28" i="18"/>
  <c r="C28" i="18"/>
  <c r="E28" i="18"/>
  <c r="J27" i="18"/>
  <c r="C27" i="18"/>
  <c r="J26" i="18"/>
  <c r="C26" i="18"/>
  <c r="J25" i="18"/>
  <c r="C25" i="18"/>
  <c r="E25" i="18"/>
  <c r="C24" i="18"/>
  <c r="H16" i="18"/>
  <c r="L12" i="18"/>
  <c r="K12" i="18"/>
  <c r="J12" i="18"/>
  <c r="C12" i="18"/>
  <c r="L11" i="18"/>
  <c r="K11" i="18"/>
  <c r="J11" i="18"/>
  <c r="C11" i="18"/>
  <c r="L10" i="18"/>
  <c r="K10" i="18"/>
  <c r="J10" i="18"/>
  <c r="C10" i="18"/>
  <c r="E10" i="18"/>
  <c r="G10" i="18"/>
  <c r="H10" i="18"/>
  <c r="L9" i="18"/>
  <c r="K9" i="18"/>
  <c r="J9" i="18"/>
  <c r="C9" i="18"/>
  <c r="G9" i="18"/>
  <c r="H9" i="18"/>
  <c r="E9" i="18"/>
  <c r="L8" i="18"/>
  <c r="K8" i="18"/>
  <c r="J8" i="18"/>
  <c r="C8" i="18"/>
  <c r="E8" i="18"/>
  <c r="G8" i="18"/>
  <c r="H8" i="18"/>
  <c r="G11" i="18"/>
  <c r="H11" i="18"/>
  <c r="G12" i="18"/>
  <c r="H12" i="18"/>
  <c r="H14" i="18"/>
  <c r="H18" i="18"/>
  <c r="J22" i="9"/>
  <c r="H66" i="10"/>
  <c r="N62" i="10"/>
  <c r="M62" i="10"/>
  <c r="J62" i="10"/>
  <c r="C62" i="10"/>
  <c r="E62" i="10"/>
  <c r="G62" i="10"/>
  <c r="N61" i="10"/>
  <c r="M61" i="10"/>
  <c r="J61" i="10"/>
  <c r="C61" i="10"/>
  <c r="G61" i="10"/>
  <c r="H61" i="10"/>
  <c r="E61" i="10"/>
  <c r="N60" i="10"/>
  <c r="M60" i="10"/>
  <c r="J60" i="10"/>
  <c r="C60" i="10"/>
  <c r="E60" i="10"/>
  <c r="G60" i="10"/>
  <c r="H60" i="10"/>
  <c r="N59" i="10"/>
  <c r="M59" i="10"/>
  <c r="J59" i="10"/>
  <c r="C59" i="10"/>
  <c r="N58" i="10"/>
  <c r="M58" i="10"/>
  <c r="J58" i="10"/>
  <c r="C58" i="10"/>
  <c r="N57" i="10"/>
  <c r="M57" i="10"/>
  <c r="J57" i="10"/>
  <c r="C57" i="10"/>
  <c r="E57" i="10"/>
  <c r="N56" i="10"/>
  <c r="M56" i="10"/>
  <c r="J56" i="10"/>
  <c r="C56" i="10"/>
  <c r="E56" i="10"/>
  <c r="G56" i="10"/>
  <c r="N55" i="10"/>
  <c r="M55" i="10"/>
  <c r="J55" i="10"/>
  <c r="C55" i="10"/>
  <c r="H68" i="10" s="1"/>
  <c r="F18" i="9" s="1"/>
  <c r="F52" i="9" s="1"/>
  <c r="F55" i="9" s="1"/>
  <c r="H56" i="10"/>
  <c r="G57" i="10"/>
  <c r="H57" i="10"/>
  <c r="G58" i="10"/>
  <c r="H58" i="10"/>
  <c r="G59" i="10"/>
  <c r="H59" i="10"/>
  <c r="H62" i="10"/>
  <c r="H64" i="10"/>
  <c r="H48" i="10"/>
  <c r="N44" i="10"/>
  <c r="M44" i="10"/>
  <c r="J44" i="10"/>
  <c r="C44" i="10"/>
  <c r="N43" i="10"/>
  <c r="M43" i="10"/>
  <c r="J43" i="10"/>
  <c r="C43" i="10"/>
  <c r="G43" i="10"/>
  <c r="H43" i="10"/>
  <c r="N42" i="10"/>
  <c r="M42" i="10"/>
  <c r="J42" i="10"/>
  <c r="C42" i="10"/>
  <c r="N41" i="10"/>
  <c r="M41" i="10"/>
  <c r="J41" i="10"/>
  <c r="C41" i="10"/>
  <c r="G41" i="10"/>
  <c r="H41" i="10"/>
  <c r="N40" i="10"/>
  <c r="M40" i="10"/>
  <c r="J40" i="10"/>
  <c r="C40" i="10"/>
  <c r="G40" i="10"/>
  <c r="H40" i="10"/>
  <c r="E40" i="10"/>
  <c r="N39" i="10"/>
  <c r="M39" i="10"/>
  <c r="J39" i="10"/>
  <c r="C39" i="10"/>
  <c r="E39" i="10"/>
  <c r="N38" i="10"/>
  <c r="M38" i="10"/>
  <c r="J38" i="10"/>
  <c r="C38" i="10"/>
  <c r="N37" i="10"/>
  <c r="M37" i="10"/>
  <c r="J37" i="10"/>
  <c r="C37" i="10"/>
  <c r="H50" i="10" s="1"/>
  <c r="F17" i="9" s="1"/>
  <c r="F51" i="9" s="1"/>
  <c r="F54" i="9" s="1"/>
  <c r="G38" i="10"/>
  <c r="H38" i="10"/>
  <c r="G39" i="10"/>
  <c r="H39" i="10"/>
  <c r="G42" i="10"/>
  <c r="H42" i="10"/>
  <c r="G44" i="10"/>
  <c r="H44" i="10"/>
  <c r="H46" i="10"/>
  <c r="H30" i="10"/>
  <c r="L26" i="10"/>
  <c r="K26" i="10"/>
  <c r="J26" i="10"/>
  <c r="C26" i="10"/>
  <c r="L25" i="10"/>
  <c r="K25" i="10"/>
  <c r="J25" i="10"/>
  <c r="C25" i="10"/>
  <c r="G25" i="10"/>
  <c r="H25" i="10"/>
  <c r="L24" i="10"/>
  <c r="K24" i="10"/>
  <c r="J24" i="10"/>
  <c r="C24" i="10"/>
  <c r="G24" i="10"/>
  <c r="E24" i="10"/>
  <c r="C23" i="10"/>
  <c r="G23" i="10"/>
  <c r="H23" i="10"/>
  <c r="H16" i="10"/>
  <c r="L12" i="10"/>
  <c r="K12" i="10"/>
  <c r="J12" i="10"/>
  <c r="C12" i="10"/>
  <c r="E12" i="10"/>
  <c r="G12" i="10"/>
  <c r="L11" i="10"/>
  <c r="K11" i="10"/>
  <c r="J11" i="10"/>
  <c r="C11" i="10"/>
  <c r="L10" i="10"/>
  <c r="K10" i="10"/>
  <c r="J10" i="10"/>
  <c r="C10" i="10"/>
  <c r="L9" i="10"/>
  <c r="K9" i="10"/>
  <c r="J9" i="10"/>
  <c r="C9" i="10"/>
  <c r="G9" i="10"/>
  <c r="H9" i="10"/>
  <c r="E9" i="10"/>
  <c r="L8" i="10"/>
  <c r="K8" i="10"/>
  <c r="J8" i="10"/>
  <c r="C8" i="10"/>
  <c r="E8" i="10"/>
  <c r="G8" i="10"/>
  <c r="H8" i="10"/>
  <c r="G10" i="10"/>
  <c r="H10" i="10"/>
  <c r="G11" i="10"/>
  <c r="H11" i="10"/>
  <c r="H12" i="10"/>
  <c r="H14" i="10"/>
  <c r="H18" i="10"/>
  <c r="F21" i="9"/>
  <c r="L107" i="16"/>
  <c r="K107" i="16"/>
  <c r="J107" i="16"/>
  <c r="C107" i="16"/>
  <c r="L106" i="16"/>
  <c r="K106" i="16"/>
  <c r="J106" i="16"/>
  <c r="C106" i="16"/>
  <c r="L105" i="16"/>
  <c r="K105" i="16"/>
  <c r="J105" i="16"/>
  <c r="C105" i="16"/>
  <c r="L104" i="16"/>
  <c r="K104" i="16"/>
  <c r="J104" i="16"/>
  <c r="C104" i="16"/>
  <c r="L103" i="16"/>
  <c r="K103" i="16"/>
  <c r="J103" i="16"/>
  <c r="C103" i="16"/>
  <c r="L98" i="16"/>
  <c r="K98" i="16"/>
  <c r="J98" i="16"/>
  <c r="C98" i="16"/>
  <c r="L97" i="16"/>
  <c r="K97" i="16"/>
  <c r="J97" i="16"/>
  <c r="C97" i="16"/>
  <c r="L96" i="16"/>
  <c r="K96" i="16"/>
  <c r="J96" i="16"/>
  <c r="C96" i="16"/>
  <c r="L95" i="16"/>
  <c r="K95" i="16"/>
  <c r="J95" i="16"/>
  <c r="C95" i="16"/>
  <c r="L94" i="16"/>
  <c r="K94" i="16"/>
  <c r="J94" i="16"/>
  <c r="C94" i="16"/>
  <c r="R87" i="16"/>
  <c r="Q87" i="16"/>
  <c r="P87" i="16"/>
  <c r="O87" i="16"/>
  <c r="N87" i="16"/>
  <c r="M87" i="16"/>
  <c r="L87" i="16"/>
  <c r="K87" i="16"/>
  <c r="J87" i="16"/>
  <c r="A87" i="16"/>
  <c r="R86" i="16"/>
  <c r="Q86" i="16"/>
  <c r="P86" i="16"/>
  <c r="O86" i="16"/>
  <c r="N86" i="16"/>
  <c r="M86" i="16"/>
  <c r="L86" i="16"/>
  <c r="K86" i="16"/>
  <c r="J86" i="16"/>
  <c r="A86" i="16"/>
  <c r="R85" i="16"/>
  <c r="Q85" i="16"/>
  <c r="P85" i="16"/>
  <c r="O85" i="16"/>
  <c r="N85" i="16"/>
  <c r="M85" i="16"/>
  <c r="L85" i="16"/>
  <c r="K85" i="16"/>
  <c r="J85" i="16"/>
  <c r="A85" i="16"/>
  <c r="R84" i="16"/>
  <c r="Q84" i="16"/>
  <c r="P84" i="16"/>
  <c r="O84" i="16"/>
  <c r="N84" i="16"/>
  <c r="M84" i="16"/>
  <c r="L84" i="16"/>
  <c r="K84" i="16"/>
  <c r="J84" i="16"/>
  <c r="A84" i="16"/>
  <c r="R83" i="16"/>
  <c r="Q83" i="16"/>
  <c r="P83" i="16"/>
  <c r="O83" i="16"/>
  <c r="N83" i="16"/>
  <c r="M83" i="16"/>
  <c r="L83" i="16"/>
  <c r="K83" i="16"/>
  <c r="J83" i="16"/>
  <c r="A83" i="16"/>
  <c r="H76" i="16"/>
  <c r="J72" i="16"/>
  <c r="C72" i="16"/>
  <c r="J71" i="16"/>
  <c r="C71" i="16"/>
  <c r="G71" i="16"/>
  <c r="H71" i="16"/>
  <c r="E71" i="16"/>
  <c r="J70" i="16"/>
  <c r="C70" i="16"/>
  <c r="E70" i="16"/>
  <c r="G70" i="16"/>
  <c r="H70" i="16"/>
  <c r="J69" i="16"/>
  <c r="C69" i="16"/>
  <c r="J68" i="16"/>
  <c r="C68" i="16"/>
  <c r="E68" i="16"/>
  <c r="G68" i="16"/>
  <c r="H68" i="16"/>
  <c r="J67" i="16"/>
  <c r="C67" i="16"/>
  <c r="G67" i="16"/>
  <c r="H67" i="16"/>
  <c r="E67" i="16"/>
  <c r="J66" i="16"/>
  <c r="C66" i="16"/>
  <c r="E66" i="16"/>
  <c r="J65" i="16"/>
  <c r="C65" i="16"/>
  <c r="H58" i="16"/>
  <c r="J54" i="16"/>
  <c r="C54" i="16"/>
  <c r="G54" i="16"/>
  <c r="E54" i="16"/>
  <c r="J53" i="16"/>
  <c r="C53" i="16"/>
  <c r="E53" i="16"/>
  <c r="G53" i="16"/>
  <c r="H53" i="16"/>
  <c r="J52" i="16"/>
  <c r="C52" i="16"/>
  <c r="J51" i="16"/>
  <c r="C51" i="16"/>
  <c r="E51" i="16"/>
  <c r="G51" i="16"/>
  <c r="H51" i="16"/>
  <c r="J50" i="16"/>
  <c r="C50" i="16"/>
  <c r="G50" i="16"/>
  <c r="H50" i="16"/>
  <c r="E50" i="16"/>
  <c r="J49" i="16"/>
  <c r="C49" i="16"/>
  <c r="G49" i="16"/>
  <c r="H49" i="16"/>
  <c r="J48" i="16"/>
  <c r="C48" i="16"/>
  <c r="J47" i="16"/>
  <c r="C47" i="16"/>
  <c r="J42" i="16"/>
  <c r="C42" i="16"/>
  <c r="J41" i="16"/>
  <c r="C41" i="16"/>
  <c r="J40" i="16"/>
  <c r="C40" i="16"/>
  <c r="J39" i="16"/>
  <c r="C39" i="16"/>
  <c r="J38" i="16"/>
  <c r="C38" i="16"/>
  <c r="H31" i="16"/>
  <c r="N27" i="16"/>
  <c r="M27" i="16"/>
  <c r="L27" i="16"/>
  <c r="K27" i="16"/>
  <c r="J27" i="16"/>
  <c r="C27" i="16"/>
  <c r="N26" i="16"/>
  <c r="M26" i="16"/>
  <c r="L26" i="16"/>
  <c r="K26" i="16"/>
  <c r="J26" i="16"/>
  <c r="C26" i="16"/>
  <c r="G26" i="16"/>
  <c r="H26" i="16"/>
  <c r="E26" i="16"/>
  <c r="N25" i="16"/>
  <c r="M25" i="16"/>
  <c r="L25" i="16"/>
  <c r="K25" i="16"/>
  <c r="J25" i="16"/>
  <c r="C25" i="16"/>
  <c r="G25" i="16"/>
  <c r="H25" i="16"/>
  <c r="N24" i="16"/>
  <c r="M24" i="16"/>
  <c r="L24" i="16"/>
  <c r="K24" i="16"/>
  <c r="J24" i="16"/>
  <c r="C24" i="16"/>
  <c r="N23" i="16"/>
  <c r="M23" i="16"/>
  <c r="L23" i="16"/>
  <c r="K23" i="16"/>
  <c r="J23" i="16"/>
  <c r="C23" i="16"/>
  <c r="E23" i="16"/>
  <c r="G23" i="16"/>
  <c r="H23" i="16"/>
  <c r="G27" i="16"/>
  <c r="E27" i="16"/>
  <c r="H27" i="16"/>
  <c r="G24" i="16"/>
  <c r="H24" i="16"/>
  <c r="H29" i="16"/>
  <c r="H33" i="16"/>
  <c r="D12" i="9"/>
  <c r="H16" i="16"/>
  <c r="M12" i="16"/>
  <c r="L12" i="16"/>
  <c r="K12" i="16"/>
  <c r="J12" i="16"/>
  <c r="C12" i="16"/>
  <c r="M11" i="16"/>
  <c r="L11" i="16"/>
  <c r="K11" i="16"/>
  <c r="J11" i="16"/>
  <c r="C11" i="16"/>
  <c r="G11" i="16"/>
  <c r="H11" i="16"/>
  <c r="M10" i="16"/>
  <c r="L10" i="16"/>
  <c r="K10" i="16"/>
  <c r="J10" i="16"/>
  <c r="C10" i="16"/>
  <c r="M9" i="16"/>
  <c r="L9" i="16"/>
  <c r="K9" i="16"/>
  <c r="J9" i="16"/>
  <c r="C9" i="16"/>
  <c r="E9" i="16"/>
  <c r="G9" i="16"/>
  <c r="H9" i="16"/>
  <c r="M8" i="16"/>
  <c r="L8" i="16"/>
  <c r="K8" i="16"/>
  <c r="J8" i="16"/>
  <c r="C8" i="16"/>
  <c r="B1" i="28"/>
  <c r="B1" i="27"/>
  <c r="J13" i="25"/>
  <c r="I13" i="25"/>
  <c r="H13" i="25"/>
  <c r="K12" i="25"/>
  <c r="K11" i="25"/>
  <c r="K13" i="25"/>
  <c r="B1" i="25"/>
  <c r="B1" i="22"/>
  <c r="AP75" i="50"/>
  <c r="AA75" i="50"/>
  <c r="F75" i="50"/>
  <c r="E90" i="37"/>
  <c r="D75" i="50"/>
  <c r="C90" i="37"/>
  <c r="B75" i="50"/>
  <c r="A90" i="37"/>
  <c r="AP74" i="50"/>
  <c r="AA74" i="50"/>
  <c r="F74" i="50"/>
  <c r="E89" i="37"/>
  <c r="D74" i="50"/>
  <c r="C89" i="37"/>
  <c r="B74" i="50"/>
  <c r="A89" i="37"/>
  <c r="AP73" i="50"/>
  <c r="AA73" i="50"/>
  <c r="F73" i="50"/>
  <c r="E88" i="37"/>
  <c r="D73" i="50"/>
  <c r="C88" i="37"/>
  <c r="B73" i="50"/>
  <c r="A88" i="37"/>
  <c r="AP72" i="50"/>
  <c r="AA72" i="50"/>
  <c r="F72" i="50"/>
  <c r="E87" i="37"/>
  <c r="D72" i="50"/>
  <c r="C87" i="37"/>
  <c r="B72" i="50"/>
  <c r="A87" i="37"/>
  <c r="AP71" i="50"/>
  <c r="AA71" i="50"/>
  <c r="F71" i="50"/>
  <c r="E86" i="37"/>
  <c r="D71" i="50"/>
  <c r="C86" i="37"/>
  <c r="B71" i="50"/>
  <c r="A86" i="37"/>
  <c r="AP70" i="50"/>
  <c r="AA70" i="50"/>
  <c r="F70" i="50"/>
  <c r="E85" i="37"/>
  <c r="E91" i="37"/>
  <c r="D70" i="50"/>
  <c r="C85" i="37"/>
  <c r="B70" i="50"/>
  <c r="A85" i="37"/>
  <c r="AP58" i="50"/>
  <c r="AA58" i="50"/>
  <c r="F58" i="50"/>
  <c r="E72" i="37"/>
  <c r="D58" i="50"/>
  <c r="C72" i="37"/>
  <c r="B58" i="50"/>
  <c r="A72" i="37"/>
  <c r="A132" i="39"/>
  <c r="AP57" i="50"/>
  <c r="AA57" i="50"/>
  <c r="F57" i="50"/>
  <c r="E71" i="37"/>
  <c r="D57" i="50"/>
  <c r="C71" i="37"/>
  <c r="B57" i="50"/>
  <c r="A71" i="37"/>
  <c r="A131" i="39"/>
  <c r="AP56" i="50"/>
  <c r="AA56" i="50"/>
  <c r="F56" i="50"/>
  <c r="E70" i="37"/>
  <c r="D56" i="50"/>
  <c r="C70" i="37"/>
  <c r="B56" i="50"/>
  <c r="A70" i="37"/>
  <c r="A130" i="39"/>
  <c r="AP55" i="50"/>
  <c r="AA55" i="50"/>
  <c r="F55" i="50"/>
  <c r="E69" i="37"/>
  <c r="D55" i="50"/>
  <c r="C69" i="37"/>
  <c r="B55" i="50"/>
  <c r="A69" i="37"/>
  <c r="A129" i="39"/>
  <c r="AP54" i="50"/>
  <c r="AA54" i="50"/>
  <c r="F54" i="50"/>
  <c r="E68" i="37"/>
  <c r="D54" i="50"/>
  <c r="C68" i="37"/>
  <c r="B54" i="50"/>
  <c r="A68" i="37"/>
  <c r="A128" i="39"/>
  <c r="AP53" i="50"/>
  <c r="AA53" i="50"/>
  <c r="F53" i="50"/>
  <c r="E67" i="37"/>
  <c r="D53" i="50"/>
  <c r="C67" i="37"/>
  <c r="B53" i="50"/>
  <c r="A67" i="37"/>
  <c r="A127" i="39"/>
  <c r="F45" i="50"/>
  <c r="F41" i="50"/>
  <c r="E54" i="37"/>
  <c r="D41" i="50"/>
  <c r="C54" i="37"/>
  <c r="B41" i="50"/>
  <c r="A54" i="37"/>
  <c r="A117" i="39"/>
  <c r="F40" i="50"/>
  <c r="E53" i="37"/>
  <c r="D40" i="50"/>
  <c r="C53" i="37"/>
  <c r="B40" i="50"/>
  <c r="A53" i="37"/>
  <c r="A116" i="39"/>
  <c r="F39" i="50"/>
  <c r="E52" i="37"/>
  <c r="D39" i="50"/>
  <c r="C52" i="37"/>
  <c r="B39" i="50"/>
  <c r="A52" i="37"/>
  <c r="A115" i="39"/>
  <c r="F38" i="50"/>
  <c r="E51" i="37"/>
  <c r="D38" i="50"/>
  <c r="C51" i="37"/>
  <c r="B38" i="50"/>
  <c r="A51" i="37"/>
  <c r="A114" i="39"/>
  <c r="F37" i="50"/>
  <c r="E50" i="37"/>
  <c r="D37" i="50"/>
  <c r="C50" i="37"/>
  <c r="B37" i="50"/>
  <c r="A50" i="37"/>
  <c r="A113" i="39"/>
  <c r="F36" i="50"/>
  <c r="E49" i="37"/>
  <c r="D36" i="50"/>
  <c r="C49" i="37"/>
  <c r="B36" i="50"/>
  <c r="A49" i="37"/>
  <c r="A112" i="39"/>
  <c r="F35" i="50"/>
  <c r="E48" i="37"/>
  <c r="D35" i="50"/>
  <c r="C48" i="37"/>
  <c r="B35" i="50"/>
  <c r="A48" i="37" s="1"/>
  <c r="A111" i="39" s="1"/>
  <c r="F34" i="50"/>
  <c r="E47" i="37"/>
  <c r="D34" i="50"/>
  <c r="C47" i="37"/>
  <c r="B34" i="50"/>
  <c r="A47" i="37" s="1"/>
  <c r="A110" i="39" s="1"/>
  <c r="F33" i="50"/>
  <c r="E46" i="37"/>
  <c r="D33" i="50"/>
  <c r="C46" i="37"/>
  <c r="B33" i="50"/>
  <c r="A46" i="37"/>
  <c r="A109" i="39" s="1"/>
  <c r="F32" i="50"/>
  <c r="E45" i="37"/>
  <c r="C45" i="37"/>
  <c r="B32" i="50"/>
  <c r="A45" i="37" s="1"/>
  <c r="A108" i="39" s="1"/>
  <c r="W20" i="50"/>
  <c r="V20" i="50"/>
  <c r="U20" i="50"/>
  <c r="T20" i="50"/>
  <c r="X20" i="50"/>
  <c r="F20" i="50"/>
  <c r="E32" i="37"/>
  <c r="D20" i="50"/>
  <c r="C32" i="37"/>
  <c r="B20" i="50"/>
  <c r="A32" i="37"/>
  <c r="W19" i="50"/>
  <c r="V19" i="50"/>
  <c r="U19" i="50"/>
  <c r="T19" i="50"/>
  <c r="F19" i="50"/>
  <c r="E31" i="37"/>
  <c r="D19" i="50"/>
  <c r="C31" i="37"/>
  <c r="B19" i="50"/>
  <c r="A31" i="37"/>
  <c r="W18" i="50"/>
  <c r="V18" i="50"/>
  <c r="U18" i="50"/>
  <c r="T18" i="50"/>
  <c r="X18" i="50"/>
  <c r="F18" i="50"/>
  <c r="E30" i="37"/>
  <c r="D18" i="50"/>
  <c r="C30" i="37"/>
  <c r="B18" i="50"/>
  <c r="A30" i="37"/>
  <c r="W17" i="50"/>
  <c r="V17" i="50"/>
  <c r="U17" i="50"/>
  <c r="T17" i="50"/>
  <c r="F17" i="50"/>
  <c r="E29" i="37"/>
  <c r="D17" i="50"/>
  <c r="C29" i="37"/>
  <c r="B17" i="50"/>
  <c r="A29" i="37"/>
  <c r="W16" i="50"/>
  <c r="V16" i="50"/>
  <c r="U16" i="50"/>
  <c r="T16" i="50"/>
  <c r="F16" i="50"/>
  <c r="E28" i="37"/>
  <c r="D16" i="50"/>
  <c r="C28" i="37"/>
  <c r="B16" i="50"/>
  <c r="A28" i="37" s="1"/>
  <c r="W15" i="50"/>
  <c r="V15" i="50"/>
  <c r="U15" i="50"/>
  <c r="T15" i="50"/>
  <c r="F15" i="50"/>
  <c r="E27" i="37"/>
  <c r="D15" i="50"/>
  <c r="C27" i="37"/>
  <c r="B15" i="50"/>
  <c r="A27" i="37"/>
  <c r="A29" i="39" s="1"/>
  <c r="B1" i="50"/>
  <c r="AN75" i="24"/>
  <c r="Y75" i="24"/>
  <c r="Z75" i="24"/>
  <c r="AN74" i="24"/>
  <c r="Y74" i="24"/>
  <c r="Z74" i="24"/>
  <c r="AN73" i="24"/>
  <c r="Y73" i="24"/>
  <c r="AN72" i="24"/>
  <c r="Y72" i="24"/>
  <c r="AN71" i="24"/>
  <c r="Y71" i="24"/>
  <c r="AN70" i="24"/>
  <c r="Y70" i="24"/>
  <c r="C61" i="24"/>
  <c r="C62" i="24"/>
  <c r="B69" i="5"/>
  <c r="F69" i="5"/>
  <c r="AN58" i="24"/>
  <c r="Y58" i="24"/>
  <c r="Z58" i="24"/>
  <c r="AN57" i="24"/>
  <c r="Y57" i="24"/>
  <c r="Z57" i="24"/>
  <c r="B71" i="5"/>
  <c r="F71" i="5"/>
  <c r="AN56" i="24"/>
  <c r="Y56" i="24"/>
  <c r="Z56" i="24"/>
  <c r="B70" i="5"/>
  <c r="F70" i="5"/>
  <c r="AN55" i="24"/>
  <c r="Y55" i="24"/>
  <c r="Z55" i="24"/>
  <c r="AN54" i="24"/>
  <c r="Y54" i="24"/>
  <c r="Z54" i="24"/>
  <c r="AN53" i="24"/>
  <c r="Y53" i="24"/>
  <c r="Z53" i="24"/>
  <c r="G45" i="24"/>
  <c r="H43" i="24"/>
  <c r="G42" i="24"/>
  <c r="G43" i="24"/>
  <c r="AN41" i="24"/>
  <c r="Y41" i="24"/>
  <c r="Z41" i="24"/>
  <c r="AN40" i="24"/>
  <c r="Y40" i="24"/>
  <c r="Z40" i="24"/>
  <c r="AN39" i="24"/>
  <c r="Y39" i="24"/>
  <c r="Z39" i="24"/>
  <c r="AN38" i="24"/>
  <c r="Y38" i="24"/>
  <c r="Z38" i="24"/>
  <c r="AN37" i="24"/>
  <c r="Y37" i="24"/>
  <c r="Z37" i="24"/>
  <c r="AN36" i="24"/>
  <c r="Y36" i="24"/>
  <c r="Z36" i="24"/>
  <c r="AN35" i="24"/>
  <c r="Y35" i="24"/>
  <c r="Z35" i="24"/>
  <c r="AN34" i="24"/>
  <c r="Y34" i="24"/>
  <c r="Z34" i="24"/>
  <c r="AN33" i="24"/>
  <c r="Y33" i="24"/>
  <c r="Z33" i="24"/>
  <c r="AN32" i="24"/>
  <c r="Y32" i="24"/>
  <c r="Z32" i="24"/>
  <c r="AN20" i="24"/>
  <c r="Y20" i="24"/>
  <c r="Z20" i="24"/>
  <c r="AN19" i="24"/>
  <c r="Y19" i="24"/>
  <c r="Z19" i="24"/>
  <c r="AN18" i="24"/>
  <c r="Y18" i="24"/>
  <c r="Z18" i="24"/>
  <c r="AN17" i="24"/>
  <c r="Y17" i="24"/>
  <c r="Z17" i="24"/>
  <c r="AN16" i="24"/>
  <c r="Y16" i="24"/>
  <c r="AN15" i="24"/>
  <c r="Y15" i="24"/>
  <c r="B1" i="24"/>
  <c r="G43" i="26"/>
  <c r="E43" i="26"/>
  <c r="Z42" i="26"/>
  <c r="Z41" i="26"/>
  <c r="Z40" i="26"/>
  <c r="Z39" i="26"/>
  <c r="Z38" i="26"/>
  <c r="Z37" i="26"/>
  <c r="Z36" i="26"/>
  <c r="Z35" i="26"/>
  <c r="AC28" i="26"/>
  <c r="C42" i="36"/>
  <c r="AC26" i="26"/>
  <c r="AC24" i="26"/>
  <c r="C38" i="36"/>
  <c r="AC22" i="26"/>
  <c r="B1" i="26"/>
  <c r="N82" i="31"/>
  <c r="N81" i="31"/>
  <c r="N80" i="31"/>
  <c r="N78" i="31"/>
  <c r="N74" i="31"/>
  <c r="N73" i="31"/>
  <c r="D61" i="31"/>
  <c r="D60" i="31"/>
  <c r="C60" i="31"/>
  <c r="C61" i="31"/>
  <c r="O58" i="31"/>
  <c r="P58" i="31"/>
  <c r="H58" i="31"/>
  <c r="I58" i="31"/>
  <c r="O57" i="31"/>
  <c r="P57" i="31"/>
  <c r="H57" i="31"/>
  <c r="I57" i="31"/>
  <c r="O54" i="31"/>
  <c r="P54" i="31"/>
  <c r="H54" i="31"/>
  <c r="I54" i="31"/>
  <c r="O53" i="31"/>
  <c r="P53" i="31"/>
  <c r="H53" i="31"/>
  <c r="I53" i="31"/>
  <c r="D52" i="31"/>
  <c r="H51" i="31"/>
  <c r="I51" i="31"/>
  <c r="H50" i="31"/>
  <c r="I50" i="31"/>
  <c r="D44" i="31"/>
  <c r="D43" i="31"/>
  <c r="C43" i="31"/>
  <c r="C44" i="31"/>
  <c r="O41" i="31"/>
  <c r="P41" i="31"/>
  <c r="H41" i="31"/>
  <c r="I41" i="31"/>
  <c r="O40" i="31"/>
  <c r="P40" i="31"/>
  <c r="H40" i="31"/>
  <c r="I40" i="31"/>
  <c r="H39" i="31"/>
  <c r="I39" i="31"/>
  <c r="D38" i="31"/>
  <c r="O37" i="31"/>
  <c r="P37" i="31"/>
  <c r="H37" i="31"/>
  <c r="I37" i="31"/>
  <c r="O36" i="31"/>
  <c r="P36" i="31"/>
  <c r="H36" i="31"/>
  <c r="I36" i="31"/>
  <c r="D35" i="31"/>
  <c r="H34" i="31"/>
  <c r="I34" i="31"/>
  <c r="H33" i="31"/>
  <c r="I33" i="31"/>
  <c r="C23" i="31"/>
  <c r="C12" i="31"/>
  <c r="AE11" i="31" s="1"/>
  <c r="C11" i="31"/>
  <c r="B2" i="31"/>
  <c r="N84" i="29"/>
  <c r="N82" i="29"/>
  <c r="W74" i="29"/>
  <c r="D66" i="29"/>
  <c r="D65" i="29"/>
  <c r="C65" i="29"/>
  <c r="C66" i="29"/>
  <c r="R63" i="29"/>
  <c r="O63" i="29"/>
  <c r="P63" i="29"/>
  <c r="H63" i="29"/>
  <c r="I63" i="29"/>
  <c r="R62" i="29"/>
  <c r="O62" i="29"/>
  <c r="P62" i="29"/>
  <c r="H62" i="29"/>
  <c r="I62" i="29"/>
  <c r="H61" i="29"/>
  <c r="I61" i="29"/>
  <c r="D60" i="29"/>
  <c r="R59" i="29"/>
  <c r="O59" i="29"/>
  <c r="P59" i="29"/>
  <c r="H59" i="29"/>
  <c r="I59" i="29"/>
  <c r="R58" i="29"/>
  <c r="O58" i="29"/>
  <c r="P58" i="29"/>
  <c r="H58" i="29"/>
  <c r="I58" i="29"/>
  <c r="D57" i="29"/>
  <c r="H56" i="29"/>
  <c r="I56" i="29"/>
  <c r="H55" i="29"/>
  <c r="I55" i="29"/>
  <c r="C49" i="29"/>
  <c r="C43" i="29"/>
  <c r="C44" i="29"/>
  <c r="R41" i="29"/>
  <c r="O41" i="29"/>
  <c r="P41" i="29"/>
  <c r="H41" i="29"/>
  <c r="I41" i="29"/>
  <c r="O40" i="29"/>
  <c r="P40" i="29"/>
  <c r="H40" i="29"/>
  <c r="I40" i="29"/>
  <c r="R39" i="29"/>
  <c r="H39" i="29"/>
  <c r="I39" i="29"/>
  <c r="D38" i="29"/>
  <c r="R37" i="29"/>
  <c r="O37" i="29"/>
  <c r="P37" i="29"/>
  <c r="H37" i="29"/>
  <c r="I37" i="29"/>
  <c r="R36" i="29"/>
  <c r="O36" i="29"/>
  <c r="P36" i="29"/>
  <c r="H36" i="29"/>
  <c r="I36" i="29"/>
  <c r="D35" i="29"/>
  <c r="H34" i="29"/>
  <c r="I34" i="29"/>
  <c r="H33" i="29"/>
  <c r="I33" i="29"/>
  <c r="B1" i="60"/>
  <c r="B2" i="29"/>
  <c r="B1" i="54"/>
  <c r="B1" i="53"/>
  <c r="L68" i="9"/>
  <c r="L71" i="9"/>
  <c r="R18" i="9"/>
  <c r="R52" i="9"/>
  <c r="R55" i="9"/>
  <c r="N24" i="9"/>
  <c r="N61" i="9"/>
  <c r="N64" i="9"/>
  <c r="L22" i="9"/>
  <c r="L20" i="9"/>
  <c r="G58" i="41"/>
  <c r="B1" i="9"/>
  <c r="L146" i="43"/>
  <c r="L140" i="42"/>
  <c r="H13" i="21"/>
  <c r="H12" i="21"/>
  <c r="H11" i="21"/>
  <c r="H10" i="21"/>
  <c r="H9" i="21"/>
  <c r="H8" i="21"/>
  <c r="H7" i="21"/>
  <c r="J6" i="21"/>
  <c r="H6" i="21"/>
  <c r="H13" i="41"/>
  <c r="H12" i="41"/>
  <c r="H11" i="41"/>
  <c r="H10" i="41"/>
  <c r="H9" i="41"/>
  <c r="H8" i="41"/>
  <c r="H7" i="41"/>
  <c r="J6" i="41"/>
  <c r="H6" i="41"/>
  <c r="J29" i="5"/>
  <c r="A99" i="6"/>
  <c r="A34" i="6"/>
  <c r="J32" i="5"/>
  <c r="K33" i="6"/>
  <c r="M67" i="6"/>
  <c r="B193" i="33"/>
  <c r="E157" i="33"/>
  <c r="B157" i="33"/>
  <c r="C157" i="33"/>
  <c r="G10" i="16"/>
  <c r="H10" i="16"/>
  <c r="E10" i="16"/>
  <c r="E10" i="10"/>
  <c r="E12" i="18"/>
  <c r="G58" i="21"/>
  <c r="B68" i="5"/>
  <c r="F68" i="5"/>
  <c r="AO57" i="24"/>
  <c r="B72" i="5"/>
  <c r="F72" i="5"/>
  <c r="C18" i="16"/>
  <c r="E8" i="16"/>
  <c r="E25" i="16"/>
  <c r="E49" i="16"/>
  <c r="G72" i="16"/>
  <c r="H72" i="16"/>
  <c r="E72" i="16"/>
  <c r="E41" i="10"/>
  <c r="E58" i="10"/>
  <c r="E29" i="18"/>
  <c r="E46" i="18"/>
  <c r="G46" i="18"/>
  <c r="H46" i="18"/>
  <c r="E96" i="18"/>
  <c r="E97" i="18"/>
  <c r="G27" i="19"/>
  <c r="H27" i="19"/>
  <c r="E62" i="19"/>
  <c r="E26" i="14"/>
  <c r="E71" i="14"/>
  <c r="E90" i="14"/>
  <c r="E124" i="14"/>
  <c r="E125" i="14"/>
  <c r="G125" i="14"/>
  <c r="H125" i="14"/>
  <c r="E157" i="1"/>
  <c r="C193" i="1"/>
  <c r="N85" i="29"/>
  <c r="N86" i="29"/>
  <c r="X15" i="50"/>
  <c r="E73" i="37"/>
  <c r="E11" i="16"/>
  <c r="E12" i="16"/>
  <c r="E14" i="16"/>
  <c r="G8" i="16"/>
  <c r="H8" i="16"/>
  <c r="G12" i="16"/>
  <c r="H12" i="16"/>
  <c r="H14" i="16"/>
  <c r="H18" i="16"/>
  <c r="D11" i="9"/>
  <c r="D10" i="9"/>
  <c r="E25" i="10"/>
  <c r="E43" i="10"/>
  <c r="E44" i="10"/>
  <c r="C36" i="18"/>
  <c r="G28" i="18"/>
  <c r="H28" i="18"/>
  <c r="G43" i="18"/>
  <c r="H43" i="18"/>
  <c r="E43" i="18"/>
  <c r="E75" i="18"/>
  <c r="E92" i="18"/>
  <c r="E12" i="19"/>
  <c r="G9" i="12"/>
  <c r="H9" i="12"/>
  <c r="G12" i="12"/>
  <c r="H12" i="12"/>
  <c r="H13" i="12"/>
  <c r="G10" i="12"/>
  <c r="H10" i="12"/>
  <c r="H15" i="12"/>
  <c r="H19" i="12"/>
  <c r="N23" i="9"/>
  <c r="N60" i="9"/>
  <c r="N63" i="9"/>
  <c r="N58" i="9"/>
  <c r="N20" i="9"/>
  <c r="C19" i="12"/>
  <c r="E9" i="12"/>
  <c r="E24" i="14"/>
  <c r="E29" i="14"/>
  <c r="C47" i="14"/>
  <c r="C79" i="14"/>
  <c r="E196" i="1"/>
  <c r="E197" i="1"/>
  <c r="E200" i="1"/>
  <c r="B169" i="1"/>
  <c r="B193" i="1"/>
  <c r="F198" i="1"/>
  <c r="F196" i="1"/>
  <c r="X51" i="4"/>
  <c r="A45" i="39"/>
  <c r="A109" i="6"/>
  <c r="A46" i="39"/>
  <c r="A53" i="39"/>
  <c r="A117" i="6"/>
  <c r="A53" i="6"/>
  <c r="A66" i="39"/>
  <c r="A66" i="6"/>
  <c r="J70" i="5"/>
  <c r="A144" i="6"/>
  <c r="A80" i="6"/>
  <c r="A31" i="6"/>
  <c r="A130" i="6"/>
  <c r="B41" i="33"/>
  <c r="E196" i="33"/>
  <c r="X185" i="34"/>
  <c r="Y185" i="34"/>
  <c r="Z185" i="34"/>
  <c r="AC185" i="34"/>
  <c r="F85" i="35"/>
  <c r="Y46" i="36"/>
  <c r="N78" i="29"/>
  <c r="E9" i="19"/>
  <c r="E11" i="19"/>
  <c r="E14" i="19"/>
  <c r="E78" i="19"/>
  <c r="E60" i="12"/>
  <c r="E58" i="12"/>
  <c r="E61" i="12"/>
  <c r="E62" i="12"/>
  <c r="E65" i="12"/>
  <c r="E80" i="12"/>
  <c r="E106" i="14"/>
  <c r="N77" i="29"/>
  <c r="N80" i="29"/>
  <c r="E33" i="37"/>
  <c r="X16" i="50"/>
  <c r="X19" i="50"/>
  <c r="G27" i="18"/>
  <c r="H27" i="18"/>
  <c r="E27" i="18"/>
  <c r="E77" i="18"/>
  <c r="E58" i="19"/>
  <c r="E28" i="12"/>
  <c r="G11" i="14"/>
  <c r="H11" i="14"/>
  <c r="E11" i="14"/>
  <c r="F69" i="1"/>
  <c r="A47" i="6"/>
  <c r="F197" i="33"/>
  <c r="X184" i="34"/>
  <c r="AC184" i="34"/>
  <c r="X45" i="4"/>
  <c r="X48" i="4"/>
  <c r="A98" i="6"/>
  <c r="A33" i="6"/>
  <c r="A49" i="39"/>
  <c r="A113" i="6"/>
  <c r="J32" i="6"/>
  <c r="K32" i="6"/>
  <c r="N32" i="6"/>
  <c r="K67" i="6"/>
  <c r="E68" i="33"/>
  <c r="E72" i="33"/>
  <c r="C47" i="33"/>
  <c r="F70" i="33"/>
  <c r="F196" i="33"/>
  <c r="C169" i="33"/>
  <c r="C193" i="33"/>
  <c r="E198" i="33"/>
  <c r="X17" i="50"/>
  <c r="E79" i="19"/>
  <c r="E76" i="12"/>
  <c r="C33" i="14"/>
  <c r="E67" i="14"/>
  <c r="E73" i="14"/>
  <c r="E86" i="14"/>
  <c r="E107" i="14"/>
  <c r="E126" i="14"/>
  <c r="C65" i="1"/>
  <c r="E69" i="3"/>
  <c r="X46" i="4"/>
  <c r="J30" i="5"/>
  <c r="A51" i="39"/>
  <c r="A115" i="6"/>
  <c r="A51" i="6"/>
  <c r="E91" i="5"/>
  <c r="A50" i="6"/>
  <c r="M63" i="6"/>
  <c r="A146" i="6"/>
  <c r="E197" i="33"/>
  <c r="X47" i="34"/>
  <c r="AC48" i="34"/>
  <c r="X48" i="34"/>
  <c r="Y48" i="34"/>
  <c r="Z48" i="34"/>
  <c r="AA48" i="34"/>
  <c r="X178" i="34"/>
  <c r="X179" i="34"/>
  <c r="Y179" i="34"/>
  <c r="Z179" i="34"/>
  <c r="J186" i="34"/>
  <c r="F201" i="34"/>
  <c r="D69" i="35"/>
  <c r="D69" i="3"/>
  <c r="E33" i="5"/>
  <c r="M33" i="6"/>
  <c r="AE33" i="6"/>
  <c r="A48" i="6"/>
  <c r="J64" i="6"/>
  <c r="A68" i="6"/>
  <c r="A128" i="6"/>
  <c r="H30" i="39"/>
  <c r="H32" i="39"/>
  <c r="H34" i="39"/>
  <c r="AB17" i="50"/>
  <c r="P31" i="6"/>
  <c r="A1" i="57"/>
  <c r="A1" i="58"/>
  <c r="A1" i="37"/>
  <c r="A1" i="39"/>
  <c r="A1" i="36"/>
  <c r="A1" i="35"/>
  <c r="A1" i="34"/>
  <c r="A1" i="33"/>
  <c r="A1" i="6"/>
  <c r="A1" i="5"/>
  <c r="A1" i="3"/>
  <c r="A1" i="2"/>
  <c r="A1" i="1"/>
  <c r="A1" i="14"/>
  <c r="A1" i="12"/>
  <c r="B2" i="28"/>
  <c r="B2" i="27"/>
  <c r="B2" i="25"/>
  <c r="B2" i="22"/>
  <c r="B2" i="24"/>
  <c r="B2" i="26"/>
  <c r="B3" i="29"/>
  <c r="B1" i="43"/>
  <c r="B1" i="42"/>
  <c r="B19" i="21"/>
  <c r="B1" i="40"/>
  <c r="A1" i="41"/>
  <c r="B1" i="45"/>
  <c r="A1" i="4"/>
  <c r="B1" i="41"/>
  <c r="A1" i="19"/>
  <c r="A1" i="18"/>
  <c r="A1" i="10"/>
  <c r="B1" i="20"/>
  <c r="B19" i="41"/>
  <c r="B1" i="44"/>
  <c r="B2" i="50"/>
  <c r="J17" i="9"/>
  <c r="J51" i="9" s="1"/>
  <c r="J54" i="9" s="1"/>
  <c r="AO54" i="24"/>
  <c r="AO55" i="24"/>
  <c r="AO56" i="24"/>
  <c r="H97" i="39"/>
  <c r="AM18" i="50"/>
  <c r="H99" i="39"/>
  <c r="AM20" i="50"/>
  <c r="H108" i="39"/>
  <c r="AM32" i="50"/>
  <c r="H112" i="39"/>
  <c r="AM36" i="50"/>
  <c r="H114" i="39"/>
  <c r="AM38" i="50"/>
  <c r="A143" i="39"/>
  <c r="A79" i="39"/>
  <c r="C60" i="16"/>
  <c r="H54" i="16"/>
  <c r="E48" i="16"/>
  <c r="G48" i="16"/>
  <c r="E11" i="10"/>
  <c r="H42" i="18"/>
  <c r="C86" i="18"/>
  <c r="E74" i="18"/>
  <c r="C50" i="19"/>
  <c r="G42" i="19"/>
  <c r="E57" i="19"/>
  <c r="E61" i="19"/>
  <c r="E64" i="19"/>
  <c r="H121" i="14"/>
  <c r="F47" i="1"/>
  <c r="E85" i="1"/>
  <c r="F50" i="1"/>
  <c r="G50" i="1"/>
  <c r="Z73" i="24"/>
  <c r="H95" i="39"/>
  <c r="AM16" i="50"/>
  <c r="H110" i="39"/>
  <c r="AM34" i="50"/>
  <c r="H50" i="39"/>
  <c r="H116" i="39"/>
  <c r="AM40" i="50"/>
  <c r="A142" i="39"/>
  <c r="A78" i="39"/>
  <c r="H80" i="39"/>
  <c r="X72" i="50"/>
  <c r="H81" i="39"/>
  <c r="X73" i="50"/>
  <c r="A82" i="39"/>
  <c r="A146" i="39"/>
  <c r="A147" i="39"/>
  <c r="A83" i="39"/>
  <c r="E24" i="16"/>
  <c r="E29" i="16"/>
  <c r="C33" i="16"/>
  <c r="E52" i="16"/>
  <c r="G52" i="16"/>
  <c r="H52" i="16"/>
  <c r="H48" i="16"/>
  <c r="H56" i="16"/>
  <c r="H60" i="16"/>
  <c r="D15" i="9"/>
  <c r="D49" i="9"/>
  <c r="D54" i="9"/>
  <c r="C50" i="10"/>
  <c r="E38" i="10"/>
  <c r="E42" i="10"/>
  <c r="E11" i="18"/>
  <c r="E14" i="18"/>
  <c r="E44" i="18"/>
  <c r="G44" i="18"/>
  <c r="H44" i="18"/>
  <c r="E48" i="18"/>
  <c r="G48" i="18"/>
  <c r="H48" i="18"/>
  <c r="E78" i="18"/>
  <c r="E27" i="12"/>
  <c r="E32" i="12"/>
  <c r="C36" i="12"/>
  <c r="C50" i="12"/>
  <c r="G42" i="12"/>
  <c r="C18" i="14"/>
  <c r="E8" i="14"/>
  <c r="G8" i="14"/>
  <c r="H8" i="14"/>
  <c r="G12" i="14"/>
  <c r="H12" i="14"/>
  <c r="G9" i="14"/>
  <c r="H9" i="14"/>
  <c r="H14" i="14"/>
  <c r="H18" i="14"/>
  <c r="E12" i="14"/>
  <c r="E87" i="14"/>
  <c r="E91" i="14"/>
  <c r="E123" i="14"/>
  <c r="G123" i="14"/>
  <c r="H123" i="14"/>
  <c r="E127" i="14"/>
  <c r="G127" i="14"/>
  <c r="H127" i="14"/>
  <c r="C69" i="1"/>
  <c r="C69" i="33"/>
  <c r="B157" i="1"/>
  <c r="N81" i="29"/>
  <c r="C59" i="24"/>
  <c r="C76" i="24"/>
  <c r="H94" i="39"/>
  <c r="AM15" i="50"/>
  <c r="H96" i="39"/>
  <c r="AM17" i="50"/>
  <c r="H98" i="39"/>
  <c r="AM19" i="50"/>
  <c r="E55" i="37"/>
  <c r="H109" i="39"/>
  <c r="AM33" i="50"/>
  <c r="H111" i="39"/>
  <c r="AM35" i="50"/>
  <c r="H113" i="39"/>
  <c r="AM37" i="50"/>
  <c r="H115" i="39"/>
  <c r="AM39" i="50"/>
  <c r="H117" i="39"/>
  <c r="AM41" i="50"/>
  <c r="H63" i="39"/>
  <c r="X53" i="50"/>
  <c r="H64" i="39"/>
  <c r="X54" i="50"/>
  <c r="H65" i="39"/>
  <c r="X55" i="50"/>
  <c r="H66" i="39"/>
  <c r="I66" i="39"/>
  <c r="X56" i="50"/>
  <c r="H67" i="39"/>
  <c r="X57" i="50"/>
  <c r="H68" i="39"/>
  <c r="X58" i="50"/>
  <c r="H78" i="39"/>
  <c r="X70" i="50"/>
  <c r="H79" i="39"/>
  <c r="X71" i="50"/>
  <c r="A144" i="39"/>
  <c r="A80" i="39"/>
  <c r="A145" i="39"/>
  <c r="A81" i="39"/>
  <c r="H82" i="39"/>
  <c r="X74" i="50"/>
  <c r="H83" i="39"/>
  <c r="X75" i="50"/>
  <c r="E69" i="16"/>
  <c r="E74" i="16"/>
  <c r="G69" i="16"/>
  <c r="H69" i="16"/>
  <c r="E14" i="10"/>
  <c r="C18" i="10"/>
  <c r="H24" i="10"/>
  <c r="E26" i="10"/>
  <c r="G26" i="10"/>
  <c r="H26" i="10"/>
  <c r="E59" i="10"/>
  <c r="E64" i="10"/>
  <c r="C18" i="18"/>
  <c r="E26" i="18"/>
  <c r="G26" i="18"/>
  <c r="H26" i="18"/>
  <c r="E30" i="18"/>
  <c r="G30" i="18"/>
  <c r="H30" i="18"/>
  <c r="E95" i="18"/>
  <c r="C18" i="19"/>
  <c r="C68" i="19"/>
  <c r="E76" i="19"/>
  <c r="E80" i="19"/>
  <c r="E12" i="12"/>
  <c r="E15" i="12"/>
  <c r="C69" i="12"/>
  <c r="E77" i="12"/>
  <c r="E81" i="12"/>
  <c r="C61" i="14"/>
  <c r="G53" i="14"/>
  <c r="E68" i="14"/>
  <c r="E72" i="14"/>
  <c r="E75" i="14"/>
  <c r="E104" i="14"/>
  <c r="E108" i="14"/>
  <c r="B65" i="1"/>
  <c r="E68" i="1"/>
  <c r="E69" i="1"/>
  <c r="B80" i="1"/>
  <c r="F68" i="1"/>
  <c r="F72" i="1"/>
  <c r="E104" i="2"/>
  <c r="E102" i="2"/>
  <c r="E103" i="2"/>
  <c r="U79" i="6"/>
  <c r="X41" i="4"/>
  <c r="X42" i="4"/>
  <c r="M31" i="6"/>
  <c r="AE31" i="6"/>
  <c r="K34" i="6"/>
  <c r="L66" i="6"/>
  <c r="U81" i="6"/>
  <c r="X37" i="4"/>
  <c r="C30" i="6"/>
  <c r="J31" i="5"/>
  <c r="G55" i="5"/>
  <c r="A65" i="39"/>
  <c r="A129" i="6"/>
  <c r="A65" i="6"/>
  <c r="J72" i="5"/>
  <c r="C31" i="6"/>
  <c r="M34" i="6"/>
  <c r="AE34" i="6"/>
  <c r="J66" i="6"/>
  <c r="C77" i="33"/>
  <c r="B73" i="33"/>
  <c r="N74" i="29"/>
  <c r="C36" i="36"/>
  <c r="C36" i="4"/>
  <c r="C40" i="36"/>
  <c r="C40" i="4"/>
  <c r="Z71" i="24"/>
  <c r="Z72" i="24"/>
  <c r="H44" i="39"/>
  <c r="I64" i="39"/>
  <c r="I67" i="39"/>
  <c r="I68" i="39"/>
  <c r="C78" i="16"/>
  <c r="E23" i="10"/>
  <c r="C32" i="10"/>
  <c r="G64" i="10"/>
  <c r="C68" i="10"/>
  <c r="E32" i="18"/>
  <c r="C54" i="18"/>
  <c r="E42" i="18"/>
  <c r="G64" i="18"/>
  <c r="H60" i="18"/>
  <c r="H64" i="18"/>
  <c r="H68" i="18"/>
  <c r="J30" i="9"/>
  <c r="J28" i="9"/>
  <c r="G100" i="18"/>
  <c r="C104" i="18"/>
  <c r="G32" i="19"/>
  <c r="H24" i="19"/>
  <c r="H32" i="19"/>
  <c r="H36" i="19"/>
  <c r="L34" i="9"/>
  <c r="C86" i="19"/>
  <c r="E74" i="19"/>
  <c r="G15" i="12"/>
  <c r="C87" i="12"/>
  <c r="E75" i="12"/>
  <c r="E83" i="12"/>
  <c r="G43" i="14"/>
  <c r="H39" i="14"/>
  <c r="H43" i="14"/>
  <c r="H47" i="14"/>
  <c r="P29" i="9"/>
  <c r="P28" i="9"/>
  <c r="C97" i="14"/>
  <c r="E85" i="14"/>
  <c r="C133" i="14"/>
  <c r="E121" i="14"/>
  <c r="E129" i="14"/>
  <c r="X46" i="2"/>
  <c r="AA48" i="2"/>
  <c r="E100" i="2"/>
  <c r="X179" i="2"/>
  <c r="H231" i="2"/>
  <c r="H230" i="2"/>
  <c r="AA181" i="2"/>
  <c r="D85" i="3"/>
  <c r="O43" i="4"/>
  <c r="F85" i="4"/>
  <c r="X39" i="4"/>
  <c r="X40" i="4"/>
  <c r="C34" i="6"/>
  <c r="J68" i="5"/>
  <c r="J34" i="6"/>
  <c r="L34" i="6"/>
  <c r="N64" i="6"/>
  <c r="M65" i="6"/>
  <c r="K66" i="6"/>
  <c r="N68" i="6"/>
  <c r="U83" i="6"/>
  <c r="B77" i="33"/>
  <c r="B79" i="33"/>
  <c r="E79" i="33"/>
  <c r="B84" i="33"/>
  <c r="E84" i="33"/>
  <c r="C78" i="33"/>
  <c r="Y47" i="34"/>
  <c r="X37" i="36"/>
  <c r="X41" i="36"/>
  <c r="Y45" i="36"/>
  <c r="X45" i="36"/>
  <c r="X47" i="36"/>
  <c r="Y52" i="36"/>
  <c r="H29" i="39"/>
  <c r="A94" i="39"/>
  <c r="A96" i="39"/>
  <c r="A31" i="39"/>
  <c r="A97" i="39"/>
  <c r="A32" i="39"/>
  <c r="A98" i="39"/>
  <c r="A33" i="39"/>
  <c r="A99" i="39"/>
  <c r="A34" i="39"/>
  <c r="X32" i="50"/>
  <c r="H45" i="39"/>
  <c r="X33" i="50"/>
  <c r="H46" i="39"/>
  <c r="X34" i="50"/>
  <c r="H47" i="39"/>
  <c r="X35" i="50"/>
  <c r="H48" i="39"/>
  <c r="X36" i="50"/>
  <c r="AA36" i="50"/>
  <c r="H49" i="39"/>
  <c r="X37" i="50"/>
  <c r="X38" i="50"/>
  <c r="H51" i="39"/>
  <c r="X39" i="50"/>
  <c r="X40" i="50"/>
  <c r="H53" i="39"/>
  <c r="X41" i="50"/>
  <c r="H127" i="39"/>
  <c r="AM53" i="50"/>
  <c r="H128" i="39"/>
  <c r="AM54" i="50"/>
  <c r="H129" i="39"/>
  <c r="AM55" i="50"/>
  <c r="H130" i="39"/>
  <c r="AM56" i="50"/>
  <c r="H131" i="39"/>
  <c r="AM57" i="50"/>
  <c r="H132" i="39"/>
  <c r="AM58" i="50"/>
  <c r="H142" i="39"/>
  <c r="AM70" i="50"/>
  <c r="H143" i="39"/>
  <c r="AM71" i="50"/>
  <c r="H144" i="39"/>
  <c r="AM72" i="50"/>
  <c r="H145" i="39"/>
  <c r="AM73" i="50"/>
  <c r="H146" i="39"/>
  <c r="AM74" i="50"/>
  <c r="H147" i="39"/>
  <c r="AM75" i="50"/>
  <c r="G66" i="16"/>
  <c r="G25" i="18"/>
  <c r="B69" i="33"/>
  <c r="B70" i="33"/>
  <c r="B71" i="33"/>
  <c r="E98" i="2"/>
  <c r="C38" i="4"/>
  <c r="C42" i="4"/>
  <c r="X50" i="4"/>
  <c r="E73" i="5"/>
  <c r="J31" i="6"/>
  <c r="L31" i="6"/>
  <c r="J33" i="6"/>
  <c r="L33" i="6"/>
  <c r="A63" i="6"/>
  <c r="J63" i="6"/>
  <c r="L63" i="6"/>
  <c r="J65" i="6"/>
  <c r="L65" i="6"/>
  <c r="A67" i="6"/>
  <c r="J67" i="6"/>
  <c r="L67" i="6"/>
  <c r="A79" i="6"/>
  <c r="A81" i="6"/>
  <c r="A83" i="6"/>
  <c r="A127" i="6"/>
  <c r="A131" i="6"/>
  <c r="F69" i="33"/>
  <c r="E47" i="33"/>
  <c r="F47" i="33"/>
  <c r="B50" i="33"/>
  <c r="B78" i="33"/>
  <c r="E78" i="33"/>
  <c r="Y53" i="34"/>
  <c r="X52" i="34"/>
  <c r="H121" i="34"/>
  <c r="AA54" i="34"/>
  <c r="Y178" i="34"/>
  <c r="X177" i="34"/>
  <c r="H229" i="34"/>
  <c r="H228" i="34"/>
  <c r="AA179" i="34"/>
  <c r="E69" i="35"/>
  <c r="D85" i="35"/>
  <c r="B91" i="35"/>
  <c r="X38" i="36"/>
  <c r="X42" i="36"/>
  <c r="X46" i="36"/>
  <c r="H33" i="39"/>
  <c r="H52" i="39"/>
  <c r="G73" i="5"/>
  <c r="H29" i="6"/>
  <c r="H30" i="6"/>
  <c r="H31" i="6"/>
  <c r="I31" i="6"/>
  <c r="H32" i="6"/>
  <c r="I32" i="6"/>
  <c r="H33" i="6"/>
  <c r="I33" i="6"/>
  <c r="H34" i="6"/>
  <c r="I34" i="6"/>
  <c r="H44" i="6"/>
  <c r="H45" i="6"/>
  <c r="I45" i="6"/>
  <c r="H46" i="6"/>
  <c r="I46" i="6"/>
  <c r="H47" i="6"/>
  <c r="I47" i="6"/>
  <c r="H48" i="6"/>
  <c r="I48" i="6"/>
  <c r="H49" i="6"/>
  <c r="I49" i="6"/>
  <c r="H50" i="6"/>
  <c r="I50" i="6"/>
  <c r="H51" i="6"/>
  <c r="I51" i="6"/>
  <c r="H52" i="6"/>
  <c r="I52" i="6"/>
  <c r="H53" i="6"/>
  <c r="I53" i="6"/>
  <c r="H63" i="6"/>
  <c r="I63" i="6"/>
  <c r="H64" i="6"/>
  <c r="I64" i="6"/>
  <c r="H65" i="6"/>
  <c r="I65" i="6"/>
  <c r="H66" i="6"/>
  <c r="I66" i="6"/>
  <c r="H67" i="6"/>
  <c r="I67" i="6"/>
  <c r="H68" i="6"/>
  <c r="I68" i="6"/>
  <c r="H78" i="6"/>
  <c r="H79" i="6"/>
  <c r="H80" i="6"/>
  <c r="H81" i="6"/>
  <c r="H82" i="6"/>
  <c r="I82" i="6"/>
  <c r="H83" i="6"/>
  <c r="I83" i="6"/>
  <c r="H94" i="6"/>
  <c r="H95" i="6"/>
  <c r="H96" i="6"/>
  <c r="H97" i="6"/>
  <c r="H98" i="6"/>
  <c r="H99" i="6"/>
  <c r="H108" i="6"/>
  <c r="H109" i="6"/>
  <c r="H110" i="6"/>
  <c r="H111" i="6"/>
  <c r="H112" i="6"/>
  <c r="H113" i="6"/>
  <c r="H114" i="6"/>
  <c r="H115" i="6"/>
  <c r="H116" i="6"/>
  <c r="H117" i="6"/>
  <c r="H127" i="6"/>
  <c r="H128" i="6"/>
  <c r="H129" i="6"/>
  <c r="H130" i="6"/>
  <c r="H131" i="6"/>
  <c r="H132" i="6"/>
  <c r="H142" i="6"/>
  <c r="H143" i="6"/>
  <c r="H144" i="6"/>
  <c r="H145" i="6"/>
  <c r="H146" i="6"/>
  <c r="H147" i="6"/>
  <c r="C65" i="33"/>
  <c r="F68" i="33"/>
  <c r="X35" i="36"/>
  <c r="X36" i="36"/>
  <c r="X39" i="36"/>
  <c r="X51" i="36"/>
  <c r="H31" i="39"/>
  <c r="AV39" i="24"/>
  <c r="AW39" i="24"/>
  <c r="C70" i="1"/>
  <c r="C70" i="33"/>
  <c r="B278" i="34"/>
  <c r="X52" i="36"/>
  <c r="X46" i="34"/>
  <c r="J73" i="5"/>
  <c r="B91" i="3"/>
  <c r="E93" i="14"/>
  <c r="AO58" i="24"/>
  <c r="C71" i="1"/>
  <c r="C71" i="33"/>
  <c r="E72" i="1"/>
  <c r="C32" i="6"/>
  <c r="F200" i="33"/>
  <c r="X47" i="4"/>
  <c r="E200" i="33"/>
  <c r="F200" i="1"/>
  <c r="C83" i="33"/>
  <c r="F83" i="33"/>
  <c r="AV35" i="24"/>
  <c r="AW35" i="24"/>
  <c r="E82" i="19"/>
  <c r="C68" i="1"/>
  <c r="J183" i="34"/>
  <c r="O43" i="36"/>
  <c r="B105" i="34"/>
  <c r="C84" i="33"/>
  <c r="F84" i="33"/>
  <c r="C79" i="33"/>
  <c r="AV74" i="24"/>
  <c r="AW74" i="24"/>
  <c r="E50" i="18"/>
  <c r="I65" i="39"/>
  <c r="E111" i="14"/>
  <c r="E100" i="18"/>
  <c r="G28" i="10"/>
  <c r="G64" i="19"/>
  <c r="X52" i="4"/>
  <c r="Y184" i="34"/>
  <c r="X183" i="34"/>
  <c r="H232" i="34"/>
  <c r="H278" i="34"/>
  <c r="H58" i="21"/>
  <c r="H58" i="41"/>
  <c r="L69" i="9"/>
  <c r="L72" i="9"/>
  <c r="L67" i="9"/>
  <c r="L32" i="9"/>
  <c r="G47" i="33"/>
  <c r="M92" i="5"/>
  <c r="C105" i="5"/>
  <c r="F52" i="1"/>
  <c r="G47" i="1"/>
  <c r="Y40" i="36"/>
  <c r="Y38" i="36"/>
  <c r="E50" i="33"/>
  <c r="B83" i="33"/>
  <c r="F50" i="33"/>
  <c r="G50" i="33"/>
  <c r="Y39" i="4"/>
  <c r="C12" i="53"/>
  <c r="B159" i="1"/>
  <c r="B68" i="33"/>
  <c r="B72" i="33"/>
  <c r="B74" i="33"/>
  <c r="B72" i="1"/>
  <c r="B74" i="1"/>
  <c r="G32" i="18"/>
  <c r="H25" i="18"/>
  <c r="H32" i="18"/>
  <c r="H36" i="18"/>
  <c r="J33" i="9"/>
  <c r="J68" i="9"/>
  <c r="J71" i="9"/>
  <c r="G74" i="16"/>
  <c r="H66" i="16"/>
  <c r="H74" i="16"/>
  <c r="H78" i="16"/>
  <c r="D16" i="9"/>
  <c r="D50" i="9"/>
  <c r="D55" i="9"/>
  <c r="G14" i="16"/>
  <c r="AA38" i="50"/>
  <c r="B159" i="33"/>
  <c r="B154" i="33"/>
  <c r="AA41" i="50"/>
  <c r="Y41" i="36"/>
  <c r="V43" i="36"/>
  <c r="I85" i="36"/>
  <c r="H118" i="34"/>
  <c r="B80" i="33"/>
  <c r="L54" i="6"/>
  <c r="Y52" i="4"/>
  <c r="Y36" i="4"/>
  <c r="N43" i="4"/>
  <c r="Y35" i="4"/>
  <c r="E85" i="4"/>
  <c r="H120" i="2"/>
  <c r="I59" i="41"/>
  <c r="I59" i="21"/>
  <c r="F59" i="21"/>
  <c r="F59" i="41"/>
  <c r="AP41" i="50"/>
  <c r="AP39" i="50"/>
  <c r="AP37" i="50"/>
  <c r="AP35" i="50"/>
  <c r="AP33" i="50"/>
  <c r="AP32" i="50"/>
  <c r="AP20" i="50"/>
  <c r="AP19" i="50"/>
  <c r="AP18" i="50"/>
  <c r="AP17" i="50"/>
  <c r="AP16" i="50"/>
  <c r="AP15" i="50"/>
  <c r="AG55" i="24"/>
  <c r="AH55" i="24"/>
  <c r="R31" i="6"/>
  <c r="X31" i="6"/>
  <c r="AD17" i="50"/>
  <c r="C56" i="41"/>
  <c r="C56" i="21"/>
  <c r="E77" i="33"/>
  <c r="E80" i="33"/>
  <c r="B91" i="33"/>
  <c r="B94" i="33"/>
  <c r="B120" i="33"/>
  <c r="B136" i="33"/>
  <c r="B97" i="33"/>
  <c r="B121" i="33"/>
  <c r="B138" i="33"/>
  <c r="B100" i="33"/>
  <c r="B122" i="33"/>
  <c r="B126" i="33"/>
  <c r="B141" i="33"/>
  <c r="B140" i="33"/>
  <c r="C104" i="33"/>
  <c r="C123" i="33"/>
  <c r="I44" i="6"/>
  <c r="B54" i="6"/>
  <c r="Q31" i="6"/>
  <c r="W31" i="6"/>
  <c r="AC31" i="6"/>
  <c r="AC17" i="50"/>
  <c r="S14" i="40"/>
  <c r="Y38" i="4"/>
  <c r="U43" i="4"/>
  <c r="X38" i="4"/>
  <c r="G111" i="14"/>
  <c r="G75" i="14"/>
  <c r="H28" i="10"/>
  <c r="H32" i="10"/>
  <c r="F29" i="9"/>
  <c r="F28" i="9"/>
  <c r="N68" i="39"/>
  <c r="N67" i="39"/>
  <c r="U67" i="39"/>
  <c r="N66" i="39"/>
  <c r="N65" i="39"/>
  <c r="U65" i="39"/>
  <c r="N64" i="39"/>
  <c r="AG75" i="24"/>
  <c r="AH75" i="24"/>
  <c r="AV57" i="24"/>
  <c r="AW57" i="24"/>
  <c r="I131" i="6"/>
  <c r="N77" i="31"/>
  <c r="C157" i="1"/>
  <c r="B154" i="1"/>
  <c r="C80" i="1"/>
  <c r="C68" i="33"/>
  <c r="C72" i="33"/>
  <c r="C72" i="1"/>
  <c r="G14" i="14"/>
  <c r="E14" i="14"/>
  <c r="G46" i="10"/>
  <c r="AG71" i="24"/>
  <c r="AH71" i="24"/>
  <c r="AG73" i="24"/>
  <c r="AH73" i="24"/>
  <c r="F179" i="2"/>
  <c r="H129" i="14"/>
  <c r="G65" i="12"/>
  <c r="G46" i="19"/>
  <c r="H42" i="19"/>
  <c r="H46" i="19"/>
  <c r="H50" i="19"/>
  <c r="L30" i="9"/>
  <c r="L28" i="9"/>
  <c r="G82" i="18"/>
  <c r="H50" i="18"/>
  <c r="H54" i="18"/>
  <c r="J34" i="9"/>
  <c r="E56" i="16"/>
  <c r="AV58" i="24"/>
  <c r="AW58" i="24"/>
  <c r="I130" i="6"/>
  <c r="I129" i="6"/>
  <c r="I128" i="6"/>
  <c r="AG41" i="24"/>
  <c r="AH41" i="24"/>
  <c r="AG40" i="24"/>
  <c r="AH40" i="24"/>
  <c r="E99" i="2"/>
  <c r="C13" i="53"/>
  <c r="C104" i="1"/>
  <c r="C123" i="1"/>
  <c r="B94" i="1"/>
  <c r="B120" i="1"/>
  <c r="B136" i="1"/>
  <c r="B97" i="1"/>
  <c r="B121" i="1"/>
  <c r="B138" i="1"/>
  <c r="B100" i="1"/>
  <c r="B122" i="1"/>
  <c r="B126" i="1"/>
  <c r="B141" i="1"/>
  <c r="B140" i="1"/>
  <c r="AG32" i="24"/>
  <c r="AH32" i="24"/>
  <c r="AG33" i="24"/>
  <c r="AH33" i="24"/>
  <c r="AG17" i="24"/>
  <c r="AH17" i="24"/>
  <c r="N70" i="31"/>
  <c r="E85" i="36"/>
  <c r="Y36" i="36"/>
  <c r="AA39" i="50"/>
  <c r="F46" i="34"/>
  <c r="F85" i="33"/>
  <c r="N129" i="6"/>
  <c r="C118" i="6"/>
  <c r="N83" i="6"/>
  <c r="AD67" i="6"/>
  <c r="N65" i="6"/>
  <c r="AD63" i="6"/>
  <c r="L69" i="6"/>
  <c r="N53" i="6"/>
  <c r="N51" i="6"/>
  <c r="N49" i="6"/>
  <c r="N47" i="6"/>
  <c r="N45" i="6"/>
  <c r="N33" i="6"/>
  <c r="N31" i="6"/>
  <c r="M74" i="5"/>
  <c r="Y50" i="4"/>
  <c r="Y51" i="36"/>
  <c r="X40" i="36"/>
  <c r="X43" i="36"/>
  <c r="Y39" i="36"/>
  <c r="N43" i="36"/>
  <c r="Y35" i="36"/>
  <c r="O54" i="36"/>
  <c r="F72" i="33"/>
  <c r="Y42" i="36"/>
  <c r="AA185" i="34"/>
  <c r="Z178" i="34"/>
  <c r="Y177" i="34"/>
  <c r="Z53" i="34"/>
  <c r="AA53" i="34"/>
  <c r="Y52" i="34"/>
  <c r="C85" i="33"/>
  <c r="C80" i="33"/>
  <c r="C148" i="6"/>
  <c r="AB67" i="6"/>
  <c r="N67" i="6"/>
  <c r="AD65" i="6"/>
  <c r="AB63" i="6"/>
  <c r="N63" i="6"/>
  <c r="J69" i="6"/>
  <c r="AD31" i="6"/>
  <c r="Y49" i="4"/>
  <c r="Y42" i="4"/>
  <c r="Y41" i="4"/>
  <c r="Y40" i="4"/>
  <c r="G29" i="14"/>
  <c r="G14" i="19"/>
  <c r="G14" i="18"/>
  <c r="G14" i="10"/>
  <c r="G29" i="16"/>
  <c r="U52" i="39"/>
  <c r="AA40" i="50"/>
  <c r="AA37" i="50"/>
  <c r="AA35" i="50"/>
  <c r="U46" i="39"/>
  <c r="AA34" i="50"/>
  <c r="T24" i="43"/>
  <c r="AA32" i="50"/>
  <c r="AA20" i="50"/>
  <c r="AA19" i="50"/>
  <c r="AA18" i="50"/>
  <c r="AA17" i="50"/>
  <c r="AE17" i="50"/>
  <c r="AF17" i="50"/>
  <c r="AG17" i="50"/>
  <c r="AA16" i="50"/>
  <c r="AC67" i="6"/>
  <c r="Y49" i="36"/>
  <c r="Y37" i="36"/>
  <c r="U43" i="36"/>
  <c r="F177" i="34"/>
  <c r="F52" i="34"/>
  <c r="Z47" i="34"/>
  <c r="AA47" i="34"/>
  <c r="Y46" i="34"/>
  <c r="B65" i="33"/>
  <c r="N82" i="6"/>
  <c r="N52" i="6"/>
  <c r="N50" i="6"/>
  <c r="N48" i="6"/>
  <c r="N46" i="6"/>
  <c r="N44" i="6"/>
  <c r="N54" i="6"/>
  <c r="J54" i="6"/>
  <c r="N34" i="6"/>
  <c r="Y45" i="4"/>
  <c r="H85" i="4"/>
  <c r="G85" i="4"/>
  <c r="X36" i="4"/>
  <c r="I85" i="4"/>
  <c r="V43" i="4"/>
  <c r="X35" i="4"/>
  <c r="X43" i="4"/>
  <c r="O54" i="4"/>
  <c r="Y179" i="2"/>
  <c r="AA180" i="2"/>
  <c r="Y46" i="2"/>
  <c r="AP40" i="50"/>
  <c r="AP38" i="50"/>
  <c r="AP36" i="50"/>
  <c r="AP34" i="50"/>
  <c r="I132" i="6"/>
  <c r="AV56" i="24"/>
  <c r="AW56" i="24"/>
  <c r="AV53" i="24"/>
  <c r="AW53" i="24"/>
  <c r="AG53" i="24"/>
  <c r="AH53" i="24"/>
  <c r="AV38" i="24"/>
  <c r="AW38" i="24"/>
  <c r="Z114" i="6"/>
  <c r="AV36" i="24"/>
  <c r="AW36" i="24"/>
  <c r="T112" i="6"/>
  <c r="U112" i="6"/>
  <c r="AV34" i="24"/>
  <c r="AW34" i="24"/>
  <c r="T110" i="6"/>
  <c r="U110" i="6"/>
  <c r="Z110" i="6"/>
  <c r="N75" i="29"/>
  <c r="R35" i="34"/>
  <c r="S35" i="34"/>
  <c r="B104" i="33"/>
  <c r="B123" i="33"/>
  <c r="B107" i="33"/>
  <c r="B124" i="33"/>
  <c r="B110" i="33"/>
  <c r="B125" i="33"/>
  <c r="C114" i="33"/>
  <c r="C113" i="33"/>
  <c r="F113" i="33"/>
  <c r="U73" i="34"/>
  <c r="C112" i="33"/>
  <c r="F112" i="33"/>
  <c r="U72" i="34"/>
  <c r="C111" i="33"/>
  <c r="C109" i="33"/>
  <c r="F109" i="33"/>
  <c r="U54" i="34"/>
  <c r="C108" i="33"/>
  <c r="C103" i="33"/>
  <c r="F103" i="33"/>
  <c r="U69" i="34"/>
  <c r="C102" i="33"/>
  <c r="F102" i="33"/>
  <c r="U68" i="34"/>
  <c r="C101" i="33"/>
  <c r="C99" i="33"/>
  <c r="F99" i="33"/>
  <c r="U51" i="34"/>
  <c r="C98" i="33"/>
  <c r="F77" i="33"/>
  <c r="F80" i="33"/>
  <c r="C73" i="33"/>
  <c r="N130" i="6"/>
  <c r="N66" i="6"/>
  <c r="M69" i="6"/>
  <c r="K54" i="6"/>
  <c r="AC65" i="6"/>
  <c r="C54" i="6"/>
  <c r="C33" i="6"/>
  <c r="S31" i="6"/>
  <c r="Y31" i="6"/>
  <c r="Y37" i="4"/>
  <c r="Y46" i="4"/>
  <c r="K69" i="6"/>
  <c r="C15" i="53"/>
  <c r="C85" i="1"/>
  <c r="F85" i="1"/>
  <c r="G57" i="14"/>
  <c r="H53" i="14"/>
  <c r="H57" i="14"/>
  <c r="H61" i="14"/>
  <c r="R29" i="9"/>
  <c r="R28" i="9"/>
  <c r="G83" i="12"/>
  <c r="G82" i="19"/>
  <c r="U79" i="39"/>
  <c r="AA33" i="50"/>
  <c r="AG57" i="24"/>
  <c r="AH57" i="24"/>
  <c r="AF57" i="50"/>
  <c r="AG57" i="50"/>
  <c r="B67" i="5"/>
  <c r="D59" i="24"/>
  <c r="D61" i="24"/>
  <c r="D62" i="24"/>
  <c r="N76" i="31"/>
  <c r="F46" i="2"/>
  <c r="P25" i="9"/>
  <c r="P20" i="9"/>
  <c r="R25" i="9"/>
  <c r="R20" i="9"/>
  <c r="G46" i="12"/>
  <c r="H42" i="12"/>
  <c r="H46" i="12"/>
  <c r="H50" i="12"/>
  <c r="N29" i="9"/>
  <c r="N28" i="9"/>
  <c r="G32" i="12"/>
  <c r="E46" i="10"/>
  <c r="D48" i="9"/>
  <c r="D14" i="9"/>
  <c r="T147" i="6"/>
  <c r="U147" i="6"/>
  <c r="T142" i="6"/>
  <c r="U142" i="6"/>
  <c r="AG36" i="24"/>
  <c r="AH36" i="24"/>
  <c r="F203" i="2"/>
  <c r="C14" i="53"/>
  <c r="E101" i="2"/>
  <c r="E105" i="2"/>
  <c r="B85" i="1"/>
  <c r="G129" i="14"/>
  <c r="G93" i="14"/>
  <c r="E82" i="18"/>
  <c r="G50" i="18"/>
  <c r="G56" i="16"/>
  <c r="C73" i="1"/>
  <c r="F80" i="1"/>
  <c r="E80" i="1"/>
  <c r="B104" i="1"/>
  <c r="B123" i="1"/>
  <c r="B107" i="1"/>
  <c r="B124" i="1"/>
  <c r="B110" i="1"/>
  <c r="B125" i="1"/>
  <c r="AV70" i="24"/>
  <c r="AW70" i="24"/>
  <c r="AG34" i="24"/>
  <c r="AH34" i="24"/>
  <c r="AV75" i="24"/>
  <c r="AW75" i="24"/>
  <c r="V31" i="6"/>
  <c r="Z31" i="6"/>
  <c r="T31" i="6"/>
  <c r="U31" i="6"/>
  <c r="N71" i="31"/>
  <c r="C105" i="34"/>
  <c r="C104" i="34"/>
  <c r="C103" i="34"/>
  <c r="C102" i="34"/>
  <c r="C101" i="34"/>
  <c r="C100" i="34"/>
  <c r="B92" i="35"/>
  <c r="C99" i="34"/>
  <c r="C98" i="34"/>
  <c r="M56" i="5"/>
  <c r="Z112" i="6"/>
  <c r="T114" i="6"/>
  <c r="U114" i="6"/>
  <c r="U45" i="39"/>
  <c r="U82" i="6"/>
  <c r="F183" i="34"/>
  <c r="Y183" i="34"/>
  <c r="Z184" i="34"/>
  <c r="J56" i="5"/>
  <c r="J57" i="5"/>
  <c r="AA52" i="34"/>
  <c r="I121" i="34"/>
  <c r="AA179" i="2"/>
  <c r="I231" i="2"/>
  <c r="I230" i="2"/>
  <c r="T48" i="6"/>
  <c r="C57" i="21"/>
  <c r="C57" i="41"/>
  <c r="AO53" i="24"/>
  <c r="C133" i="6"/>
  <c r="AD66" i="6"/>
  <c r="C91" i="33"/>
  <c r="F98" i="33"/>
  <c r="C97" i="33"/>
  <c r="C121" i="33"/>
  <c r="V69" i="34"/>
  <c r="AB69" i="34"/>
  <c r="V72" i="34"/>
  <c r="AB72" i="34"/>
  <c r="B306" i="33"/>
  <c r="T31" i="39"/>
  <c r="AF34" i="50"/>
  <c r="T46" i="6"/>
  <c r="E110" i="1"/>
  <c r="E125" i="1"/>
  <c r="B307" i="1"/>
  <c r="C91" i="1"/>
  <c r="C94" i="1"/>
  <c r="C120" i="1"/>
  <c r="C136" i="1"/>
  <c r="C97" i="1"/>
  <c r="C121" i="1"/>
  <c r="C138" i="1"/>
  <c r="C100" i="1"/>
  <c r="C122" i="1"/>
  <c r="C126" i="1"/>
  <c r="C141" i="1"/>
  <c r="C140" i="1"/>
  <c r="Z142" i="6"/>
  <c r="Z147" i="6"/>
  <c r="H59" i="21"/>
  <c r="H59" i="41"/>
  <c r="J58" i="21"/>
  <c r="J58" i="41"/>
  <c r="Y53" i="50"/>
  <c r="T67" i="39"/>
  <c r="J74" i="37"/>
  <c r="J59" i="21"/>
  <c r="J59" i="41"/>
  <c r="AC66" i="6"/>
  <c r="AK35" i="34"/>
  <c r="AL35" i="34"/>
  <c r="AB48" i="34"/>
  <c r="V51" i="34"/>
  <c r="AB51" i="34"/>
  <c r="V68" i="34"/>
  <c r="AB68" i="34"/>
  <c r="F108" i="33"/>
  <c r="C107" i="33"/>
  <c r="C124" i="33"/>
  <c r="F111" i="33"/>
  <c r="C110" i="33"/>
  <c r="C125" i="33"/>
  <c r="V73" i="34"/>
  <c r="AB73" i="34"/>
  <c r="AU53" i="50"/>
  <c r="AV53" i="50"/>
  <c r="T130" i="6"/>
  <c r="U130" i="6"/>
  <c r="Z25" i="53"/>
  <c r="Z46" i="34"/>
  <c r="F85" i="36"/>
  <c r="G85" i="36"/>
  <c r="Z111" i="6"/>
  <c r="T111" i="6"/>
  <c r="U111" i="6"/>
  <c r="Z115" i="6"/>
  <c r="T115" i="6"/>
  <c r="U115" i="6"/>
  <c r="T63" i="6"/>
  <c r="U31" i="39"/>
  <c r="AG34" i="50"/>
  <c r="C133" i="39"/>
  <c r="D55" i="3"/>
  <c r="N69" i="6"/>
  <c r="B275" i="34"/>
  <c r="B274" i="34"/>
  <c r="Z177" i="34"/>
  <c r="AA178" i="34"/>
  <c r="B85" i="36"/>
  <c r="T45" i="6"/>
  <c r="B308" i="1"/>
  <c r="E100" i="1"/>
  <c r="E122" i="1"/>
  <c r="B304" i="1"/>
  <c r="B137" i="1"/>
  <c r="B91" i="1"/>
  <c r="AF40" i="50"/>
  <c r="T52" i="6"/>
  <c r="AF41" i="50"/>
  <c r="T132" i="6"/>
  <c r="U132" i="6"/>
  <c r="G59" i="41"/>
  <c r="G59" i="21"/>
  <c r="Z79" i="6"/>
  <c r="T79" i="6"/>
  <c r="AF71" i="50"/>
  <c r="AG71" i="50"/>
  <c r="C74" i="33"/>
  <c r="U48" i="39"/>
  <c r="U53" i="6"/>
  <c r="T67" i="6"/>
  <c r="T131" i="6"/>
  <c r="U131" i="6"/>
  <c r="G105" i="37"/>
  <c r="D59" i="41"/>
  <c r="D59" i="21"/>
  <c r="F20" i="9"/>
  <c r="R30" i="6"/>
  <c r="X30" i="6"/>
  <c r="AD16" i="50"/>
  <c r="Q30" i="6"/>
  <c r="W30" i="6"/>
  <c r="AC16" i="50"/>
  <c r="M54" i="6"/>
  <c r="G105" i="5"/>
  <c r="B308" i="33"/>
  <c r="E100" i="33"/>
  <c r="E122" i="33"/>
  <c r="B304" i="33"/>
  <c r="B137" i="33"/>
  <c r="B119" i="33"/>
  <c r="B115" i="33"/>
  <c r="AU34" i="50"/>
  <c r="AV34" i="50"/>
  <c r="AU36" i="50"/>
  <c r="AV36" i="50"/>
  <c r="AU38" i="50"/>
  <c r="AV38" i="50"/>
  <c r="AF55" i="50"/>
  <c r="AG55" i="50"/>
  <c r="T146" i="6"/>
  <c r="U146" i="6"/>
  <c r="H277" i="2"/>
  <c r="H276" i="2"/>
  <c r="H119" i="2"/>
  <c r="R34" i="6"/>
  <c r="X34" i="6"/>
  <c r="AD34" i="6"/>
  <c r="AD20" i="50"/>
  <c r="S34" i="6"/>
  <c r="Y34" i="6"/>
  <c r="AE20" i="50"/>
  <c r="AU75" i="50"/>
  <c r="AV75" i="50"/>
  <c r="N128" i="6"/>
  <c r="H275" i="34"/>
  <c r="H274" i="34"/>
  <c r="H117" i="34"/>
  <c r="AG41" i="50"/>
  <c r="M74" i="37"/>
  <c r="G52" i="1"/>
  <c r="H105" i="5"/>
  <c r="R40" i="42"/>
  <c r="G52" i="33"/>
  <c r="U45" i="6"/>
  <c r="C107" i="1"/>
  <c r="C124" i="1"/>
  <c r="C110" i="1"/>
  <c r="C125" i="1"/>
  <c r="AF36" i="50"/>
  <c r="AG36" i="50"/>
  <c r="I58" i="41"/>
  <c r="I58" i="21"/>
  <c r="B73" i="5"/>
  <c r="F67" i="5"/>
  <c r="F73" i="5"/>
  <c r="F74" i="5"/>
  <c r="U83" i="39"/>
  <c r="U44" i="6"/>
  <c r="AG56" i="24"/>
  <c r="AH56" i="24"/>
  <c r="C94" i="33"/>
  <c r="C120" i="33"/>
  <c r="C136" i="33"/>
  <c r="F101" i="33"/>
  <c r="C100" i="33"/>
  <c r="C122" i="33"/>
  <c r="C138" i="33"/>
  <c r="AB54" i="34"/>
  <c r="F114" i="33"/>
  <c r="F126" i="33"/>
  <c r="C126" i="33"/>
  <c r="C141" i="33"/>
  <c r="C140" i="33"/>
  <c r="E110" i="33"/>
  <c r="E125" i="33"/>
  <c r="B307" i="33"/>
  <c r="P48" i="34"/>
  <c r="T127" i="6"/>
  <c r="U127" i="6"/>
  <c r="AV54" i="24"/>
  <c r="AW54" i="24"/>
  <c r="AU56" i="50"/>
  <c r="AV56" i="50"/>
  <c r="M56" i="37"/>
  <c r="AA47" i="2"/>
  <c r="V54" i="4"/>
  <c r="N55" i="6"/>
  <c r="L55" i="6"/>
  <c r="J55" i="6"/>
  <c r="K55" i="6"/>
  <c r="M55" i="6"/>
  <c r="AA46" i="34"/>
  <c r="U54" i="36"/>
  <c r="AU35" i="50"/>
  <c r="AV35" i="50"/>
  <c r="AU39" i="50"/>
  <c r="AV39" i="50"/>
  <c r="AF53" i="50"/>
  <c r="AG53" i="50"/>
  <c r="AU70" i="50"/>
  <c r="AV70" i="50"/>
  <c r="AU74" i="50"/>
  <c r="AV74" i="50"/>
  <c r="C54" i="39"/>
  <c r="U44" i="39"/>
  <c r="AG40" i="50"/>
  <c r="C148" i="39"/>
  <c r="Z52" i="34"/>
  <c r="J121" i="34"/>
  <c r="Y43" i="36"/>
  <c r="AB31" i="6"/>
  <c r="AF31" i="6"/>
  <c r="AF33" i="50"/>
  <c r="AG33" i="50"/>
  <c r="AF32" i="50"/>
  <c r="AG32" i="50"/>
  <c r="T44" i="6"/>
  <c r="U46" i="6"/>
  <c r="T53" i="6"/>
  <c r="AU58" i="50"/>
  <c r="AV58" i="50"/>
  <c r="J32" i="9"/>
  <c r="J69" i="9"/>
  <c r="J72" i="9"/>
  <c r="J67" i="9"/>
  <c r="Z81" i="6"/>
  <c r="T81" i="6"/>
  <c r="AF73" i="50"/>
  <c r="AG73" i="50"/>
  <c r="U81" i="39"/>
  <c r="C74" i="1"/>
  <c r="B277" i="2"/>
  <c r="B276" i="2"/>
  <c r="U48" i="6"/>
  <c r="U52" i="6"/>
  <c r="AU57" i="50"/>
  <c r="AV57" i="50"/>
  <c r="T83" i="6"/>
  <c r="AF75" i="50"/>
  <c r="AG75" i="50"/>
  <c r="U63" i="39"/>
  <c r="C69" i="39"/>
  <c r="U54" i="4"/>
  <c r="P30" i="6"/>
  <c r="AB16" i="50"/>
  <c r="AG16" i="24"/>
  <c r="AH16" i="24"/>
  <c r="S30" i="6"/>
  <c r="Y30" i="6"/>
  <c r="AE16" i="50"/>
  <c r="P54" i="34"/>
  <c r="T110" i="39"/>
  <c r="U110" i="39"/>
  <c r="T112" i="39"/>
  <c r="U112" i="39"/>
  <c r="T114" i="39"/>
  <c r="U114" i="39"/>
  <c r="T65" i="6"/>
  <c r="Z146" i="6"/>
  <c r="C118" i="39"/>
  <c r="Y43" i="4"/>
  <c r="B85" i="4"/>
  <c r="P34" i="6"/>
  <c r="AB20" i="50"/>
  <c r="AG20" i="24"/>
  <c r="AH20" i="24"/>
  <c r="Q34" i="6"/>
  <c r="W34" i="6"/>
  <c r="AC34" i="6"/>
  <c r="AC20" i="50"/>
  <c r="C69" i="6"/>
  <c r="AV71" i="24"/>
  <c r="AW71" i="24"/>
  <c r="N132" i="6"/>
  <c r="U53" i="39"/>
  <c r="D55" i="35"/>
  <c r="C159" i="33"/>
  <c r="C154" i="33"/>
  <c r="J56" i="37"/>
  <c r="M92" i="37"/>
  <c r="C159" i="1"/>
  <c r="C154" i="1"/>
  <c r="B85" i="33"/>
  <c r="E83" i="33"/>
  <c r="E85" i="33"/>
  <c r="J74" i="5"/>
  <c r="J75" i="5"/>
  <c r="F52" i="33"/>
  <c r="G60" i="21"/>
  <c r="G60" i="41"/>
  <c r="P48" i="2"/>
  <c r="H85" i="36"/>
  <c r="Z183" i="34"/>
  <c r="J232" i="34"/>
  <c r="J278" i="34"/>
  <c r="AA184" i="34"/>
  <c r="AA183" i="34"/>
  <c r="I232" i="34"/>
  <c r="AV18" i="24"/>
  <c r="AW18" i="24"/>
  <c r="AB18" i="50"/>
  <c r="P32" i="6"/>
  <c r="AV41" i="24"/>
  <c r="AW41" i="24"/>
  <c r="AV32" i="24"/>
  <c r="AW32" i="24"/>
  <c r="AD18" i="50"/>
  <c r="R32" i="6"/>
  <c r="X32" i="6"/>
  <c r="AD32" i="6"/>
  <c r="AV72" i="24"/>
  <c r="AW72" i="24"/>
  <c r="N131" i="6"/>
  <c r="AG38" i="24"/>
  <c r="AH38" i="24"/>
  <c r="AG35" i="24"/>
  <c r="AH35" i="24"/>
  <c r="AV37" i="24"/>
  <c r="AW37" i="24"/>
  <c r="AE18" i="50"/>
  <c r="S32" i="6"/>
  <c r="Y32" i="6"/>
  <c r="AV73" i="24"/>
  <c r="AW73" i="24"/>
  <c r="AG37" i="24"/>
  <c r="AH37" i="24"/>
  <c r="D278" i="34"/>
  <c r="AG39" i="24"/>
  <c r="AH39" i="24"/>
  <c r="AG74" i="24"/>
  <c r="AH74" i="24"/>
  <c r="AG18" i="24"/>
  <c r="AH18" i="24"/>
  <c r="AC18" i="50"/>
  <c r="Q32" i="6"/>
  <c r="W32" i="6"/>
  <c r="AC32" i="6"/>
  <c r="AV33" i="24"/>
  <c r="AW33" i="24"/>
  <c r="AV40" i="24"/>
  <c r="AW40" i="24"/>
  <c r="C242" i="33"/>
  <c r="C241" i="33"/>
  <c r="F241" i="33"/>
  <c r="U204" i="34"/>
  <c r="C240" i="33"/>
  <c r="F240" i="33"/>
  <c r="U203" i="34"/>
  <c r="C239" i="33"/>
  <c r="C237" i="33"/>
  <c r="F237" i="33"/>
  <c r="U185" i="34"/>
  <c r="C236" i="33"/>
  <c r="C231" i="33"/>
  <c r="F231" i="33"/>
  <c r="U200" i="34"/>
  <c r="C230" i="33"/>
  <c r="F230" i="33"/>
  <c r="U199" i="34"/>
  <c r="C229" i="33"/>
  <c r="C227" i="33"/>
  <c r="F227" i="33"/>
  <c r="U182" i="34"/>
  <c r="C226" i="33"/>
  <c r="C201" i="33"/>
  <c r="C196" i="33"/>
  <c r="C205" i="33"/>
  <c r="C211" i="33"/>
  <c r="C207" i="33"/>
  <c r="F207" i="33"/>
  <c r="C199" i="33"/>
  <c r="C197" i="33"/>
  <c r="C206" i="33"/>
  <c r="F206" i="33"/>
  <c r="C198" i="33"/>
  <c r="C212" i="33"/>
  <c r="F212" i="33"/>
  <c r="Q48" i="2"/>
  <c r="Q69" i="34"/>
  <c r="Q68" i="34"/>
  <c r="AD73" i="34"/>
  <c r="AE73" i="34"/>
  <c r="C201" i="1"/>
  <c r="C197" i="1"/>
  <c r="C206" i="1"/>
  <c r="F206" i="1"/>
  <c r="C198" i="1"/>
  <c r="C212" i="1"/>
  <c r="F212" i="1"/>
  <c r="C196" i="1"/>
  <c r="C205" i="1"/>
  <c r="C211" i="1"/>
  <c r="C207" i="1"/>
  <c r="F207" i="1"/>
  <c r="C199" i="1"/>
  <c r="Q68" i="2"/>
  <c r="AD72" i="34"/>
  <c r="AE72" i="34"/>
  <c r="B201" i="33"/>
  <c r="B206" i="33"/>
  <c r="E206" i="33"/>
  <c r="B207" i="33"/>
  <c r="E207" i="33"/>
  <c r="B197" i="33"/>
  <c r="B199" i="33"/>
  <c r="B198" i="33"/>
  <c r="B205" i="33"/>
  <c r="B211" i="33"/>
  <c r="B212" i="33"/>
  <c r="E212" i="33"/>
  <c r="B196" i="33"/>
  <c r="T34" i="39"/>
  <c r="U34" i="39"/>
  <c r="AE65" i="6"/>
  <c r="U65" i="6"/>
  <c r="Z110" i="39"/>
  <c r="AF16" i="50"/>
  <c r="AG16" i="50"/>
  <c r="Z83" i="6"/>
  <c r="AF83" i="6"/>
  <c r="Z53" i="6"/>
  <c r="AF53" i="6"/>
  <c r="C103" i="2"/>
  <c r="C101" i="2"/>
  <c r="C99" i="2"/>
  <c r="B92" i="3"/>
  <c r="C102" i="2"/>
  <c r="C98" i="2"/>
  <c r="C100" i="2"/>
  <c r="C104" i="2"/>
  <c r="AU71" i="50"/>
  <c r="AV71" i="50"/>
  <c r="T34" i="6"/>
  <c r="U34" i="6"/>
  <c r="V34" i="6"/>
  <c r="C85" i="4"/>
  <c r="Z65" i="6"/>
  <c r="AB65" i="6"/>
  <c r="AF65" i="6"/>
  <c r="Z112" i="39"/>
  <c r="E115" i="33"/>
  <c r="B302" i="33"/>
  <c r="B303" i="33"/>
  <c r="H122" i="33"/>
  <c r="T30" i="6"/>
  <c r="U30" i="6"/>
  <c r="V30" i="6"/>
  <c r="I34" i="2"/>
  <c r="B302" i="1"/>
  <c r="Z44" i="6"/>
  <c r="Z45" i="39"/>
  <c r="T45" i="39"/>
  <c r="Z142" i="39"/>
  <c r="Z146" i="39"/>
  <c r="T146" i="39"/>
  <c r="U146" i="39"/>
  <c r="T142" i="39"/>
  <c r="U142" i="39"/>
  <c r="T63" i="39"/>
  <c r="I118" i="34"/>
  <c r="AA46" i="2"/>
  <c r="Z130" i="39"/>
  <c r="T130" i="39"/>
  <c r="U130" i="39"/>
  <c r="AU54" i="50"/>
  <c r="AV54" i="50"/>
  <c r="AD54" i="34"/>
  <c r="AI54" i="34"/>
  <c r="U67" i="34"/>
  <c r="F100" i="33"/>
  <c r="F122" i="33"/>
  <c r="C304" i="33"/>
  <c r="F138" i="33"/>
  <c r="F94" i="33"/>
  <c r="F120" i="33"/>
  <c r="AF56" i="50"/>
  <c r="AG56" i="50"/>
  <c r="F110" i="1"/>
  <c r="F125" i="1"/>
  <c r="C307" i="1"/>
  <c r="C306" i="1"/>
  <c r="C351" i="1"/>
  <c r="AB25" i="53"/>
  <c r="AC64" i="6"/>
  <c r="T65" i="39"/>
  <c r="B289" i="33"/>
  <c r="Z131" i="6"/>
  <c r="AF131" i="6"/>
  <c r="Z53" i="39"/>
  <c r="T53" i="39"/>
  <c r="Z52" i="39"/>
  <c r="T52" i="39"/>
  <c r="B119" i="1"/>
  <c r="B115" i="1"/>
  <c r="B287" i="1"/>
  <c r="Z45" i="6"/>
  <c r="AF45" i="6"/>
  <c r="J229" i="34"/>
  <c r="N70" i="6"/>
  <c r="L70" i="6"/>
  <c r="J70" i="6"/>
  <c r="M70" i="6"/>
  <c r="K70" i="6"/>
  <c r="AC63" i="6"/>
  <c r="J118" i="34"/>
  <c r="Z130" i="6"/>
  <c r="AF130" i="6"/>
  <c r="X68" i="34"/>
  <c r="Y68" i="34"/>
  <c r="X51" i="34"/>
  <c r="Y51" i="34"/>
  <c r="AD48" i="34"/>
  <c r="AI48" i="34"/>
  <c r="H105" i="37"/>
  <c r="Z67" i="39"/>
  <c r="AF67" i="39"/>
  <c r="C308" i="1"/>
  <c r="Z46" i="6"/>
  <c r="AF46" i="6"/>
  <c r="X69" i="34"/>
  <c r="Y69" i="34"/>
  <c r="F97" i="33"/>
  <c r="F121" i="33"/>
  <c r="U50" i="34"/>
  <c r="AD68" i="6"/>
  <c r="R33" i="6"/>
  <c r="X33" i="6"/>
  <c r="AD33" i="6"/>
  <c r="AD19" i="50"/>
  <c r="Q33" i="6"/>
  <c r="W33" i="6"/>
  <c r="AC33" i="6"/>
  <c r="AC19" i="50"/>
  <c r="H73" i="5"/>
  <c r="AK35" i="2"/>
  <c r="AL35" i="2"/>
  <c r="Z43" i="36"/>
  <c r="C258" i="2"/>
  <c r="AF20" i="50"/>
  <c r="AG20" i="50"/>
  <c r="Z114" i="39"/>
  <c r="Q54" i="34"/>
  <c r="R54" i="34"/>
  <c r="S54" i="34"/>
  <c r="C140" i="34"/>
  <c r="T30" i="39"/>
  <c r="U30" i="39"/>
  <c r="Z83" i="39"/>
  <c r="T83" i="39"/>
  <c r="Z131" i="39"/>
  <c r="T131" i="39"/>
  <c r="U131" i="39"/>
  <c r="Z81" i="39"/>
  <c r="T81" i="39"/>
  <c r="F60" i="41"/>
  <c r="F60" i="21"/>
  <c r="Z132" i="39"/>
  <c r="T132" i="39"/>
  <c r="U132" i="39"/>
  <c r="E115" i="1"/>
  <c r="B303" i="1"/>
  <c r="Q69" i="2"/>
  <c r="Q72" i="2"/>
  <c r="T44" i="39"/>
  <c r="Z115" i="39"/>
  <c r="T115" i="39"/>
  <c r="U115" i="39"/>
  <c r="Z111" i="39"/>
  <c r="T111" i="39"/>
  <c r="U111" i="39"/>
  <c r="Z43" i="4"/>
  <c r="T128" i="6"/>
  <c r="U128" i="6"/>
  <c r="Z127" i="6"/>
  <c r="B74" i="34"/>
  <c r="F141" i="33"/>
  <c r="C308" i="33"/>
  <c r="T66" i="6"/>
  <c r="R48" i="2"/>
  <c r="S48" i="2"/>
  <c r="Z48" i="39"/>
  <c r="T48" i="39"/>
  <c r="AI48" i="2"/>
  <c r="Q73" i="2"/>
  <c r="Z147" i="39"/>
  <c r="T147" i="39"/>
  <c r="U147" i="39"/>
  <c r="AG54" i="24"/>
  <c r="AH54" i="24"/>
  <c r="B135" i="33"/>
  <c r="B134" i="33"/>
  <c r="B143" i="33"/>
  <c r="B127" i="33"/>
  <c r="B144" i="33"/>
  <c r="B145" i="33"/>
  <c r="D58" i="41"/>
  <c r="D58" i="21"/>
  <c r="U67" i="6"/>
  <c r="Z79" i="39"/>
  <c r="T79" i="39"/>
  <c r="Z132" i="6"/>
  <c r="AF132" i="6"/>
  <c r="Z52" i="6"/>
  <c r="AF52" i="6"/>
  <c r="Q54" i="2"/>
  <c r="C85" i="36"/>
  <c r="AA177" i="34"/>
  <c r="I229" i="34"/>
  <c r="I228" i="34"/>
  <c r="U63" i="6"/>
  <c r="C25" i="53"/>
  <c r="T127" i="39"/>
  <c r="U127" i="39"/>
  <c r="Q51" i="34"/>
  <c r="X73" i="34"/>
  <c r="Y73" i="34"/>
  <c r="U71" i="34"/>
  <c r="F110" i="33"/>
  <c r="F125" i="33"/>
  <c r="C307" i="33"/>
  <c r="F107" i="33"/>
  <c r="F124" i="33"/>
  <c r="C306" i="33"/>
  <c r="C351" i="33"/>
  <c r="U53" i="34"/>
  <c r="AD68" i="34"/>
  <c r="AE68" i="34"/>
  <c r="AD51" i="34"/>
  <c r="AE51" i="34"/>
  <c r="AV55" i="24"/>
  <c r="AW55" i="24"/>
  <c r="G73" i="37"/>
  <c r="F100" i="1"/>
  <c r="F122" i="1"/>
  <c r="C304" i="1"/>
  <c r="C137" i="1"/>
  <c r="C119" i="1"/>
  <c r="C115" i="1"/>
  <c r="Q51" i="2"/>
  <c r="B306" i="1"/>
  <c r="Z46" i="39"/>
  <c r="T46" i="39"/>
  <c r="B351" i="33"/>
  <c r="P73" i="34"/>
  <c r="X72" i="34"/>
  <c r="AD69" i="34"/>
  <c r="AE69" i="34"/>
  <c r="C137" i="33"/>
  <c r="C119" i="33"/>
  <c r="C115" i="33"/>
  <c r="AG58" i="24"/>
  <c r="AH58" i="24"/>
  <c r="AC68" i="6"/>
  <c r="U66" i="39"/>
  <c r="AB19" i="50"/>
  <c r="AG19" i="24"/>
  <c r="AH19" i="24"/>
  <c r="P33" i="6"/>
  <c r="S33" i="6"/>
  <c r="Y33" i="6"/>
  <c r="AE19" i="50"/>
  <c r="Z48" i="6"/>
  <c r="AF48" i="6"/>
  <c r="R35" i="2"/>
  <c r="S35" i="2"/>
  <c r="I278" i="34"/>
  <c r="D85" i="4"/>
  <c r="P68" i="2"/>
  <c r="R68" i="2"/>
  <c r="S68" i="2"/>
  <c r="AF74" i="50"/>
  <c r="AG74" i="50"/>
  <c r="AF39" i="50"/>
  <c r="AG39" i="50"/>
  <c r="T49" i="6"/>
  <c r="U51" i="6"/>
  <c r="T117" i="6"/>
  <c r="U117" i="6"/>
  <c r="AF35" i="50"/>
  <c r="AG35" i="50"/>
  <c r="AU32" i="50"/>
  <c r="AV32" i="50"/>
  <c r="U47" i="6"/>
  <c r="AU33" i="50"/>
  <c r="AV33" i="50"/>
  <c r="U50" i="39"/>
  <c r="T82" i="6"/>
  <c r="AF37" i="50"/>
  <c r="AG37" i="50"/>
  <c r="AU41" i="50"/>
  <c r="AV41" i="50"/>
  <c r="T50" i="6"/>
  <c r="T108" i="6"/>
  <c r="U108" i="6"/>
  <c r="U49" i="39"/>
  <c r="V32" i="6"/>
  <c r="T32" i="6"/>
  <c r="U32" i="6"/>
  <c r="T113" i="6"/>
  <c r="U113" i="6"/>
  <c r="U50" i="6"/>
  <c r="AF19" i="50"/>
  <c r="AG19" i="50"/>
  <c r="Z116" i="6"/>
  <c r="T116" i="6"/>
  <c r="U116" i="6"/>
  <c r="Z113" i="6"/>
  <c r="T47" i="6"/>
  <c r="AU72" i="50"/>
  <c r="AV72" i="50"/>
  <c r="U49" i="6"/>
  <c r="AF18" i="50"/>
  <c r="AG18" i="50"/>
  <c r="U82" i="39"/>
  <c r="AU37" i="50"/>
  <c r="AV37" i="50"/>
  <c r="N85" i="4"/>
  <c r="AE48" i="34"/>
  <c r="AU40" i="50"/>
  <c r="AV40" i="50"/>
  <c r="T51" i="6"/>
  <c r="U51" i="39"/>
  <c r="AF38" i="50"/>
  <c r="AG38" i="50"/>
  <c r="T144" i="6"/>
  <c r="U144" i="6"/>
  <c r="Z144" i="6"/>
  <c r="Z117" i="6"/>
  <c r="U47" i="39"/>
  <c r="Z109" i="6"/>
  <c r="T109" i="6"/>
  <c r="U109" i="6"/>
  <c r="T32" i="39"/>
  <c r="AF69" i="34"/>
  <c r="AG69" i="34"/>
  <c r="AF51" i="34"/>
  <c r="AG51" i="34"/>
  <c r="AJ51" i="2"/>
  <c r="I33" i="34"/>
  <c r="I36" i="34"/>
  <c r="AJ72" i="2"/>
  <c r="Z51" i="34"/>
  <c r="AJ51" i="34"/>
  <c r="I66" i="34"/>
  <c r="AA69" i="2"/>
  <c r="AJ69" i="2"/>
  <c r="I66" i="2"/>
  <c r="AF72" i="34"/>
  <c r="AG72" i="34"/>
  <c r="T68" i="6"/>
  <c r="C135" i="33"/>
  <c r="C134" i="33"/>
  <c r="C143" i="33"/>
  <c r="C127" i="33"/>
  <c r="C144" i="33"/>
  <c r="C145" i="33"/>
  <c r="J75" i="37"/>
  <c r="T129" i="6"/>
  <c r="U129" i="6"/>
  <c r="AF68" i="34"/>
  <c r="AG68" i="34"/>
  <c r="U70" i="34"/>
  <c r="V71" i="34"/>
  <c r="AB71" i="34"/>
  <c r="Z73" i="34"/>
  <c r="AJ73" i="34"/>
  <c r="Z127" i="39"/>
  <c r="D277" i="2"/>
  <c r="D276" i="2"/>
  <c r="Z33" i="39"/>
  <c r="T33" i="39"/>
  <c r="U33" i="39"/>
  <c r="AF58" i="50"/>
  <c r="AG58" i="50"/>
  <c r="Y72" i="34"/>
  <c r="Q73" i="34"/>
  <c r="R73" i="34"/>
  <c r="S73" i="34"/>
  <c r="B351" i="1"/>
  <c r="P51" i="2"/>
  <c r="R51" i="2"/>
  <c r="S51" i="2"/>
  <c r="C127" i="1"/>
  <c r="C144" i="1"/>
  <c r="C135" i="1"/>
  <c r="C134" i="1"/>
  <c r="C143" i="1"/>
  <c r="B69" i="39"/>
  <c r="I63" i="39"/>
  <c r="AU55" i="50"/>
  <c r="AV55" i="50"/>
  <c r="U52" i="34"/>
  <c r="AB53" i="34"/>
  <c r="P51" i="34"/>
  <c r="R51" i="34"/>
  <c r="S51" i="34"/>
  <c r="AE63" i="6"/>
  <c r="B289" i="1"/>
  <c r="P54" i="2"/>
  <c r="R54" i="2"/>
  <c r="S54" i="2"/>
  <c r="U64" i="39"/>
  <c r="T64" i="6"/>
  <c r="P73" i="2"/>
  <c r="R73" i="2"/>
  <c r="S73" i="2"/>
  <c r="C70" i="34"/>
  <c r="Z128" i="6"/>
  <c r="AF128" i="6"/>
  <c r="J230" i="2"/>
  <c r="D275" i="34"/>
  <c r="D274" i="34"/>
  <c r="P72" i="2"/>
  <c r="R72" i="2"/>
  <c r="S72" i="2"/>
  <c r="P69" i="2"/>
  <c r="R69" i="2"/>
  <c r="S69" i="2"/>
  <c r="B286" i="1"/>
  <c r="C49" i="34"/>
  <c r="C55" i="34"/>
  <c r="I37" i="34"/>
  <c r="B37" i="34"/>
  <c r="B81" i="34"/>
  <c r="P37" i="34"/>
  <c r="AU73" i="50"/>
  <c r="AV73" i="50"/>
  <c r="Z145" i="6"/>
  <c r="T145" i="6"/>
  <c r="U145" i="6"/>
  <c r="G74" i="5"/>
  <c r="G75" i="5"/>
  <c r="M75" i="5"/>
  <c r="U68" i="39"/>
  <c r="AB34" i="34"/>
  <c r="U33" i="34"/>
  <c r="U36" i="34"/>
  <c r="V50" i="34"/>
  <c r="AB50" i="34"/>
  <c r="U49" i="34"/>
  <c r="B75" i="2"/>
  <c r="C70" i="2"/>
  <c r="C52" i="2"/>
  <c r="AB34" i="2"/>
  <c r="F140" i="1"/>
  <c r="B201" i="1"/>
  <c r="B211" i="1"/>
  <c r="B205" i="1"/>
  <c r="B207" i="1"/>
  <c r="E207" i="1"/>
  <c r="B197" i="1"/>
  <c r="B199" i="1"/>
  <c r="B206" i="1"/>
  <c r="E206" i="1"/>
  <c r="B212" i="1"/>
  <c r="E212" i="1"/>
  <c r="B196" i="1"/>
  <c r="B198" i="1"/>
  <c r="L158" i="1"/>
  <c r="Z63" i="6"/>
  <c r="B135" i="1"/>
  <c r="B134" i="1"/>
  <c r="B143" i="1"/>
  <c r="B127" i="1"/>
  <c r="B144" i="1"/>
  <c r="U74" i="2"/>
  <c r="U55" i="34"/>
  <c r="AB47" i="34"/>
  <c r="U66" i="34"/>
  <c r="V67" i="34"/>
  <c r="AB67" i="34"/>
  <c r="AE54" i="34"/>
  <c r="Q48" i="34"/>
  <c r="R48" i="34"/>
  <c r="S48" i="34"/>
  <c r="Z128" i="39"/>
  <c r="T128" i="39"/>
  <c r="U128" i="39"/>
  <c r="I120" i="2"/>
  <c r="I275" i="34"/>
  <c r="I274" i="34"/>
  <c r="I117" i="34"/>
  <c r="Z63" i="39"/>
  <c r="AF44" i="6"/>
  <c r="C49" i="2"/>
  <c r="C55" i="2"/>
  <c r="B345" i="1"/>
  <c r="B37" i="2"/>
  <c r="P37" i="2"/>
  <c r="Z30" i="6"/>
  <c r="B348" i="33"/>
  <c r="B345" i="33"/>
  <c r="E127" i="33"/>
  <c r="E144" i="33"/>
  <c r="T143" i="39"/>
  <c r="U143" i="39"/>
  <c r="F69" i="35"/>
  <c r="E107" i="2"/>
  <c r="C16" i="53"/>
  <c r="C17" i="53"/>
  <c r="B55" i="34"/>
  <c r="B200" i="33"/>
  <c r="B202" i="33"/>
  <c r="B213" i="33"/>
  <c r="E211" i="33"/>
  <c r="E213" i="33"/>
  <c r="B219" i="33"/>
  <c r="B222" i="33"/>
  <c r="B248" i="33"/>
  <c r="B264" i="33"/>
  <c r="B225" i="33"/>
  <c r="B249" i="33"/>
  <c r="B266" i="33"/>
  <c r="B228" i="33"/>
  <c r="B250" i="33"/>
  <c r="B254" i="33"/>
  <c r="B269" i="33"/>
  <c r="B268" i="33"/>
  <c r="D85" i="36"/>
  <c r="C208" i="1"/>
  <c r="F205" i="1"/>
  <c r="F208" i="1"/>
  <c r="AB168" i="2"/>
  <c r="AG168" i="2"/>
  <c r="C232" i="1"/>
  <c r="C251" i="1"/>
  <c r="C235" i="1"/>
  <c r="C252" i="1"/>
  <c r="C238" i="1"/>
  <c r="C253" i="1"/>
  <c r="P68" i="34"/>
  <c r="R68" i="34"/>
  <c r="S68" i="34"/>
  <c r="P69" i="34"/>
  <c r="R69" i="34"/>
  <c r="S69" i="34"/>
  <c r="C208" i="33"/>
  <c r="F205" i="33"/>
  <c r="F208" i="33"/>
  <c r="AK166" i="34"/>
  <c r="AL166" i="34"/>
  <c r="AB179" i="34"/>
  <c r="V182" i="34"/>
  <c r="AB182" i="34"/>
  <c r="V199" i="34"/>
  <c r="AB199" i="34"/>
  <c r="C232" i="33"/>
  <c r="C251" i="33"/>
  <c r="C235" i="33"/>
  <c r="C252" i="33"/>
  <c r="F236" i="33"/>
  <c r="C238" i="33"/>
  <c r="C253" i="33"/>
  <c r="F239" i="33"/>
  <c r="V204" i="34"/>
  <c r="AB204" i="34"/>
  <c r="V33" i="6"/>
  <c r="T33" i="6"/>
  <c r="U33" i="6"/>
  <c r="H85" i="3"/>
  <c r="F69" i="3"/>
  <c r="C256" i="34"/>
  <c r="D230" i="2"/>
  <c r="AE67" i="6"/>
  <c r="AF67" i="6"/>
  <c r="Z67" i="6"/>
  <c r="AD64" i="6"/>
  <c r="AD69" i="6"/>
  <c r="I160" i="6"/>
  <c r="AF54" i="50"/>
  <c r="AG54" i="50"/>
  <c r="AJ48" i="2"/>
  <c r="AK48" i="2"/>
  <c r="AL48" i="2"/>
  <c r="AB66" i="6"/>
  <c r="AE66" i="6"/>
  <c r="U66" i="6"/>
  <c r="F140" i="33"/>
  <c r="B84" i="34"/>
  <c r="B75" i="34"/>
  <c r="I70" i="34"/>
  <c r="I74" i="34"/>
  <c r="I75" i="34"/>
  <c r="J277" i="2"/>
  <c r="J276" i="2"/>
  <c r="D228" i="34"/>
  <c r="Z44" i="39"/>
  <c r="B348" i="1"/>
  <c r="I46" i="2"/>
  <c r="E127" i="1"/>
  <c r="E144" i="1"/>
  <c r="I49" i="34"/>
  <c r="F33" i="34"/>
  <c r="F36" i="34"/>
  <c r="Z145" i="39"/>
  <c r="T145" i="39"/>
  <c r="U145" i="39"/>
  <c r="B133" i="6"/>
  <c r="I127" i="6"/>
  <c r="F115" i="33"/>
  <c r="C303" i="33"/>
  <c r="C348" i="33"/>
  <c r="F137" i="33"/>
  <c r="Z69" i="34"/>
  <c r="AA69" i="34"/>
  <c r="AI69" i="34"/>
  <c r="AJ69" i="34"/>
  <c r="AK69" i="34"/>
  <c r="AL69" i="34"/>
  <c r="I52" i="34"/>
  <c r="I70" i="2"/>
  <c r="I74" i="2"/>
  <c r="I75" i="2"/>
  <c r="I52" i="2"/>
  <c r="F115" i="1"/>
  <c r="C303" i="1"/>
  <c r="C348" i="1"/>
  <c r="AI69" i="2"/>
  <c r="AK69" i="2"/>
  <c r="AL69" i="2"/>
  <c r="AF48" i="34"/>
  <c r="AG48" i="34"/>
  <c r="AJ48" i="34"/>
  <c r="AK48" i="34"/>
  <c r="AL48" i="34"/>
  <c r="Z68" i="34"/>
  <c r="AJ68" i="34"/>
  <c r="J117" i="34"/>
  <c r="J275" i="34"/>
  <c r="J274" i="34"/>
  <c r="AC69" i="6"/>
  <c r="H160" i="6"/>
  <c r="AF63" i="6"/>
  <c r="J228" i="34"/>
  <c r="C66" i="2"/>
  <c r="C66" i="34"/>
  <c r="Z65" i="39"/>
  <c r="AF65" i="39"/>
  <c r="L159" i="1"/>
  <c r="T66" i="39"/>
  <c r="F136" i="33"/>
  <c r="C302" i="33"/>
  <c r="C345" i="33"/>
  <c r="I49" i="2"/>
  <c r="B285" i="1"/>
  <c r="N34" i="2"/>
  <c r="N33" i="2"/>
  <c r="N36" i="2"/>
  <c r="I33" i="2"/>
  <c r="I36" i="2"/>
  <c r="I37" i="2"/>
  <c r="F33" i="2"/>
  <c r="F36" i="2"/>
  <c r="Q72" i="34"/>
  <c r="Z34" i="6"/>
  <c r="AB34" i="6"/>
  <c r="AF34" i="6"/>
  <c r="T143" i="6"/>
  <c r="U143" i="6"/>
  <c r="H85" i="35"/>
  <c r="C105" i="2"/>
  <c r="I46" i="34"/>
  <c r="I55" i="34"/>
  <c r="B208" i="33"/>
  <c r="E205" i="33"/>
  <c r="E208" i="33"/>
  <c r="R166" i="34"/>
  <c r="S166" i="34"/>
  <c r="B232" i="33"/>
  <c r="B251" i="33"/>
  <c r="B235" i="33"/>
  <c r="B252" i="33"/>
  <c r="B238" i="33"/>
  <c r="B253" i="33"/>
  <c r="N85" i="36"/>
  <c r="C213" i="1"/>
  <c r="F211" i="1"/>
  <c r="F213" i="1"/>
  <c r="C200" i="1"/>
  <c r="C202" i="1"/>
  <c r="C219" i="1"/>
  <c r="C222" i="1"/>
  <c r="C248" i="1"/>
  <c r="C264" i="1"/>
  <c r="C225" i="1"/>
  <c r="C249" i="1"/>
  <c r="C265" i="1"/>
  <c r="C266" i="1"/>
  <c r="C228" i="1"/>
  <c r="C250" i="1"/>
  <c r="C254" i="1"/>
  <c r="C269" i="1"/>
  <c r="C268" i="1"/>
  <c r="AF73" i="34"/>
  <c r="AG73" i="34"/>
  <c r="C213" i="33"/>
  <c r="F211" i="33"/>
  <c r="F213" i="33"/>
  <c r="C200" i="33"/>
  <c r="C202" i="33"/>
  <c r="C219" i="33"/>
  <c r="C222" i="33"/>
  <c r="C248" i="33"/>
  <c r="C264" i="33"/>
  <c r="C225" i="33"/>
  <c r="C249" i="33"/>
  <c r="C265" i="33"/>
  <c r="F226" i="33"/>
  <c r="C266" i="33"/>
  <c r="C228" i="33"/>
  <c r="C250" i="33"/>
  <c r="F229" i="33"/>
  <c r="V200" i="34"/>
  <c r="AB185" i="34"/>
  <c r="V203" i="34"/>
  <c r="AB203" i="34"/>
  <c r="C254" i="33"/>
  <c r="C269" i="33"/>
  <c r="C268" i="33"/>
  <c r="F242" i="33"/>
  <c r="F254" i="33"/>
  <c r="AF50" i="6"/>
  <c r="Z50" i="6"/>
  <c r="Z109" i="39"/>
  <c r="T109" i="39"/>
  <c r="U109" i="39"/>
  <c r="T108" i="39"/>
  <c r="U108" i="39"/>
  <c r="Q34" i="34"/>
  <c r="Z51" i="6"/>
  <c r="AF51" i="6"/>
  <c r="Z49" i="39"/>
  <c r="T49" i="39"/>
  <c r="Z49" i="6"/>
  <c r="AF49" i="6"/>
  <c r="Z82" i="39"/>
  <c r="T82" i="39"/>
  <c r="T144" i="39"/>
  <c r="U144" i="39"/>
  <c r="T47" i="39"/>
  <c r="T51" i="39"/>
  <c r="Z51" i="39"/>
  <c r="AA68" i="34"/>
  <c r="AI68" i="34"/>
  <c r="AK68" i="34"/>
  <c r="AL68" i="34"/>
  <c r="B145" i="1"/>
  <c r="AA72" i="2"/>
  <c r="AI72" i="2"/>
  <c r="AK72" i="2"/>
  <c r="AL72" i="2"/>
  <c r="Z50" i="39"/>
  <c r="T50" i="39"/>
  <c r="Z116" i="39"/>
  <c r="T116" i="39"/>
  <c r="U116" i="39"/>
  <c r="Z113" i="39"/>
  <c r="T113" i="39"/>
  <c r="U113" i="39"/>
  <c r="Z47" i="6"/>
  <c r="Z54" i="6"/>
  <c r="Z32" i="6"/>
  <c r="AB32" i="6"/>
  <c r="AF32" i="6"/>
  <c r="Z108" i="6"/>
  <c r="Z118" i="6"/>
  <c r="Z117" i="39"/>
  <c r="T117" i="39"/>
  <c r="U117" i="39"/>
  <c r="Z82" i="6"/>
  <c r="AF82" i="6"/>
  <c r="AD203" i="34"/>
  <c r="AE203" i="34"/>
  <c r="B309" i="1"/>
  <c r="I70" i="3"/>
  <c r="G70" i="3"/>
  <c r="J70" i="3"/>
  <c r="AD199" i="34"/>
  <c r="AE199" i="34"/>
  <c r="AB66" i="34"/>
  <c r="AD67" i="34"/>
  <c r="AD66" i="34"/>
  <c r="K123" i="34"/>
  <c r="AG34" i="34"/>
  <c r="AG33" i="34"/>
  <c r="AG36" i="34"/>
  <c r="AB33" i="34"/>
  <c r="AB36" i="34"/>
  <c r="AB52" i="2"/>
  <c r="AD52" i="2"/>
  <c r="K123" i="2"/>
  <c r="F52" i="2"/>
  <c r="AD50" i="34"/>
  <c r="AD49" i="34"/>
  <c r="K120" i="34"/>
  <c r="AB49" i="34"/>
  <c r="AB66" i="2"/>
  <c r="AD66" i="2"/>
  <c r="K125" i="2"/>
  <c r="AB70" i="34"/>
  <c r="AD71" i="34"/>
  <c r="AD70" i="34"/>
  <c r="C321" i="33"/>
  <c r="F269" i="33"/>
  <c r="AD185" i="34"/>
  <c r="AI185" i="34"/>
  <c r="X200" i="34"/>
  <c r="Y200" i="34"/>
  <c r="C247" i="33"/>
  <c r="C243" i="33"/>
  <c r="P204" i="34"/>
  <c r="P179" i="34"/>
  <c r="P47" i="34"/>
  <c r="K25" i="20"/>
  <c r="Z66" i="39"/>
  <c r="AF66" i="39"/>
  <c r="P53" i="34"/>
  <c r="AB200" i="34"/>
  <c r="U181" i="34"/>
  <c r="F225" i="33"/>
  <c r="F249" i="33"/>
  <c r="F222" i="33"/>
  <c r="F248" i="33"/>
  <c r="F228" i="1"/>
  <c r="F250" i="1"/>
  <c r="C317" i="1"/>
  <c r="C247" i="1"/>
  <c r="C243" i="1"/>
  <c r="E238" i="33"/>
  <c r="E253" i="33"/>
  <c r="B320" i="33"/>
  <c r="B333" i="33"/>
  <c r="E333" i="33"/>
  <c r="B319" i="33"/>
  <c r="B331" i="33"/>
  <c r="I57" i="34"/>
  <c r="G38" i="36"/>
  <c r="G40" i="36"/>
  <c r="D39" i="36"/>
  <c r="Z143" i="6"/>
  <c r="Z148" i="6"/>
  <c r="P72" i="34"/>
  <c r="R72" i="34"/>
  <c r="S72" i="34"/>
  <c r="H34" i="2"/>
  <c r="H33" i="2"/>
  <c r="H36" i="2"/>
  <c r="H38" i="2"/>
  <c r="F38" i="2"/>
  <c r="G38" i="2"/>
  <c r="G118" i="2"/>
  <c r="G117" i="2"/>
  <c r="C275" i="34"/>
  <c r="C274" i="34"/>
  <c r="F66" i="34"/>
  <c r="C277" i="2"/>
  <c r="C276" i="2"/>
  <c r="L52" i="2"/>
  <c r="L70" i="2"/>
  <c r="K74" i="2"/>
  <c r="K75" i="2"/>
  <c r="M133" i="6"/>
  <c r="L133" i="6"/>
  <c r="I55" i="2"/>
  <c r="AF66" i="6"/>
  <c r="T64" i="39"/>
  <c r="G40" i="4"/>
  <c r="D39" i="4"/>
  <c r="Z33" i="6"/>
  <c r="AB33" i="6"/>
  <c r="AF33" i="6"/>
  <c r="X204" i="34"/>
  <c r="Y204" i="34"/>
  <c r="U202" i="34"/>
  <c r="F238" i="33"/>
  <c r="F253" i="33"/>
  <c r="C320" i="33"/>
  <c r="U184" i="34"/>
  <c r="F235" i="33"/>
  <c r="F252" i="33"/>
  <c r="C319" i="33"/>
  <c r="C352" i="33"/>
  <c r="C350" i="33"/>
  <c r="C339" i="33"/>
  <c r="X182" i="34"/>
  <c r="Y182" i="34"/>
  <c r="AD179" i="34"/>
  <c r="AE179" i="34"/>
  <c r="AI179" i="34"/>
  <c r="P203" i="34"/>
  <c r="P185" i="34"/>
  <c r="C56" i="34"/>
  <c r="I56" i="34"/>
  <c r="B56" i="34"/>
  <c r="B83" i="34"/>
  <c r="D17" i="53"/>
  <c r="D16" i="53"/>
  <c r="D14" i="53"/>
  <c r="D12" i="53"/>
  <c r="D15" i="53"/>
  <c r="D13" i="53"/>
  <c r="G42" i="36"/>
  <c r="D41" i="36"/>
  <c r="B283" i="33"/>
  <c r="I119" i="2"/>
  <c r="I277" i="2"/>
  <c r="I276" i="2"/>
  <c r="AF54" i="34"/>
  <c r="AG54" i="34"/>
  <c r="AJ54" i="34"/>
  <c r="AK54" i="34"/>
  <c r="AL54" i="34"/>
  <c r="AB46" i="34"/>
  <c r="AD47" i="34"/>
  <c r="V70" i="2"/>
  <c r="B200" i="1"/>
  <c r="B202" i="1"/>
  <c r="B208" i="1"/>
  <c r="E205" i="1"/>
  <c r="E208" i="1"/>
  <c r="I168" i="2"/>
  <c r="N168" i="2"/>
  <c r="B232" i="1"/>
  <c r="B251" i="1"/>
  <c r="B235" i="1"/>
  <c r="B252" i="1"/>
  <c r="B238" i="1"/>
  <c r="B253" i="1"/>
  <c r="V49" i="2"/>
  <c r="AB46" i="2"/>
  <c r="AA34" i="2"/>
  <c r="AA33" i="2"/>
  <c r="AA36" i="2"/>
  <c r="Y33" i="2"/>
  <c r="Y36" i="2"/>
  <c r="F70" i="2"/>
  <c r="C81" i="34"/>
  <c r="AB37" i="34"/>
  <c r="U37" i="34"/>
  <c r="AI37" i="34"/>
  <c r="F17" i="53"/>
  <c r="E55" i="34"/>
  <c r="E57" i="34"/>
  <c r="C57" i="34"/>
  <c r="F49" i="34"/>
  <c r="F55" i="34"/>
  <c r="F57" i="34"/>
  <c r="C56" i="2"/>
  <c r="B85" i="2"/>
  <c r="B56" i="2"/>
  <c r="I56" i="2"/>
  <c r="F70" i="34"/>
  <c r="F74" i="34"/>
  <c r="M69" i="39"/>
  <c r="K69" i="39"/>
  <c r="AJ54" i="2"/>
  <c r="C145" i="1"/>
  <c r="AJ73" i="2"/>
  <c r="AA73" i="34"/>
  <c r="AI73" i="34"/>
  <c r="AK73" i="34"/>
  <c r="AL73" i="34"/>
  <c r="AB68" i="6"/>
  <c r="AE68" i="6"/>
  <c r="U68" i="6"/>
  <c r="AA51" i="34"/>
  <c r="AI51" i="34"/>
  <c r="AK51" i="34"/>
  <c r="AL51" i="34"/>
  <c r="G115" i="34"/>
  <c r="AA51" i="2"/>
  <c r="AI51" i="2"/>
  <c r="AK51" i="2"/>
  <c r="AL51" i="2"/>
  <c r="X203" i="34"/>
  <c r="Y203" i="34"/>
  <c r="U198" i="34"/>
  <c r="F266" i="33"/>
  <c r="C14" i="33"/>
  <c r="F228" i="33"/>
  <c r="F250" i="33"/>
  <c r="C317" i="33"/>
  <c r="C321" i="1"/>
  <c r="L49" i="2"/>
  <c r="F127" i="1"/>
  <c r="F144" i="1"/>
  <c r="I76" i="2"/>
  <c r="K76" i="2"/>
  <c r="C309" i="33"/>
  <c r="F127" i="33"/>
  <c r="F144" i="33"/>
  <c r="N127" i="6"/>
  <c r="N133" i="6"/>
  <c r="J133" i="6"/>
  <c r="K133" i="6"/>
  <c r="Q33" i="34"/>
  <c r="Q36" i="34"/>
  <c r="Q37" i="34"/>
  <c r="R34" i="34"/>
  <c r="H38" i="34"/>
  <c r="F38" i="34"/>
  <c r="G38" i="34"/>
  <c r="J143" i="2"/>
  <c r="B284" i="1"/>
  <c r="P47" i="2"/>
  <c r="I76" i="34"/>
  <c r="K74" i="34"/>
  <c r="K75" i="34"/>
  <c r="Z66" i="6"/>
  <c r="K14" i="40"/>
  <c r="K25" i="40"/>
  <c r="AD204" i="34"/>
  <c r="AE204" i="34"/>
  <c r="X199" i="34"/>
  <c r="Y199" i="34"/>
  <c r="AD182" i="34"/>
  <c r="AE182" i="34"/>
  <c r="F238" i="1"/>
  <c r="F253" i="1"/>
  <c r="C320" i="1"/>
  <c r="C319" i="1"/>
  <c r="C352" i="1"/>
  <c r="C350" i="1"/>
  <c r="AI181" i="2"/>
  <c r="AJ168" i="2"/>
  <c r="AK168" i="2"/>
  <c r="AL168" i="2"/>
  <c r="B321" i="33"/>
  <c r="B334" i="33"/>
  <c r="E228" i="33"/>
  <c r="E250" i="33"/>
  <c r="B317" i="33"/>
  <c r="B330" i="33"/>
  <c r="E330" i="33"/>
  <c r="B265" i="33"/>
  <c r="B247" i="33"/>
  <c r="B243" i="33"/>
  <c r="Z143" i="39"/>
  <c r="B309" i="33"/>
  <c r="F37" i="2"/>
  <c r="E55" i="2"/>
  <c r="E57" i="2"/>
  <c r="F49" i="2"/>
  <c r="F55" i="2"/>
  <c r="F57" i="2"/>
  <c r="C57" i="2"/>
  <c r="I188" i="6"/>
  <c r="C145" i="34"/>
  <c r="X67" i="34"/>
  <c r="Y67" i="34"/>
  <c r="V66" i="34"/>
  <c r="C83" i="34"/>
  <c r="U56" i="34"/>
  <c r="AB70" i="2"/>
  <c r="AB74" i="2"/>
  <c r="AD70" i="2"/>
  <c r="C84" i="2"/>
  <c r="AB75" i="2"/>
  <c r="U75" i="2"/>
  <c r="V52" i="2"/>
  <c r="B213" i="1"/>
  <c r="E211" i="1"/>
  <c r="E213" i="1"/>
  <c r="B219" i="1"/>
  <c r="B222" i="1"/>
  <c r="B248" i="1"/>
  <c r="B264" i="1"/>
  <c r="B225" i="1"/>
  <c r="B249" i="1"/>
  <c r="B265" i="1"/>
  <c r="B266" i="1"/>
  <c r="B228" i="1"/>
  <c r="B250" i="1"/>
  <c r="B254" i="1"/>
  <c r="B269" i="1"/>
  <c r="B268" i="1"/>
  <c r="AD49" i="2"/>
  <c r="K122" i="2"/>
  <c r="AB49" i="2"/>
  <c r="U55" i="2"/>
  <c r="AG34" i="2"/>
  <c r="AG33" i="2"/>
  <c r="AG36" i="2"/>
  <c r="AB33" i="2"/>
  <c r="AB36" i="2"/>
  <c r="C81" i="2"/>
  <c r="AB37" i="2"/>
  <c r="U37" i="2"/>
  <c r="Y37" i="2"/>
  <c r="AI37" i="2"/>
  <c r="C74" i="2"/>
  <c r="X50" i="34"/>
  <c r="V49" i="34"/>
  <c r="V55" i="34"/>
  <c r="AA33" i="34"/>
  <c r="AA36" i="34"/>
  <c r="M116" i="34"/>
  <c r="M115" i="34"/>
  <c r="Y33" i="34"/>
  <c r="Y36" i="34"/>
  <c r="F37" i="34"/>
  <c r="B85" i="34"/>
  <c r="C74" i="34"/>
  <c r="AB64" i="6"/>
  <c r="U64" i="6"/>
  <c r="G36" i="4"/>
  <c r="D35" i="4"/>
  <c r="G42" i="4"/>
  <c r="D41" i="4"/>
  <c r="AB52" i="34"/>
  <c r="AD53" i="34"/>
  <c r="Z129" i="39"/>
  <c r="Z133" i="39"/>
  <c r="T129" i="39"/>
  <c r="U129" i="39"/>
  <c r="J69" i="39"/>
  <c r="N63" i="39"/>
  <c r="N69" i="39"/>
  <c r="L69" i="39"/>
  <c r="V66" i="2"/>
  <c r="Z72" i="34"/>
  <c r="AJ72" i="34"/>
  <c r="T68" i="39"/>
  <c r="AA68" i="2"/>
  <c r="AI68" i="2"/>
  <c r="AJ68" i="2"/>
  <c r="AK68" i="2"/>
  <c r="AL68" i="2"/>
  <c r="X71" i="34"/>
  <c r="Y71" i="34"/>
  <c r="V70" i="34"/>
  <c r="V74" i="34"/>
  <c r="U74" i="34"/>
  <c r="Z129" i="6"/>
  <c r="Z133" i="6"/>
  <c r="AF129" i="6"/>
  <c r="L66" i="2"/>
  <c r="P71" i="34"/>
  <c r="P53" i="2"/>
  <c r="AA168" i="2"/>
  <c r="Z47" i="39"/>
  <c r="Z54" i="39"/>
  <c r="Z144" i="39"/>
  <c r="Z148" i="39"/>
  <c r="Z108" i="39"/>
  <c r="P71" i="2"/>
  <c r="AF47" i="6"/>
  <c r="AF54" i="6"/>
  <c r="D188" i="6"/>
  <c r="Z118" i="39"/>
  <c r="AJ34" i="34"/>
  <c r="AF68" i="6"/>
  <c r="P67" i="34"/>
  <c r="AE185" i="34"/>
  <c r="AJ187" i="2"/>
  <c r="AF199" i="34"/>
  <c r="AG199" i="34"/>
  <c r="Z71" i="34"/>
  <c r="Y70" i="34"/>
  <c r="Z67" i="34"/>
  <c r="Y66" i="34"/>
  <c r="AJ201" i="2"/>
  <c r="Z203" i="34"/>
  <c r="AA203" i="34"/>
  <c r="AI203" i="34"/>
  <c r="AJ203" i="34"/>
  <c r="AK203" i="34"/>
  <c r="AL203" i="34"/>
  <c r="J135" i="34"/>
  <c r="Y70" i="2"/>
  <c r="Q200" i="34"/>
  <c r="Z204" i="34"/>
  <c r="AJ204" i="34"/>
  <c r="Q182" i="34"/>
  <c r="AA202" i="2"/>
  <c r="AI202" i="2"/>
  <c r="Z200" i="34"/>
  <c r="AA200" i="34"/>
  <c r="AD200" i="34"/>
  <c r="AI200" i="34"/>
  <c r="Z199" i="34"/>
  <c r="AJ199" i="34"/>
  <c r="B125" i="3"/>
  <c r="Z182" i="34"/>
  <c r="AJ182" i="34"/>
  <c r="AA182" i="34"/>
  <c r="C84" i="34"/>
  <c r="V75" i="34"/>
  <c r="U75" i="34"/>
  <c r="X66" i="2"/>
  <c r="H125" i="2"/>
  <c r="AF63" i="39"/>
  <c r="AD52" i="34"/>
  <c r="K121" i="34"/>
  <c r="AI53" i="34"/>
  <c r="AE53" i="34"/>
  <c r="AE64" i="6"/>
  <c r="AE69" i="6"/>
  <c r="J160" i="6"/>
  <c r="F76" i="34"/>
  <c r="C76" i="34"/>
  <c r="C75" i="34"/>
  <c r="Z38" i="34"/>
  <c r="AA38" i="34"/>
  <c r="Y38" i="34"/>
  <c r="X49" i="34"/>
  <c r="P52" i="2"/>
  <c r="K121" i="2"/>
  <c r="E228" i="1"/>
  <c r="E250" i="1"/>
  <c r="B317" i="1"/>
  <c r="B330" i="1"/>
  <c r="B247" i="1"/>
  <c r="B243" i="1"/>
  <c r="V76" i="34"/>
  <c r="Z68" i="39"/>
  <c r="AF68" i="39"/>
  <c r="AA72" i="34"/>
  <c r="AI72" i="34"/>
  <c r="AK72" i="34"/>
  <c r="AL72" i="34"/>
  <c r="M70" i="39"/>
  <c r="K70" i="39"/>
  <c r="L70" i="39"/>
  <c r="N70" i="39"/>
  <c r="J70" i="39"/>
  <c r="Z64" i="6"/>
  <c r="X57" i="34"/>
  <c r="Y57" i="34"/>
  <c r="V57" i="34"/>
  <c r="C83" i="2"/>
  <c r="C85" i="2"/>
  <c r="U56" i="2"/>
  <c r="B321" i="1"/>
  <c r="B334" i="1"/>
  <c r="B357" i="1"/>
  <c r="X52" i="2"/>
  <c r="H123" i="2"/>
  <c r="AB76" i="2"/>
  <c r="V56" i="34"/>
  <c r="B263" i="33"/>
  <c r="B262" i="33"/>
  <c r="B271" i="33"/>
  <c r="B255" i="33"/>
  <c r="B272" i="33"/>
  <c r="Y48" i="4"/>
  <c r="K76" i="34"/>
  <c r="L46" i="2"/>
  <c r="L55" i="2"/>
  <c r="Q47" i="2"/>
  <c r="Q46" i="2"/>
  <c r="K55" i="2"/>
  <c r="B283" i="1"/>
  <c r="N134" i="6"/>
  <c r="L134" i="6"/>
  <c r="J134" i="6"/>
  <c r="M134" i="6"/>
  <c r="K134" i="6"/>
  <c r="F134" i="33"/>
  <c r="F66" i="2"/>
  <c r="F243" i="1"/>
  <c r="C316" i="1"/>
  <c r="C349" i="1"/>
  <c r="C347" i="1"/>
  <c r="F268" i="1"/>
  <c r="U197" i="34"/>
  <c r="V198" i="34"/>
  <c r="L66" i="34"/>
  <c r="Z68" i="6"/>
  <c r="AA73" i="2"/>
  <c r="AI73" i="2"/>
  <c r="AK73" i="2"/>
  <c r="AL73" i="2"/>
  <c r="AA54" i="2"/>
  <c r="AI54" i="2"/>
  <c r="AK54" i="2"/>
  <c r="AL54" i="2"/>
  <c r="X49" i="36"/>
  <c r="B281" i="34"/>
  <c r="E74" i="34"/>
  <c r="E75" i="34"/>
  <c r="H74" i="34"/>
  <c r="C281" i="34"/>
  <c r="Q71" i="34"/>
  <c r="Q70" i="34"/>
  <c r="B283" i="2"/>
  <c r="E74" i="2"/>
  <c r="E75" i="2"/>
  <c r="C283" i="2"/>
  <c r="Q71" i="2"/>
  <c r="Q70" i="2"/>
  <c r="AJ34" i="2"/>
  <c r="AD46" i="2"/>
  <c r="AI47" i="2"/>
  <c r="V55" i="2"/>
  <c r="V56" i="2"/>
  <c r="P206" i="2"/>
  <c r="P181" i="2"/>
  <c r="Q168" i="2"/>
  <c r="R168" i="2"/>
  <c r="S168" i="2"/>
  <c r="V74" i="2"/>
  <c r="AB55" i="34"/>
  <c r="C147" i="2"/>
  <c r="G17" i="53"/>
  <c r="B86" i="34"/>
  <c r="G36" i="36"/>
  <c r="G43" i="36"/>
  <c r="G54" i="36"/>
  <c r="D35" i="36"/>
  <c r="D43" i="36"/>
  <c r="D54" i="36"/>
  <c r="D55" i="36"/>
  <c r="B132" i="35"/>
  <c r="D56" i="36"/>
  <c r="D57" i="36"/>
  <c r="E243" i="33"/>
  <c r="B186" i="34"/>
  <c r="B316" i="33"/>
  <c r="Z64" i="39"/>
  <c r="Z69" i="39"/>
  <c r="AF64" i="39"/>
  <c r="L70" i="34"/>
  <c r="L74" i="34"/>
  <c r="Q67" i="34"/>
  <c r="Q66" i="34"/>
  <c r="B339" i="33"/>
  <c r="B205" i="34"/>
  <c r="C255" i="1"/>
  <c r="C272" i="1"/>
  <c r="C263" i="1"/>
  <c r="C262" i="1"/>
  <c r="C271" i="1"/>
  <c r="F243" i="33"/>
  <c r="C315" i="33"/>
  <c r="C346" i="33"/>
  <c r="C344" i="33"/>
  <c r="F264" i="33"/>
  <c r="C12" i="33"/>
  <c r="F265" i="33"/>
  <c r="C13" i="33"/>
  <c r="C316" i="33"/>
  <c r="C349" i="33"/>
  <c r="C347" i="33"/>
  <c r="AE200" i="34"/>
  <c r="P52" i="34"/>
  <c r="L86" i="35"/>
  <c r="I86" i="35"/>
  <c r="K86" i="35"/>
  <c r="P46" i="34"/>
  <c r="U188" i="2"/>
  <c r="C255" i="33"/>
  <c r="C272" i="33"/>
  <c r="C263" i="33"/>
  <c r="C262" i="33"/>
  <c r="C271" i="33"/>
  <c r="AB74" i="34"/>
  <c r="AE50" i="34"/>
  <c r="Q53" i="2"/>
  <c r="Q52" i="2"/>
  <c r="AE67" i="34"/>
  <c r="X70" i="34"/>
  <c r="C125" i="3"/>
  <c r="AB69" i="6"/>
  <c r="G160" i="6"/>
  <c r="K160" i="6"/>
  <c r="C189" i="6"/>
  <c r="B87" i="34"/>
  <c r="AK34" i="34"/>
  <c r="AJ33" i="34"/>
  <c r="AJ36" i="34"/>
  <c r="AJ37" i="34"/>
  <c r="Y50" i="34"/>
  <c r="E76" i="2"/>
  <c r="C76" i="2"/>
  <c r="C75" i="2"/>
  <c r="P205" i="2"/>
  <c r="AD74" i="2"/>
  <c r="AD75" i="2"/>
  <c r="K126" i="2"/>
  <c r="K124" i="2"/>
  <c r="X66" i="34"/>
  <c r="H123" i="34"/>
  <c r="T24" i="42"/>
  <c r="C289" i="33"/>
  <c r="AJ206" i="2"/>
  <c r="AF182" i="34"/>
  <c r="AG182" i="34"/>
  <c r="AF204" i="34"/>
  <c r="AG204" i="34"/>
  <c r="L86" i="3"/>
  <c r="I86" i="3"/>
  <c r="K86" i="3"/>
  <c r="G38" i="4"/>
  <c r="G43" i="4"/>
  <c r="G54" i="4"/>
  <c r="D43" i="4"/>
  <c r="Y48" i="36"/>
  <c r="P46" i="2"/>
  <c r="R47" i="2"/>
  <c r="B154" i="2"/>
  <c r="B86" i="2"/>
  <c r="B87" i="2"/>
  <c r="R33" i="34"/>
  <c r="R36" i="34"/>
  <c r="S34" i="34"/>
  <c r="S33" i="34"/>
  <c r="AF127" i="6"/>
  <c r="AF133" i="6"/>
  <c r="G189" i="6"/>
  <c r="L52" i="34"/>
  <c r="Q53" i="34"/>
  <c r="Q52" i="34"/>
  <c r="C309" i="1"/>
  <c r="F134" i="1"/>
  <c r="K143" i="2"/>
  <c r="AB167" i="2"/>
  <c r="X49" i="4"/>
  <c r="X53" i="4"/>
  <c r="R71" i="34"/>
  <c r="P70" i="34"/>
  <c r="H77" i="34"/>
  <c r="F77" i="34"/>
  <c r="F75" i="34"/>
  <c r="K17" i="53"/>
  <c r="Y37" i="34"/>
  <c r="C85" i="34"/>
  <c r="R71" i="2"/>
  <c r="P70" i="2"/>
  <c r="F74" i="2"/>
  <c r="Y38" i="2"/>
  <c r="AA38" i="2"/>
  <c r="M118" i="2"/>
  <c r="M117" i="2"/>
  <c r="AB55" i="2"/>
  <c r="Y49" i="2"/>
  <c r="AA50" i="2"/>
  <c r="AA49" i="2"/>
  <c r="X49" i="2"/>
  <c r="E238" i="1"/>
  <c r="E253" i="1"/>
  <c r="B320" i="1"/>
  <c r="B333" i="1"/>
  <c r="B319" i="1"/>
  <c r="B331" i="1"/>
  <c r="X70" i="2"/>
  <c r="AD46" i="34"/>
  <c r="AI47" i="34"/>
  <c r="AE47" i="34"/>
  <c r="B125" i="35"/>
  <c r="I70" i="35"/>
  <c r="G70" i="35"/>
  <c r="J70" i="35"/>
  <c r="B315" i="33"/>
  <c r="AJ184" i="2"/>
  <c r="AF179" i="34"/>
  <c r="AG179" i="34"/>
  <c r="AJ179" i="34"/>
  <c r="AK179" i="34"/>
  <c r="AL179" i="34"/>
  <c r="AI182" i="34"/>
  <c r="AK182" i="34"/>
  <c r="AL182" i="34"/>
  <c r="AB184" i="34"/>
  <c r="U183" i="34"/>
  <c r="V202" i="34"/>
  <c r="AB202" i="34"/>
  <c r="U201" i="34"/>
  <c r="U205" i="34"/>
  <c r="L57" i="2"/>
  <c r="I57" i="2"/>
  <c r="K57" i="2"/>
  <c r="L49" i="34"/>
  <c r="L74" i="2"/>
  <c r="P66" i="34"/>
  <c r="Q199" i="34"/>
  <c r="P199" i="34"/>
  <c r="R199" i="34"/>
  <c r="S199" i="34"/>
  <c r="B352" i="33"/>
  <c r="B350" i="33"/>
  <c r="B332" i="33"/>
  <c r="E332" i="33"/>
  <c r="U164" i="34"/>
  <c r="U167" i="34"/>
  <c r="AB165" i="34"/>
  <c r="U186" i="34"/>
  <c r="AB178" i="34"/>
  <c r="V181" i="34"/>
  <c r="U180" i="34"/>
  <c r="Q34" i="2"/>
  <c r="L46" i="34"/>
  <c r="Q47" i="34"/>
  <c r="Q46" i="34"/>
  <c r="K55" i="34"/>
  <c r="AF185" i="34"/>
  <c r="AG185" i="34"/>
  <c r="AJ185" i="34"/>
  <c r="AK185" i="34"/>
  <c r="AL185" i="34"/>
  <c r="F268" i="33"/>
  <c r="C17" i="33"/>
  <c r="C16" i="33"/>
  <c r="K124" i="34"/>
  <c r="AD74" i="34"/>
  <c r="AD75" i="34"/>
  <c r="AE71" i="34"/>
  <c r="AF203" i="34"/>
  <c r="AG203" i="34"/>
  <c r="D54" i="4"/>
  <c r="D55" i="4"/>
  <c r="B132" i="3"/>
  <c r="D56" i="4"/>
  <c r="D57" i="4"/>
  <c r="AA206" i="2"/>
  <c r="AI206" i="2"/>
  <c r="AK206" i="2"/>
  <c r="AL206" i="2"/>
  <c r="I188" i="39"/>
  <c r="J189" i="6"/>
  <c r="C273" i="33"/>
  <c r="R53" i="34"/>
  <c r="AA199" i="34"/>
  <c r="AI199" i="34"/>
  <c r="AK199" i="34"/>
  <c r="AL199" i="34"/>
  <c r="AA201" i="2"/>
  <c r="AI201" i="2"/>
  <c r="AK201" i="2"/>
  <c r="AL201" i="2"/>
  <c r="C353" i="33"/>
  <c r="C273" i="1"/>
  <c r="B273" i="33"/>
  <c r="P182" i="34"/>
  <c r="R182" i="34"/>
  <c r="S182" i="34"/>
  <c r="AF200" i="34"/>
  <c r="AG200" i="34"/>
  <c r="R34" i="2"/>
  <c r="Q33" i="2"/>
  <c r="Q36" i="2"/>
  <c r="Q37" i="2"/>
  <c r="AB177" i="34"/>
  <c r="AD178" i="34"/>
  <c r="AG165" i="34"/>
  <c r="AG164" i="34"/>
  <c r="AG167" i="34"/>
  <c r="AB164" i="34"/>
  <c r="AB167" i="34"/>
  <c r="AA164" i="34"/>
  <c r="AA167" i="34"/>
  <c r="M227" i="34"/>
  <c r="M226" i="34"/>
  <c r="Y164" i="34"/>
  <c r="Y167" i="34"/>
  <c r="C215" i="34"/>
  <c r="U206" i="34"/>
  <c r="B168" i="34"/>
  <c r="P168" i="34"/>
  <c r="G55" i="2"/>
  <c r="G58" i="2"/>
  <c r="H55" i="2"/>
  <c r="H58" i="2"/>
  <c r="F58" i="2"/>
  <c r="F56" i="2"/>
  <c r="AI46" i="34"/>
  <c r="H122" i="2"/>
  <c r="X55" i="2"/>
  <c r="AJ50" i="2"/>
  <c r="AJ49" i="2"/>
  <c r="F77" i="2"/>
  <c r="F75" i="2"/>
  <c r="AI170" i="2"/>
  <c r="U170" i="2"/>
  <c r="C86" i="2"/>
  <c r="C87" i="2"/>
  <c r="C154" i="2"/>
  <c r="F143" i="1"/>
  <c r="R37" i="34"/>
  <c r="S36" i="34"/>
  <c r="Z50" i="34"/>
  <c r="AA50" i="34"/>
  <c r="Y49" i="34"/>
  <c r="Y55" i="34"/>
  <c r="AK33" i="34"/>
  <c r="AK36" i="34"/>
  <c r="AL34" i="34"/>
  <c r="AL33" i="34"/>
  <c r="AE66" i="34"/>
  <c r="AF67" i="34"/>
  <c r="AF66" i="34"/>
  <c r="L123" i="34"/>
  <c r="AB76" i="34"/>
  <c r="AD76" i="34"/>
  <c r="AB179" i="2"/>
  <c r="Q204" i="34"/>
  <c r="R204" i="34"/>
  <c r="S204" i="34"/>
  <c r="R47" i="34"/>
  <c r="R52" i="34"/>
  <c r="S53" i="34"/>
  <c r="S52" i="34"/>
  <c r="B206" i="34"/>
  <c r="B215" i="34"/>
  <c r="N74" i="2"/>
  <c r="L77" i="34"/>
  <c r="L75" i="34"/>
  <c r="L76" i="34"/>
  <c r="I189" i="39"/>
  <c r="Q203" i="34"/>
  <c r="R203" i="34"/>
  <c r="S203" i="34"/>
  <c r="I177" i="34"/>
  <c r="C125" i="35"/>
  <c r="E145" i="33"/>
  <c r="H143" i="33"/>
  <c r="H141" i="33"/>
  <c r="H140" i="33"/>
  <c r="H138" i="33"/>
  <c r="H137" i="33"/>
  <c r="H136" i="33"/>
  <c r="H135" i="33"/>
  <c r="H134" i="33"/>
  <c r="V76" i="2"/>
  <c r="V75" i="2"/>
  <c r="Q181" i="2"/>
  <c r="Q206" i="2"/>
  <c r="AE46" i="2"/>
  <c r="AJ47" i="2"/>
  <c r="AJ46" i="2"/>
  <c r="K120" i="2"/>
  <c r="AD55" i="2"/>
  <c r="H137" i="2"/>
  <c r="D281" i="34"/>
  <c r="Y47" i="36"/>
  <c r="N54" i="36"/>
  <c r="X198" i="34"/>
  <c r="Y198" i="34"/>
  <c r="V197" i="34"/>
  <c r="F255" i="1"/>
  <c r="F272" i="1"/>
  <c r="C86" i="34"/>
  <c r="C152" i="34"/>
  <c r="F143" i="33"/>
  <c r="E128" i="2"/>
  <c r="K56" i="2"/>
  <c r="M55" i="2"/>
  <c r="V203" i="2"/>
  <c r="V185" i="2"/>
  <c r="AJ181" i="2"/>
  <c r="AK181" i="2"/>
  <c r="AL181" i="2"/>
  <c r="I197" i="34"/>
  <c r="AA53" i="2"/>
  <c r="Y52" i="2"/>
  <c r="E243" i="1"/>
  <c r="B315" i="1"/>
  <c r="B316" i="1"/>
  <c r="C35" i="35"/>
  <c r="Q50" i="34"/>
  <c r="Q49" i="34"/>
  <c r="Q55" i="34"/>
  <c r="B189" i="6"/>
  <c r="H120" i="34"/>
  <c r="X55" i="34"/>
  <c r="E76" i="34"/>
  <c r="AE52" i="34"/>
  <c r="AF53" i="34"/>
  <c r="AF52" i="34"/>
  <c r="L121" i="34"/>
  <c r="AJ53" i="34"/>
  <c r="AJ52" i="34"/>
  <c r="C344" i="1"/>
  <c r="M55" i="34"/>
  <c r="V186" i="34"/>
  <c r="X181" i="34"/>
  <c r="V180" i="34"/>
  <c r="Y181" i="34"/>
  <c r="AJ165" i="34"/>
  <c r="V199" i="2"/>
  <c r="N77" i="2"/>
  <c r="L77" i="2"/>
  <c r="M77" i="2"/>
  <c r="L75" i="2"/>
  <c r="L76" i="2"/>
  <c r="AD202" i="34"/>
  <c r="AD201" i="34"/>
  <c r="AB201" i="34"/>
  <c r="AE202" i="34"/>
  <c r="C186" i="34"/>
  <c r="C180" i="34"/>
  <c r="B346" i="33"/>
  <c r="B344" i="33"/>
  <c r="B328" i="33"/>
  <c r="E328" i="33"/>
  <c r="I164" i="34"/>
  <c r="I167" i="34"/>
  <c r="I168" i="34"/>
  <c r="Q201" i="2"/>
  <c r="I122" i="2"/>
  <c r="R70" i="2"/>
  <c r="S71" i="2"/>
  <c r="S70" i="2"/>
  <c r="R70" i="34"/>
  <c r="S71" i="34"/>
  <c r="S70" i="34"/>
  <c r="E95" i="4"/>
  <c r="E96" i="4"/>
  <c r="V188" i="2"/>
  <c r="V182" i="2"/>
  <c r="AG167" i="2"/>
  <c r="AG166" i="2"/>
  <c r="AG169" i="2"/>
  <c r="AB166" i="2"/>
  <c r="AB169" i="2"/>
  <c r="AB170" i="2"/>
  <c r="AE70" i="2"/>
  <c r="AF50" i="34"/>
  <c r="AF49" i="34"/>
  <c r="L120" i="34"/>
  <c r="AE49" i="34"/>
  <c r="AG50" i="34"/>
  <c r="AG49" i="34"/>
  <c r="M120" i="34"/>
  <c r="B141" i="3"/>
  <c r="AJ71" i="2"/>
  <c r="AJ70" i="2"/>
  <c r="AJ67" i="34"/>
  <c r="AJ66" i="34"/>
  <c r="Z66" i="34"/>
  <c r="J123" i="34"/>
  <c r="AJ71" i="34"/>
  <c r="AJ70" i="34"/>
  <c r="AJ74" i="34"/>
  <c r="AJ75" i="34"/>
  <c r="Z70" i="34"/>
  <c r="AJ205" i="2"/>
  <c r="AE52" i="2"/>
  <c r="K119" i="34"/>
  <c r="AE70" i="34"/>
  <c r="AE74" i="34"/>
  <c r="AF71" i="34"/>
  <c r="AF70" i="34"/>
  <c r="E126" i="34"/>
  <c r="K56" i="34"/>
  <c r="K57" i="34"/>
  <c r="L55" i="34"/>
  <c r="AB181" i="34"/>
  <c r="C214" i="34"/>
  <c r="V187" i="34"/>
  <c r="U187" i="34"/>
  <c r="AB168" i="34"/>
  <c r="U168" i="34"/>
  <c r="Y168" i="34"/>
  <c r="AI168" i="34"/>
  <c r="R67" i="34"/>
  <c r="X202" i="34"/>
  <c r="Y202" i="34"/>
  <c r="V201" i="34"/>
  <c r="V205" i="34"/>
  <c r="AD184" i="34"/>
  <c r="AE184" i="34"/>
  <c r="AB183" i="34"/>
  <c r="AA184" i="2"/>
  <c r="AI184" i="2"/>
  <c r="AK184" i="2"/>
  <c r="AL184" i="2"/>
  <c r="F164" i="34"/>
  <c r="F167" i="34"/>
  <c r="B141" i="35"/>
  <c r="Q50" i="2"/>
  <c r="Q49" i="2"/>
  <c r="AE46" i="34"/>
  <c r="AE55" i="34"/>
  <c r="AF47" i="34"/>
  <c r="AF46" i="34"/>
  <c r="AJ47" i="34"/>
  <c r="AJ46" i="34"/>
  <c r="AD55" i="34"/>
  <c r="K118" i="34"/>
  <c r="H126" i="2"/>
  <c r="X74" i="2"/>
  <c r="X75" i="2"/>
  <c r="P201" i="2"/>
  <c r="R201" i="2"/>
  <c r="S201" i="2"/>
  <c r="B352" i="1"/>
  <c r="B350" i="1"/>
  <c r="B332" i="1"/>
  <c r="E332" i="1"/>
  <c r="B356" i="1"/>
  <c r="E333" i="1"/>
  <c r="AI50" i="2"/>
  <c r="Y55" i="2"/>
  <c r="AB57" i="2"/>
  <c r="AD57" i="2"/>
  <c r="Z38" i="2"/>
  <c r="C87" i="34"/>
  <c r="C14" i="54"/>
  <c r="P74" i="34"/>
  <c r="P75" i="34"/>
  <c r="Y47" i="4"/>
  <c r="N54" i="4"/>
  <c r="Y166" i="2"/>
  <c r="Y169" i="2"/>
  <c r="Y170" i="2"/>
  <c r="AA167" i="2"/>
  <c r="AA166" i="2"/>
  <c r="AA169" i="2"/>
  <c r="M229" i="2"/>
  <c r="M228" i="2"/>
  <c r="K137" i="2"/>
  <c r="E145" i="1"/>
  <c r="H143" i="1"/>
  <c r="H141" i="1"/>
  <c r="H140" i="1"/>
  <c r="H138" i="1"/>
  <c r="H137" i="1"/>
  <c r="H136" i="1"/>
  <c r="H135" i="1"/>
  <c r="H134" i="1"/>
  <c r="R46" i="2"/>
  <c r="S47" i="2"/>
  <c r="S46" i="2"/>
  <c r="H78" i="43"/>
  <c r="J78" i="43"/>
  <c r="AE49" i="2"/>
  <c r="F76" i="2"/>
  <c r="AF64" i="6"/>
  <c r="AF69" i="6"/>
  <c r="H124" i="34"/>
  <c r="X74" i="34"/>
  <c r="K122" i="34"/>
  <c r="AE66" i="2"/>
  <c r="C216" i="2"/>
  <c r="V189" i="2"/>
  <c r="U189" i="2"/>
  <c r="Q179" i="34"/>
  <c r="R179" i="34"/>
  <c r="S179" i="34"/>
  <c r="C322" i="33"/>
  <c r="F255" i="33"/>
  <c r="F272" i="33"/>
  <c r="I201" i="34"/>
  <c r="I205" i="34"/>
  <c r="I206" i="34"/>
  <c r="I183" i="34"/>
  <c r="N74" i="34"/>
  <c r="N77" i="34"/>
  <c r="M77" i="34"/>
  <c r="Q185" i="34"/>
  <c r="R185" i="34"/>
  <c r="S185" i="34"/>
  <c r="B349" i="33"/>
  <c r="B347" i="33"/>
  <c r="B329" i="33"/>
  <c r="E329" i="33"/>
  <c r="C187" i="34"/>
  <c r="B214" i="34"/>
  <c r="B187" i="34"/>
  <c r="E255" i="33"/>
  <c r="E272" i="33"/>
  <c r="B128" i="2"/>
  <c r="E56" i="2"/>
  <c r="AE57" i="34"/>
  <c r="AB57" i="34"/>
  <c r="AD57" i="34"/>
  <c r="AB56" i="34"/>
  <c r="H168" i="2"/>
  <c r="R181" i="2"/>
  <c r="S181" i="2"/>
  <c r="R206" i="2"/>
  <c r="S206" i="2"/>
  <c r="X57" i="2"/>
  <c r="V57" i="2"/>
  <c r="Y57" i="2"/>
  <c r="AK47" i="2"/>
  <c r="AI46" i="2"/>
  <c r="AK34" i="2"/>
  <c r="AJ33" i="2"/>
  <c r="AJ36" i="2"/>
  <c r="AJ37" i="2"/>
  <c r="D283" i="2"/>
  <c r="Q74" i="34"/>
  <c r="Q75" i="34"/>
  <c r="E95" i="36"/>
  <c r="E96" i="36"/>
  <c r="AB198" i="34"/>
  <c r="P67" i="2"/>
  <c r="Q67" i="2"/>
  <c r="Q66" i="2"/>
  <c r="Q74" i="2"/>
  <c r="Q75" i="2"/>
  <c r="Q55" i="2"/>
  <c r="L58" i="2"/>
  <c r="M58" i="2"/>
  <c r="L56" i="2"/>
  <c r="U207" i="2"/>
  <c r="C197" i="34"/>
  <c r="C205" i="34"/>
  <c r="AD76" i="2"/>
  <c r="I167" i="2"/>
  <c r="B188" i="2"/>
  <c r="AB56" i="2"/>
  <c r="K135" i="34"/>
  <c r="G55" i="34"/>
  <c r="G58" i="34"/>
  <c r="F58" i="34"/>
  <c r="H55" i="34"/>
  <c r="H58" i="34"/>
  <c r="F56" i="34"/>
  <c r="Z69" i="6"/>
  <c r="Y66" i="2"/>
  <c r="Y74" i="2"/>
  <c r="Y76" i="2"/>
  <c r="B263" i="1"/>
  <c r="B262" i="1"/>
  <c r="B271" i="1"/>
  <c r="B255" i="1"/>
  <c r="B272" i="1"/>
  <c r="B273" i="1"/>
  <c r="E330" i="1"/>
  <c r="B355" i="1"/>
  <c r="B358" i="1"/>
  <c r="R53" i="2"/>
  <c r="B126" i="34"/>
  <c r="E56" i="34"/>
  <c r="AK53" i="34"/>
  <c r="AI52" i="34"/>
  <c r="AF69" i="39"/>
  <c r="AB75" i="34"/>
  <c r="AJ200" i="34"/>
  <c r="AK200" i="34"/>
  <c r="AL200" i="34"/>
  <c r="AJ202" i="2"/>
  <c r="AK202" i="2"/>
  <c r="AL202" i="2"/>
  <c r="AA204" i="34"/>
  <c r="AI204" i="34"/>
  <c r="AK204" i="34"/>
  <c r="AL204" i="34"/>
  <c r="P200" i="34"/>
  <c r="R200" i="34"/>
  <c r="S200" i="34"/>
  <c r="AA71" i="2"/>
  <c r="AA67" i="34"/>
  <c r="Y74" i="34"/>
  <c r="AA71" i="34"/>
  <c r="AA205" i="2"/>
  <c r="AI205" i="2"/>
  <c r="AK205" i="2"/>
  <c r="AL205" i="2"/>
  <c r="AA187" i="2"/>
  <c r="AI187" i="2"/>
  <c r="AK187" i="2"/>
  <c r="AL187" i="2"/>
  <c r="AB188" i="2"/>
  <c r="Q165" i="34"/>
  <c r="B353" i="33"/>
  <c r="F278" i="34"/>
  <c r="L183" i="34"/>
  <c r="Q184" i="34"/>
  <c r="Q183" i="34"/>
  <c r="AB190" i="2"/>
  <c r="AB189" i="2"/>
  <c r="E280" i="2"/>
  <c r="I185" i="2"/>
  <c r="Q79" i="34"/>
  <c r="Q56" i="34"/>
  <c r="AA186" i="2"/>
  <c r="Y185" i="2"/>
  <c r="AA204" i="2"/>
  <c r="Y203" i="2"/>
  <c r="I182" i="2"/>
  <c r="AA200" i="2"/>
  <c r="Y199" i="2"/>
  <c r="I199" i="2"/>
  <c r="Y77" i="34"/>
  <c r="Y75" i="34"/>
  <c r="Y76" i="34"/>
  <c r="AK52" i="34"/>
  <c r="AL53" i="34"/>
  <c r="AL52" i="34"/>
  <c r="Q187" i="2"/>
  <c r="AJ67" i="2"/>
  <c r="AJ66" i="2"/>
  <c r="P170" i="2"/>
  <c r="G30" i="53"/>
  <c r="G32" i="53"/>
  <c r="B170" i="2"/>
  <c r="N167" i="2"/>
  <c r="N166" i="2"/>
  <c r="N169" i="2"/>
  <c r="I166" i="2"/>
  <c r="I169" i="2"/>
  <c r="I170" i="2"/>
  <c r="C207" i="34"/>
  <c r="AB185" i="2"/>
  <c r="AD185" i="2"/>
  <c r="K234" i="2"/>
  <c r="K280" i="2"/>
  <c r="C217" i="2"/>
  <c r="U208" i="2"/>
  <c r="R67" i="2"/>
  <c r="P66" i="2"/>
  <c r="P74" i="2"/>
  <c r="P75" i="2"/>
  <c r="AB197" i="34"/>
  <c r="AD198" i="34"/>
  <c r="AD197" i="34"/>
  <c r="K234" i="34"/>
  <c r="Q184" i="2"/>
  <c r="P184" i="2"/>
  <c r="R184" i="2"/>
  <c r="S184" i="2"/>
  <c r="B216" i="34"/>
  <c r="C283" i="33"/>
  <c r="N27" i="54"/>
  <c r="L27" i="54"/>
  <c r="J27" i="54"/>
  <c r="H27" i="54"/>
  <c r="AA70" i="34"/>
  <c r="AI71" i="34"/>
  <c r="AA70" i="2"/>
  <c r="AI71" i="2"/>
  <c r="R52" i="2"/>
  <c r="S53" i="2"/>
  <c r="S52" i="2"/>
  <c r="AA67" i="2"/>
  <c r="Q202" i="2"/>
  <c r="I188" i="2"/>
  <c r="I179" i="2"/>
  <c r="F166" i="2"/>
  <c r="F169" i="2"/>
  <c r="H167" i="2"/>
  <c r="H166" i="2"/>
  <c r="H169" i="2"/>
  <c r="F197" i="34"/>
  <c r="F205" i="34"/>
  <c r="P198" i="34"/>
  <c r="AD203" i="2"/>
  <c r="AB203" i="2"/>
  <c r="Q79" i="2"/>
  <c r="Q56" i="2"/>
  <c r="E127" i="2"/>
  <c r="E129" i="2"/>
  <c r="H74" i="2"/>
  <c r="H77" i="2"/>
  <c r="AK33" i="2"/>
  <c r="AK36" i="2"/>
  <c r="AL34" i="2"/>
  <c r="AL33" i="2"/>
  <c r="AK46" i="2"/>
  <c r="AL47" i="2"/>
  <c r="AL46" i="2"/>
  <c r="B322" i="33"/>
  <c r="B327" i="33"/>
  <c r="P202" i="34"/>
  <c r="X76" i="34"/>
  <c r="X75" i="34"/>
  <c r="K13" i="40"/>
  <c r="K12" i="40"/>
  <c r="AJ167" i="2"/>
  <c r="B95" i="4"/>
  <c r="B96" i="4"/>
  <c r="Z58" i="2"/>
  <c r="Y58" i="2"/>
  <c r="AA58" i="2"/>
  <c r="Y56" i="2"/>
  <c r="K126" i="34"/>
  <c r="AD56" i="34"/>
  <c r="L118" i="34"/>
  <c r="AF55" i="34"/>
  <c r="H136" i="34"/>
  <c r="AG47" i="34"/>
  <c r="AG46" i="34"/>
  <c r="H169" i="34"/>
  <c r="F169" i="34"/>
  <c r="G169" i="34"/>
  <c r="H50" i="43"/>
  <c r="J50" i="43"/>
  <c r="I180" i="34"/>
  <c r="AD183" i="34"/>
  <c r="K232" i="34"/>
  <c r="K278" i="34"/>
  <c r="AI184" i="34"/>
  <c r="V207" i="34"/>
  <c r="AB199" i="2"/>
  <c r="AD199" i="2"/>
  <c r="K236" i="2"/>
  <c r="AD181" i="34"/>
  <c r="AD180" i="34"/>
  <c r="K231" i="34"/>
  <c r="AB180" i="34"/>
  <c r="L58" i="34"/>
  <c r="M58" i="34"/>
  <c r="L56" i="34"/>
  <c r="L57" i="34"/>
  <c r="AE77" i="34"/>
  <c r="AE75" i="34"/>
  <c r="J124" i="34"/>
  <c r="Z74" i="34"/>
  <c r="Z77" i="34"/>
  <c r="J122" i="34"/>
  <c r="Z74" i="2"/>
  <c r="AF74" i="2"/>
  <c r="H140" i="2"/>
  <c r="H124" i="2"/>
  <c r="C150" i="2"/>
  <c r="X182" i="2"/>
  <c r="H233" i="2"/>
  <c r="H279" i="2"/>
  <c r="X188" i="2"/>
  <c r="E188" i="34"/>
  <c r="F188" i="34"/>
  <c r="C188" i="34"/>
  <c r="AF202" i="34"/>
  <c r="AF201" i="34"/>
  <c r="AE201" i="34"/>
  <c r="AG202" i="34"/>
  <c r="AG201" i="34"/>
  <c r="K235" i="34"/>
  <c r="K281" i="34"/>
  <c r="X188" i="34"/>
  <c r="V188" i="34"/>
  <c r="Y188" i="34"/>
  <c r="F126" i="34"/>
  <c r="E125" i="34"/>
  <c r="E127" i="34"/>
  <c r="AG53" i="34"/>
  <c r="AG52" i="34"/>
  <c r="M121" i="34"/>
  <c r="H126" i="34"/>
  <c r="X56" i="34"/>
  <c r="H287" i="1"/>
  <c r="I189" i="6"/>
  <c r="K189" i="6"/>
  <c r="D189" i="6"/>
  <c r="D126" i="34"/>
  <c r="C289" i="1"/>
  <c r="H290" i="1"/>
  <c r="H289" i="1"/>
  <c r="AJ53" i="2"/>
  <c r="AJ52" i="2"/>
  <c r="L197" i="34"/>
  <c r="E280" i="34"/>
  <c r="N55" i="2"/>
  <c r="F145" i="33"/>
  <c r="I143" i="33"/>
  <c r="I140" i="33"/>
  <c r="I137" i="33"/>
  <c r="I135" i="33"/>
  <c r="I141" i="33"/>
  <c r="I138" i="33"/>
  <c r="I136" i="33"/>
  <c r="I134" i="33"/>
  <c r="C322" i="1"/>
  <c r="X197" i="34"/>
  <c r="H234" i="34"/>
  <c r="C35" i="3"/>
  <c r="K119" i="2"/>
  <c r="AF55" i="2"/>
  <c r="L128" i="2"/>
  <c r="H138" i="2"/>
  <c r="B127" i="2"/>
  <c r="B129" i="2"/>
  <c r="K186" i="34"/>
  <c r="P178" i="34"/>
  <c r="H66" i="43"/>
  <c r="J66" i="43"/>
  <c r="AA49" i="34"/>
  <c r="AI50" i="34"/>
  <c r="AJ50" i="34"/>
  <c r="AJ49" i="34"/>
  <c r="AJ55" i="34"/>
  <c r="Z49" i="34"/>
  <c r="G278" i="34"/>
  <c r="I141" i="1"/>
  <c r="I138" i="1"/>
  <c r="I136" i="1"/>
  <c r="I134" i="1"/>
  <c r="F145" i="1"/>
  <c r="I143" i="1"/>
  <c r="I137" i="1"/>
  <c r="I140" i="1"/>
  <c r="I135" i="1"/>
  <c r="H121" i="2"/>
  <c r="I203" i="2"/>
  <c r="I207" i="2"/>
  <c r="AK47" i="34"/>
  <c r="F30" i="53"/>
  <c r="F32" i="53"/>
  <c r="F168" i="34"/>
  <c r="V206" i="34"/>
  <c r="AB186" i="34"/>
  <c r="R33" i="2"/>
  <c r="R36" i="2"/>
  <c r="S34" i="2"/>
  <c r="S33" i="2"/>
  <c r="AA66" i="34"/>
  <c r="I123" i="34"/>
  <c r="AI67" i="34"/>
  <c r="Z77" i="2"/>
  <c r="Y77" i="2"/>
  <c r="Y75" i="2"/>
  <c r="C188" i="2"/>
  <c r="C182" i="2"/>
  <c r="C189" i="2"/>
  <c r="I189" i="2"/>
  <c r="B189" i="2"/>
  <c r="E278" i="34"/>
  <c r="P184" i="34"/>
  <c r="I207" i="34"/>
  <c r="C212" i="34"/>
  <c r="C216" i="34"/>
  <c r="F262" i="33"/>
  <c r="C11" i="33"/>
  <c r="C10" i="33"/>
  <c r="J137" i="2"/>
  <c r="Q205" i="2"/>
  <c r="R205" i="2"/>
  <c r="S205" i="2"/>
  <c r="H122" i="34"/>
  <c r="C148" i="34"/>
  <c r="AA171" i="2"/>
  <c r="Y171" i="2"/>
  <c r="Z171" i="2"/>
  <c r="AB182" i="2"/>
  <c r="AD182" i="2"/>
  <c r="K233" i="2"/>
  <c r="AK50" i="2"/>
  <c r="AI49" i="2"/>
  <c r="K117" i="34"/>
  <c r="AE58" i="34"/>
  <c r="AF58" i="34"/>
  <c r="AE56" i="34"/>
  <c r="P50" i="2"/>
  <c r="K24" i="20"/>
  <c r="K23" i="20"/>
  <c r="R165" i="34"/>
  <c r="Q164" i="34"/>
  <c r="Q167" i="34"/>
  <c r="Q168" i="34"/>
  <c r="AF184" i="34"/>
  <c r="AF183" i="34"/>
  <c r="L232" i="34"/>
  <c r="L278" i="34"/>
  <c r="AE183" i="34"/>
  <c r="AJ184" i="34"/>
  <c r="AJ183" i="34"/>
  <c r="Z202" i="34"/>
  <c r="AA202" i="34"/>
  <c r="Y201" i="34"/>
  <c r="X201" i="34"/>
  <c r="R66" i="34"/>
  <c r="R74" i="34"/>
  <c r="S67" i="34"/>
  <c r="S66" i="34"/>
  <c r="N55" i="34"/>
  <c r="G126" i="34"/>
  <c r="L124" i="34"/>
  <c r="AF74" i="34"/>
  <c r="AF77" i="34"/>
  <c r="AG71" i="34"/>
  <c r="AG70" i="34"/>
  <c r="AJ74" i="2"/>
  <c r="AJ75" i="2"/>
  <c r="K24" i="40"/>
  <c r="K23" i="40"/>
  <c r="M119" i="34"/>
  <c r="L119" i="34"/>
  <c r="AE74" i="2"/>
  <c r="X190" i="2"/>
  <c r="Y190" i="2"/>
  <c r="V190" i="2"/>
  <c r="C185" i="2"/>
  <c r="G226" i="34"/>
  <c r="E186" i="34"/>
  <c r="AB205" i="34"/>
  <c r="X199" i="2"/>
  <c r="H236" i="2"/>
  <c r="AK165" i="34"/>
  <c r="AJ164" i="34"/>
  <c r="AJ167" i="34"/>
  <c r="AJ168" i="34"/>
  <c r="Z181" i="34"/>
  <c r="AA181" i="34"/>
  <c r="Y180" i="34"/>
  <c r="Y186" i="34"/>
  <c r="X180" i="34"/>
  <c r="H231" i="34"/>
  <c r="H230" i="34"/>
  <c r="X186" i="34"/>
  <c r="G134" i="34"/>
  <c r="B125" i="34"/>
  <c r="B127" i="34"/>
  <c r="H277" i="34"/>
  <c r="H276" i="34"/>
  <c r="H119" i="34"/>
  <c r="J72" i="42"/>
  <c r="J52" i="60"/>
  <c r="H72" i="42"/>
  <c r="H52" i="60"/>
  <c r="C199" i="2"/>
  <c r="C207" i="2"/>
  <c r="P50" i="34"/>
  <c r="B349" i="1"/>
  <c r="B347" i="1"/>
  <c r="B329" i="1"/>
  <c r="E329" i="1"/>
  <c r="B346" i="1"/>
  <c r="B344" i="1"/>
  <c r="B328" i="1"/>
  <c r="E328" i="1"/>
  <c r="B327" i="1"/>
  <c r="E327" i="1"/>
  <c r="E335" i="1"/>
  <c r="E255" i="1"/>
  <c r="E272" i="1"/>
  <c r="AA52" i="2"/>
  <c r="AI53" i="2"/>
  <c r="X185" i="2"/>
  <c r="H234" i="2"/>
  <c r="H280" i="2"/>
  <c r="V207" i="2"/>
  <c r="X203" i="2"/>
  <c r="K254" i="2"/>
  <c r="C214" i="2"/>
  <c r="C218" i="2"/>
  <c r="F262" i="1"/>
  <c r="Z198" i="34"/>
  <c r="AA198" i="34"/>
  <c r="AA197" i="34"/>
  <c r="I234" i="34"/>
  <c r="Y197" i="34"/>
  <c r="B95" i="36"/>
  <c r="B96" i="36"/>
  <c r="G77" i="34"/>
  <c r="K128" i="2"/>
  <c r="AD56" i="2"/>
  <c r="AJ55" i="2"/>
  <c r="AE55" i="2"/>
  <c r="X76" i="2"/>
  <c r="I186" i="34"/>
  <c r="D189" i="39"/>
  <c r="C206" i="34"/>
  <c r="R46" i="34"/>
  <c r="S47" i="34"/>
  <c r="S46" i="34"/>
  <c r="AD188" i="2"/>
  <c r="AD179" i="2"/>
  <c r="K231" i="2"/>
  <c r="K230" i="2"/>
  <c r="AI180" i="2"/>
  <c r="AE76" i="34"/>
  <c r="L122" i="34"/>
  <c r="AG67" i="34"/>
  <c r="AG66" i="34"/>
  <c r="M123" i="34"/>
  <c r="AK37" i="34"/>
  <c r="AL36" i="34"/>
  <c r="Z58" i="34"/>
  <c r="AA58" i="34"/>
  <c r="Y58" i="34"/>
  <c r="Y56" i="34"/>
  <c r="J90" i="43"/>
  <c r="J98" i="43"/>
  <c r="J107" i="43"/>
  <c r="E7" i="21"/>
  <c r="J7" i="21"/>
  <c r="H90" i="43"/>
  <c r="H139" i="2"/>
  <c r="Z55" i="2"/>
  <c r="J128" i="2"/>
  <c r="H128" i="2"/>
  <c r="X56" i="2"/>
  <c r="Z169" i="34"/>
  <c r="Y169" i="34"/>
  <c r="AA169" i="34"/>
  <c r="AD186" i="34"/>
  <c r="AD177" i="34"/>
  <c r="K229" i="34"/>
  <c r="K228" i="34"/>
  <c r="AI178" i="34"/>
  <c r="AE178" i="34"/>
  <c r="AA203" i="2"/>
  <c r="AI204" i="2"/>
  <c r="AA185" i="2"/>
  <c r="I234" i="2"/>
  <c r="AI186" i="2"/>
  <c r="AE181" i="34"/>
  <c r="G139" i="34"/>
  <c r="N58" i="34"/>
  <c r="AA180" i="34"/>
  <c r="I231" i="34"/>
  <c r="I230" i="34"/>
  <c r="AA186" i="34"/>
  <c r="AI181" i="34"/>
  <c r="AJ79" i="34"/>
  <c r="AJ56" i="34"/>
  <c r="D95" i="36"/>
  <c r="D96" i="36"/>
  <c r="R75" i="34"/>
  <c r="S74" i="34"/>
  <c r="AA201" i="34"/>
  <c r="AI202" i="34"/>
  <c r="L203" i="2"/>
  <c r="Q204" i="2"/>
  <c r="Q203" i="2"/>
  <c r="D95" i="4"/>
  <c r="D96" i="4"/>
  <c r="AA199" i="2"/>
  <c r="I236" i="2"/>
  <c r="AI200" i="2"/>
  <c r="AE186" i="34"/>
  <c r="AE177" i="34"/>
  <c r="AF178" i="34"/>
  <c r="AJ178" i="34"/>
  <c r="AJ177" i="34"/>
  <c r="AD189" i="2"/>
  <c r="X207" i="2"/>
  <c r="X208" i="2"/>
  <c r="H237" i="2"/>
  <c r="H283" i="2"/>
  <c r="F330" i="1"/>
  <c r="F328" i="1"/>
  <c r="G328" i="1"/>
  <c r="F333" i="1"/>
  <c r="F332" i="1"/>
  <c r="F329" i="1"/>
  <c r="F327" i="1"/>
  <c r="C126" i="34"/>
  <c r="X187" i="34"/>
  <c r="AK164" i="34"/>
  <c r="AK167" i="34"/>
  <c r="AL165" i="34"/>
  <c r="AL164" i="34"/>
  <c r="Y205" i="34"/>
  <c r="C128" i="2"/>
  <c r="K125" i="34"/>
  <c r="K127" i="34"/>
  <c r="C144" i="34"/>
  <c r="AK178" i="34"/>
  <c r="AI177" i="34"/>
  <c r="AD187" i="34"/>
  <c r="AE179" i="2"/>
  <c r="AJ180" i="2"/>
  <c r="AJ179" i="2"/>
  <c r="C257" i="2"/>
  <c r="I188" i="34"/>
  <c r="K188" i="34"/>
  <c r="I187" i="34"/>
  <c r="AE58" i="2"/>
  <c r="AF58" i="2"/>
  <c r="AE56" i="2"/>
  <c r="AE57" i="2"/>
  <c r="C142" i="2"/>
  <c r="Z197" i="34"/>
  <c r="J234" i="34"/>
  <c r="C19" i="1"/>
  <c r="AI203" i="2"/>
  <c r="AI185" i="2"/>
  <c r="AI52" i="2"/>
  <c r="AI55" i="2"/>
  <c r="AK53" i="2"/>
  <c r="J84" i="42"/>
  <c r="E7" i="41"/>
  <c r="J7" i="41"/>
  <c r="H84" i="42"/>
  <c r="H62" i="60"/>
  <c r="R50" i="34"/>
  <c r="P49" i="34"/>
  <c r="P55" i="34"/>
  <c r="P200" i="2"/>
  <c r="F199" i="2"/>
  <c r="F207" i="2"/>
  <c r="F125" i="34"/>
  <c r="F127" i="34"/>
  <c r="Z189" i="34"/>
  <c r="Y189" i="34"/>
  <c r="AA189" i="34"/>
  <c r="Y187" i="34"/>
  <c r="AB207" i="34"/>
  <c r="AB206" i="34"/>
  <c r="E187" i="34"/>
  <c r="P186" i="2"/>
  <c r="F185" i="2"/>
  <c r="B280" i="2"/>
  <c r="AE77" i="2"/>
  <c r="AF77" i="2"/>
  <c r="AE75" i="2"/>
  <c r="AE76" i="2"/>
  <c r="AG74" i="34"/>
  <c r="AG77" i="34"/>
  <c r="M124" i="34"/>
  <c r="N12" i="43"/>
  <c r="N12" i="60"/>
  <c r="R50" i="2"/>
  <c r="P49" i="2"/>
  <c r="P55" i="2"/>
  <c r="K275" i="34"/>
  <c r="K274" i="34"/>
  <c r="AK49" i="2"/>
  <c r="AL50" i="2"/>
  <c r="AL49" i="2"/>
  <c r="I8" i="34"/>
  <c r="C8" i="33"/>
  <c r="F182" i="2"/>
  <c r="P183" i="2"/>
  <c r="F188" i="2"/>
  <c r="E188" i="2"/>
  <c r="AK67" i="34"/>
  <c r="AI66" i="34"/>
  <c r="AE188" i="34"/>
  <c r="AB188" i="34"/>
  <c r="AD188" i="34"/>
  <c r="AB187" i="34"/>
  <c r="D30" i="54"/>
  <c r="I209" i="2"/>
  <c r="H278" i="2"/>
  <c r="J120" i="34"/>
  <c r="H137" i="34"/>
  <c r="Z55" i="34"/>
  <c r="J126" i="34"/>
  <c r="AK50" i="34"/>
  <c r="AI49" i="34"/>
  <c r="AI55" i="34"/>
  <c r="P177" i="34"/>
  <c r="K187" i="34"/>
  <c r="C36" i="3"/>
  <c r="K277" i="2"/>
  <c r="K276" i="2"/>
  <c r="H141" i="2"/>
  <c r="H280" i="34"/>
  <c r="C339" i="1"/>
  <c r="C353" i="1"/>
  <c r="G128" i="2"/>
  <c r="N58" i="2"/>
  <c r="F280" i="34"/>
  <c r="H285" i="1"/>
  <c r="H286" i="1"/>
  <c r="N29" i="54"/>
  <c r="J29" i="54"/>
  <c r="L29" i="54"/>
  <c r="H29" i="54"/>
  <c r="K246" i="34"/>
  <c r="C11" i="34"/>
  <c r="AD205" i="34"/>
  <c r="AD206" i="34"/>
  <c r="M235" i="34"/>
  <c r="L235" i="34"/>
  <c r="L281" i="34"/>
  <c r="H239" i="2"/>
  <c r="X189" i="2"/>
  <c r="H232" i="2"/>
  <c r="AF181" i="34"/>
  <c r="AF180" i="34"/>
  <c r="L231" i="34"/>
  <c r="AE180" i="34"/>
  <c r="K230" i="34"/>
  <c r="C257" i="34"/>
  <c r="K277" i="34"/>
  <c r="K276" i="34"/>
  <c r="E277" i="34"/>
  <c r="E276" i="34"/>
  <c r="F128" i="2"/>
  <c r="D128" i="2"/>
  <c r="C36" i="35"/>
  <c r="L117" i="34"/>
  <c r="H248" i="2"/>
  <c r="B142" i="2"/>
  <c r="L201" i="34"/>
  <c r="L205" i="34"/>
  <c r="Q202" i="34"/>
  <c r="Q201" i="34"/>
  <c r="K205" i="34"/>
  <c r="E237" i="34"/>
  <c r="AL36" i="2"/>
  <c r="AK37" i="2"/>
  <c r="AB207" i="2"/>
  <c r="E205" i="34"/>
  <c r="H205" i="34"/>
  <c r="Q198" i="34"/>
  <c r="Q197" i="34"/>
  <c r="F171" i="2"/>
  <c r="H171" i="2"/>
  <c r="I190" i="2"/>
  <c r="P202" i="2"/>
  <c r="R202" i="2"/>
  <c r="S202" i="2"/>
  <c r="AA66" i="2"/>
  <c r="I125" i="2"/>
  <c r="AI67" i="2"/>
  <c r="I126" i="2"/>
  <c r="I124" i="34"/>
  <c r="AA74" i="34"/>
  <c r="AA77" i="34"/>
  <c r="AJ186" i="2"/>
  <c r="AJ185" i="2"/>
  <c r="P187" i="2"/>
  <c r="R187" i="2"/>
  <c r="S187" i="2"/>
  <c r="Y207" i="2"/>
  <c r="AJ204" i="2"/>
  <c r="AJ203" i="2"/>
  <c r="AD190" i="2"/>
  <c r="N11" i="54"/>
  <c r="J11" i="54"/>
  <c r="L11" i="54"/>
  <c r="H11" i="54"/>
  <c r="C255" i="34"/>
  <c r="I208" i="2"/>
  <c r="B208" i="2"/>
  <c r="F208" i="2"/>
  <c r="C208" i="2"/>
  <c r="C37" i="3"/>
  <c r="AK180" i="2"/>
  <c r="AI179" i="2"/>
  <c r="AJ79" i="2"/>
  <c r="AJ56" i="2"/>
  <c r="C95" i="36"/>
  <c r="C96" i="36"/>
  <c r="C219" i="2"/>
  <c r="C220" i="2"/>
  <c r="C265" i="2"/>
  <c r="F271" i="1"/>
  <c r="F127" i="2"/>
  <c r="F129" i="2"/>
  <c r="Y209" i="2"/>
  <c r="V209" i="2"/>
  <c r="X209" i="2"/>
  <c r="I123" i="2"/>
  <c r="AA55" i="2"/>
  <c r="J254" i="2"/>
  <c r="F209" i="2"/>
  <c r="C209" i="2"/>
  <c r="C146" i="34"/>
  <c r="H125" i="34"/>
  <c r="H127" i="34"/>
  <c r="AJ181" i="34"/>
  <c r="AJ180" i="34"/>
  <c r="Z180" i="34"/>
  <c r="Z186" i="34"/>
  <c r="H235" i="2"/>
  <c r="H282" i="2"/>
  <c r="H281" i="2"/>
  <c r="F180" i="34"/>
  <c r="F186" i="34"/>
  <c r="B277" i="34"/>
  <c r="B276" i="34"/>
  <c r="H235" i="34"/>
  <c r="H281" i="34"/>
  <c r="X205" i="34"/>
  <c r="Z201" i="34"/>
  <c r="AJ202" i="34"/>
  <c r="AJ201" i="34"/>
  <c r="AG184" i="34"/>
  <c r="AG183" i="34"/>
  <c r="M232" i="34"/>
  <c r="M278" i="34"/>
  <c r="R164" i="34"/>
  <c r="R167" i="34"/>
  <c r="S165" i="34"/>
  <c r="S164" i="34"/>
  <c r="K232" i="2"/>
  <c r="K279" i="2"/>
  <c r="K278" i="2"/>
  <c r="C263" i="34"/>
  <c r="C217" i="34"/>
  <c r="C218" i="34"/>
  <c r="F271" i="33"/>
  <c r="C251" i="34"/>
  <c r="C17" i="34"/>
  <c r="C16" i="34"/>
  <c r="R184" i="34"/>
  <c r="P183" i="34"/>
  <c r="J138" i="34"/>
  <c r="G77" i="2"/>
  <c r="E190" i="2"/>
  <c r="C190" i="2"/>
  <c r="F190" i="2"/>
  <c r="I280" i="34"/>
  <c r="I122" i="34"/>
  <c r="C149" i="34"/>
  <c r="S36" i="2"/>
  <c r="R37" i="2"/>
  <c r="AK46" i="34"/>
  <c r="AL47" i="34"/>
  <c r="AL46" i="34"/>
  <c r="P204" i="2"/>
  <c r="C148" i="2"/>
  <c r="H127" i="2"/>
  <c r="H129" i="2"/>
  <c r="I120" i="34"/>
  <c r="AA55" i="34"/>
  <c r="I126" i="34"/>
  <c r="L186" i="34"/>
  <c r="L177" i="34"/>
  <c r="Q178" i="34"/>
  <c r="Q177" i="34"/>
  <c r="E275" i="34"/>
  <c r="E274" i="34"/>
  <c r="AG55" i="2"/>
  <c r="K127" i="2"/>
  <c r="K129" i="2"/>
  <c r="C146" i="2"/>
  <c r="H136" i="2"/>
  <c r="AI198" i="34"/>
  <c r="G280" i="34"/>
  <c r="J280" i="2"/>
  <c r="J38" i="42"/>
  <c r="J32" i="60"/>
  <c r="H38" i="42"/>
  <c r="H32" i="60"/>
  <c r="J56" i="42"/>
  <c r="J42" i="60"/>
  <c r="H56" i="42"/>
  <c r="H42" i="60"/>
  <c r="C40" i="35"/>
  <c r="Y182" i="2"/>
  <c r="Y188" i="2"/>
  <c r="AG74" i="2"/>
  <c r="AG77" i="2"/>
  <c r="C38" i="3"/>
  <c r="H138" i="34"/>
  <c r="H139" i="34"/>
  <c r="K282" i="2"/>
  <c r="AK184" i="34"/>
  <c r="AI183" i="34"/>
  <c r="L180" i="34"/>
  <c r="AG55" i="34"/>
  <c r="M118" i="34"/>
  <c r="L126" i="34"/>
  <c r="C95" i="4"/>
  <c r="C96" i="4"/>
  <c r="AJ166" i="2"/>
  <c r="AJ169" i="2"/>
  <c r="AJ170" i="2"/>
  <c r="AK167" i="2"/>
  <c r="P201" i="34"/>
  <c r="R202" i="34"/>
  <c r="B335" i="33"/>
  <c r="E327" i="33"/>
  <c r="E335" i="33"/>
  <c r="AE203" i="2"/>
  <c r="K237" i="2"/>
  <c r="K283" i="2"/>
  <c r="AD207" i="2"/>
  <c r="AD208" i="2"/>
  <c r="R198" i="34"/>
  <c r="P197" i="34"/>
  <c r="H208" i="34"/>
  <c r="F208" i="34"/>
  <c r="F206" i="34"/>
  <c r="Q167" i="2"/>
  <c r="K188" i="2"/>
  <c r="P180" i="2"/>
  <c r="AK71" i="2"/>
  <c r="AI70" i="2"/>
  <c r="AK71" i="34"/>
  <c r="AI70" i="34"/>
  <c r="AI74" i="34"/>
  <c r="AI75" i="34"/>
  <c r="B217" i="34"/>
  <c r="B218" i="34"/>
  <c r="B263" i="34"/>
  <c r="K233" i="34"/>
  <c r="K236" i="34"/>
  <c r="K280" i="34"/>
  <c r="K279" i="34"/>
  <c r="AE198" i="34"/>
  <c r="R66" i="2"/>
  <c r="R74" i="2"/>
  <c r="S67" i="2"/>
  <c r="S66" i="2"/>
  <c r="V208" i="2"/>
  <c r="F207" i="34"/>
  <c r="G229" i="2"/>
  <c r="G228" i="2"/>
  <c r="F170" i="2"/>
  <c r="E282" i="2"/>
  <c r="AJ200" i="2"/>
  <c r="AJ199" i="2"/>
  <c r="L182" i="2"/>
  <c r="E279" i="2"/>
  <c r="E278" i="2"/>
  <c r="I237" i="2"/>
  <c r="AA207" i="2"/>
  <c r="F280" i="2"/>
  <c r="L185" i="2"/>
  <c r="AG181" i="34"/>
  <c r="AG180" i="34"/>
  <c r="M231" i="34"/>
  <c r="C34" i="3"/>
  <c r="G329" i="1"/>
  <c r="J92" i="42"/>
  <c r="J101" i="42"/>
  <c r="J62" i="60"/>
  <c r="J70" i="60"/>
  <c r="J79" i="60"/>
  <c r="G330" i="1"/>
  <c r="P199" i="2"/>
  <c r="AK55" i="2"/>
  <c r="AI56" i="2"/>
  <c r="R75" i="2"/>
  <c r="S74" i="2"/>
  <c r="AK70" i="34"/>
  <c r="AL71" i="34"/>
  <c r="AL70" i="34"/>
  <c r="K189" i="2"/>
  <c r="R197" i="34"/>
  <c r="S198" i="34"/>
  <c r="S197" i="34"/>
  <c r="F333" i="33"/>
  <c r="F330" i="33"/>
  <c r="G330" i="33"/>
  <c r="J9" i="43"/>
  <c r="F332" i="33"/>
  <c r="F329" i="33"/>
  <c r="F327" i="33"/>
  <c r="F328" i="33"/>
  <c r="G328" i="33"/>
  <c r="J7" i="43"/>
  <c r="F277" i="34"/>
  <c r="F276" i="34"/>
  <c r="K281" i="2"/>
  <c r="Z191" i="2"/>
  <c r="AA191" i="2"/>
  <c r="Y191" i="2"/>
  <c r="Y189" i="2"/>
  <c r="L13" i="54"/>
  <c r="H13" i="54"/>
  <c r="N13" i="54"/>
  <c r="J13" i="54"/>
  <c r="G127" i="2"/>
  <c r="G129" i="2"/>
  <c r="AI197" i="34"/>
  <c r="C20" i="2"/>
  <c r="N5" i="60"/>
  <c r="L189" i="34"/>
  <c r="L187" i="34"/>
  <c r="I277" i="34"/>
  <c r="I276" i="34"/>
  <c r="I119" i="34"/>
  <c r="K207" i="2"/>
  <c r="G136" i="2"/>
  <c r="G141" i="2"/>
  <c r="I269" i="33"/>
  <c r="I266" i="33"/>
  <c r="I264" i="33"/>
  <c r="I262" i="33"/>
  <c r="F273" i="33"/>
  <c r="I271" i="33"/>
  <c r="I268" i="33"/>
  <c r="I265" i="33"/>
  <c r="I263" i="33"/>
  <c r="AE182" i="2"/>
  <c r="R168" i="34"/>
  <c r="S167" i="34"/>
  <c r="X206" i="34"/>
  <c r="X207" i="34"/>
  <c r="G125" i="34"/>
  <c r="G127" i="34"/>
  <c r="G189" i="34"/>
  <c r="H189" i="34"/>
  <c r="F189" i="34"/>
  <c r="F187" i="34"/>
  <c r="I280" i="2"/>
  <c r="I121" i="2"/>
  <c r="F273" i="1"/>
  <c r="K271" i="1"/>
  <c r="I269" i="1"/>
  <c r="I266" i="1"/>
  <c r="I264" i="1"/>
  <c r="I262" i="1"/>
  <c r="I271" i="1"/>
  <c r="I265" i="1"/>
  <c r="I268" i="1"/>
  <c r="I263" i="1"/>
  <c r="J283" i="2"/>
  <c r="Z207" i="2"/>
  <c r="L199" i="2"/>
  <c r="AE185" i="2"/>
  <c r="L280" i="2"/>
  <c r="J140" i="2"/>
  <c r="H30" i="43"/>
  <c r="H100" i="43"/>
  <c r="J30" i="43"/>
  <c r="J97" i="43"/>
  <c r="I283" i="2"/>
  <c r="I124" i="2"/>
  <c r="C151" i="2"/>
  <c r="I282" i="2"/>
  <c r="I281" i="2"/>
  <c r="K190" i="2"/>
  <c r="E206" i="34"/>
  <c r="E207" i="34"/>
  <c r="AD209" i="2"/>
  <c r="AB209" i="2"/>
  <c r="AB208" i="2"/>
  <c r="E281" i="34"/>
  <c r="E279" i="34"/>
  <c r="E282" i="34"/>
  <c r="E236" i="34"/>
  <c r="E238" i="34"/>
  <c r="N205" i="34"/>
  <c r="N208" i="34"/>
  <c r="L208" i="34"/>
  <c r="L206" i="34"/>
  <c r="L207" i="34"/>
  <c r="C40" i="3"/>
  <c r="C104" i="3"/>
  <c r="M230" i="34"/>
  <c r="M277" i="34"/>
  <c r="M276" i="34"/>
  <c r="C259" i="2"/>
  <c r="H238" i="2"/>
  <c r="H240" i="2"/>
  <c r="D125" i="34"/>
  <c r="D127" i="34"/>
  <c r="H279" i="34"/>
  <c r="H282" i="34"/>
  <c r="K284" i="2"/>
  <c r="AK49" i="34"/>
  <c r="AL50" i="34"/>
  <c r="AL49" i="34"/>
  <c r="C37" i="35"/>
  <c r="H284" i="2"/>
  <c r="K30" i="53"/>
  <c r="K32" i="53"/>
  <c r="E189" i="2"/>
  <c r="P182" i="2"/>
  <c r="H188" i="2"/>
  <c r="Q183" i="2"/>
  <c r="Q182" i="2"/>
  <c r="G188" i="2"/>
  <c r="K282" i="34"/>
  <c r="R49" i="2"/>
  <c r="R55" i="2"/>
  <c r="S50" i="2"/>
  <c r="S49" i="2"/>
  <c r="M281" i="34"/>
  <c r="Q186" i="2"/>
  <c r="Q185" i="2"/>
  <c r="D280" i="2"/>
  <c r="B237" i="34"/>
  <c r="AD207" i="34"/>
  <c r="F210" i="2"/>
  <c r="P79" i="34"/>
  <c r="P56" i="34"/>
  <c r="AK52" i="2"/>
  <c r="AL53" i="2"/>
  <c r="AL52" i="2"/>
  <c r="K248" i="2"/>
  <c r="J280" i="34"/>
  <c r="AE188" i="2"/>
  <c r="K237" i="34"/>
  <c r="K238" i="34"/>
  <c r="AK177" i="34"/>
  <c r="AL178" i="34"/>
  <c r="AL177" i="34"/>
  <c r="C279" i="2"/>
  <c r="AK168" i="34"/>
  <c r="AL167" i="34"/>
  <c r="H237" i="34"/>
  <c r="AF186" i="34"/>
  <c r="AF177" i="34"/>
  <c r="AG178" i="34"/>
  <c r="AK200" i="2"/>
  <c r="AI199" i="2"/>
  <c r="AI207" i="2"/>
  <c r="AI208" i="2"/>
  <c r="L207" i="2"/>
  <c r="I235" i="34"/>
  <c r="I233" i="34"/>
  <c r="C260" i="34"/>
  <c r="AA205" i="34"/>
  <c r="I237" i="34"/>
  <c r="F279" i="2"/>
  <c r="F278" i="2"/>
  <c r="AK70" i="2"/>
  <c r="AL71" i="2"/>
  <c r="AL70" i="2"/>
  <c r="P179" i="2"/>
  <c r="Q180" i="2"/>
  <c r="R180" i="2"/>
  <c r="Q166" i="2"/>
  <c r="Q169" i="2"/>
  <c r="Q170" i="2"/>
  <c r="R167" i="2"/>
  <c r="R201" i="34"/>
  <c r="R205" i="34"/>
  <c r="S202" i="34"/>
  <c r="S201" i="34"/>
  <c r="M117" i="34"/>
  <c r="D127" i="2"/>
  <c r="D129" i="2"/>
  <c r="J246" i="34"/>
  <c r="AK183" i="34"/>
  <c r="AL184" i="34"/>
  <c r="AL183" i="34"/>
  <c r="C38" i="35"/>
  <c r="AJ183" i="2"/>
  <c r="AJ182" i="2"/>
  <c r="AJ188" i="2"/>
  <c r="Z188" i="2"/>
  <c r="AE197" i="34"/>
  <c r="AE205" i="34"/>
  <c r="AF198" i="34"/>
  <c r="AF197" i="34"/>
  <c r="E273" i="33"/>
  <c r="H271" i="33"/>
  <c r="H269" i="33"/>
  <c r="H268" i="33"/>
  <c r="H266" i="33"/>
  <c r="H265" i="33"/>
  <c r="H264" i="33"/>
  <c r="H263" i="33"/>
  <c r="H262" i="33"/>
  <c r="L179" i="2"/>
  <c r="L188" i="2"/>
  <c r="Q179" i="2"/>
  <c r="Q188" i="2"/>
  <c r="E277" i="2"/>
  <c r="E276" i="2"/>
  <c r="M283" i="2"/>
  <c r="L283" i="2"/>
  <c r="C335" i="33"/>
  <c r="C334" i="33"/>
  <c r="C333" i="33"/>
  <c r="C332" i="33"/>
  <c r="C331" i="33"/>
  <c r="C329" i="33"/>
  <c r="C327" i="33"/>
  <c r="C330" i="33"/>
  <c r="C328" i="33"/>
  <c r="C326" i="33"/>
  <c r="P205" i="34"/>
  <c r="P206" i="34"/>
  <c r="AK166" i="2"/>
  <c r="AK169" i="2"/>
  <c r="AL167" i="2"/>
  <c r="AL166" i="2"/>
  <c r="M126" i="34"/>
  <c r="AG58" i="34"/>
  <c r="AE199" i="2"/>
  <c r="AE207" i="2"/>
  <c r="K235" i="2"/>
  <c r="K238" i="2"/>
  <c r="AA183" i="2"/>
  <c r="M128" i="2"/>
  <c r="M186" i="34"/>
  <c r="M189" i="34"/>
  <c r="P203" i="2"/>
  <c r="P207" i="2"/>
  <c r="P208" i="2"/>
  <c r="R204" i="2"/>
  <c r="R183" i="34"/>
  <c r="S184" i="34"/>
  <c r="S183" i="34"/>
  <c r="Z205" i="34"/>
  <c r="J235" i="34"/>
  <c r="J281" i="34"/>
  <c r="Q181" i="34"/>
  <c r="Q180" i="34"/>
  <c r="Q186" i="34"/>
  <c r="G186" i="34"/>
  <c r="C261" i="2"/>
  <c r="H248" i="34"/>
  <c r="C42" i="35"/>
  <c r="J231" i="34"/>
  <c r="J230" i="34"/>
  <c r="B19" i="1"/>
  <c r="C283" i="1"/>
  <c r="H284" i="1"/>
  <c r="H283" i="1"/>
  <c r="B265" i="2"/>
  <c r="B220" i="2"/>
  <c r="AK179" i="2"/>
  <c r="AL180" i="2"/>
  <c r="AL179" i="2"/>
  <c r="AJ207" i="2"/>
  <c r="AJ208" i="2"/>
  <c r="AA210" i="2"/>
  <c r="Y210" i="2"/>
  <c r="Y208" i="2"/>
  <c r="J282" i="2"/>
  <c r="J281" i="2"/>
  <c r="H8" i="34"/>
  <c r="AA74" i="2"/>
  <c r="AA77" i="2"/>
  <c r="AK67" i="2"/>
  <c r="AI66" i="2"/>
  <c r="AI74" i="2"/>
  <c r="AI75" i="2"/>
  <c r="G171" i="2"/>
  <c r="B236" i="34"/>
  <c r="B238" i="34"/>
  <c r="B280" i="34"/>
  <c r="B279" i="34"/>
  <c r="B282" i="34"/>
  <c r="K206" i="34"/>
  <c r="K207" i="34"/>
  <c r="Q205" i="34"/>
  <c r="Q206" i="34"/>
  <c r="M208" i="34"/>
  <c r="L125" i="34"/>
  <c r="L127" i="34"/>
  <c r="C136" i="34"/>
  <c r="H134" i="34"/>
  <c r="L230" i="34"/>
  <c r="L277" i="34"/>
  <c r="L276" i="34"/>
  <c r="H233" i="34"/>
  <c r="L127" i="2"/>
  <c r="L129" i="2"/>
  <c r="R178" i="34"/>
  <c r="AI79" i="34"/>
  <c r="AK79" i="34"/>
  <c r="AK55" i="34"/>
  <c r="AI56" i="34"/>
  <c r="J119" i="34"/>
  <c r="D14" i="54"/>
  <c r="AK66" i="34"/>
  <c r="AL67" i="34"/>
  <c r="AL66" i="34"/>
  <c r="B279" i="2"/>
  <c r="B278" i="2"/>
  <c r="G191" i="2"/>
  <c r="F191" i="2"/>
  <c r="H191" i="2"/>
  <c r="F189" i="2"/>
  <c r="P79" i="2"/>
  <c r="P56" i="2"/>
  <c r="N12" i="42"/>
  <c r="R186" i="2"/>
  <c r="P185" i="2"/>
  <c r="E207" i="2"/>
  <c r="Q200" i="2"/>
  <c r="Q199" i="2"/>
  <c r="Q207" i="2"/>
  <c r="Q208" i="2"/>
  <c r="R49" i="34"/>
  <c r="R55" i="34"/>
  <c r="S50" i="34"/>
  <c r="S49" i="34"/>
  <c r="B322" i="1"/>
  <c r="B326" i="1"/>
  <c r="B335" i="1"/>
  <c r="AK186" i="2"/>
  <c r="AK204" i="2"/>
  <c r="I8" i="2"/>
  <c r="AJ198" i="34"/>
  <c r="AJ197" i="34"/>
  <c r="AJ205" i="34"/>
  <c r="AJ206" i="34"/>
  <c r="AG58" i="2"/>
  <c r="L188" i="34"/>
  <c r="M122" i="34"/>
  <c r="C138" i="34"/>
  <c r="J127" i="2"/>
  <c r="J129" i="2"/>
  <c r="C20" i="34"/>
  <c r="Y208" i="34"/>
  <c r="Z208" i="34"/>
  <c r="Y206" i="34"/>
  <c r="Y207" i="34"/>
  <c r="G327" i="1"/>
  <c r="G335" i="1"/>
  <c r="F335" i="1"/>
  <c r="K239" i="2"/>
  <c r="AJ186" i="34"/>
  <c r="AE189" i="34"/>
  <c r="AF189" i="34"/>
  <c r="AE187" i="34"/>
  <c r="I235" i="2"/>
  <c r="C262" i="2"/>
  <c r="F283" i="2"/>
  <c r="AK202" i="34"/>
  <c r="AI201" i="34"/>
  <c r="AK181" i="34"/>
  <c r="AI180" i="34"/>
  <c r="AI186" i="34"/>
  <c r="C258" i="34"/>
  <c r="I236" i="34"/>
  <c r="AK74" i="34"/>
  <c r="K240" i="2"/>
  <c r="C34" i="35"/>
  <c r="J277" i="34"/>
  <c r="J276" i="34"/>
  <c r="I281" i="34"/>
  <c r="I279" i="34"/>
  <c r="Q210" i="34"/>
  <c r="Q212" i="34"/>
  <c r="Q187" i="34"/>
  <c r="AE210" i="2"/>
  <c r="AE208" i="2"/>
  <c r="AE209" i="2"/>
  <c r="K140" i="2"/>
  <c r="AK180" i="34"/>
  <c r="AL181" i="34"/>
  <c r="AL180" i="34"/>
  <c r="AK201" i="34"/>
  <c r="AL202" i="34"/>
  <c r="AL201" i="34"/>
  <c r="AK186" i="34"/>
  <c r="AI187" i="34"/>
  <c r="K139" i="2"/>
  <c r="H249" i="2"/>
  <c r="AK203" i="2"/>
  <c r="AL204" i="2"/>
  <c r="AL203" i="2"/>
  <c r="B360" i="1"/>
  <c r="C330" i="1"/>
  <c r="C328" i="1"/>
  <c r="C335" i="1"/>
  <c r="C331" i="1"/>
  <c r="C327" i="1"/>
  <c r="C333" i="1"/>
  <c r="C329" i="1"/>
  <c r="C334" i="1"/>
  <c r="C326" i="1"/>
  <c r="C332" i="1"/>
  <c r="R56" i="34"/>
  <c r="S55" i="34"/>
  <c r="E208" i="2"/>
  <c r="E209" i="2"/>
  <c r="J136" i="34"/>
  <c r="R185" i="2"/>
  <c r="S186" i="2"/>
  <c r="S185" i="2"/>
  <c r="K138" i="2"/>
  <c r="C136" i="2"/>
  <c r="C259" i="34"/>
  <c r="C22" i="34"/>
  <c r="H236" i="34"/>
  <c r="H238" i="34"/>
  <c r="K136" i="34"/>
  <c r="C253" i="2"/>
  <c r="C103" i="3"/>
  <c r="C102" i="3"/>
  <c r="F281" i="34"/>
  <c r="F279" i="34"/>
  <c r="N24" i="43"/>
  <c r="C279" i="34"/>
  <c r="AK66" i="2"/>
  <c r="AL67" i="2"/>
  <c r="AL66" i="2"/>
  <c r="H24" i="42"/>
  <c r="H24" i="60"/>
  <c r="J24" i="42"/>
  <c r="H186" i="34"/>
  <c r="C237" i="34"/>
  <c r="P181" i="34"/>
  <c r="AA182" i="2"/>
  <c r="I233" i="2"/>
  <c r="AA188" i="2"/>
  <c r="I239" i="2"/>
  <c r="AI183" i="2"/>
  <c r="L282" i="2"/>
  <c r="L281" i="2"/>
  <c r="B104" i="3"/>
  <c r="M188" i="2"/>
  <c r="F239" i="2"/>
  <c r="AE208" i="34"/>
  <c r="AE206" i="34"/>
  <c r="AE207" i="34"/>
  <c r="G279" i="2"/>
  <c r="H250" i="2"/>
  <c r="G277" i="34"/>
  <c r="G276" i="34"/>
  <c r="J139" i="2"/>
  <c r="S205" i="34"/>
  <c r="R206" i="34"/>
  <c r="R166" i="2"/>
  <c r="R169" i="2"/>
  <c r="S167" i="2"/>
  <c r="S166" i="2"/>
  <c r="R179" i="2"/>
  <c r="S180" i="2"/>
  <c r="S179" i="2"/>
  <c r="M210" i="2"/>
  <c r="L210" i="2"/>
  <c r="L209" i="2"/>
  <c r="L208" i="2"/>
  <c r="AG186" i="34"/>
  <c r="AG177" i="34"/>
  <c r="M229" i="34"/>
  <c r="C127" i="2"/>
  <c r="C129" i="2"/>
  <c r="AJ212" i="2"/>
  <c r="AJ189" i="2"/>
  <c r="J279" i="34"/>
  <c r="J282" i="34"/>
  <c r="R79" i="34"/>
  <c r="C110" i="35"/>
  <c r="G281" i="34"/>
  <c r="G279" i="34"/>
  <c r="G208" i="34"/>
  <c r="C22" i="2"/>
  <c r="D7" i="21"/>
  <c r="J138" i="2"/>
  <c r="B136" i="2"/>
  <c r="J248" i="2"/>
  <c r="L279" i="2"/>
  <c r="L278" i="2"/>
  <c r="K209" i="2"/>
  <c r="K208" i="2"/>
  <c r="I282" i="34"/>
  <c r="M127" i="2"/>
  <c r="M129" i="2"/>
  <c r="E239" i="2"/>
  <c r="AL74" i="34"/>
  <c r="AK75" i="34"/>
  <c r="AI79" i="2"/>
  <c r="AK79" i="2"/>
  <c r="I238" i="34"/>
  <c r="AI205" i="34"/>
  <c r="AI206" i="34"/>
  <c r="G283" i="2"/>
  <c r="N207" i="2"/>
  <c r="N210" i="2"/>
  <c r="AJ210" i="34"/>
  <c r="AJ187" i="34"/>
  <c r="AA208" i="34"/>
  <c r="K138" i="34"/>
  <c r="AF188" i="2"/>
  <c r="AK185" i="2"/>
  <c r="AL186" i="2"/>
  <c r="AL185" i="2"/>
  <c r="B339" i="1"/>
  <c r="B353" i="1"/>
  <c r="B359" i="1"/>
  <c r="B361" i="1"/>
  <c r="H207" i="2"/>
  <c r="H210" i="2"/>
  <c r="B282" i="2"/>
  <c r="B281" i="2"/>
  <c r="B284" i="2"/>
  <c r="R79" i="2"/>
  <c r="B238" i="2"/>
  <c r="C137" i="34"/>
  <c r="J125" i="34"/>
  <c r="J127" i="34"/>
  <c r="AL55" i="34"/>
  <c r="AK56" i="34"/>
  <c r="R177" i="34"/>
  <c r="S178" i="34"/>
  <c r="S177" i="34"/>
  <c r="G26" i="20"/>
  <c r="L88" i="43"/>
  <c r="Z210" i="2"/>
  <c r="I128" i="2"/>
  <c r="H271" i="1"/>
  <c r="H269" i="1"/>
  <c r="H268" i="1"/>
  <c r="H266" i="1"/>
  <c r="H265" i="1"/>
  <c r="H264" i="1"/>
  <c r="H263" i="1"/>
  <c r="H262" i="1"/>
  <c r="E273" i="1"/>
  <c r="H8" i="2"/>
  <c r="C248" i="34"/>
  <c r="K248" i="34"/>
  <c r="D237" i="34"/>
  <c r="R203" i="2"/>
  <c r="S204" i="2"/>
  <c r="S203" i="2"/>
  <c r="N186" i="34"/>
  <c r="F237" i="34"/>
  <c r="AL169" i="2"/>
  <c r="AK170" i="2"/>
  <c r="AF207" i="2"/>
  <c r="AF210" i="2"/>
  <c r="Q212" i="2"/>
  <c r="Q214" i="2"/>
  <c r="Q189" i="2"/>
  <c r="L191" i="2"/>
  <c r="M191" i="2"/>
  <c r="L189" i="2"/>
  <c r="L190" i="2"/>
  <c r="H292" i="33"/>
  <c r="L234" i="34"/>
  <c r="AF205" i="34"/>
  <c r="AF208" i="34"/>
  <c r="AG198" i="34"/>
  <c r="AG197" i="34"/>
  <c r="J239" i="2"/>
  <c r="B251" i="34"/>
  <c r="M125" i="34"/>
  <c r="M127" i="34"/>
  <c r="P188" i="2"/>
  <c r="AK74" i="2"/>
  <c r="AK199" i="2"/>
  <c r="AL200" i="2"/>
  <c r="AL199" i="2"/>
  <c r="L229" i="34"/>
  <c r="H247" i="34"/>
  <c r="C125" i="34"/>
  <c r="C127" i="34"/>
  <c r="C278" i="2"/>
  <c r="AE191" i="2"/>
  <c r="AF191" i="2"/>
  <c r="AE189" i="2"/>
  <c r="AE190" i="2"/>
  <c r="J233" i="34"/>
  <c r="R56" i="2"/>
  <c r="S55" i="2"/>
  <c r="D239" i="2"/>
  <c r="R183" i="2"/>
  <c r="B239" i="2"/>
  <c r="J137" i="34"/>
  <c r="D280" i="34"/>
  <c r="D279" i="34"/>
  <c r="J100" i="43"/>
  <c r="J101" i="43"/>
  <c r="J102" i="43"/>
  <c r="J105" i="43"/>
  <c r="H105" i="43"/>
  <c r="M280" i="2"/>
  <c r="G282" i="2"/>
  <c r="G281" i="2"/>
  <c r="F282" i="2"/>
  <c r="F281" i="2"/>
  <c r="C149" i="2"/>
  <c r="I127" i="2"/>
  <c r="I129" i="2"/>
  <c r="J237" i="34"/>
  <c r="E283" i="2"/>
  <c r="E281" i="2"/>
  <c r="E284" i="2"/>
  <c r="E238" i="2"/>
  <c r="E240" i="2"/>
  <c r="C147" i="34"/>
  <c r="I125" i="34"/>
  <c r="I127" i="34"/>
  <c r="N5" i="42"/>
  <c r="AK198" i="34"/>
  <c r="F335" i="33"/>
  <c r="G327" i="33"/>
  <c r="G329" i="33"/>
  <c r="J8" i="43"/>
  <c r="J10" i="43"/>
  <c r="G280" i="2"/>
  <c r="AL55" i="2"/>
  <c r="AK56" i="2"/>
  <c r="R200" i="2"/>
  <c r="H77" i="60"/>
  <c r="H72" i="60"/>
  <c r="J91" i="42"/>
  <c r="J24" i="60"/>
  <c r="J69" i="60"/>
  <c r="C143" i="34"/>
  <c r="C21" i="34"/>
  <c r="C19" i="34"/>
  <c r="J249" i="34"/>
  <c r="R182" i="2"/>
  <c r="S183" i="2"/>
  <c r="S182" i="2"/>
  <c r="C41" i="35"/>
  <c r="C107" i="35"/>
  <c r="AL74" i="2"/>
  <c r="AK75" i="2"/>
  <c r="M234" i="34"/>
  <c r="AG205" i="34"/>
  <c r="AG208" i="34"/>
  <c r="L233" i="34"/>
  <c r="L280" i="34"/>
  <c r="L279" i="34"/>
  <c r="E290" i="33"/>
  <c r="E289" i="33"/>
  <c r="E287" i="33"/>
  <c r="E285" i="33"/>
  <c r="E286" i="33"/>
  <c r="E284" i="33"/>
  <c r="B253" i="2"/>
  <c r="G237" i="34"/>
  <c r="N189" i="34"/>
  <c r="H292" i="1"/>
  <c r="K137" i="34"/>
  <c r="C109" i="35"/>
  <c r="C108" i="35"/>
  <c r="C13" i="34"/>
  <c r="B240" i="2"/>
  <c r="G210" i="2"/>
  <c r="L239" i="2"/>
  <c r="J136" i="2"/>
  <c r="H251" i="2"/>
  <c r="D24" i="20"/>
  <c r="D23" i="20"/>
  <c r="D16" i="20"/>
  <c r="D15" i="20"/>
  <c r="D13" i="20"/>
  <c r="D12" i="20"/>
  <c r="D10" i="20"/>
  <c r="D9" i="20"/>
  <c r="D7" i="20"/>
  <c r="C7" i="21"/>
  <c r="D6" i="21"/>
  <c r="D14" i="20"/>
  <c r="C239" i="2"/>
  <c r="B110" i="3"/>
  <c r="L237" i="34"/>
  <c r="M237" i="34"/>
  <c r="AG189" i="34"/>
  <c r="J279" i="2"/>
  <c r="J278" i="2"/>
  <c r="J284" i="2"/>
  <c r="G278" i="2"/>
  <c r="AI182" i="2"/>
  <c r="AI188" i="2"/>
  <c r="AK183" i="2"/>
  <c r="I232" i="2"/>
  <c r="I279" i="2"/>
  <c r="I278" i="2"/>
  <c r="I284" i="2"/>
  <c r="F228" i="34"/>
  <c r="F236" i="34"/>
  <c r="F238" i="34"/>
  <c r="F275" i="34"/>
  <c r="F274" i="34"/>
  <c r="F282" i="34"/>
  <c r="D277" i="34"/>
  <c r="D276" i="34"/>
  <c r="D282" i="34"/>
  <c r="D7" i="41"/>
  <c r="H99" i="42"/>
  <c r="H94" i="42"/>
  <c r="C134" i="34"/>
  <c r="K136" i="2"/>
  <c r="J134" i="34"/>
  <c r="AK207" i="2"/>
  <c r="L230" i="2"/>
  <c r="L238" i="2"/>
  <c r="L240" i="2"/>
  <c r="L277" i="2"/>
  <c r="L276" i="2"/>
  <c r="L284" i="2"/>
  <c r="AG188" i="2"/>
  <c r="AL186" i="34"/>
  <c r="AK187" i="34"/>
  <c r="AK197" i="34"/>
  <c r="AK205" i="34"/>
  <c r="R199" i="2"/>
  <c r="R207" i="2"/>
  <c r="S200" i="2"/>
  <c r="S199" i="2"/>
  <c r="G335" i="33"/>
  <c r="J6" i="43"/>
  <c r="AL198" i="34"/>
  <c r="AL197" i="34"/>
  <c r="C145" i="2"/>
  <c r="C153" i="2"/>
  <c r="C155" i="2"/>
  <c r="B153" i="34"/>
  <c r="L228" i="34"/>
  <c r="L236" i="34"/>
  <c r="L238" i="34"/>
  <c r="C247" i="34"/>
  <c r="L275" i="34"/>
  <c r="L274" i="34"/>
  <c r="L282" i="34"/>
  <c r="P212" i="2"/>
  <c r="R188" i="2"/>
  <c r="P189" i="2"/>
  <c r="N188" i="2"/>
  <c r="G275" i="34"/>
  <c r="G274" i="34"/>
  <c r="G282" i="34"/>
  <c r="H249" i="34"/>
  <c r="H250" i="34"/>
  <c r="J236" i="34"/>
  <c r="J238" i="34"/>
  <c r="L82" i="42"/>
  <c r="L60" i="60"/>
  <c r="D282" i="2"/>
  <c r="D281" i="2"/>
  <c r="M279" i="2"/>
  <c r="M278" i="2"/>
  <c r="I7" i="21"/>
  <c r="F7" i="21"/>
  <c r="B113" i="35"/>
  <c r="D279" i="2"/>
  <c r="D278" i="2"/>
  <c r="L70" i="42"/>
  <c r="L50" i="60"/>
  <c r="B145" i="2"/>
  <c r="B153" i="2"/>
  <c r="M228" i="34"/>
  <c r="M275" i="34"/>
  <c r="M274" i="34"/>
  <c r="R170" i="2"/>
  <c r="S169" i="2"/>
  <c r="C42" i="3"/>
  <c r="C110" i="3"/>
  <c r="AG207" i="2"/>
  <c r="AG210" i="2"/>
  <c r="G24" i="20"/>
  <c r="B107" i="35"/>
  <c r="G245" i="34"/>
  <c r="G250" i="34"/>
  <c r="B110" i="35"/>
  <c r="R181" i="34"/>
  <c r="P180" i="34"/>
  <c r="P186" i="34"/>
  <c r="C277" i="34"/>
  <c r="C276" i="34"/>
  <c r="C282" i="34"/>
  <c r="J94" i="42"/>
  <c r="J95" i="42"/>
  <c r="J96" i="42"/>
  <c r="J99" i="42"/>
  <c r="C41" i="3"/>
  <c r="C107" i="3"/>
  <c r="H247" i="2"/>
  <c r="M230" i="2"/>
  <c r="M277" i="2"/>
  <c r="M276" i="2"/>
  <c r="AI210" i="34"/>
  <c r="AK210" i="34"/>
  <c r="C254" i="34"/>
  <c r="L70" i="60"/>
  <c r="L79" i="60"/>
  <c r="J72" i="60"/>
  <c r="J73" i="60"/>
  <c r="J74" i="60"/>
  <c r="J77" i="60"/>
  <c r="B256" i="2"/>
  <c r="B157" i="2"/>
  <c r="B155" i="2"/>
  <c r="R208" i="2"/>
  <c r="S207" i="2"/>
  <c r="C236" i="34"/>
  <c r="C238" i="34"/>
  <c r="R180" i="34"/>
  <c r="S181" i="34"/>
  <c r="S180" i="34"/>
  <c r="M282" i="2"/>
  <c r="M281" i="2"/>
  <c r="M284" i="2"/>
  <c r="D284" i="2"/>
  <c r="O32" i="20"/>
  <c r="J251" i="2"/>
  <c r="G239" i="2"/>
  <c r="N191" i="2"/>
  <c r="R212" i="2"/>
  <c r="R214" i="2"/>
  <c r="P214" i="2"/>
  <c r="B57" i="37"/>
  <c r="M239" i="2"/>
  <c r="AG191" i="2"/>
  <c r="K249" i="2"/>
  <c r="C106" i="3"/>
  <c r="C105" i="3"/>
  <c r="AK208" i="2"/>
  <c r="AL207" i="2"/>
  <c r="I7" i="41"/>
  <c r="F7" i="41"/>
  <c r="B245" i="34"/>
  <c r="D236" i="34"/>
  <c r="D238" i="34"/>
  <c r="J247" i="34"/>
  <c r="AK182" i="2"/>
  <c r="AL183" i="2"/>
  <c r="AL182" i="2"/>
  <c r="F230" i="2"/>
  <c r="F238" i="2"/>
  <c r="F240" i="2"/>
  <c r="F277" i="2"/>
  <c r="F276" i="2"/>
  <c r="F284" i="2"/>
  <c r="D48" i="21"/>
  <c r="T7" i="21"/>
  <c r="D51" i="21"/>
  <c r="N7" i="21"/>
  <c r="O7" i="21"/>
  <c r="S7" i="21"/>
  <c r="Q7" i="21"/>
  <c r="Q6" i="21"/>
  <c r="N6" i="21"/>
  <c r="S6" i="21"/>
  <c r="O6" i="21"/>
  <c r="T6" i="21"/>
  <c r="C48" i="21"/>
  <c r="B102" i="3"/>
  <c r="E283" i="33"/>
  <c r="L24" i="43"/>
  <c r="G18" i="20"/>
  <c r="B111" i="35"/>
  <c r="M238" i="2"/>
  <c r="M240" i="2"/>
  <c r="P210" i="34"/>
  <c r="R186" i="34"/>
  <c r="P187" i="34"/>
  <c r="L60" i="43"/>
  <c r="D238" i="2"/>
  <c r="D240" i="2"/>
  <c r="C281" i="2"/>
  <c r="C284" i="2"/>
  <c r="C43" i="35"/>
  <c r="C39" i="35"/>
  <c r="C44" i="35"/>
  <c r="C113" i="35"/>
  <c r="G236" i="34"/>
  <c r="G238" i="34"/>
  <c r="G277" i="2"/>
  <c r="G276" i="2"/>
  <c r="G284" i="2"/>
  <c r="R189" i="2"/>
  <c r="S188" i="2"/>
  <c r="K247" i="34"/>
  <c r="C106" i="35"/>
  <c r="C105" i="35"/>
  <c r="C12" i="34"/>
  <c r="C238" i="2"/>
  <c r="C240" i="2"/>
  <c r="AK206" i="34"/>
  <c r="AL205" i="34"/>
  <c r="C151" i="34"/>
  <c r="C153" i="34"/>
  <c r="K134" i="34"/>
  <c r="D24" i="40"/>
  <c r="D23" i="40"/>
  <c r="D16" i="40"/>
  <c r="D15" i="40"/>
  <c r="D14" i="40"/>
  <c r="D13" i="40"/>
  <c r="D12" i="40"/>
  <c r="D10" i="40"/>
  <c r="D9" i="40"/>
  <c r="D7" i="40"/>
  <c r="C7" i="41"/>
  <c r="D6" i="41"/>
  <c r="C260" i="2"/>
  <c r="I238" i="2"/>
  <c r="I240" i="2"/>
  <c r="AI212" i="2"/>
  <c r="AK212" i="2"/>
  <c r="AK188" i="2"/>
  <c r="AI189" i="2"/>
  <c r="B107" i="3"/>
  <c r="G247" i="2"/>
  <c r="J238" i="2"/>
  <c r="J240" i="2"/>
  <c r="I6" i="21"/>
  <c r="F6" i="21"/>
  <c r="C43" i="3"/>
  <c r="C39" i="3"/>
  <c r="C44" i="3"/>
  <c r="C113" i="3"/>
  <c r="B113" i="3"/>
  <c r="E289" i="1"/>
  <c r="E287" i="1"/>
  <c r="E285" i="1"/>
  <c r="E286" i="1"/>
  <c r="E284" i="1"/>
  <c r="E283" i="1"/>
  <c r="F289" i="1"/>
  <c r="M233" i="34"/>
  <c r="C249" i="34"/>
  <c r="M280" i="34"/>
  <c r="M279" i="34"/>
  <c r="M282" i="34"/>
  <c r="H245" i="34"/>
  <c r="F283" i="1"/>
  <c r="H26" i="54"/>
  <c r="K250" i="2"/>
  <c r="C109" i="3"/>
  <c r="C108" i="3"/>
  <c r="C256" i="2"/>
  <c r="C21" i="2"/>
  <c r="C19" i="2"/>
  <c r="T7" i="41"/>
  <c r="D51" i="41"/>
  <c r="N7" i="41"/>
  <c r="D48" i="41"/>
  <c r="O7" i="41"/>
  <c r="S7" i="41"/>
  <c r="S186" i="34"/>
  <c r="R187" i="34"/>
  <c r="B46" i="37"/>
  <c r="F46" i="37"/>
  <c r="B54" i="37"/>
  <c r="F54" i="37"/>
  <c r="B50" i="37"/>
  <c r="F50" i="37"/>
  <c r="B45" i="37"/>
  <c r="C42" i="50"/>
  <c r="C44" i="50"/>
  <c r="C45" i="50"/>
  <c r="B49" i="37"/>
  <c r="F49" i="37"/>
  <c r="B53" i="37"/>
  <c r="F53" i="37"/>
  <c r="U7" i="21"/>
  <c r="D50" i="21"/>
  <c r="J249" i="2"/>
  <c r="B247" i="2"/>
  <c r="J245" i="34"/>
  <c r="B115" i="35"/>
  <c r="C247" i="2"/>
  <c r="B111" i="3"/>
  <c r="M236" i="34"/>
  <c r="M238" i="34"/>
  <c r="K251" i="2"/>
  <c r="C112" i="3"/>
  <c r="C111" i="3"/>
  <c r="C114" i="3"/>
  <c r="K249" i="34"/>
  <c r="C112" i="35"/>
  <c r="C111" i="35"/>
  <c r="C114" i="35"/>
  <c r="C14" i="34"/>
  <c r="L24" i="60"/>
  <c r="G18" i="40"/>
  <c r="AL188" i="2"/>
  <c r="AK189" i="2"/>
  <c r="I6" i="41"/>
  <c r="F6" i="41"/>
  <c r="C48" i="41"/>
  <c r="Q7" i="41"/>
  <c r="Q6" i="41"/>
  <c r="N6" i="41"/>
  <c r="S6" i="41"/>
  <c r="O6" i="41"/>
  <c r="T6" i="41"/>
  <c r="C10" i="34"/>
  <c r="C8" i="34"/>
  <c r="I9" i="34"/>
  <c r="I10" i="34"/>
  <c r="C245" i="34"/>
  <c r="G238" i="2"/>
  <c r="G240" i="2"/>
  <c r="J250" i="2"/>
  <c r="L54" i="42"/>
  <c r="G10" i="40"/>
  <c r="E8" i="41"/>
  <c r="J8" i="41"/>
  <c r="R210" i="34"/>
  <c r="R212" i="34"/>
  <c r="P212" i="34"/>
  <c r="B52" i="37"/>
  <c r="F52" i="37"/>
  <c r="B48" i="37"/>
  <c r="F48" i="37"/>
  <c r="B47" i="37"/>
  <c r="F47" i="37"/>
  <c r="B51" i="37"/>
  <c r="F51" i="37"/>
  <c r="B148" i="35"/>
  <c r="H176" i="43"/>
  <c r="J164" i="43"/>
  <c r="T154" i="43"/>
  <c r="H152" i="43"/>
  <c r="R150" i="43"/>
  <c r="R148" i="43"/>
  <c r="J136" i="43"/>
  <c r="R132" i="43"/>
  <c r="R130" i="43"/>
  <c r="J122" i="43"/>
  <c r="R118" i="43"/>
  <c r="T116" i="43"/>
  <c r="L116" i="43"/>
  <c r="J176" i="43"/>
  <c r="J185" i="43"/>
  <c r="L164" i="43"/>
  <c r="T150" i="43"/>
  <c r="T132" i="43"/>
  <c r="H122" i="43"/>
  <c r="N116" i="43"/>
  <c r="L174" i="43"/>
  <c r="J152" i="43"/>
  <c r="T130" i="43"/>
  <c r="T118" i="43"/>
  <c r="B116" i="43"/>
  <c r="T148" i="43"/>
  <c r="H136" i="43"/>
  <c r="H164" i="43"/>
  <c r="T138" i="43"/>
  <c r="R116" i="43"/>
  <c r="D49" i="21"/>
  <c r="C49" i="21"/>
  <c r="B105" i="35"/>
  <c r="J248" i="34"/>
  <c r="L152" i="43"/>
  <c r="C8" i="2"/>
  <c r="I9" i="2"/>
  <c r="I10" i="2"/>
  <c r="L52" i="60"/>
  <c r="P28" i="43"/>
  <c r="P120" i="43"/>
  <c r="B98" i="35"/>
  <c r="B254" i="34"/>
  <c r="B262" i="34"/>
  <c r="B264" i="34"/>
  <c r="L92" i="42"/>
  <c r="L101" i="42"/>
  <c r="L40" i="60"/>
  <c r="B24" i="60"/>
  <c r="R126" i="42"/>
  <c r="T110" i="42"/>
  <c r="L110" i="42"/>
  <c r="R110" i="42"/>
  <c r="R124" i="42"/>
  <c r="R112" i="42"/>
  <c r="L116" i="42"/>
  <c r="G25" i="20"/>
  <c r="P24" i="43"/>
  <c r="P116" i="43"/>
  <c r="B108" i="35"/>
  <c r="B136" i="35"/>
  <c r="H183" i="43"/>
  <c r="K32" i="20"/>
  <c r="K31" i="20"/>
  <c r="B108" i="3"/>
  <c r="C262" i="34"/>
  <c r="C264" i="34"/>
  <c r="K245" i="34"/>
  <c r="C115" i="35"/>
  <c r="C116" i="35"/>
  <c r="H170" i="42"/>
  <c r="J158" i="42"/>
  <c r="L156" i="42"/>
  <c r="H142" i="42"/>
  <c r="H124" i="42"/>
  <c r="H110" i="42"/>
  <c r="L168" i="42"/>
  <c r="H158" i="42"/>
  <c r="B110" i="42"/>
  <c r="J170" i="42"/>
  <c r="J179" i="42"/>
  <c r="J142" i="42"/>
  <c r="J124" i="42"/>
  <c r="L158" i="42"/>
  <c r="J110" i="42"/>
  <c r="C49" i="41"/>
  <c r="D49" i="41"/>
  <c r="B148" i="3"/>
  <c r="K247" i="2"/>
  <c r="C264" i="2"/>
  <c r="C266" i="2"/>
  <c r="C115" i="3"/>
  <c r="G12" i="20"/>
  <c r="G9" i="20"/>
  <c r="B55" i="37"/>
  <c r="B58" i="37"/>
  <c r="B59" i="37"/>
  <c r="F45" i="37"/>
  <c r="F55" i="37"/>
  <c r="F56" i="37"/>
  <c r="D50" i="41"/>
  <c r="U7" i="41"/>
  <c r="B145" i="35"/>
  <c r="H28" i="54"/>
  <c r="B114" i="35"/>
  <c r="B116" i="35"/>
  <c r="F36" i="53"/>
  <c r="H101" i="43"/>
  <c r="H102" i="43"/>
  <c r="J183" i="43"/>
  <c r="L42" i="60"/>
  <c r="B98" i="3"/>
  <c r="C116" i="3"/>
  <c r="B264" i="2"/>
  <c r="B266" i="2"/>
  <c r="J247" i="2"/>
  <c r="B115" i="3"/>
  <c r="B105" i="3"/>
  <c r="B114" i="3"/>
  <c r="L104" i="60"/>
  <c r="B72" i="60"/>
  <c r="H73" i="60"/>
  <c r="H74" i="60"/>
  <c r="J96" i="60"/>
  <c r="H116" i="60"/>
  <c r="J106" i="60"/>
  <c r="L124" i="60"/>
  <c r="L114" i="60"/>
  <c r="J126" i="60"/>
  <c r="J135" i="60"/>
  <c r="H88" i="60"/>
  <c r="H126" i="60"/>
  <c r="B88" i="60"/>
  <c r="L106" i="60"/>
  <c r="L88" i="60"/>
  <c r="H96" i="60"/>
  <c r="L116" i="60"/>
  <c r="J88" i="60"/>
  <c r="J116" i="60"/>
  <c r="H106" i="60"/>
  <c r="B136" i="3"/>
  <c r="B116" i="3"/>
  <c r="B152" i="35"/>
  <c r="E10" i="34"/>
  <c r="H9" i="34"/>
  <c r="H10" i="34"/>
  <c r="H12" i="54"/>
  <c r="K29" i="20"/>
  <c r="K28" i="20"/>
  <c r="K10" i="20"/>
  <c r="E9" i="21"/>
  <c r="J9" i="21"/>
  <c r="D8" i="21"/>
  <c r="H10" i="54"/>
  <c r="J177" i="42"/>
  <c r="H36" i="53"/>
  <c r="H95" i="42"/>
  <c r="H96" i="42"/>
  <c r="L142" i="42"/>
  <c r="B132" i="36"/>
  <c r="B151" i="35"/>
  <c r="B153" i="35"/>
  <c r="K21" i="20"/>
  <c r="N62" i="43"/>
  <c r="B145" i="3"/>
  <c r="H8" i="3"/>
  <c r="B152" i="3"/>
  <c r="H9" i="2"/>
  <c r="H10" i="2"/>
  <c r="G12" i="40"/>
  <c r="G9" i="40"/>
  <c r="L136" i="43"/>
  <c r="L183" i="43"/>
  <c r="H177" i="42"/>
  <c r="K20" i="20"/>
  <c r="L76" i="43"/>
  <c r="G23" i="20"/>
  <c r="G10" i="20"/>
  <c r="E8" i="21"/>
  <c r="J8" i="21"/>
  <c r="H133" i="60"/>
  <c r="N142" i="42"/>
  <c r="N110" i="42"/>
  <c r="L32" i="60"/>
  <c r="J133" i="60"/>
  <c r="H9" i="35"/>
  <c r="H10" i="35"/>
  <c r="H8" i="36"/>
  <c r="H16" i="54"/>
  <c r="L91" i="42"/>
  <c r="L124" i="42"/>
  <c r="L177" i="42"/>
  <c r="L179" i="42"/>
  <c r="B93" i="37"/>
  <c r="O21" i="20"/>
  <c r="P62" i="43"/>
  <c r="P148" i="43"/>
  <c r="D107" i="36"/>
  <c r="I8" i="21"/>
  <c r="F8" i="21"/>
  <c r="N16" i="43"/>
  <c r="N16" i="60"/>
  <c r="N9" i="60"/>
  <c r="N14" i="43"/>
  <c r="N14" i="60"/>
  <c r="N7" i="60"/>
  <c r="L10" i="43"/>
  <c r="L162" i="43"/>
  <c r="L98" i="43"/>
  <c r="L107" i="43"/>
  <c r="P44" i="43"/>
  <c r="P130" i="43"/>
  <c r="N44" i="43"/>
  <c r="K18" i="20"/>
  <c r="K9" i="20"/>
  <c r="B93" i="5"/>
  <c r="L105" i="43"/>
  <c r="L100" i="43"/>
  <c r="L101" i="43"/>
  <c r="L102" i="43"/>
  <c r="G7" i="40"/>
  <c r="D8" i="41"/>
  <c r="L185" i="43"/>
  <c r="K10" i="40"/>
  <c r="E9" i="41"/>
  <c r="J9" i="41"/>
  <c r="N148" i="43"/>
  <c r="B107" i="36"/>
  <c r="C107" i="36"/>
  <c r="G7" i="20"/>
  <c r="N15" i="43"/>
  <c r="N15" i="60"/>
  <c r="N8" i="60"/>
  <c r="B132" i="4"/>
  <c r="B151" i="3"/>
  <c r="B153" i="3"/>
  <c r="B107" i="4"/>
  <c r="B57" i="5"/>
  <c r="P142" i="42"/>
  <c r="L69" i="60"/>
  <c r="L96" i="60"/>
  <c r="L133" i="60"/>
  <c r="C107" i="4"/>
  <c r="H26" i="40"/>
  <c r="H25" i="40"/>
  <c r="H24" i="40"/>
  <c r="H23" i="40"/>
  <c r="H19" i="40"/>
  <c r="H18" i="40"/>
  <c r="H16" i="40"/>
  <c r="H15" i="40"/>
  <c r="H14" i="40"/>
  <c r="H13" i="40"/>
  <c r="H12" i="40"/>
  <c r="H10" i="40"/>
  <c r="H9" i="40"/>
  <c r="H7" i="40"/>
  <c r="C8" i="41"/>
  <c r="N130" i="43"/>
  <c r="K18" i="40"/>
  <c r="K9" i="40"/>
  <c r="O32" i="40"/>
  <c r="L17" i="43"/>
  <c r="N13" i="43"/>
  <c r="N6" i="60"/>
  <c r="N14" i="42"/>
  <c r="N50" i="42"/>
  <c r="N56" i="43"/>
  <c r="N142" i="43"/>
  <c r="N84" i="43"/>
  <c r="N170" i="43"/>
  <c r="N16" i="42"/>
  <c r="N78" i="42"/>
  <c r="B75" i="37"/>
  <c r="B118" i="36"/>
  <c r="L99" i="42"/>
  <c r="L94" i="42"/>
  <c r="L95" i="42"/>
  <c r="L96" i="42"/>
  <c r="D107" i="4"/>
  <c r="N72" i="43"/>
  <c r="N158" i="43"/>
  <c r="N15" i="42"/>
  <c r="N66" i="42"/>
  <c r="C8" i="21"/>
  <c r="H26" i="20"/>
  <c r="H18" i="20"/>
  <c r="H14" i="20"/>
  <c r="H25" i="20"/>
  <c r="H24" i="20"/>
  <c r="H15" i="20"/>
  <c r="H12" i="20"/>
  <c r="H9" i="20"/>
  <c r="H23" i="20"/>
  <c r="H13" i="20"/>
  <c r="H7" i="20"/>
  <c r="H16" i="20"/>
  <c r="H10" i="20"/>
  <c r="H19" i="20"/>
  <c r="B127" i="36"/>
  <c r="I8" i="41"/>
  <c r="F8" i="41"/>
  <c r="C78" i="24"/>
  <c r="C79" i="24"/>
  <c r="K7" i="20"/>
  <c r="D9" i="21"/>
  <c r="H9" i="3"/>
  <c r="H10" i="3"/>
  <c r="H8" i="4"/>
  <c r="N130" i="42"/>
  <c r="N52" i="60"/>
  <c r="N116" i="60"/>
  <c r="N152" i="42"/>
  <c r="N13" i="42"/>
  <c r="N13" i="60"/>
  <c r="P124" i="42"/>
  <c r="N146" i="42"/>
  <c r="N42" i="60"/>
  <c r="N106" i="60"/>
  <c r="L135" i="60"/>
  <c r="L72" i="60"/>
  <c r="L73" i="60"/>
  <c r="L74" i="60"/>
  <c r="L77" i="60"/>
  <c r="N136" i="42"/>
  <c r="N86" i="43"/>
  <c r="N172" i="43"/>
  <c r="N164" i="43"/>
  <c r="I9" i="21"/>
  <c r="F9" i="21"/>
  <c r="B86" i="5"/>
  <c r="F86" i="5"/>
  <c r="B88" i="5"/>
  <c r="F88" i="5"/>
  <c r="B90" i="5"/>
  <c r="F90" i="5"/>
  <c r="O8" i="21"/>
  <c r="E48" i="21"/>
  <c r="N8" i="21"/>
  <c r="S8" i="21"/>
  <c r="T8" i="21"/>
  <c r="E51" i="21"/>
  <c r="Q8" i="21"/>
  <c r="E49" i="21"/>
  <c r="B75" i="5"/>
  <c r="B76" i="5"/>
  <c r="B77" i="5"/>
  <c r="B118" i="4"/>
  <c r="B86" i="37"/>
  <c r="F86" i="37"/>
  <c r="Y71" i="50"/>
  <c r="B88" i="37"/>
  <c r="F88" i="37"/>
  <c r="Y73" i="50"/>
  <c r="B90" i="37"/>
  <c r="F90" i="37"/>
  <c r="Y75" i="50"/>
  <c r="N10" i="43"/>
  <c r="P28" i="42"/>
  <c r="E48" i="41"/>
  <c r="O8" i="41"/>
  <c r="N8" i="41"/>
  <c r="S8" i="41"/>
  <c r="Q8" i="41"/>
  <c r="E49" i="41"/>
  <c r="T8" i="41"/>
  <c r="E51" i="41"/>
  <c r="N152" i="43"/>
  <c r="N74" i="43"/>
  <c r="N160" i="43"/>
  <c r="B46" i="5"/>
  <c r="F46" i="5"/>
  <c r="B45" i="5"/>
  <c r="D42" i="24"/>
  <c r="D44" i="24"/>
  <c r="D45" i="24"/>
  <c r="B49" i="5"/>
  <c r="F49" i="5"/>
  <c r="B52" i="5"/>
  <c r="F52" i="5"/>
  <c r="B50" i="5"/>
  <c r="F50" i="5"/>
  <c r="B54" i="5"/>
  <c r="F54" i="5"/>
  <c r="N80" i="42"/>
  <c r="N166" i="42"/>
  <c r="N158" i="42"/>
  <c r="N136" i="43"/>
  <c r="L29" i="20"/>
  <c r="L25" i="20"/>
  <c r="L24" i="20"/>
  <c r="L23" i="20"/>
  <c r="L21" i="20"/>
  <c r="L20" i="20"/>
  <c r="L19" i="20"/>
  <c r="L13" i="20"/>
  <c r="L12" i="20"/>
  <c r="L10" i="20"/>
  <c r="L9" i="20"/>
  <c r="L7" i="20"/>
  <c r="C9" i="21"/>
  <c r="L31" i="20"/>
  <c r="L18" i="20"/>
  <c r="L14" i="20"/>
  <c r="L32" i="20"/>
  <c r="L28" i="20"/>
  <c r="B87" i="5"/>
  <c r="F87" i="5"/>
  <c r="B85" i="5"/>
  <c r="D76" i="24"/>
  <c r="D78" i="24"/>
  <c r="D79" i="24"/>
  <c r="B89" i="5"/>
  <c r="F89" i="5"/>
  <c r="O33" i="20"/>
  <c r="B85" i="37"/>
  <c r="C76" i="50"/>
  <c r="C78" i="50"/>
  <c r="C79" i="50"/>
  <c r="B87" i="37"/>
  <c r="F87" i="37"/>
  <c r="Y72" i="50"/>
  <c r="B89" i="37"/>
  <c r="F89" i="37"/>
  <c r="Y74" i="50"/>
  <c r="O20" i="20"/>
  <c r="O18" i="20"/>
  <c r="D9" i="41"/>
  <c r="K7" i="40"/>
  <c r="N58" i="43"/>
  <c r="N144" i="43"/>
  <c r="J12" i="54"/>
  <c r="N68" i="42"/>
  <c r="N154" i="42"/>
  <c r="B127" i="4"/>
  <c r="B48" i="5"/>
  <c r="F48" i="5"/>
  <c r="B47" i="5"/>
  <c r="F47" i="5"/>
  <c r="B51" i="5"/>
  <c r="F51" i="5"/>
  <c r="B53" i="5"/>
  <c r="F53" i="5"/>
  <c r="P110" i="42"/>
  <c r="N164" i="42"/>
  <c r="N32" i="60"/>
  <c r="N96" i="60"/>
  <c r="N124" i="42"/>
  <c r="N52" i="42"/>
  <c r="N116" i="42"/>
  <c r="N24" i="60"/>
  <c r="N58" i="60"/>
  <c r="N122" i="60"/>
  <c r="P114" i="42"/>
  <c r="N48" i="60"/>
  <c r="N112" i="60"/>
  <c r="Y70" i="50"/>
  <c r="Y40" i="50"/>
  <c r="AO38" i="24"/>
  <c r="Y34" i="50"/>
  <c r="AO35" i="24"/>
  <c r="AO40" i="24"/>
  <c r="Y38" i="50"/>
  <c r="AO34" i="24"/>
  <c r="Y35" i="50"/>
  <c r="O33" i="40"/>
  <c r="I9" i="41"/>
  <c r="F9" i="41"/>
  <c r="I82" i="39"/>
  <c r="Y41" i="50"/>
  <c r="AO37" i="24"/>
  <c r="Y39" i="50"/>
  <c r="AO36" i="24"/>
  <c r="B55" i="5"/>
  <c r="B58" i="5"/>
  <c r="B59" i="5"/>
  <c r="F45" i="5"/>
  <c r="F55" i="5"/>
  <c r="F56" i="5"/>
  <c r="Y33" i="50"/>
  <c r="N36" i="42"/>
  <c r="N30" i="60"/>
  <c r="N177" i="42"/>
  <c r="N91" i="42"/>
  <c r="AN75" i="50"/>
  <c r="AN71" i="50"/>
  <c r="E50" i="21"/>
  <c r="U8" i="21"/>
  <c r="AO75" i="24"/>
  <c r="L32" i="40"/>
  <c r="L31" i="40"/>
  <c r="L29" i="40"/>
  <c r="L28" i="40"/>
  <c r="L25" i="40"/>
  <c r="L24" i="40"/>
  <c r="L23" i="40"/>
  <c r="L21" i="40"/>
  <c r="L20" i="40"/>
  <c r="L19" i="40"/>
  <c r="L18" i="40"/>
  <c r="L14" i="40"/>
  <c r="L13" i="40"/>
  <c r="L12" i="40"/>
  <c r="L10" i="40"/>
  <c r="L9" i="40"/>
  <c r="L7" i="40"/>
  <c r="C9" i="41"/>
  <c r="AN74" i="50"/>
  <c r="F85" i="37"/>
  <c r="F91" i="37"/>
  <c r="F92" i="37"/>
  <c r="B91" i="37"/>
  <c r="B94" i="37"/>
  <c r="B95" i="37"/>
  <c r="P48" i="43"/>
  <c r="P134" i="43"/>
  <c r="O31" i="20"/>
  <c r="AO74" i="24"/>
  <c r="Z70" i="24"/>
  <c r="B91" i="5"/>
  <c r="B94" i="5"/>
  <c r="B95" i="5"/>
  <c r="F85" i="5"/>
  <c r="F91" i="5"/>
  <c r="F92" i="5"/>
  <c r="F48" i="21"/>
  <c r="N9" i="21"/>
  <c r="O9" i="21"/>
  <c r="Q9" i="21"/>
  <c r="F49" i="21"/>
  <c r="T9" i="21"/>
  <c r="F51" i="21"/>
  <c r="S9" i="21"/>
  <c r="AO41" i="24"/>
  <c r="Y37" i="50"/>
  <c r="AO39" i="24"/>
  <c r="Y36" i="50"/>
  <c r="AO32" i="24"/>
  <c r="Y32" i="50"/>
  <c r="AO33" i="24"/>
  <c r="U8" i="41"/>
  <c r="E50" i="41"/>
  <c r="N183" i="43"/>
  <c r="AN73" i="50"/>
  <c r="O20" i="40"/>
  <c r="O18" i="40"/>
  <c r="I83" i="39"/>
  <c r="N94" i="60"/>
  <c r="N69" i="60"/>
  <c r="N88" i="60"/>
  <c r="N133" i="60"/>
  <c r="N138" i="42"/>
  <c r="N38" i="60"/>
  <c r="N102" i="60"/>
  <c r="I79" i="39"/>
  <c r="AF83" i="39"/>
  <c r="N83" i="39"/>
  <c r="I145" i="39"/>
  <c r="N98" i="43"/>
  <c r="N107" i="43"/>
  <c r="N128" i="43"/>
  <c r="J32" i="54"/>
  <c r="J26" i="54"/>
  <c r="I109" i="6"/>
  <c r="AN36" i="50"/>
  <c r="I48" i="39"/>
  <c r="I115" i="6"/>
  <c r="G91" i="5"/>
  <c r="I146" i="39"/>
  <c r="AO71" i="24"/>
  <c r="I79" i="6"/>
  <c r="B67" i="37"/>
  <c r="C59" i="50"/>
  <c r="C61" i="50"/>
  <c r="C62" i="50"/>
  <c r="B69" i="37"/>
  <c r="F69" i="37"/>
  <c r="Y55" i="50"/>
  <c r="B71" i="37"/>
  <c r="F71" i="37"/>
  <c r="Y57" i="50"/>
  <c r="N99" i="42"/>
  <c r="N92" i="42"/>
  <c r="N122" i="42"/>
  <c r="AN33" i="50"/>
  <c r="I45" i="39"/>
  <c r="I112" i="6"/>
  <c r="AN41" i="50"/>
  <c r="I53" i="39"/>
  <c r="P42" i="42"/>
  <c r="O31" i="40"/>
  <c r="AN38" i="50"/>
  <c r="I50" i="39"/>
  <c r="I116" i="6"/>
  <c r="I111" i="6"/>
  <c r="AN40" i="50"/>
  <c r="I52" i="39"/>
  <c r="I81" i="39"/>
  <c r="N185" i="43"/>
  <c r="N100" i="43"/>
  <c r="N101" i="43"/>
  <c r="N102" i="43"/>
  <c r="N105" i="43"/>
  <c r="AN32" i="50"/>
  <c r="G55" i="37"/>
  <c r="H55" i="5"/>
  <c r="AN37" i="50"/>
  <c r="I49" i="39"/>
  <c r="I117" i="6"/>
  <c r="F50" i="21"/>
  <c r="U9" i="21"/>
  <c r="AO70" i="24"/>
  <c r="I146" i="6"/>
  <c r="N9" i="41"/>
  <c r="O9" i="41"/>
  <c r="F48" i="41"/>
  <c r="T9" i="41"/>
  <c r="F51" i="41"/>
  <c r="S9" i="41"/>
  <c r="Q9" i="41"/>
  <c r="F49" i="41"/>
  <c r="AO73" i="24"/>
  <c r="I81" i="6"/>
  <c r="I147" i="6"/>
  <c r="B68" i="37"/>
  <c r="F68" i="37"/>
  <c r="Y54" i="50"/>
  <c r="B70" i="37"/>
  <c r="F70" i="37"/>
  <c r="Y56" i="50"/>
  <c r="B72" i="37"/>
  <c r="F72" i="37"/>
  <c r="Y58" i="50"/>
  <c r="I143" i="39"/>
  <c r="I147" i="39"/>
  <c r="J16" i="54"/>
  <c r="J10" i="54"/>
  <c r="N179" i="42"/>
  <c r="AN39" i="50"/>
  <c r="I51" i="39"/>
  <c r="I113" i="6"/>
  <c r="AO72" i="24"/>
  <c r="I80" i="6"/>
  <c r="AF82" i="39"/>
  <c r="N82" i="39"/>
  <c r="AN35" i="50"/>
  <c r="I47" i="39"/>
  <c r="I110" i="6"/>
  <c r="AN34" i="50"/>
  <c r="I46" i="39"/>
  <c r="I114" i="6"/>
  <c r="AN70" i="50"/>
  <c r="G91" i="37"/>
  <c r="P128" i="42"/>
  <c r="AN72" i="50"/>
  <c r="N135" i="60"/>
  <c r="N77" i="60"/>
  <c r="N70" i="60"/>
  <c r="AF114" i="6"/>
  <c r="N114" i="6"/>
  <c r="B84" i="39"/>
  <c r="I78" i="39"/>
  <c r="H91" i="37"/>
  <c r="M93" i="37"/>
  <c r="I110" i="39"/>
  <c r="AF47" i="39"/>
  <c r="N47" i="39"/>
  <c r="I111" i="39"/>
  <c r="I144" i="6"/>
  <c r="AN58" i="50"/>
  <c r="AN54" i="50"/>
  <c r="AF147" i="6"/>
  <c r="N147" i="6"/>
  <c r="I145" i="6"/>
  <c r="H106" i="5"/>
  <c r="AF146" i="6"/>
  <c r="N146" i="6"/>
  <c r="N49" i="39"/>
  <c r="AF49" i="39"/>
  <c r="I113" i="39"/>
  <c r="I108" i="6"/>
  <c r="B118" i="6"/>
  <c r="B54" i="39"/>
  <c r="I44" i="39"/>
  <c r="H55" i="37"/>
  <c r="M57" i="37"/>
  <c r="AF116" i="6"/>
  <c r="N116" i="6"/>
  <c r="AF50" i="39"/>
  <c r="N50" i="39"/>
  <c r="I114" i="39"/>
  <c r="N45" i="39"/>
  <c r="AF45" i="39"/>
  <c r="AN55" i="50"/>
  <c r="AN53" i="50"/>
  <c r="AF79" i="6"/>
  <c r="N79" i="6"/>
  <c r="I143" i="6"/>
  <c r="B84" i="6"/>
  <c r="I78" i="6"/>
  <c r="AF109" i="6"/>
  <c r="N109" i="6"/>
  <c r="AF79" i="39"/>
  <c r="N79" i="39"/>
  <c r="AF46" i="39"/>
  <c r="N46" i="39"/>
  <c r="AF110" i="6"/>
  <c r="N110" i="6"/>
  <c r="N80" i="6"/>
  <c r="AF113" i="6"/>
  <c r="N113" i="6"/>
  <c r="AF51" i="39"/>
  <c r="N51" i="39"/>
  <c r="I115" i="39"/>
  <c r="AF147" i="39"/>
  <c r="N147" i="39"/>
  <c r="AF143" i="39"/>
  <c r="N143" i="39"/>
  <c r="AN56" i="50"/>
  <c r="AF81" i="6"/>
  <c r="N81" i="6"/>
  <c r="F50" i="41"/>
  <c r="U9" i="41"/>
  <c r="H91" i="5"/>
  <c r="M93" i="5"/>
  <c r="AF117" i="6"/>
  <c r="N117" i="6"/>
  <c r="M57" i="5"/>
  <c r="G56" i="5"/>
  <c r="G57" i="5"/>
  <c r="G56" i="37"/>
  <c r="G57" i="37"/>
  <c r="J57" i="37"/>
  <c r="N81" i="39"/>
  <c r="AF81" i="39"/>
  <c r="AF52" i="39"/>
  <c r="N52" i="39"/>
  <c r="I116" i="39"/>
  <c r="AF111" i="6"/>
  <c r="N111" i="6"/>
  <c r="U80" i="6"/>
  <c r="N53" i="39"/>
  <c r="AF53" i="39"/>
  <c r="I117" i="39"/>
  <c r="AF112" i="6"/>
  <c r="N112" i="6"/>
  <c r="I109" i="39"/>
  <c r="N101" i="42"/>
  <c r="N94" i="42"/>
  <c r="N95" i="42"/>
  <c r="N96" i="42"/>
  <c r="AN57" i="50"/>
  <c r="B73" i="37"/>
  <c r="B76" i="37"/>
  <c r="B77" i="37"/>
  <c r="F67" i="37"/>
  <c r="F73" i="37"/>
  <c r="F74" i="37"/>
  <c r="AF146" i="39"/>
  <c r="N146" i="39"/>
  <c r="AF115" i="6"/>
  <c r="N115" i="6"/>
  <c r="AF48" i="39"/>
  <c r="N48" i="39"/>
  <c r="I112" i="39"/>
  <c r="AF145" i="39"/>
  <c r="N145" i="39"/>
  <c r="H106" i="37"/>
  <c r="N79" i="60"/>
  <c r="I80" i="39"/>
  <c r="I144" i="39"/>
  <c r="R144" i="42"/>
  <c r="N72" i="60"/>
  <c r="N73" i="60"/>
  <c r="N74" i="60"/>
  <c r="AF112" i="39"/>
  <c r="N112" i="39"/>
  <c r="J92" i="5"/>
  <c r="J93" i="5"/>
  <c r="C84" i="6"/>
  <c r="N109" i="39"/>
  <c r="AF109" i="39"/>
  <c r="B148" i="6"/>
  <c r="I142" i="6"/>
  <c r="I130" i="39"/>
  <c r="AF115" i="39"/>
  <c r="N115" i="39"/>
  <c r="N78" i="6"/>
  <c r="N84" i="6"/>
  <c r="J84" i="6"/>
  <c r="M84" i="6"/>
  <c r="AF143" i="6"/>
  <c r="N143" i="6"/>
  <c r="H73" i="37"/>
  <c r="I129" i="39"/>
  <c r="AF114" i="39"/>
  <c r="N114" i="39"/>
  <c r="B118" i="39"/>
  <c r="I108" i="39"/>
  <c r="J54" i="39"/>
  <c r="N44" i="39"/>
  <c r="N54" i="39"/>
  <c r="K54" i="39"/>
  <c r="K118" i="6"/>
  <c r="N113" i="39"/>
  <c r="AF113" i="39"/>
  <c r="AF145" i="6"/>
  <c r="N145" i="6"/>
  <c r="AF111" i="39"/>
  <c r="N111" i="39"/>
  <c r="I142" i="39"/>
  <c r="B148" i="39"/>
  <c r="M84" i="39"/>
  <c r="J84" i="39"/>
  <c r="N78" i="39"/>
  <c r="C84" i="39"/>
  <c r="I131" i="39"/>
  <c r="N117" i="39"/>
  <c r="AF117" i="39"/>
  <c r="AF116" i="39"/>
  <c r="N116" i="39"/>
  <c r="L84" i="6"/>
  <c r="K84" i="6"/>
  <c r="G92" i="5"/>
  <c r="G93" i="5"/>
  <c r="AG72" i="24"/>
  <c r="AH72" i="24"/>
  <c r="L54" i="39"/>
  <c r="M54" i="39"/>
  <c r="L118" i="6"/>
  <c r="N108" i="6"/>
  <c r="N118" i="6"/>
  <c r="J118" i="6"/>
  <c r="M118" i="6"/>
  <c r="I128" i="39"/>
  <c r="I132" i="39"/>
  <c r="AF144" i="6"/>
  <c r="N144" i="6"/>
  <c r="AF110" i="39"/>
  <c r="N110" i="39"/>
  <c r="K84" i="39"/>
  <c r="L84" i="39"/>
  <c r="J92" i="37"/>
  <c r="J93" i="37"/>
  <c r="G92" i="37"/>
  <c r="G93" i="37"/>
  <c r="N80" i="39"/>
  <c r="N84" i="39"/>
  <c r="Z44" i="60"/>
  <c r="N144" i="39"/>
  <c r="AF144" i="39"/>
  <c r="G106" i="37"/>
  <c r="AF132" i="39"/>
  <c r="N132" i="39"/>
  <c r="AF128" i="39"/>
  <c r="N128" i="39"/>
  <c r="N119" i="6"/>
  <c r="L119" i="6"/>
  <c r="J119" i="6"/>
  <c r="K119" i="6"/>
  <c r="M119" i="6"/>
  <c r="T80" i="6"/>
  <c r="L148" i="39"/>
  <c r="M148" i="39"/>
  <c r="M55" i="39"/>
  <c r="K55" i="39"/>
  <c r="N55" i="39"/>
  <c r="J55" i="39"/>
  <c r="L55" i="39"/>
  <c r="J118" i="39"/>
  <c r="N108" i="39"/>
  <c r="N118" i="39"/>
  <c r="L118" i="39"/>
  <c r="U80" i="39"/>
  <c r="N129" i="39"/>
  <c r="AF129" i="39"/>
  <c r="B133" i="39"/>
  <c r="I127" i="39"/>
  <c r="N85" i="6"/>
  <c r="L85" i="6"/>
  <c r="J85" i="6"/>
  <c r="K85" i="6"/>
  <c r="M85" i="6"/>
  <c r="AF130" i="39"/>
  <c r="N130" i="39"/>
  <c r="L148" i="6"/>
  <c r="M148" i="6"/>
  <c r="U78" i="6"/>
  <c r="AF108" i="6"/>
  <c r="AF118" i="6"/>
  <c r="AF72" i="50"/>
  <c r="AG72" i="50"/>
  <c r="AF131" i="39"/>
  <c r="N131" i="39"/>
  <c r="AG70" i="24"/>
  <c r="AH70" i="24"/>
  <c r="J148" i="39"/>
  <c r="N142" i="39"/>
  <c r="N148" i="39"/>
  <c r="K148" i="39"/>
  <c r="AF44" i="39"/>
  <c r="AF54" i="39"/>
  <c r="K118" i="39"/>
  <c r="M118" i="39"/>
  <c r="M75" i="37"/>
  <c r="G74" i="37"/>
  <c r="G75" i="37"/>
  <c r="N142" i="6"/>
  <c r="N148" i="6"/>
  <c r="J148" i="6"/>
  <c r="K148" i="6"/>
  <c r="G106" i="5"/>
  <c r="J85" i="39"/>
  <c r="M85" i="39"/>
  <c r="L85" i="39"/>
  <c r="K85" i="39"/>
  <c r="N85" i="39"/>
  <c r="R142" i="42"/>
  <c r="N149" i="39"/>
  <c r="L149" i="39"/>
  <c r="J149" i="39"/>
  <c r="K149" i="39"/>
  <c r="M149" i="39"/>
  <c r="T78" i="6"/>
  <c r="M133" i="39"/>
  <c r="K133" i="39"/>
  <c r="AF108" i="39"/>
  <c r="AF118" i="39"/>
  <c r="U78" i="39"/>
  <c r="N149" i="6"/>
  <c r="L149" i="6"/>
  <c r="J149" i="6"/>
  <c r="K149" i="6"/>
  <c r="M149" i="6"/>
  <c r="AF142" i="39"/>
  <c r="AF148" i="39"/>
  <c r="G190" i="39"/>
  <c r="AF70" i="50"/>
  <c r="AG70" i="50"/>
  <c r="T80" i="39"/>
  <c r="J133" i="39"/>
  <c r="N127" i="39"/>
  <c r="N133" i="39"/>
  <c r="L133" i="39"/>
  <c r="M119" i="39"/>
  <c r="K119" i="39"/>
  <c r="N119" i="39"/>
  <c r="J119" i="39"/>
  <c r="L119" i="39"/>
  <c r="Z80" i="6"/>
  <c r="AF80" i="6"/>
  <c r="AF142" i="6"/>
  <c r="AF148" i="6"/>
  <c r="G190" i="6"/>
  <c r="AF127" i="39"/>
  <c r="AF133" i="39"/>
  <c r="Z80" i="39"/>
  <c r="AF80" i="39"/>
  <c r="T78" i="39"/>
  <c r="Z78" i="6"/>
  <c r="Z84" i="6"/>
  <c r="M134" i="39"/>
  <c r="K134" i="39"/>
  <c r="L134" i="39"/>
  <c r="N134" i="39"/>
  <c r="J134" i="39"/>
  <c r="AF78" i="6"/>
  <c r="AF84" i="6"/>
  <c r="D188" i="39"/>
  <c r="G188" i="6"/>
  <c r="J188" i="6"/>
  <c r="Z78" i="39"/>
  <c r="Z84" i="39"/>
  <c r="G189" i="39"/>
  <c r="J189" i="39"/>
  <c r="K189" i="39"/>
  <c r="G188" i="39"/>
  <c r="K188" i="6"/>
  <c r="J188" i="39"/>
  <c r="AF78" i="39"/>
  <c r="AF84" i="39"/>
  <c r="K188" i="39"/>
  <c r="I190" i="6"/>
  <c r="D190" i="6"/>
  <c r="I190" i="39"/>
  <c r="J190" i="6"/>
  <c r="J190" i="39"/>
  <c r="K190" i="6"/>
  <c r="D190" i="39"/>
  <c r="K190" i="39"/>
  <c r="I90" i="36"/>
  <c r="M90" i="36"/>
  <c r="X48" i="36"/>
  <c r="L91" i="36"/>
  <c r="I88" i="36"/>
  <c r="V54" i="36"/>
  <c r="L90" i="36"/>
  <c r="X50" i="36"/>
  <c r="X53" i="36"/>
  <c r="Y50" i="36"/>
  <c r="Y53" i="36"/>
  <c r="Y54" i="36"/>
  <c r="Q96" i="6"/>
  <c r="AV17" i="24"/>
  <c r="AW17" i="24"/>
  <c r="U32" i="39"/>
  <c r="X54" i="4"/>
  <c r="I95" i="4"/>
  <c r="I96" i="4"/>
  <c r="AU17" i="50"/>
  <c r="AV17" i="50"/>
  <c r="Y51" i="4"/>
  <c r="Y53" i="4"/>
  <c r="E103" i="5"/>
  <c r="E107" i="5"/>
  <c r="B121" i="5"/>
  <c r="B16" i="5"/>
  <c r="S25" i="40"/>
  <c r="M34" i="5"/>
  <c r="S99" i="6"/>
  <c r="Y99" i="6"/>
  <c r="S97" i="6"/>
  <c r="C95" i="6"/>
  <c r="M33" i="37"/>
  <c r="X54" i="36"/>
  <c r="Z54" i="36"/>
  <c r="Z53" i="36"/>
  <c r="M88" i="36"/>
  <c r="M95" i="36"/>
  <c r="M96" i="36"/>
  <c r="B125" i="36"/>
  <c r="B20" i="36"/>
  <c r="O25" i="20"/>
  <c r="I95" i="36"/>
  <c r="I96" i="36"/>
  <c r="L92" i="36"/>
  <c r="F95" i="36"/>
  <c r="F96" i="36"/>
  <c r="G95" i="36"/>
  <c r="G96" i="36"/>
  <c r="L88" i="36"/>
  <c r="L95" i="36"/>
  <c r="L96" i="36"/>
  <c r="B124" i="36"/>
  <c r="Y54" i="4"/>
  <c r="Z54" i="4"/>
  <c r="Z53" i="4"/>
  <c r="C100" i="6"/>
  <c r="P99" i="6"/>
  <c r="AV20" i="24"/>
  <c r="AW20" i="24"/>
  <c r="E103" i="37"/>
  <c r="E107" i="37"/>
  <c r="B121" i="37"/>
  <c r="B16" i="37"/>
  <c r="S25" i="20"/>
  <c r="M34" i="37"/>
  <c r="AV15" i="24"/>
  <c r="AW15" i="24"/>
  <c r="P94" i="6"/>
  <c r="Z30" i="39"/>
  <c r="R98" i="6"/>
  <c r="X98" i="6"/>
  <c r="T97" i="6"/>
  <c r="U97" i="6"/>
  <c r="Y97" i="6"/>
  <c r="Z97" i="6"/>
  <c r="P98" i="6"/>
  <c r="AV19" i="24"/>
  <c r="AW19" i="24"/>
  <c r="Q99" i="6"/>
  <c r="W99" i="6"/>
  <c r="AU18" i="50"/>
  <c r="AV18" i="50"/>
  <c r="T96" i="6"/>
  <c r="U96" i="6"/>
  <c r="W96" i="6"/>
  <c r="Z96" i="6"/>
  <c r="Z34" i="39"/>
  <c r="G95" i="4"/>
  <c r="G96" i="4"/>
  <c r="L92" i="4"/>
  <c r="C100" i="39"/>
  <c r="R99" i="6"/>
  <c r="X99" i="6"/>
  <c r="Z32" i="39"/>
  <c r="Z96" i="39"/>
  <c r="T96" i="39"/>
  <c r="U96" i="39"/>
  <c r="R94" i="6"/>
  <c r="X94" i="6"/>
  <c r="Z31" i="39"/>
  <c r="L93" i="4"/>
  <c r="F95" i="4"/>
  <c r="F96" i="4"/>
  <c r="O25" i="40"/>
  <c r="B123" i="36"/>
  <c r="B19" i="36"/>
  <c r="H95" i="36"/>
  <c r="H96" i="36"/>
  <c r="T98" i="6"/>
  <c r="U98" i="6"/>
  <c r="V98" i="6"/>
  <c r="Z98" i="6"/>
  <c r="R95" i="6"/>
  <c r="X95" i="6"/>
  <c r="AU20" i="50"/>
  <c r="AV20" i="50"/>
  <c r="X100" i="6"/>
  <c r="D174" i="6"/>
  <c r="D178" i="6"/>
  <c r="Z97" i="39"/>
  <c r="T97" i="39"/>
  <c r="U97" i="39"/>
  <c r="AU19" i="50"/>
  <c r="AV19" i="50"/>
  <c r="AV16" i="24"/>
  <c r="AW16" i="24"/>
  <c r="P95" i="6"/>
  <c r="T94" i="6"/>
  <c r="U94" i="6"/>
  <c r="V94" i="6"/>
  <c r="D178" i="39"/>
  <c r="H95" i="4"/>
  <c r="H96" i="4"/>
  <c r="E178" i="39"/>
  <c r="S95" i="6"/>
  <c r="Y95" i="6"/>
  <c r="Y100" i="6"/>
  <c r="E174" i="6"/>
  <c r="E178" i="6"/>
  <c r="L95" i="4"/>
  <c r="L96" i="4"/>
  <c r="B124" i="4"/>
  <c r="C178" i="39"/>
  <c r="Q95" i="6"/>
  <c r="W95" i="6"/>
  <c r="W100" i="6"/>
  <c r="C174" i="6"/>
  <c r="C178" i="6"/>
  <c r="AU15" i="50"/>
  <c r="AV15" i="50"/>
  <c r="V99" i="6"/>
  <c r="Z99" i="6"/>
  <c r="T99" i="6"/>
  <c r="U99" i="6"/>
  <c r="N95" i="36"/>
  <c r="B18" i="36"/>
  <c r="O24" i="20"/>
  <c r="O23" i="20"/>
  <c r="T94" i="39"/>
  <c r="U94" i="39"/>
  <c r="B19" i="4"/>
  <c r="B123" i="4"/>
  <c r="Z99" i="39"/>
  <c r="T99" i="39"/>
  <c r="U99" i="39"/>
  <c r="T95" i="6"/>
  <c r="U95" i="6"/>
  <c r="V95" i="6"/>
  <c r="Z95" i="6"/>
  <c r="Z98" i="39"/>
  <c r="T98" i="39"/>
  <c r="U98" i="39"/>
  <c r="AU16" i="50"/>
  <c r="AV16" i="50"/>
  <c r="N95" i="4"/>
  <c r="V100" i="6"/>
  <c r="B174" i="6"/>
  <c r="Z94" i="6"/>
  <c r="Z100" i="6"/>
  <c r="O10" i="20"/>
  <c r="E10" i="21"/>
  <c r="J10" i="21"/>
  <c r="P12" i="43"/>
  <c r="N96" i="36"/>
  <c r="F174" i="6"/>
  <c r="B178" i="6"/>
  <c r="Z95" i="39"/>
  <c r="T95" i="39"/>
  <c r="U95" i="39"/>
  <c r="Z94" i="39"/>
  <c r="Z100" i="39"/>
  <c r="N96" i="4"/>
  <c r="B18" i="4"/>
  <c r="O24" i="40"/>
  <c r="O23" i="40"/>
  <c r="O10" i="40"/>
  <c r="E10" i="41"/>
  <c r="J10" i="41"/>
  <c r="B115" i="36"/>
  <c r="B35" i="37"/>
  <c r="M97" i="36"/>
  <c r="L97" i="36"/>
  <c r="N97" i="36"/>
  <c r="K97" i="36"/>
  <c r="P13" i="43"/>
  <c r="P14" i="43"/>
  <c r="P12" i="60"/>
  <c r="P16" i="43"/>
  <c r="P12" i="42"/>
  <c r="P15" i="43"/>
  <c r="N97" i="4"/>
  <c r="M97" i="4"/>
  <c r="K97" i="4"/>
  <c r="L97" i="4"/>
  <c r="B35" i="5"/>
  <c r="B115" i="4"/>
  <c r="B178" i="39"/>
  <c r="E187" i="6"/>
  <c r="F178" i="6"/>
  <c r="P16" i="42"/>
  <c r="P16" i="60"/>
  <c r="P13" i="42"/>
  <c r="P13" i="60"/>
  <c r="B131" i="36"/>
  <c r="B133" i="36"/>
  <c r="B124" i="37"/>
  <c r="P15" i="42"/>
  <c r="P15" i="60"/>
  <c r="P54" i="43"/>
  <c r="P140" i="43"/>
  <c r="P14" i="60"/>
  <c r="P14" i="42"/>
  <c r="P48" i="42"/>
  <c r="B10" i="36"/>
  <c r="F178" i="39"/>
  <c r="F179" i="6"/>
  <c r="E179" i="6"/>
  <c r="B179" i="6"/>
  <c r="C179" i="6"/>
  <c r="D179" i="6"/>
  <c r="B131" i="4"/>
  <c r="B133" i="4"/>
  <c r="B124" i="5"/>
  <c r="E191" i="6"/>
  <c r="B202" i="6"/>
  <c r="B12" i="6"/>
  <c r="W14" i="40"/>
  <c r="O13" i="40"/>
  <c r="O12" i="40"/>
  <c r="B10" i="4"/>
  <c r="O12" i="20"/>
  <c r="P36" i="60"/>
  <c r="P100" i="60"/>
  <c r="P134" i="42"/>
  <c r="B8" i="36"/>
  <c r="H9" i="36"/>
  <c r="H10" i="36"/>
  <c r="H8" i="37"/>
  <c r="O9" i="40"/>
  <c r="D10" i="41"/>
  <c r="O7" i="40"/>
  <c r="I19" i="24"/>
  <c r="B31" i="5"/>
  <c r="F31" i="5"/>
  <c r="B31" i="37"/>
  <c r="F31" i="37"/>
  <c r="Y19" i="50"/>
  <c r="Y18" i="50"/>
  <c r="B30" i="37"/>
  <c r="F30" i="37"/>
  <c r="Y17" i="50"/>
  <c r="B29" i="37"/>
  <c r="F29" i="37"/>
  <c r="I17" i="24"/>
  <c r="B29" i="5"/>
  <c r="F29" i="5"/>
  <c r="B30" i="5"/>
  <c r="F30" i="5"/>
  <c r="I18" i="24"/>
  <c r="B179" i="39"/>
  <c r="C179" i="39"/>
  <c r="F179" i="39"/>
  <c r="E179" i="39"/>
  <c r="D179" i="39"/>
  <c r="B8" i="4"/>
  <c r="H9" i="4"/>
  <c r="H10" i="4"/>
  <c r="H8" i="5"/>
  <c r="Y20" i="50"/>
  <c r="B32" i="37"/>
  <c r="F32" i="37"/>
  <c r="W14" i="20"/>
  <c r="D13" i="41"/>
  <c r="I20" i="24"/>
  <c r="B32" i="5"/>
  <c r="F32" i="5"/>
  <c r="O9" i="20"/>
  <c r="D10" i="21"/>
  <c r="O7" i="20"/>
  <c r="P5" i="42"/>
  <c r="P5" i="60"/>
  <c r="H32" i="5"/>
  <c r="B99" i="6"/>
  <c r="AO20" i="24"/>
  <c r="P32" i="40"/>
  <c r="P23" i="40"/>
  <c r="P18" i="40"/>
  <c r="P9" i="40"/>
  <c r="P25" i="40"/>
  <c r="P20" i="40"/>
  <c r="P12" i="40"/>
  <c r="C10" i="41"/>
  <c r="P31" i="40"/>
  <c r="P13" i="40"/>
  <c r="P21" i="40"/>
  <c r="P7" i="40"/>
  <c r="P19" i="40"/>
  <c r="P10" i="40"/>
  <c r="P33" i="40"/>
  <c r="P24" i="40"/>
  <c r="I34" i="39"/>
  <c r="I13" i="41"/>
  <c r="H30" i="5"/>
  <c r="B97" i="6"/>
  <c r="AO18" i="24"/>
  <c r="AO17" i="24"/>
  <c r="H29" i="5"/>
  <c r="B96" i="6"/>
  <c r="D13" i="21"/>
  <c r="I31" i="39"/>
  <c r="H31" i="5"/>
  <c r="B98" i="6"/>
  <c r="AO19" i="24"/>
  <c r="I32" i="39"/>
  <c r="AN19" i="50"/>
  <c r="AN17" i="50"/>
  <c r="I33" i="39"/>
  <c r="F10" i="41"/>
  <c r="I10" i="41"/>
  <c r="P9" i="60"/>
  <c r="P36" i="43"/>
  <c r="P10" i="43"/>
  <c r="P6" i="60"/>
  <c r="P7" i="60"/>
  <c r="P31" i="20"/>
  <c r="P21" i="20"/>
  <c r="P7" i="20"/>
  <c r="P24" i="20"/>
  <c r="C10" i="21"/>
  <c r="P33" i="20"/>
  <c r="P13" i="20"/>
  <c r="P20" i="20"/>
  <c r="P19" i="20"/>
  <c r="P9" i="20"/>
  <c r="P32" i="20"/>
  <c r="P10" i="20"/>
  <c r="P23" i="20"/>
  <c r="P18" i="20"/>
  <c r="P25" i="20"/>
  <c r="P12" i="20"/>
  <c r="P8" i="60"/>
  <c r="I10" i="21"/>
  <c r="F10" i="21"/>
  <c r="AF33" i="39"/>
  <c r="N33" i="39"/>
  <c r="K98" i="6"/>
  <c r="AC98" i="6"/>
  <c r="M98" i="6"/>
  <c r="AE98" i="6"/>
  <c r="L98" i="6"/>
  <c r="AD98" i="6"/>
  <c r="I98" i="6"/>
  <c r="J98" i="6"/>
  <c r="I13" i="21"/>
  <c r="N10" i="41"/>
  <c r="S10" i="41"/>
  <c r="O10" i="41"/>
  <c r="T10" i="41"/>
  <c r="G51" i="41"/>
  <c r="G48" i="41"/>
  <c r="Q10" i="41"/>
  <c r="G49" i="41"/>
  <c r="AN18" i="50"/>
  <c r="AF31" i="39"/>
  <c r="N31" i="39"/>
  <c r="AF34" i="39"/>
  <c r="N34" i="39"/>
  <c r="AN20" i="50"/>
  <c r="AF32" i="39"/>
  <c r="N32" i="39"/>
  <c r="K96" i="6"/>
  <c r="AC96" i="6"/>
  <c r="M96" i="6"/>
  <c r="AE96" i="6"/>
  <c r="L96" i="6"/>
  <c r="AD96" i="6"/>
  <c r="J96" i="6"/>
  <c r="I96" i="6"/>
  <c r="I96" i="39"/>
  <c r="I98" i="39"/>
  <c r="L97" i="6"/>
  <c r="AD97" i="6"/>
  <c r="J97" i="6"/>
  <c r="K97" i="6"/>
  <c r="AC97" i="6"/>
  <c r="M97" i="6"/>
  <c r="AE97" i="6"/>
  <c r="I97" i="6"/>
  <c r="J99" i="6"/>
  <c r="L99" i="6"/>
  <c r="AD99" i="6"/>
  <c r="K99" i="6"/>
  <c r="AC99" i="6"/>
  <c r="M99" i="6"/>
  <c r="AE99" i="6"/>
  <c r="I99" i="6"/>
  <c r="P146" i="42"/>
  <c r="P64" i="42"/>
  <c r="P42" i="60"/>
  <c r="P106" i="60"/>
  <c r="L12" i="54"/>
  <c r="P136" i="43"/>
  <c r="P122" i="43"/>
  <c r="P40" i="43"/>
  <c r="P97" i="43"/>
  <c r="N10" i="21"/>
  <c r="S10" i="21"/>
  <c r="O10" i="21"/>
  <c r="T10" i="21"/>
  <c r="G51" i="21"/>
  <c r="Q10" i="21"/>
  <c r="G49" i="21"/>
  <c r="G48" i="21"/>
  <c r="P130" i="42"/>
  <c r="P32" i="60"/>
  <c r="P96" i="60"/>
  <c r="P34" i="42"/>
  <c r="P91" i="42"/>
  <c r="P24" i="60"/>
  <c r="P116" i="42"/>
  <c r="P158" i="42"/>
  <c r="P177" i="42"/>
  <c r="P179" i="42"/>
  <c r="P76" i="42"/>
  <c r="P52" i="60"/>
  <c r="P116" i="60"/>
  <c r="P70" i="43"/>
  <c r="P156" i="43"/>
  <c r="P152" i="43"/>
  <c r="L28" i="54"/>
  <c r="P164" i="43"/>
  <c r="P82" i="43"/>
  <c r="P168" i="43"/>
  <c r="AB99" i="6"/>
  <c r="AF99" i="6"/>
  <c r="N99" i="6"/>
  <c r="N97" i="6"/>
  <c r="AB97" i="6"/>
  <c r="AF97" i="6"/>
  <c r="AF98" i="39"/>
  <c r="N98" i="39"/>
  <c r="AB96" i="6"/>
  <c r="AF96" i="6"/>
  <c r="N96" i="6"/>
  <c r="I99" i="39"/>
  <c r="AF96" i="39"/>
  <c r="N96" i="39"/>
  <c r="I97" i="39"/>
  <c r="G50" i="41"/>
  <c r="U10" i="41"/>
  <c r="AB98" i="6"/>
  <c r="AF98" i="6"/>
  <c r="N98" i="6"/>
  <c r="U10" i="21"/>
  <c r="G50" i="21"/>
  <c r="P183" i="43"/>
  <c r="P185" i="43"/>
  <c r="P162" i="42"/>
  <c r="P56" i="60"/>
  <c r="P120" i="60"/>
  <c r="P69" i="60"/>
  <c r="P88" i="60"/>
  <c r="P133" i="60"/>
  <c r="P135" i="60"/>
  <c r="P150" i="42"/>
  <c r="P46" i="60"/>
  <c r="P110" i="60"/>
  <c r="P99" i="42"/>
  <c r="P92" i="42"/>
  <c r="P94" i="42"/>
  <c r="P95" i="42"/>
  <c r="P96" i="42"/>
  <c r="P105" i="43"/>
  <c r="L14" i="54"/>
  <c r="L16" i="54"/>
  <c r="L10" i="54"/>
  <c r="P28" i="60"/>
  <c r="P120" i="42"/>
  <c r="P126" i="43"/>
  <c r="P98" i="43"/>
  <c r="P107" i="43"/>
  <c r="AF97" i="39"/>
  <c r="N97" i="39"/>
  <c r="N99" i="39"/>
  <c r="AF99" i="39"/>
  <c r="P92" i="60"/>
  <c r="P70" i="60"/>
  <c r="P77" i="60"/>
  <c r="P72" i="60"/>
  <c r="P73" i="60"/>
  <c r="P74" i="60"/>
  <c r="P101" i="42"/>
  <c r="P100" i="43"/>
  <c r="P101" i="43"/>
  <c r="P102" i="43"/>
  <c r="P79" i="60"/>
  <c r="L26" i="54"/>
  <c r="N26" i="54"/>
  <c r="H16" i="24"/>
  <c r="G28" i="5"/>
  <c r="J28" i="5"/>
  <c r="J33" i="5"/>
  <c r="C103" i="5"/>
  <c r="H103" i="5"/>
  <c r="H107" i="5"/>
  <c r="J28" i="37"/>
  <c r="J33" i="37"/>
  <c r="C103" i="37"/>
  <c r="H103" i="37"/>
  <c r="H107" i="37"/>
  <c r="C107" i="5"/>
  <c r="B120" i="5"/>
  <c r="B119" i="5"/>
  <c r="B15" i="5"/>
  <c r="B14" i="5"/>
  <c r="C107" i="37"/>
  <c r="B120" i="37"/>
  <c r="B119" i="37"/>
  <c r="B15" i="37"/>
  <c r="B14" i="37"/>
  <c r="S24" i="20"/>
  <c r="S23" i="20"/>
  <c r="R12" i="43"/>
  <c r="R12" i="60"/>
  <c r="R12" i="42"/>
  <c r="R13" i="43"/>
  <c r="R13" i="60"/>
  <c r="R15" i="43"/>
  <c r="R68" i="43"/>
  <c r="R154" i="43"/>
  <c r="R15" i="60"/>
  <c r="R16" i="43"/>
  <c r="R16" i="60"/>
  <c r="R14" i="43"/>
  <c r="R52" i="43"/>
  <c r="R138" i="43"/>
  <c r="R14" i="60"/>
  <c r="R14" i="42"/>
  <c r="R46" i="42"/>
  <c r="R132" i="42"/>
  <c r="R80" i="43"/>
  <c r="R166" i="43"/>
  <c r="R15" i="42"/>
  <c r="R62" i="42"/>
  <c r="R148" i="42"/>
  <c r="R38" i="43"/>
  <c r="R124" i="43"/>
  <c r="R16" i="42"/>
  <c r="R74" i="42"/>
  <c r="R160" i="42"/>
  <c r="R13" i="42"/>
  <c r="R32" i="42"/>
  <c r="R118" i="42"/>
  <c r="R54" i="60"/>
  <c r="T54" i="60"/>
  <c r="T118" i="60"/>
  <c r="R118" i="60"/>
  <c r="T32" i="42"/>
  <c r="T112" i="42"/>
  <c r="T92" i="42"/>
  <c r="R92" i="42"/>
  <c r="T101" i="42"/>
  <c r="T118" i="42"/>
  <c r="T80" i="43"/>
  <c r="T98" i="43"/>
  <c r="T107" i="43"/>
  <c r="T166" i="43"/>
  <c r="R44" i="60"/>
  <c r="R108" i="60"/>
  <c r="T44" i="60"/>
  <c r="R26" i="60"/>
  <c r="R90" i="60"/>
  <c r="R34" i="60"/>
  <c r="T34" i="60"/>
  <c r="T98" i="60"/>
  <c r="R98" i="60"/>
  <c r="Z26" i="60"/>
  <c r="T26" i="60"/>
  <c r="T90" i="60"/>
  <c r="T70" i="60"/>
  <c r="R70" i="60"/>
  <c r="T79" i="60"/>
  <c r="R98" i="43"/>
  <c r="R107" i="43"/>
  <c r="X107" i="43"/>
  <c r="J92" i="43"/>
  <c r="R101" i="42"/>
  <c r="X101" i="42"/>
  <c r="J86" i="42"/>
  <c r="J172" i="42"/>
  <c r="R79" i="60"/>
  <c r="X79" i="60"/>
  <c r="J64" i="60"/>
  <c r="J128" i="60"/>
  <c r="P27" i="54"/>
  <c r="P28" i="54"/>
  <c r="P11" i="54"/>
  <c r="P12" i="54"/>
  <c r="Z16" i="24"/>
  <c r="B30" i="6"/>
  <c r="M30" i="6"/>
  <c r="AE30" i="6"/>
  <c r="I30" i="6"/>
  <c r="J30" i="6"/>
  <c r="K30" i="6"/>
  <c r="L30" i="6"/>
  <c r="N30" i="6"/>
  <c r="AD30" i="6"/>
  <c r="AC30" i="6"/>
  <c r="AB30" i="6"/>
  <c r="AF30" i="6"/>
  <c r="C21" i="24"/>
  <c r="C23" i="24"/>
  <c r="C24" i="24"/>
  <c r="Y16" i="50"/>
  <c r="B28" i="37"/>
  <c r="F28" i="37"/>
  <c r="C21" i="50"/>
  <c r="C23" i="50"/>
  <c r="C24" i="50"/>
  <c r="D21" i="24"/>
  <c r="D23" i="24"/>
  <c r="D24" i="24"/>
  <c r="B28" i="5"/>
  <c r="F28" i="5"/>
  <c r="B27" i="5"/>
  <c r="F27" i="5"/>
  <c r="F33" i="5"/>
  <c r="F34" i="5"/>
  <c r="B33" i="5"/>
  <c r="B36" i="5"/>
  <c r="B37" i="5"/>
  <c r="I16" i="24"/>
  <c r="AO16" i="24"/>
  <c r="AO15" i="24"/>
  <c r="I30" i="39"/>
  <c r="Z15" i="24"/>
  <c r="B27" i="37"/>
  <c r="F27" i="37"/>
  <c r="F33" i="37"/>
  <c r="F34" i="37"/>
  <c r="B33" i="37"/>
  <c r="B36" i="37"/>
  <c r="B37" i="37"/>
  <c r="AF30" i="39"/>
  <c r="N30" i="39"/>
  <c r="Y15" i="50"/>
  <c r="H28" i="5"/>
  <c r="H33" i="5"/>
  <c r="M35" i="5"/>
  <c r="B95" i="6"/>
  <c r="L95" i="6"/>
  <c r="AD95" i="6"/>
  <c r="K95" i="6"/>
  <c r="AC95" i="6"/>
  <c r="M95" i="6"/>
  <c r="AE95" i="6"/>
  <c r="I95" i="6"/>
  <c r="AN16" i="50"/>
  <c r="G27" i="5"/>
  <c r="G33" i="5"/>
  <c r="G34" i="5"/>
  <c r="G35" i="5"/>
  <c r="J95" i="6"/>
  <c r="N95" i="6"/>
  <c r="AB95" i="6"/>
  <c r="AF95" i="6"/>
  <c r="I95" i="39"/>
  <c r="B94" i="6"/>
  <c r="I94" i="6"/>
  <c r="B100" i="6"/>
  <c r="AN15" i="50"/>
  <c r="B29" i="6"/>
  <c r="I29" i="6"/>
  <c r="B35" i="6"/>
  <c r="J29" i="6"/>
  <c r="J35" i="6"/>
  <c r="H33" i="37"/>
  <c r="M35" i="37"/>
  <c r="L94" i="6"/>
  <c r="L100" i="6"/>
  <c r="AD94" i="6"/>
  <c r="AD100" i="6"/>
  <c r="I174" i="6"/>
  <c r="I178" i="6"/>
  <c r="L29" i="6"/>
  <c r="L35" i="6"/>
  <c r="J94" i="6"/>
  <c r="J100" i="6"/>
  <c r="K94" i="6"/>
  <c r="K100" i="6"/>
  <c r="AC94" i="6"/>
  <c r="AC100" i="6"/>
  <c r="H174" i="6"/>
  <c r="H178" i="6"/>
  <c r="K33" i="5"/>
  <c r="J34" i="5"/>
  <c r="J35" i="5"/>
  <c r="K29" i="6"/>
  <c r="K35" i="6"/>
  <c r="N95" i="39"/>
  <c r="AF95" i="39"/>
  <c r="C29" i="6"/>
  <c r="C35" i="6"/>
  <c r="M29" i="6"/>
  <c r="AE29" i="6"/>
  <c r="AE35" i="6"/>
  <c r="J158" i="6"/>
  <c r="J162" i="6"/>
  <c r="M35" i="6"/>
  <c r="B35" i="39"/>
  <c r="I29" i="39"/>
  <c r="G33" i="37"/>
  <c r="G34" i="37"/>
  <c r="G35" i="37"/>
  <c r="M94" i="6"/>
  <c r="AE94" i="6"/>
  <c r="AE100" i="6"/>
  <c r="J174" i="6"/>
  <c r="J178" i="6"/>
  <c r="M100" i="6"/>
  <c r="H162" i="39"/>
  <c r="K35" i="39"/>
  <c r="N94" i="6"/>
  <c r="N100" i="6"/>
  <c r="J101" i="6"/>
  <c r="N101" i="6"/>
  <c r="K101" i="6"/>
  <c r="L101" i="6"/>
  <c r="M101" i="6"/>
  <c r="J34" i="37"/>
  <c r="J35" i="37"/>
  <c r="J162" i="39"/>
  <c r="M35" i="39"/>
  <c r="E162" i="39"/>
  <c r="S29" i="6"/>
  <c r="Y29" i="6"/>
  <c r="Y35" i="6"/>
  <c r="E158" i="6"/>
  <c r="E162" i="6"/>
  <c r="AE15" i="50"/>
  <c r="L35" i="39"/>
  <c r="C35" i="39"/>
  <c r="B100" i="39"/>
  <c r="I94" i="39"/>
  <c r="AC15" i="50"/>
  <c r="C162" i="39"/>
  <c r="J35" i="39"/>
  <c r="AG15" i="24"/>
  <c r="AH15" i="24"/>
  <c r="B103" i="5"/>
  <c r="G103" i="5"/>
  <c r="G107" i="5"/>
  <c r="D162" i="39"/>
  <c r="AD15" i="50"/>
  <c r="AB94" i="6"/>
  <c r="AF94" i="6"/>
  <c r="AF100" i="6"/>
  <c r="N29" i="6"/>
  <c r="N35" i="6"/>
  <c r="L36" i="6"/>
  <c r="M36" i="6"/>
  <c r="N36" i="6"/>
  <c r="K36" i="6"/>
  <c r="J36" i="6"/>
  <c r="N29" i="39"/>
  <c r="N35" i="39"/>
  <c r="J36" i="39"/>
  <c r="K36" i="39"/>
  <c r="N36" i="39"/>
  <c r="M36" i="39"/>
  <c r="L36" i="39"/>
  <c r="I178" i="39"/>
  <c r="L100" i="39"/>
  <c r="P29" i="6"/>
  <c r="Q29" i="6"/>
  <c r="R29" i="6"/>
  <c r="T29" i="6"/>
  <c r="U29" i="6"/>
  <c r="W29" i="6"/>
  <c r="W35" i="6"/>
  <c r="C158" i="6"/>
  <c r="C162" i="6"/>
  <c r="AC29" i="6"/>
  <c r="AC35" i="6"/>
  <c r="H158" i="6"/>
  <c r="H162" i="6"/>
  <c r="J100" i="39"/>
  <c r="T29" i="39"/>
  <c r="U29" i="39"/>
  <c r="J178" i="39"/>
  <c r="M100" i="39"/>
  <c r="G103" i="37"/>
  <c r="G107" i="37"/>
  <c r="X29" i="6"/>
  <c r="X35" i="6"/>
  <c r="D158" i="6"/>
  <c r="D162" i="6"/>
  <c r="AD29" i="6"/>
  <c r="AD35" i="6"/>
  <c r="I158" i="6"/>
  <c r="I162" i="6"/>
  <c r="AB15" i="50"/>
  <c r="AF15" i="50"/>
  <c r="AA15" i="50"/>
  <c r="AG15" i="50"/>
  <c r="H178" i="39"/>
  <c r="K100" i="39"/>
  <c r="I162" i="39"/>
  <c r="AB100" i="6"/>
  <c r="G174" i="6"/>
  <c r="G178" i="6"/>
  <c r="N94" i="39"/>
  <c r="N100" i="39"/>
  <c r="J101" i="39"/>
  <c r="K101" i="39"/>
  <c r="M101" i="39"/>
  <c r="N101" i="39"/>
  <c r="L101" i="39"/>
  <c r="Z29" i="39"/>
  <c r="Z35" i="39"/>
  <c r="B107" i="5"/>
  <c r="B116" i="5"/>
  <c r="B115" i="5"/>
  <c r="B123" i="5"/>
  <c r="B125" i="5"/>
  <c r="B209" i="6"/>
  <c r="AF94" i="39"/>
  <c r="AF100" i="39"/>
  <c r="V29" i="6"/>
  <c r="Z29" i="6"/>
  <c r="Z35" i="6"/>
  <c r="B162" i="39"/>
  <c r="K174" i="6"/>
  <c r="K178" i="6"/>
  <c r="G179" i="6"/>
  <c r="H179" i="6"/>
  <c r="I179" i="6"/>
  <c r="J179" i="6"/>
  <c r="K179" i="6"/>
  <c r="B181" i="6"/>
  <c r="B11" i="5"/>
  <c r="B10" i="5"/>
  <c r="B8" i="5"/>
  <c r="H9" i="5"/>
  <c r="H10" i="5"/>
  <c r="H10" i="6"/>
  <c r="AF29" i="39"/>
  <c r="AF35" i="39"/>
  <c r="B115" i="37"/>
  <c r="B123" i="37"/>
  <c r="B209" i="39"/>
  <c r="B125" i="37"/>
  <c r="AB29" i="6"/>
  <c r="AF29" i="6"/>
  <c r="AF35" i="6"/>
  <c r="G178" i="39"/>
  <c r="V35" i="6"/>
  <c r="B158" i="6"/>
  <c r="B162" i="6"/>
  <c r="B10" i="37"/>
  <c r="B8" i="37"/>
  <c r="H9" i="37"/>
  <c r="H10" i="37"/>
  <c r="H10" i="39"/>
  <c r="F187" i="6"/>
  <c r="G187" i="6"/>
  <c r="G191" i="6"/>
  <c r="G192" i="6"/>
  <c r="F191" i="6"/>
  <c r="F192" i="6"/>
  <c r="E192" i="6"/>
  <c r="G162" i="39"/>
  <c r="S13" i="40"/>
  <c r="S12" i="40"/>
  <c r="S9" i="40"/>
  <c r="D11" i="41"/>
  <c r="I11" i="41"/>
  <c r="S24" i="40"/>
  <c r="S23" i="40"/>
  <c r="S10" i="40"/>
  <c r="E11" i="41"/>
  <c r="F11" i="41"/>
  <c r="S7" i="40"/>
  <c r="T24" i="40"/>
  <c r="T12" i="40"/>
  <c r="T14" i="40"/>
  <c r="T9" i="40"/>
  <c r="T25" i="40"/>
  <c r="T7" i="40"/>
  <c r="T23" i="40"/>
  <c r="T13" i="40"/>
  <c r="T10" i="40"/>
  <c r="AB35" i="6"/>
  <c r="G158" i="6"/>
  <c r="G162" i="6"/>
  <c r="F158" i="6"/>
  <c r="F162" i="6"/>
  <c r="E163" i="6"/>
  <c r="F163" i="6"/>
  <c r="C163" i="6"/>
  <c r="D163" i="6"/>
  <c r="B163" i="6"/>
  <c r="S9" i="20"/>
  <c r="D11" i="21"/>
  <c r="I11" i="21"/>
  <c r="S10" i="20"/>
  <c r="E11" i="21"/>
  <c r="F11" i="21"/>
  <c r="K178" i="39"/>
  <c r="G179" i="39"/>
  <c r="K179" i="39"/>
  <c r="J179" i="39"/>
  <c r="I179" i="39"/>
  <c r="H179" i="39"/>
  <c r="B181" i="39"/>
  <c r="F162" i="39"/>
  <c r="B163" i="39"/>
  <c r="C163" i="39"/>
  <c r="F163" i="39"/>
  <c r="E163" i="39"/>
  <c r="D163" i="39"/>
  <c r="K162" i="39"/>
  <c r="B165" i="39"/>
  <c r="B206" i="6"/>
  <c r="B16" i="6"/>
  <c r="W25" i="40"/>
  <c r="C13" i="41"/>
  <c r="N13" i="41"/>
  <c r="E13" i="41"/>
  <c r="O13" i="41"/>
  <c r="Q13" i="41"/>
  <c r="J49" i="41"/>
  <c r="T13" i="41"/>
  <c r="J51" i="41"/>
  <c r="J48" i="41"/>
  <c r="R5" i="60"/>
  <c r="R5" i="42"/>
  <c r="C11" i="41"/>
  <c r="N11" i="41"/>
  <c r="O11" i="41"/>
  <c r="T11" i="41"/>
  <c r="H51" i="41"/>
  <c r="Q11" i="41"/>
  <c r="H49" i="41"/>
  <c r="H48" i="41"/>
  <c r="J13" i="41"/>
  <c r="F13" i="41"/>
  <c r="S7" i="20"/>
  <c r="T23" i="20"/>
  <c r="T10" i="20"/>
  <c r="T24" i="20"/>
  <c r="T9" i="20"/>
  <c r="T13" i="20"/>
  <c r="T25" i="20"/>
  <c r="T14" i="20"/>
  <c r="T12" i="20"/>
  <c r="T7" i="20"/>
  <c r="I187" i="39"/>
  <c r="I191" i="39"/>
  <c r="R7" i="60"/>
  <c r="B187" i="6"/>
  <c r="K158" i="6"/>
  <c r="C187" i="6"/>
  <c r="D187" i="6"/>
  <c r="D191" i="6"/>
  <c r="B191" i="6"/>
  <c r="B192" i="6"/>
  <c r="D192" i="6"/>
  <c r="S11" i="41"/>
  <c r="U11" i="41"/>
  <c r="H50" i="41"/>
  <c r="R8" i="60"/>
  <c r="G187" i="39"/>
  <c r="G191" i="39"/>
  <c r="E192" i="39"/>
  <c r="G192" i="39"/>
  <c r="F192" i="39"/>
  <c r="K162" i="6"/>
  <c r="K163" i="6"/>
  <c r="J163" i="6"/>
  <c r="G163" i="6"/>
  <c r="I163" i="6"/>
  <c r="H163" i="6"/>
  <c r="S13" i="41"/>
  <c r="U13" i="41"/>
  <c r="J50" i="41"/>
  <c r="G163" i="39"/>
  <c r="K163" i="39"/>
  <c r="J163" i="39"/>
  <c r="H163" i="39"/>
  <c r="I163" i="39"/>
  <c r="C11" i="21"/>
  <c r="O11" i="21"/>
  <c r="H48" i="21"/>
  <c r="T11" i="21"/>
  <c r="H51" i="21"/>
  <c r="Q11" i="21"/>
  <c r="H49" i="21"/>
  <c r="N11" i="21"/>
  <c r="D187" i="39"/>
  <c r="D191" i="39"/>
  <c r="C192" i="39"/>
  <c r="B192" i="39"/>
  <c r="D192" i="39"/>
  <c r="J187" i="6"/>
  <c r="J191" i="6"/>
  <c r="R9" i="60"/>
  <c r="J187" i="39"/>
  <c r="J191" i="39"/>
  <c r="I187" i="6"/>
  <c r="I191" i="6"/>
  <c r="B208" i="39"/>
  <c r="B210" i="39"/>
  <c r="R6" i="60"/>
  <c r="R10" i="43"/>
  <c r="B165" i="6"/>
  <c r="S11" i="21"/>
  <c r="U11" i="21"/>
  <c r="H50" i="21"/>
  <c r="K187" i="6"/>
  <c r="K191" i="6"/>
  <c r="I192" i="6"/>
  <c r="K192" i="6"/>
  <c r="J192" i="6"/>
  <c r="C191" i="6"/>
  <c r="B204" i="6"/>
  <c r="B15" i="6"/>
  <c r="B14" i="6"/>
  <c r="C192" i="6"/>
  <c r="W25" i="20"/>
  <c r="C13" i="21"/>
  <c r="N13" i="21"/>
  <c r="E13" i="21"/>
  <c r="O13" i="21"/>
  <c r="T13" i="21"/>
  <c r="J51" i="21"/>
  <c r="J48" i="21"/>
  <c r="Q13" i="21"/>
  <c r="J49" i="21"/>
  <c r="T78" i="43"/>
  <c r="T164" i="43"/>
  <c r="R164" i="43"/>
  <c r="J13" i="21"/>
  <c r="F13" i="21"/>
  <c r="R146" i="42"/>
  <c r="R42" i="60"/>
  <c r="R106" i="60"/>
  <c r="B200" i="6"/>
  <c r="B208" i="6"/>
  <c r="B210" i="6"/>
  <c r="T66" i="43"/>
  <c r="T152" i="43"/>
  <c r="R152" i="43"/>
  <c r="T50" i="43"/>
  <c r="T136" i="43"/>
  <c r="R136" i="43"/>
  <c r="R158" i="42"/>
  <c r="R52" i="60"/>
  <c r="R116" i="60"/>
  <c r="R32" i="60"/>
  <c r="R96" i="60"/>
  <c r="R130" i="42"/>
  <c r="S13" i="21"/>
  <c r="U13" i="21"/>
  <c r="J50" i="21"/>
  <c r="K187" i="39"/>
  <c r="K191" i="39"/>
  <c r="J192" i="39"/>
  <c r="K192" i="39"/>
  <c r="I192" i="39"/>
  <c r="R97" i="43"/>
  <c r="R100" i="43"/>
  <c r="R101" i="43"/>
  <c r="R102" i="43"/>
  <c r="R105" i="43"/>
  <c r="N28" i="54"/>
  <c r="B11" i="6"/>
  <c r="B10" i="6"/>
  <c r="B8" i="6"/>
  <c r="H11" i="6"/>
  <c r="H12" i="6"/>
  <c r="W12" i="20"/>
  <c r="W9" i="20"/>
  <c r="N12" i="54"/>
  <c r="P10" i="54"/>
  <c r="P14" i="54"/>
  <c r="N14" i="54"/>
  <c r="N16" i="54"/>
  <c r="N10" i="54"/>
  <c r="W23" i="40"/>
  <c r="E12" i="41"/>
  <c r="J12" i="41"/>
  <c r="W10" i="40"/>
  <c r="H11" i="39"/>
  <c r="H12" i="39"/>
  <c r="T44" i="42"/>
  <c r="T130" i="42"/>
  <c r="T32" i="60"/>
  <c r="T96" i="60"/>
  <c r="T72" i="42"/>
  <c r="T158" i="42"/>
  <c r="T52" i="60"/>
  <c r="T116" i="60"/>
  <c r="T122" i="43"/>
  <c r="T183" i="43"/>
  <c r="X183" i="43"/>
  <c r="V116" i="43"/>
  <c r="W23" i="20"/>
  <c r="E12" i="21"/>
  <c r="J12" i="21"/>
  <c r="W10" i="20"/>
  <c r="T60" i="42"/>
  <c r="T146" i="42"/>
  <c r="T42" i="60"/>
  <c r="T106" i="60"/>
  <c r="R91" i="42"/>
  <c r="R99" i="42"/>
  <c r="R94" i="42"/>
  <c r="R95" i="42"/>
  <c r="R96" i="42"/>
  <c r="W12" i="40"/>
  <c r="W9" i="40"/>
  <c r="C12" i="41"/>
  <c r="I48" i="41"/>
  <c r="Q12" i="41"/>
  <c r="I49" i="41"/>
  <c r="D12" i="41"/>
  <c r="N12" i="41"/>
  <c r="O12" i="41"/>
  <c r="T12" i="41"/>
  <c r="I51" i="41"/>
  <c r="R24" i="60"/>
  <c r="R69" i="60"/>
  <c r="R72" i="60"/>
  <c r="R73" i="60"/>
  <c r="R74" i="60"/>
  <c r="R77" i="60"/>
  <c r="W7" i="40"/>
  <c r="X25" i="40"/>
  <c r="X10" i="40"/>
  <c r="X14" i="40"/>
  <c r="X7" i="40"/>
  <c r="X12" i="40"/>
  <c r="X9" i="40"/>
  <c r="X23" i="40"/>
  <c r="T97" i="43"/>
  <c r="T100" i="43"/>
  <c r="T101" i="43"/>
  <c r="T102" i="43"/>
  <c r="T30" i="42"/>
  <c r="T91" i="42"/>
  <c r="T94" i="42"/>
  <c r="T95" i="42"/>
  <c r="T96" i="42"/>
  <c r="V110" i="42"/>
  <c r="R116" i="42"/>
  <c r="R177" i="42"/>
  <c r="T116" i="42"/>
  <c r="T177" i="42"/>
  <c r="T179" i="42"/>
  <c r="R122" i="43"/>
  <c r="R183" i="43"/>
  <c r="T185" i="43"/>
  <c r="D14" i="41"/>
  <c r="E14" i="41"/>
  <c r="E15" i="41"/>
  <c r="E16" i="41"/>
  <c r="I12" i="41"/>
  <c r="I14" i="41"/>
  <c r="J11" i="41"/>
  <c r="J14" i="41"/>
  <c r="J15" i="41"/>
  <c r="J16" i="41"/>
  <c r="F12" i="41"/>
  <c r="P26" i="54"/>
  <c r="P30" i="54"/>
  <c r="T24" i="60"/>
  <c r="T88" i="60"/>
  <c r="T133" i="60"/>
  <c r="X133" i="60"/>
  <c r="W7" i="20"/>
  <c r="X25" i="20"/>
  <c r="X7" i="20"/>
  <c r="X9" i="20"/>
  <c r="X14" i="20"/>
  <c r="X10" i="20"/>
  <c r="X23" i="20"/>
  <c r="X12" i="20"/>
  <c r="L30" i="54"/>
  <c r="L32" i="54"/>
  <c r="R185" i="43"/>
  <c r="X185" i="43"/>
  <c r="X187" i="43"/>
  <c r="Y187" i="43"/>
  <c r="J178" i="43"/>
  <c r="C12" i="21"/>
  <c r="Q12" i="21"/>
  <c r="I49" i="21"/>
  <c r="D12" i="21"/>
  <c r="N12" i="21"/>
  <c r="O12" i="21"/>
  <c r="I48" i="21"/>
  <c r="T12" i="21"/>
  <c r="I51" i="21"/>
  <c r="X177" i="42"/>
  <c r="I12" i="21"/>
  <c r="I14" i="21"/>
  <c r="J11" i="21"/>
  <c r="J14" i="21"/>
  <c r="J15" i="21"/>
  <c r="J16" i="21"/>
  <c r="F12" i="21"/>
  <c r="D14" i="21"/>
  <c r="E14" i="21"/>
  <c r="E15" i="21"/>
  <c r="E16" i="21"/>
  <c r="S12" i="21"/>
  <c r="U12" i="21"/>
  <c r="I50" i="21"/>
  <c r="S14" i="21"/>
  <c r="T14" i="21"/>
  <c r="T15" i="21"/>
  <c r="T16" i="21"/>
  <c r="N30" i="54"/>
  <c r="N32" i="54"/>
  <c r="R88" i="60"/>
  <c r="R133" i="60"/>
  <c r="T135" i="60"/>
  <c r="R179" i="42"/>
  <c r="X179" i="42"/>
  <c r="X181" i="42"/>
  <c r="Y181" i="42"/>
  <c r="T105" i="43"/>
  <c r="X105" i="43"/>
  <c r="V24" i="43"/>
  <c r="X109" i="43"/>
  <c r="Y109" i="43"/>
  <c r="R135" i="60"/>
  <c r="X135" i="60"/>
  <c r="X137" i="60"/>
  <c r="Y137" i="60"/>
  <c r="T69" i="60"/>
  <c r="T72" i="60"/>
  <c r="T73" i="60"/>
  <c r="T74" i="60"/>
  <c r="V88" i="60"/>
  <c r="T99" i="42"/>
  <c r="X99" i="42"/>
  <c r="X103" i="42"/>
  <c r="Y103" i="42"/>
  <c r="V24" i="42"/>
  <c r="S12" i="41"/>
  <c r="U12" i="41"/>
  <c r="I50" i="41"/>
  <c r="S14" i="41"/>
  <c r="T14" i="41"/>
  <c r="T15" i="41"/>
  <c r="T16" i="41"/>
  <c r="U14" i="41"/>
  <c r="T77" i="60"/>
  <c r="X77" i="60"/>
  <c r="X81" i="60"/>
  <c r="Y81" i="60"/>
  <c r="V24" i="60"/>
  <c r="F48" i="9" l="1"/>
  <c r="F14" i="9" s="1"/>
  <c r="D57" i="41" s="1"/>
  <c r="F58" i="41"/>
  <c r="F58" i="21"/>
  <c r="J18" i="9"/>
  <c r="J52" i="9" s="1"/>
  <c r="J55" i="9" s="1"/>
  <c r="J48" i="9" s="1"/>
  <c r="J14" i="9" s="1"/>
  <c r="L48" i="9"/>
  <c r="L14" i="9" s="1"/>
  <c r="G57" i="21" s="1"/>
  <c r="N48" i="9"/>
  <c r="N14" i="9" s="1"/>
  <c r="H57" i="21" s="1"/>
  <c r="P48" i="9"/>
  <c r="P14" i="9" s="1"/>
  <c r="I57" i="21" s="1"/>
  <c r="J57" i="21"/>
  <c r="J57" i="41"/>
  <c r="A111" i="6"/>
  <c r="A46" i="6"/>
  <c r="A44" i="39"/>
  <c r="A44" i="6"/>
  <c r="A30" i="39"/>
  <c r="A95" i="39"/>
  <c r="A30" i="6"/>
  <c r="A29" i="6"/>
  <c r="B3" i="31"/>
  <c r="B2" i="9"/>
  <c r="B2" i="54"/>
  <c r="B2" i="63"/>
  <c r="B2" i="62"/>
  <c r="B2" i="61"/>
  <c r="B2" i="53"/>
  <c r="D57" i="21" l="1"/>
  <c r="F57" i="21"/>
  <c r="F57" i="41"/>
  <c r="G57" i="41"/>
  <c r="H57" i="41"/>
  <c r="I57" i="41"/>
</calcChain>
</file>

<file path=xl/comments1.xml><?xml version="1.0" encoding="utf-8"?>
<comments xmlns="http://schemas.openxmlformats.org/spreadsheetml/2006/main">
  <authors>
    <author>Erick Baetings</author>
  </authors>
  <commentList>
    <comment ref="H14" authorId="0" shapeId="0">
      <text>
        <r>
          <rPr>
            <b/>
            <sz val="9"/>
            <color indexed="81"/>
            <rFont val="Tahoma"/>
            <family val="2"/>
          </rPr>
          <t>Erick Baetings:</t>
        </r>
        <r>
          <rPr>
            <sz val="9"/>
            <color indexed="81"/>
            <rFont val="Tahoma"/>
            <family val="2"/>
          </rPr>
          <t xml:space="preserve">
</t>
        </r>
        <r>
          <rPr>
            <b/>
            <sz val="11"/>
            <color indexed="81"/>
            <rFont val="Calibri"/>
            <family val="2"/>
            <scheme val="minor"/>
          </rPr>
          <t>If you know the losses due to network leakages than you need to put that volume in this cell. For example if the losses are 40% of treated water than multiply 40% times the total amount treated and stored. Then insert in this cell the volume being unsafely treated and stored minus the calculated 40% losses volume</t>
        </r>
      </text>
    </comment>
  </commentList>
</comments>
</file>

<file path=xl/comments2.xml><?xml version="1.0" encoding="utf-8"?>
<comments xmlns="http://schemas.openxmlformats.org/spreadsheetml/2006/main">
  <authors>
    <author>Erick Baetings</author>
  </authors>
  <commentList>
    <comment ref="C8" authorId="0" shapeId="0">
      <text>
        <r>
          <rPr>
            <sz val="10"/>
            <color indexed="81"/>
            <rFont val="Tahoma"/>
            <family val="2"/>
          </rPr>
          <t xml:space="preserve">Be sure you type the date correctly as this is required for the calculations! 
For example: 1/1/2015 to get </t>
        </r>
        <r>
          <rPr>
            <b/>
            <sz val="10"/>
            <color indexed="81"/>
            <rFont val="Tahoma"/>
            <family val="2"/>
          </rPr>
          <t>01 January 2015</t>
        </r>
      </text>
    </comment>
    <comment ref="D16" authorId="0" shapeId="0">
      <text>
        <r>
          <rPr>
            <sz val="10"/>
            <color indexed="81"/>
            <rFont val="Tahoma"/>
            <family val="2"/>
          </rPr>
          <t xml:space="preserve">Be sure you type the date correctly as this is required for the calculations! 
For example: 1/1/2015 to get </t>
        </r>
        <r>
          <rPr>
            <b/>
            <sz val="10"/>
            <color indexed="81"/>
            <rFont val="Tahoma"/>
            <family val="2"/>
          </rPr>
          <t>01 January 2015</t>
        </r>
      </text>
    </comment>
    <comment ref="E16" authorId="0" shapeId="0">
      <text>
        <r>
          <rPr>
            <sz val="10"/>
            <color indexed="81"/>
            <rFont val="Tahoma"/>
            <family val="2"/>
          </rPr>
          <t xml:space="preserve">This exchange rate is used to calculate the present population. 
Use the current annual growth rate so that the tool can calculate the current population. </t>
        </r>
      </text>
    </comment>
    <comment ref="H16" authorId="0" shapeId="0">
      <text>
        <r>
          <rPr>
            <sz val="10"/>
            <color indexed="81"/>
            <rFont val="Tahoma"/>
            <family val="2"/>
          </rPr>
          <t xml:space="preserve">This exchange rate is used to calculate the future population. 
Use the average annual growht rate foreseen for the years defined by the planning horizon. </t>
        </r>
      </text>
    </comment>
  </commentList>
</comments>
</file>

<file path=xl/comments3.xml><?xml version="1.0" encoding="utf-8"?>
<comments xmlns="http://schemas.openxmlformats.org/spreadsheetml/2006/main">
  <authors>
    <author>Ingeborg Krukkert</author>
  </authors>
  <commentList>
    <comment ref="G29" authorId="0" shapeId="0">
      <text>
        <r>
          <rPr>
            <b/>
            <sz val="9"/>
            <color indexed="81"/>
            <rFont val="Tahoma"/>
            <family val="2"/>
          </rPr>
          <t>Ingeborg Krukkert:</t>
        </r>
        <r>
          <rPr>
            <sz val="9"/>
            <color indexed="81"/>
            <rFont val="Tahoma"/>
            <family val="2"/>
          </rPr>
          <t xml:space="preserve">
Capacity is designed for 135 liters  per capita per day water supply  - Shehfar to provide source. </t>
        </r>
      </text>
    </comment>
  </commentList>
</comments>
</file>

<file path=xl/comments4.xml><?xml version="1.0" encoding="utf-8"?>
<comments xmlns="http://schemas.openxmlformats.org/spreadsheetml/2006/main">
  <authors>
    <author>Ingeborg Krukkert</author>
  </authors>
  <commentList>
    <comment ref="B34" authorId="0" shapeId="0">
      <text>
        <r>
          <rPr>
            <b/>
            <sz val="9"/>
            <color indexed="81"/>
            <rFont val="Tahoma"/>
            <family val="2"/>
          </rPr>
          <t>Ingeborg Krukkert:</t>
        </r>
        <r>
          <rPr>
            <sz val="9"/>
            <color indexed="81"/>
            <rFont val="Tahoma"/>
            <family val="2"/>
          </rPr>
          <t xml:space="preserve">
See page 71 of City Sanitation Plan for table with all stakeholders and their (overlapping) responsibilities</t>
        </r>
      </text>
    </comment>
  </commentList>
</comments>
</file>

<file path=xl/sharedStrings.xml><?xml version="1.0" encoding="utf-8"?>
<sst xmlns="http://schemas.openxmlformats.org/spreadsheetml/2006/main" count="7023" uniqueCount="1208">
  <si>
    <t>OLD password = fwf16</t>
  </si>
  <si>
    <t>NEW password = SHIT</t>
  </si>
  <si>
    <t>FLOW DIAGRAM | TOTAL FAECAL WASTE FLOWS</t>
  </si>
  <si>
    <t>MENU</t>
  </si>
  <si>
    <t xml:space="preserve">To copy this diagram into a PowerPoint slide, click on an element of the diagram, then select all (Ctrl + A) then Copy and Paste Special [Picture (GIF)] </t>
  </si>
  <si>
    <t>FLOW DIAGRAM | FAECAL SLUDGE FLOWS</t>
  </si>
  <si>
    <t>FLOW DIAGRAM | DETAILED TOTAL FAECAL WASTE FLOWS</t>
  </si>
  <si>
    <t>FLOW DIAGRAM | DETAILED FAECAL SLUDGE FLOWS</t>
  </si>
  <si>
    <t>SUMMARY OVERVIEW | TOTAL FAECAL WASTE FLOWS 
(Faecal sludge and septage or black water)</t>
  </si>
  <si>
    <t>NOW</t>
  </si>
  <si>
    <t xml:space="preserve">SAFE </t>
  </si>
  <si>
    <t>UNSAFE</t>
  </si>
  <si>
    <t>TOTALS</t>
  </si>
  <si>
    <t>Produced</t>
  </si>
  <si>
    <t>Capture</t>
  </si>
  <si>
    <t>Captured</t>
  </si>
  <si>
    <t>Containment</t>
  </si>
  <si>
    <t>Contained</t>
  </si>
  <si>
    <t>Emptying</t>
  </si>
  <si>
    <t>Transport</t>
  </si>
  <si>
    <t>Treatment</t>
  </si>
  <si>
    <t>Disposal</t>
  </si>
  <si>
    <t>Reuse</t>
  </si>
  <si>
    <t>Rapid assessment of faecal sludge / wastewater flows and related issues</t>
  </si>
  <si>
    <t>Volumes of FAECAL WASTE FLOWS conserved per year through the sanitation service chain</t>
  </si>
  <si>
    <t>Summary of FAECAL WASTE FLOWS</t>
  </si>
  <si>
    <r>
      <t>Totals in m</t>
    </r>
    <r>
      <rPr>
        <b/>
        <vertAlign val="superscript"/>
        <sz val="12"/>
        <color theme="0"/>
        <rFont val="Calibri"/>
        <family val="2"/>
        <scheme val="minor"/>
      </rPr>
      <t>3</t>
    </r>
  </si>
  <si>
    <t>Totals in %</t>
  </si>
  <si>
    <t>Safe</t>
  </si>
  <si>
    <t>Unsafe</t>
  </si>
  <si>
    <t>Overview of faecal waste management related score cards</t>
  </si>
  <si>
    <t>Overall</t>
  </si>
  <si>
    <t>Planning</t>
  </si>
  <si>
    <t>Budgets</t>
  </si>
  <si>
    <t>Standards</t>
  </si>
  <si>
    <t>Permits</t>
  </si>
  <si>
    <t>Safety</t>
  </si>
  <si>
    <t>N/A</t>
  </si>
  <si>
    <t>Notes: NA = Not Available; N/A = Not Applicable</t>
  </si>
  <si>
    <t>Password = fwf16</t>
  </si>
  <si>
    <t>New = SHIT</t>
  </si>
  <si>
    <t>SUMMARY OF TOTAL FAECAL WASTE FLOWS 
(Faecal sludge and septage or black water)</t>
  </si>
  <si>
    <t>CAPTURE</t>
  </si>
  <si>
    <t>CONTAINMENT</t>
  </si>
  <si>
    <t>EMPTYING</t>
  </si>
  <si>
    <t>TRANSPORT</t>
  </si>
  <si>
    <t>TREATMENT</t>
  </si>
  <si>
    <t>DISPOSAL OR REUSE</t>
  </si>
  <si>
    <t>Volume produced</t>
  </si>
  <si>
    <t>Volume contained</t>
  </si>
  <si>
    <t>Volume emptied</t>
  </si>
  <si>
    <t>Volume transported</t>
  </si>
  <si>
    <t>Volume treated</t>
  </si>
  <si>
    <t>Volume disposed or reused</t>
  </si>
  <si>
    <t>SAFE</t>
  </si>
  <si>
    <t>=</t>
  </si>
  <si>
    <t>Volumes safely captured</t>
  </si>
  <si>
    <t>Volumes safely contained</t>
  </si>
  <si>
    <t>Volumes safely emptied</t>
  </si>
  <si>
    <t>Volumes safely transported</t>
  </si>
  <si>
    <t>Volumes safely treated</t>
  </si>
  <si>
    <t>Volumes safely disposed</t>
  </si>
  <si>
    <r>
      <rPr>
        <sz val="10"/>
        <color theme="1"/>
        <rFont val="Wingdings 3"/>
        <family val="1"/>
        <charset val="2"/>
      </rPr>
      <t></t>
    </r>
    <r>
      <rPr>
        <sz val="10"/>
        <color theme="1"/>
        <rFont val="Calibri"/>
        <family val="2"/>
        <scheme val="minor"/>
      </rPr>
      <t xml:space="preserve">   Captured in WC to sewer</t>
    </r>
  </si>
  <si>
    <r>
      <rPr>
        <sz val="10"/>
        <color theme="1"/>
        <rFont val="Wingdings 3"/>
        <family val="1"/>
        <charset val="2"/>
      </rPr>
      <t></t>
    </r>
    <r>
      <rPr>
        <sz val="10"/>
        <color theme="1"/>
        <rFont val="Calibri"/>
        <family val="2"/>
        <scheme val="minor"/>
      </rPr>
      <t xml:space="preserve">   Contained in WC to sewer</t>
    </r>
  </si>
  <si>
    <r>
      <rPr>
        <sz val="10"/>
        <color theme="1"/>
        <rFont val="Wingdings 3"/>
        <family val="1"/>
        <charset val="2"/>
      </rPr>
      <t></t>
    </r>
    <r>
      <rPr>
        <sz val="10"/>
        <color theme="1"/>
        <rFont val="Calibri"/>
        <family val="2"/>
        <scheme val="minor"/>
      </rPr>
      <t xml:space="preserve">   Safely emptied manually</t>
    </r>
  </si>
  <si>
    <r>
      <rPr>
        <sz val="10"/>
        <color theme="1"/>
        <rFont val="Wingdings 3"/>
        <family val="1"/>
        <charset val="2"/>
      </rPr>
      <t></t>
    </r>
    <r>
      <rPr>
        <sz val="10"/>
        <color theme="1"/>
        <rFont val="Calibri"/>
        <family val="2"/>
        <scheme val="minor"/>
      </rPr>
      <t xml:space="preserve">   Safely transported </t>
    </r>
  </si>
  <si>
    <r>
      <rPr>
        <sz val="10"/>
        <color theme="1"/>
        <rFont val="Wingdings 3"/>
        <family val="1"/>
        <charset val="2"/>
      </rPr>
      <t></t>
    </r>
    <r>
      <rPr>
        <sz val="10"/>
        <color theme="1"/>
        <rFont val="Calibri"/>
        <family val="2"/>
        <scheme val="minor"/>
      </rPr>
      <t xml:space="preserve">   Safely treated for disposal</t>
    </r>
  </si>
  <si>
    <t>+</t>
  </si>
  <si>
    <r>
      <rPr>
        <sz val="10"/>
        <color theme="1"/>
        <rFont val="Wingdings 3"/>
        <family val="1"/>
        <charset val="2"/>
      </rPr>
      <t></t>
    </r>
    <r>
      <rPr>
        <sz val="10"/>
        <color theme="1"/>
        <rFont val="Calibri"/>
        <family val="2"/>
        <scheme val="minor"/>
      </rPr>
      <t xml:space="preserve">   Captured in WC to DEWATS*</t>
    </r>
  </si>
  <si>
    <r>
      <rPr>
        <sz val="10"/>
        <color theme="1"/>
        <rFont val="Wingdings 3"/>
        <family val="1"/>
        <charset val="2"/>
      </rPr>
      <t></t>
    </r>
    <r>
      <rPr>
        <sz val="10"/>
        <color theme="1"/>
        <rFont val="Calibri"/>
        <family val="2"/>
        <scheme val="minor"/>
      </rPr>
      <t xml:space="preserve">   Contained in WC to DEWATS</t>
    </r>
  </si>
  <si>
    <r>
      <rPr>
        <sz val="10"/>
        <color theme="1"/>
        <rFont val="Wingdings 3"/>
        <family val="1"/>
        <charset val="2"/>
      </rPr>
      <t></t>
    </r>
    <r>
      <rPr>
        <sz val="10"/>
        <color theme="1"/>
        <rFont val="Calibri"/>
        <family val="2"/>
        <scheme val="minor"/>
      </rPr>
      <t xml:space="preserve">   Safely emptied mechanically</t>
    </r>
  </si>
  <si>
    <r>
      <rPr>
        <sz val="10"/>
        <color theme="1"/>
        <rFont val="Wingdings 3"/>
        <family val="1"/>
        <charset val="2"/>
      </rPr>
      <t></t>
    </r>
    <r>
      <rPr>
        <sz val="10"/>
        <color theme="1"/>
        <rFont val="Calibri"/>
        <family val="2"/>
        <scheme val="minor"/>
      </rPr>
      <t xml:space="preserve">   Safely treated for reuse</t>
    </r>
  </si>
  <si>
    <t>Volumes safely reused</t>
  </si>
  <si>
    <r>
      <rPr>
        <sz val="10"/>
        <color theme="1"/>
        <rFont val="Wingdings 3"/>
        <family val="1"/>
        <charset val="2"/>
      </rPr>
      <t></t>
    </r>
    <r>
      <rPr>
        <sz val="10"/>
        <color theme="1"/>
        <rFont val="Calibri"/>
        <family val="2"/>
        <scheme val="minor"/>
      </rPr>
      <t xml:space="preserve">   Captured onsite in septic tanks</t>
    </r>
  </si>
  <si>
    <r>
      <rPr>
        <sz val="10"/>
        <color theme="1"/>
        <rFont val="Wingdings 3"/>
        <family val="1"/>
        <charset val="2"/>
      </rPr>
      <t></t>
    </r>
    <r>
      <rPr>
        <sz val="10"/>
        <color theme="1"/>
        <rFont val="Calibri"/>
        <family val="2"/>
        <scheme val="minor"/>
      </rPr>
      <t xml:space="preserve">   Contained onsite in septic tanks</t>
    </r>
  </si>
  <si>
    <r>
      <rPr>
        <sz val="10"/>
        <color theme="1"/>
        <rFont val="Wingdings 3"/>
        <family val="1"/>
        <charset val="2"/>
      </rPr>
      <t></t>
    </r>
    <r>
      <rPr>
        <sz val="10"/>
        <color theme="1"/>
        <rFont val="Calibri"/>
        <family val="2"/>
        <scheme val="minor"/>
      </rPr>
      <t xml:space="preserve">   Captured onsite in pit latrines</t>
    </r>
  </si>
  <si>
    <r>
      <rPr>
        <sz val="10"/>
        <color theme="1"/>
        <rFont val="Wingdings 3"/>
        <family val="1"/>
        <charset val="2"/>
      </rPr>
      <t></t>
    </r>
    <r>
      <rPr>
        <sz val="10"/>
        <color theme="1"/>
        <rFont val="Calibri"/>
        <family val="2"/>
        <scheme val="minor"/>
      </rPr>
      <t xml:space="preserve">   Contained onsite in pit latrines</t>
    </r>
  </si>
  <si>
    <t>* = DEWATS or communal septic tanks</t>
  </si>
  <si>
    <t>Volumes safely passed on</t>
  </si>
  <si>
    <t>Volumes (safely) passed on</t>
  </si>
  <si>
    <r>
      <rPr>
        <sz val="10"/>
        <color theme="1"/>
        <rFont val="Wingdings 3"/>
        <family val="1"/>
        <charset val="2"/>
      </rPr>
      <t></t>
    </r>
    <r>
      <rPr>
        <sz val="10"/>
        <color theme="1"/>
        <rFont val="Calibri"/>
        <family val="2"/>
        <scheme val="minor"/>
      </rPr>
      <t xml:space="preserve">  Captured in WC to sewer</t>
    </r>
  </si>
  <si>
    <r>
      <rPr>
        <sz val="10"/>
        <color theme="1"/>
        <rFont val="Wingdings 3"/>
        <family val="1"/>
        <charset val="2"/>
      </rPr>
      <t></t>
    </r>
    <r>
      <rPr>
        <sz val="10"/>
        <color theme="1"/>
        <rFont val="Calibri"/>
        <family val="2"/>
        <scheme val="minor"/>
      </rPr>
      <t xml:space="preserve">   Septage from DEWATS</t>
    </r>
  </si>
  <si>
    <r>
      <rPr>
        <sz val="10"/>
        <color theme="1"/>
        <rFont val="Wingdings 3"/>
        <family val="1"/>
        <charset val="2"/>
      </rPr>
      <t></t>
    </r>
    <r>
      <rPr>
        <sz val="10"/>
        <color theme="1"/>
        <rFont val="Calibri"/>
        <family val="2"/>
        <scheme val="minor"/>
      </rPr>
      <t xml:space="preserve">  Septage from DEWATS</t>
    </r>
  </si>
  <si>
    <r>
      <rPr>
        <sz val="10"/>
        <color theme="1"/>
        <rFont val="Wingdings 3"/>
        <family val="1"/>
        <charset val="2"/>
      </rPr>
      <t></t>
    </r>
    <r>
      <rPr>
        <sz val="10"/>
        <color theme="1"/>
        <rFont val="Calibri"/>
        <family val="2"/>
        <scheme val="minor"/>
      </rPr>
      <t xml:space="preserve">   Septage from onsite septic tanks</t>
    </r>
  </si>
  <si>
    <r>
      <rPr>
        <sz val="10"/>
        <color theme="1"/>
        <rFont val="Wingdings 3"/>
        <family val="1"/>
        <charset val="2"/>
      </rPr>
      <t></t>
    </r>
    <r>
      <rPr>
        <sz val="10"/>
        <color theme="1"/>
        <rFont val="Calibri"/>
        <family val="2"/>
        <scheme val="minor"/>
      </rPr>
      <t xml:space="preserve">  Septage from onsite septic tanks</t>
    </r>
  </si>
  <si>
    <t>Volumes not safely captured</t>
  </si>
  <si>
    <t>Volumes not safely contained</t>
  </si>
  <si>
    <t>Volumes not safely emptied</t>
  </si>
  <si>
    <t>Volumes not safely transported</t>
  </si>
  <si>
    <t>Volumes not safely treated</t>
  </si>
  <si>
    <t>Volumes unsafely disposed</t>
  </si>
  <si>
    <r>
      <rPr>
        <sz val="10"/>
        <color theme="1"/>
        <rFont val="Wingdings 3"/>
        <family val="1"/>
        <charset val="2"/>
      </rPr>
      <t></t>
    </r>
    <r>
      <rPr>
        <sz val="10"/>
        <color theme="1"/>
        <rFont val="Calibri"/>
        <family val="2"/>
        <scheme val="minor"/>
      </rPr>
      <t xml:space="preserve">   Open defecation (OD)</t>
    </r>
  </si>
  <si>
    <r>
      <rPr>
        <sz val="10"/>
        <color theme="1"/>
        <rFont val="Wingdings 3"/>
        <family val="1"/>
        <charset val="2"/>
      </rPr>
      <t></t>
    </r>
    <r>
      <rPr>
        <sz val="10"/>
        <color theme="1"/>
        <rFont val="Calibri"/>
        <family val="2"/>
        <scheme val="minor"/>
      </rPr>
      <t xml:space="preserve">   Unsafely emptied manually</t>
    </r>
  </si>
  <si>
    <r>
      <rPr>
        <sz val="10"/>
        <color theme="1"/>
        <rFont val="Wingdings 3"/>
        <family val="1"/>
        <charset val="2"/>
      </rPr>
      <t></t>
    </r>
    <r>
      <rPr>
        <sz val="10"/>
        <color theme="1"/>
        <rFont val="Calibri"/>
        <family val="2"/>
        <scheme val="minor"/>
      </rPr>
      <t xml:space="preserve">   Spillage during transport</t>
    </r>
  </si>
  <si>
    <r>
      <rPr>
        <sz val="10"/>
        <color theme="1"/>
        <rFont val="Wingdings 3"/>
        <family val="1"/>
        <charset val="2"/>
      </rPr>
      <t></t>
    </r>
    <r>
      <rPr>
        <sz val="10"/>
        <color theme="1"/>
        <rFont val="Calibri"/>
        <family val="2"/>
        <scheme val="minor"/>
      </rPr>
      <t xml:space="preserve">   Unsafely treated for disposal</t>
    </r>
  </si>
  <si>
    <r>
      <rPr>
        <sz val="10"/>
        <color theme="1"/>
        <rFont val="Wingdings 3"/>
        <family val="1"/>
        <charset val="2"/>
      </rPr>
      <t></t>
    </r>
    <r>
      <rPr>
        <sz val="10"/>
        <color theme="1"/>
        <rFont val="Calibri"/>
        <family val="2"/>
        <scheme val="minor"/>
      </rPr>
      <t xml:space="preserve">   Unsafely emptied mechanically</t>
    </r>
  </si>
  <si>
    <r>
      <rPr>
        <sz val="10"/>
        <color theme="1"/>
        <rFont val="Wingdings 3"/>
        <family val="1"/>
        <charset val="2"/>
      </rPr>
      <t></t>
    </r>
    <r>
      <rPr>
        <sz val="10"/>
        <color theme="1"/>
        <rFont val="Calibri"/>
        <family val="2"/>
        <scheme val="minor"/>
      </rPr>
      <t xml:space="preserve">   Illegally disposed</t>
    </r>
  </si>
  <si>
    <r>
      <rPr>
        <sz val="10"/>
        <color theme="1"/>
        <rFont val="Wingdings 3"/>
        <family val="1"/>
        <charset val="2"/>
      </rPr>
      <t></t>
    </r>
    <r>
      <rPr>
        <sz val="10"/>
        <color theme="1"/>
        <rFont val="Calibri"/>
        <family val="2"/>
        <scheme val="minor"/>
      </rPr>
      <t xml:space="preserve">   Unsafely treated for reuse</t>
    </r>
  </si>
  <si>
    <t>Volumes unsafely reused</t>
  </si>
  <si>
    <t>Volumes not emptied</t>
  </si>
  <si>
    <r>
      <rPr>
        <sz val="10"/>
        <color theme="1"/>
        <rFont val="Wingdings 3"/>
        <family val="1"/>
        <charset val="2"/>
      </rPr>
      <t></t>
    </r>
    <r>
      <rPr>
        <sz val="10"/>
        <color theme="1"/>
        <rFont val="Calibri"/>
        <family val="2"/>
        <scheme val="minor"/>
      </rPr>
      <t xml:space="preserve">   Not emptied onsite facilities</t>
    </r>
  </si>
  <si>
    <t>Volumes not safely passed on</t>
  </si>
  <si>
    <r>
      <rPr>
        <sz val="10"/>
        <color theme="1"/>
        <rFont val="Wingdings 3"/>
        <family val="1"/>
        <charset val="2"/>
      </rPr>
      <t></t>
    </r>
    <r>
      <rPr>
        <sz val="10"/>
        <color theme="1"/>
        <rFont val="Calibri"/>
        <family val="2"/>
        <scheme val="minor"/>
      </rPr>
      <t xml:space="preserve">   Septage from onsite pit latrines</t>
    </r>
  </si>
  <si>
    <r>
      <rPr>
        <sz val="10"/>
        <color theme="1"/>
        <rFont val="Wingdings 3"/>
        <family val="1"/>
        <charset val="2"/>
      </rPr>
      <t></t>
    </r>
    <r>
      <rPr>
        <sz val="10"/>
        <color theme="1"/>
        <rFont val="Calibri"/>
        <family val="2"/>
        <scheme val="minor"/>
      </rPr>
      <t xml:space="preserve">   Leakage in sewers</t>
    </r>
  </si>
  <si>
    <r>
      <rPr>
        <sz val="10"/>
        <color theme="1"/>
        <rFont val="Wingdings 3"/>
        <family val="1"/>
        <charset val="2"/>
      </rPr>
      <t></t>
    </r>
    <r>
      <rPr>
        <sz val="10"/>
        <color theme="1"/>
        <rFont val="Calibri"/>
        <family val="2"/>
        <scheme val="minor"/>
      </rPr>
      <t xml:space="preserve">   Leakage in DEWATS</t>
    </r>
  </si>
  <si>
    <t>SUMMARY OVERVIEW | FAECAL SLUDGE FLOWS</t>
  </si>
  <si>
    <t>All produced</t>
  </si>
  <si>
    <t>Volumes of FAECAL SLUDGE conserved per year through the sanitation service chain</t>
  </si>
  <si>
    <t>Summary of FAECAL SLUDGE flows</t>
  </si>
  <si>
    <t>SUMMARY OF FAECAL SLUDGE FLOWS</t>
  </si>
  <si>
    <t>SUMMARY OF VOLUMES FOR 
TOTAL FAECAL WASTE FLOW DIAGRAM</t>
  </si>
  <si>
    <t>Safely emptied</t>
  </si>
  <si>
    <t>Safely transported</t>
  </si>
  <si>
    <t>Safely treated sludge</t>
  </si>
  <si>
    <t>TYPE OF FACILITY</t>
  </si>
  <si>
    <t>Same as for faecal sludge &gt;&gt;</t>
  </si>
  <si>
    <t>WC connected to sewer with onsite sludge containment</t>
  </si>
  <si>
    <t>WC connected to communal septic tank</t>
  </si>
  <si>
    <t>Onstie septic tank</t>
  </si>
  <si>
    <t>Onsite pit latrine</t>
  </si>
  <si>
    <t>Not safely emptied</t>
  </si>
  <si>
    <t>Not safely transported</t>
  </si>
  <si>
    <t>Unsafely treated sludge</t>
  </si>
  <si>
    <t>IN CUBIC METRES</t>
  </si>
  <si>
    <t>Note: Select options for unsafely managed faecal waste below the presentation of the volumes in percentages</t>
  </si>
  <si>
    <t>TOTAL VOLUME PRODUCED</t>
  </si>
  <si>
    <t>VOLUMES PRODUCED</t>
  </si>
  <si>
    <t>DISPOSAL 
OR REUSE</t>
  </si>
  <si>
    <t>WC connected to sewer</t>
  </si>
  <si>
    <t>Onsite
 facilities</t>
  </si>
  <si>
    <t>Septic tank</t>
  </si>
  <si>
    <t>Pit latrines</t>
  </si>
  <si>
    <t>Open defecation</t>
  </si>
  <si>
    <t>Volumes produced</t>
  </si>
  <si>
    <t>Disposal or reuse</t>
  </si>
  <si>
    <t>Check totals &gt;&gt;</t>
  </si>
  <si>
    <t>Totals per sanitation service chain element | SAFE</t>
  </si>
  <si>
    <t>Totals per sanitation service chain element | UNSAFE</t>
  </si>
  <si>
    <t>IN PERCENTAGES</t>
  </si>
  <si>
    <t>Onsite 
facilities</t>
  </si>
  <si>
    <t>Select reasons why faecal sludge is disappearing along the chain that explains the above red percentages &gt;&gt;</t>
  </si>
  <si>
    <t>Discharge to environment</t>
  </si>
  <si>
    <t>Not emptied pits or tanks</t>
  </si>
  <si>
    <t xml:space="preserve">Broken sewer </t>
  </si>
  <si>
    <t>No treatment and or ineffective treatment</t>
  </si>
  <si>
    <t>Options</t>
  </si>
  <si>
    <t>Seepage</t>
  </si>
  <si>
    <t>Spillage during emptying</t>
  </si>
  <si>
    <t>Spillage during transport</t>
  </si>
  <si>
    <t>No treatment</t>
  </si>
  <si>
    <t>Ilegal dumping</t>
  </si>
  <si>
    <t>Ineffective treatment</t>
  </si>
  <si>
    <t>Seepage and discharge to environment</t>
  </si>
  <si>
    <t>Spillage and not emptied pits or tanks</t>
  </si>
  <si>
    <t>Spillage during transport and illegal dumping</t>
  </si>
  <si>
    <t>Informal dumping on farmland</t>
  </si>
  <si>
    <t>Leaking sewers</t>
  </si>
  <si>
    <t>Leaking sewers and informal dumping</t>
  </si>
  <si>
    <t>Spillage (transport), leakage (sewers) and illegal dumping</t>
  </si>
  <si>
    <t>Leaking sewers and illegal dumping</t>
  </si>
  <si>
    <t>SUMMARY OF VOLUMES FOR 
FAECAL SLUDGE FLOW DIAGRAM</t>
  </si>
  <si>
    <t>Onsite facilities</t>
  </si>
  <si>
    <t>Spillage and illegal dumping</t>
  </si>
  <si>
    <t>Illegal dumping on farmland</t>
  </si>
  <si>
    <t>OVERVIEW OF SCORE CARDS</t>
  </si>
  <si>
    <t>Note: The information captured in the blue headings is shown in the summary reports {Overview ALL} and {Overview SLUDGE}</t>
  </si>
  <si>
    <r>
      <rPr>
        <b/>
        <sz val="8"/>
        <color theme="2"/>
        <rFont val="Wingdings 3"/>
        <family val="1"/>
        <charset val="2"/>
      </rPr>
      <t>u</t>
    </r>
    <r>
      <rPr>
        <b/>
        <sz val="9"/>
        <color theme="2"/>
        <rFont val="Calibri"/>
        <family val="2"/>
      </rPr>
      <t xml:space="preserve"> National</t>
    </r>
  </si>
  <si>
    <r>
      <rPr>
        <b/>
        <sz val="8"/>
        <color theme="2"/>
        <rFont val="Wingdings 3"/>
        <family val="1"/>
        <charset val="2"/>
      </rPr>
      <t>u</t>
    </r>
    <r>
      <rPr>
        <b/>
        <sz val="9"/>
        <color theme="2"/>
        <rFont val="Calibri"/>
        <family val="2"/>
      </rPr>
      <t xml:space="preserve"> City</t>
    </r>
  </si>
  <si>
    <r>
      <rPr>
        <b/>
        <sz val="8"/>
        <color theme="2"/>
        <rFont val="Wingdings 3"/>
        <family val="1"/>
        <charset val="2"/>
      </rPr>
      <t>u</t>
    </r>
    <r>
      <rPr>
        <b/>
        <sz val="9"/>
        <color theme="2"/>
        <rFont val="Calibri"/>
        <family val="2"/>
      </rPr>
      <t xml:space="preserve"> Sanitation infrastructure budget</t>
    </r>
  </si>
  <si>
    <r>
      <rPr>
        <b/>
        <sz val="8"/>
        <color theme="2"/>
        <rFont val="Wingdings 3"/>
        <family val="1"/>
        <charset val="2"/>
      </rPr>
      <t>u</t>
    </r>
    <r>
      <rPr>
        <b/>
        <sz val="9"/>
        <color theme="2"/>
        <rFont val="Calibri"/>
        <family val="2"/>
      </rPr>
      <t xml:space="preserve"> WASH operational budget</t>
    </r>
  </si>
  <si>
    <r>
      <rPr>
        <b/>
        <sz val="8"/>
        <color theme="2"/>
        <rFont val="Wingdings 3"/>
        <family val="1"/>
        <charset val="2"/>
      </rPr>
      <t>u</t>
    </r>
    <r>
      <rPr>
        <b/>
        <sz val="9"/>
        <color theme="2"/>
        <rFont val="Calibri"/>
        <family val="2"/>
      </rPr>
      <t xml:space="preserve"> Infrastructure budget</t>
    </r>
  </si>
  <si>
    <r>
      <rPr>
        <b/>
        <sz val="8"/>
        <color theme="2"/>
        <rFont val="Wingdings 3"/>
        <family val="1"/>
        <charset val="2"/>
      </rPr>
      <t>u</t>
    </r>
    <r>
      <rPr>
        <b/>
        <sz val="9"/>
        <color theme="2"/>
        <rFont val="Calibri"/>
        <family val="2"/>
      </rPr>
      <t xml:space="preserve"> Operational budget</t>
    </r>
  </si>
  <si>
    <t>Standards and regulations</t>
  </si>
  <si>
    <r>
      <rPr>
        <b/>
        <sz val="8"/>
        <color theme="2"/>
        <rFont val="Wingdings 3"/>
        <family val="1"/>
        <charset val="2"/>
      </rPr>
      <t>u</t>
    </r>
    <r>
      <rPr>
        <b/>
        <sz val="9"/>
        <color theme="2"/>
        <rFont val="Calibri"/>
        <family val="2"/>
      </rPr>
      <t xml:space="preserve"> Building regulations</t>
    </r>
  </si>
  <si>
    <r>
      <rPr>
        <b/>
        <sz val="8"/>
        <color theme="2"/>
        <rFont val="Wingdings 3"/>
        <family val="1"/>
        <charset val="2"/>
      </rPr>
      <t>u</t>
    </r>
    <r>
      <rPr>
        <b/>
        <sz val="9"/>
        <color theme="2"/>
        <rFont val="Calibri"/>
        <family val="2"/>
      </rPr>
      <t xml:space="preserve"> Safety standards</t>
    </r>
  </si>
  <si>
    <r>
      <rPr>
        <b/>
        <sz val="8"/>
        <color theme="2"/>
        <rFont val="Wingdings 3"/>
        <family val="1"/>
        <charset val="2"/>
      </rPr>
      <t>u</t>
    </r>
    <r>
      <rPr>
        <b/>
        <sz val="9"/>
        <color theme="2"/>
        <rFont val="Calibri"/>
        <family val="2"/>
      </rPr>
      <t xml:space="preserve"> Sewage treatment effluent standards</t>
    </r>
  </si>
  <si>
    <r>
      <rPr>
        <b/>
        <sz val="8"/>
        <color theme="2"/>
        <rFont val="Wingdings 3"/>
        <family val="1"/>
        <charset val="2"/>
      </rPr>
      <t>u</t>
    </r>
    <r>
      <rPr>
        <b/>
        <sz val="9"/>
        <color theme="2"/>
        <rFont val="Calibri"/>
        <family val="2"/>
      </rPr>
      <t xml:space="preserve"> Communal septic tank effluent standards</t>
    </r>
  </si>
  <si>
    <r>
      <rPr>
        <b/>
        <sz val="8"/>
        <color theme="2"/>
        <rFont val="Wingdings 3"/>
        <family val="1"/>
        <charset val="2"/>
      </rPr>
      <t>u</t>
    </r>
    <r>
      <rPr>
        <b/>
        <sz val="9"/>
        <color theme="2"/>
        <rFont val="Calibri"/>
        <family val="2"/>
      </rPr>
      <t xml:space="preserve"> Disposal standards</t>
    </r>
  </si>
  <si>
    <r>
      <rPr>
        <b/>
        <sz val="8"/>
        <color theme="2"/>
        <rFont val="Wingdings 3"/>
        <family val="1"/>
        <charset val="2"/>
      </rPr>
      <t>u</t>
    </r>
    <r>
      <rPr>
        <b/>
        <sz val="9"/>
        <color theme="2"/>
        <rFont val="Calibri"/>
        <family val="2"/>
      </rPr>
      <t xml:space="preserve"> Reuse standards</t>
    </r>
  </si>
  <si>
    <r>
      <rPr>
        <b/>
        <sz val="8"/>
        <color theme="2"/>
        <rFont val="Wingdings 3"/>
        <family val="1"/>
        <charset val="2"/>
      </rPr>
      <t>u</t>
    </r>
    <r>
      <rPr>
        <b/>
        <sz val="9"/>
        <color theme="2"/>
        <rFont val="Calibri"/>
        <family val="2"/>
      </rPr>
      <t xml:space="preserve"> Permits and permissions</t>
    </r>
  </si>
  <si>
    <r>
      <rPr>
        <b/>
        <sz val="8"/>
        <color theme="2"/>
        <rFont val="Wingdings 3"/>
        <family val="1"/>
        <charset val="2"/>
      </rPr>
      <t>u</t>
    </r>
    <r>
      <rPr>
        <b/>
        <sz val="9"/>
        <color theme="2"/>
        <rFont val="Calibri"/>
        <family val="2"/>
      </rPr>
      <t xml:space="preserve"> Business licences and permissions</t>
    </r>
  </si>
  <si>
    <r>
      <rPr>
        <b/>
        <sz val="8"/>
        <color theme="2"/>
        <rFont val="Wingdings 3"/>
        <family val="1"/>
        <charset val="2"/>
      </rPr>
      <t>u</t>
    </r>
    <r>
      <rPr>
        <b/>
        <sz val="9"/>
        <color theme="2"/>
        <rFont val="Calibri"/>
        <family val="2"/>
      </rPr>
      <t xml:space="preserve"> Safety practices manual providers</t>
    </r>
  </si>
  <si>
    <r>
      <rPr>
        <b/>
        <sz val="8"/>
        <color theme="2"/>
        <rFont val="Wingdings 3"/>
        <family val="1"/>
        <charset val="2"/>
      </rPr>
      <t>u</t>
    </r>
    <r>
      <rPr>
        <b/>
        <sz val="9"/>
        <color theme="2"/>
        <rFont val="Calibri"/>
        <family val="2"/>
      </rPr>
      <t xml:space="preserve"> Safety practices mechanical providers</t>
    </r>
  </si>
  <si>
    <r>
      <rPr>
        <sz val="8"/>
        <color theme="2"/>
        <rFont val="Wingdings 3"/>
        <family val="1"/>
        <charset val="2"/>
      </rPr>
      <t>u</t>
    </r>
    <r>
      <rPr>
        <sz val="9"/>
        <color theme="2"/>
        <rFont val="Calibri"/>
        <family val="2"/>
      </rPr>
      <t xml:space="preserve"> Sanitation infrastructure budget</t>
    </r>
  </si>
  <si>
    <r>
      <rPr>
        <sz val="8"/>
        <color theme="2"/>
        <rFont val="Wingdings 3"/>
        <family val="1"/>
        <charset val="2"/>
      </rPr>
      <t>u</t>
    </r>
    <r>
      <rPr>
        <sz val="9"/>
        <color theme="2"/>
        <rFont val="Calibri"/>
        <family val="2"/>
      </rPr>
      <t xml:space="preserve"> WASH operational budget</t>
    </r>
  </si>
  <si>
    <r>
      <rPr>
        <sz val="8"/>
        <color theme="2"/>
        <rFont val="Wingdings 3"/>
        <family val="1"/>
        <charset val="2"/>
      </rPr>
      <t>u</t>
    </r>
    <r>
      <rPr>
        <sz val="9"/>
        <color theme="2"/>
        <rFont val="Calibri"/>
        <family val="2"/>
      </rPr>
      <t xml:space="preserve"> Infrastructure budget</t>
    </r>
  </si>
  <si>
    <r>
      <rPr>
        <sz val="8"/>
        <color theme="2"/>
        <rFont val="Wingdings 3"/>
        <family val="1"/>
        <charset val="2"/>
      </rPr>
      <t>u</t>
    </r>
    <r>
      <rPr>
        <sz val="9"/>
        <color theme="2"/>
        <rFont val="Calibri"/>
        <family val="2"/>
      </rPr>
      <t xml:space="preserve"> Operational budget</t>
    </r>
  </si>
  <si>
    <r>
      <rPr>
        <sz val="10"/>
        <color theme="2"/>
        <rFont val="Wingdings 3"/>
        <family val="1"/>
        <charset val="2"/>
      </rPr>
      <t>u</t>
    </r>
    <r>
      <rPr>
        <sz val="10"/>
        <color theme="2"/>
        <rFont val="Calibri"/>
        <family val="2"/>
      </rPr>
      <t xml:space="preserve"> Building regulations</t>
    </r>
  </si>
  <si>
    <r>
      <rPr>
        <sz val="10"/>
        <color theme="2"/>
        <rFont val="Wingdings 3"/>
        <family val="1"/>
        <charset val="2"/>
      </rPr>
      <t>u</t>
    </r>
    <r>
      <rPr>
        <sz val="10"/>
        <color theme="2"/>
        <rFont val="Calibri"/>
        <family val="2"/>
      </rPr>
      <t xml:space="preserve"> Sewage treatment effluent standards</t>
    </r>
  </si>
  <si>
    <r>
      <rPr>
        <sz val="10"/>
        <color theme="2"/>
        <rFont val="Wingdings 3"/>
        <family val="1"/>
        <charset val="2"/>
      </rPr>
      <t>u</t>
    </r>
    <r>
      <rPr>
        <sz val="10"/>
        <color theme="2"/>
        <rFont val="Calibri"/>
        <family val="2"/>
      </rPr>
      <t xml:space="preserve"> Communal septic tank effluent standards</t>
    </r>
  </si>
  <si>
    <r>
      <rPr>
        <sz val="10"/>
        <color theme="2"/>
        <rFont val="Wingdings 3"/>
        <family val="1"/>
        <charset val="2"/>
      </rPr>
      <t>u</t>
    </r>
    <r>
      <rPr>
        <sz val="10"/>
        <color theme="2"/>
        <rFont val="Calibri"/>
        <family val="2"/>
      </rPr>
      <t xml:space="preserve"> Safety practices manual providers</t>
    </r>
  </si>
  <si>
    <r>
      <rPr>
        <sz val="10"/>
        <color theme="2"/>
        <rFont val="Wingdings 3"/>
        <family val="1"/>
        <charset val="2"/>
      </rPr>
      <t>u</t>
    </r>
    <r>
      <rPr>
        <sz val="10"/>
        <color theme="2"/>
        <rFont val="Calibri"/>
        <family val="2"/>
      </rPr>
      <t xml:space="preserve"> Safety practices mechanical providers</t>
    </r>
  </si>
  <si>
    <t>EXISTING AND FUTURE POPULATION PROJECTIONS
Residents and temporary residents</t>
  </si>
  <si>
    <t>RESIDENTS</t>
  </si>
  <si>
    <t>TODAY</t>
  </si>
  <si>
    <t>Expected increase</t>
  </si>
  <si>
    <t xml:space="preserve">IN FUTURE | After </t>
  </si>
  <si>
    <t xml:space="preserve"> years</t>
  </si>
  <si>
    <t>Types of sanitation facilities</t>
  </si>
  <si>
    <t># of PEOPLE</t>
  </si>
  <si>
    <t># of HH</t>
  </si>
  <si>
    <t>In %</t>
  </si>
  <si>
    <t>In # of PEOPLE</t>
  </si>
  <si>
    <r>
      <rPr>
        <b/>
        <sz val="12"/>
        <color theme="0"/>
        <rFont val="Wingdings 3"/>
        <family val="1"/>
        <charset val="2"/>
      </rPr>
      <t></t>
    </r>
    <r>
      <rPr>
        <b/>
        <sz val="12"/>
        <color theme="0"/>
        <rFont val="Calibri"/>
        <family val="2"/>
        <scheme val="minor"/>
      </rPr>
      <t xml:space="preserve">   WC to sewer</t>
    </r>
  </si>
  <si>
    <r>
      <rPr>
        <b/>
        <sz val="12"/>
        <color theme="0"/>
        <rFont val="Wingdings 3"/>
        <family val="1"/>
        <charset val="2"/>
      </rPr>
      <t></t>
    </r>
    <r>
      <rPr>
        <b/>
        <sz val="12"/>
        <color theme="0"/>
        <rFont val="Calibri"/>
        <family val="2"/>
        <scheme val="minor"/>
      </rPr>
      <t xml:space="preserve">   WC to communal septic tank</t>
    </r>
  </si>
  <si>
    <r>
      <rPr>
        <b/>
        <sz val="12"/>
        <color theme="0"/>
        <rFont val="Wingdings 3"/>
        <family val="1"/>
        <charset val="2"/>
      </rPr>
      <t></t>
    </r>
    <r>
      <rPr>
        <b/>
        <sz val="12"/>
        <color theme="0"/>
        <rFont val="Calibri"/>
        <family val="2"/>
        <scheme val="minor"/>
      </rPr>
      <t xml:space="preserve">   WC to onsite septic tanks or pit</t>
    </r>
  </si>
  <si>
    <r>
      <rPr>
        <b/>
        <sz val="12"/>
        <color theme="0"/>
        <rFont val="Wingdings 3"/>
        <family val="1"/>
        <charset val="2"/>
      </rPr>
      <t></t>
    </r>
    <r>
      <rPr>
        <b/>
        <sz val="12"/>
        <color theme="0"/>
        <rFont val="Calibri"/>
        <family val="2"/>
        <scheme val="minor"/>
      </rPr>
      <t xml:space="preserve">   Communal toilet</t>
    </r>
  </si>
  <si>
    <r>
      <rPr>
        <b/>
        <sz val="12"/>
        <color theme="0"/>
        <rFont val="Wingdings 3"/>
        <family val="1"/>
        <charset val="2"/>
      </rPr>
      <t></t>
    </r>
    <r>
      <rPr>
        <b/>
        <sz val="12"/>
        <color theme="0"/>
        <rFont val="Calibri"/>
        <family val="2"/>
        <scheme val="minor"/>
      </rPr>
      <t xml:space="preserve">   No toilet (Open defecation)</t>
    </r>
  </si>
  <si>
    <t>Totals</t>
  </si>
  <si>
    <t>TEMPORARY RESIDENTS</t>
  </si>
  <si>
    <t xml:space="preserve"> tourists and </t>
  </si>
  <si>
    <t xml:space="preserve"> temporary residents (workers, students and others) per day</t>
  </si>
  <si>
    <t>FUTURE</t>
  </si>
  <si>
    <t>DIFF</t>
  </si>
  <si>
    <t xml:space="preserve"> temporary residents</t>
  </si>
  <si>
    <t>Grand Totals</t>
  </si>
  <si>
    <t>EXISTING SANITATION FACILITIES &amp; VOLUMES PRODUCED
Residents and temporary residents</t>
  </si>
  <si>
    <t>Volumes produced NOW</t>
  </si>
  <si>
    <t>Volumes produced IN FUTURE</t>
  </si>
  <si>
    <t>Per year in cubic metres</t>
  </si>
  <si>
    <t>Per day</t>
  </si>
  <si>
    <t>Per year</t>
  </si>
  <si>
    <t>Sludge</t>
  </si>
  <si>
    <t>Blackwater</t>
  </si>
  <si>
    <r>
      <t>In m</t>
    </r>
    <r>
      <rPr>
        <b/>
        <vertAlign val="superscript"/>
        <sz val="12"/>
        <color theme="2"/>
        <rFont val="Calibri"/>
        <family val="2"/>
        <scheme val="minor"/>
      </rPr>
      <t>3</t>
    </r>
    <r>
      <rPr>
        <b/>
        <sz val="12"/>
        <color theme="2"/>
        <rFont val="Calibri"/>
        <family val="2"/>
        <scheme val="minor"/>
      </rPr>
      <t xml:space="preserve"> per day</t>
    </r>
  </si>
  <si>
    <t>FAECAL WASTE FLOW SUMMARY</t>
  </si>
  <si>
    <t>TOTAL FAECAL WASTE FLOWS in cubic metres</t>
  </si>
  <si>
    <t>Proportion safely…</t>
  </si>
  <si>
    <t>Residents</t>
  </si>
  <si>
    <t>Temporary residents</t>
  </si>
  <si>
    <t>Totals in cubic metres</t>
  </si>
  <si>
    <t>Emptied</t>
  </si>
  <si>
    <t>Transported</t>
  </si>
  <si>
    <t>Treated</t>
  </si>
  <si>
    <t xml:space="preserve">Safely contained faecal waste that is safely emptied or safely "passed on" </t>
  </si>
  <si>
    <t xml:space="preserve">Safely emptied or safely "passed on" faecal waste that is transported to a safe destination </t>
  </si>
  <si>
    <t xml:space="preserve">Safely transported faecal waste that is safely treated </t>
  </si>
  <si>
    <t>FAECAL SLUDGE FLOWS in cubic metres</t>
  </si>
  <si>
    <t xml:space="preserve">Safely contained faecal sludge that is safely emptied </t>
  </si>
  <si>
    <t xml:space="preserve">Safely emptied faecal sludge that is transported to a safe destination </t>
  </si>
  <si>
    <t xml:space="preserve">Safely transported faecal sludge that is safely treated </t>
  </si>
  <si>
    <t>WATER AND ASSOCIATED WASTE FLOWS</t>
  </si>
  <si>
    <t>TOTAL WATER FLOWS IN MLD</t>
  </si>
  <si>
    <t>WASTEWATER GENERATED IN MLD</t>
  </si>
  <si>
    <t>WASTEWATER CAPTURED IN MLD</t>
  </si>
  <si>
    <t>Total POP</t>
  </si>
  <si>
    <t>DEMAND in LPCD</t>
  </si>
  <si>
    <t>DEMAND</t>
  </si>
  <si>
    <t>Wastewater generated in %</t>
  </si>
  <si>
    <t>Wastewater generated</t>
  </si>
  <si>
    <t>Wastewater captured</t>
  </si>
  <si>
    <t>Difference</t>
  </si>
  <si>
    <t>Difference
in %</t>
  </si>
  <si>
    <t>IN FUTURE</t>
  </si>
  <si>
    <t>INCREASE</t>
  </si>
  <si>
    <t>INCREASE IN %</t>
  </si>
  <si>
    <t>CONNECTED TO SEWER</t>
  </si>
  <si>
    <t>- FLUSH</t>
  </si>
  <si>
    <t>- POUR-FLUSH</t>
  </si>
  <si>
    <t>NON-RESIDENTS</t>
  </si>
  <si>
    <t>ONSITE</t>
  </si>
  <si>
    <t>COMBINED WATER AND FAECAL WASTE FLOWS</t>
  </si>
  <si>
    <t>NOTE: THIS SHEET PROVIDES YOU WITH THE VOLUMES (SAFE AND UNSAFE) THAT ARE TO BE INSERTED IN THE PPT COMBINED WATER AND WASTEWATER DIAGRAM</t>
  </si>
  <si>
    <t>WATER FLOWS IN MLD</t>
  </si>
  <si>
    <t>ABSTRACTION</t>
  </si>
  <si>
    <t>TREATMENT AND STORAGE</t>
  </si>
  <si>
    <t>DISTRIBUTION</t>
  </si>
  <si>
    <t>COLLECTION</t>
  </si>
  <si>
    <t>DISPOSAL</t>
  </si>
  <si>
    <t>ACTUAL CONSUMPTION</t>
  </si>
  <si>
    <t>UNSAFE IN %</t>
  </si>
  <si>
    <t>WASTEWATER FLOWS IN MLD</t>
  </si>
  <si>
    <t>OF TOTAL WATER ABSTRACTION</t>
  </si>
  <si>
    <t>TOTAL SAFE IN %</t>
  </si>
  <si>
    <t>TOTAL UNSAFE IN %</t>
  </si>
  <si>
    <t>EMPTYING and TRANSPORT questions</t>
  </si>
  <si>
    <t>Size of on site containment pits and tanks</t>
  </si>
  <si>
    <t>CHECK</t>
  </si>
  <si>
    <t>Average size (volumes) of on site toilet sub-structures</t>
  </si>
  <si>
    <t>(Septic) Tank</t>
  </si>
  <si>
    <t>Pit</t>
  </si>
  <si>
    <t xml:space="preserve">Volume NOT emptied &gt;&gt; </t>
  </si>
  <si>
    <t>Average size of pits and tanks in litres</t>
  </si>
  <si>
    <t>Correction factor: proportion of tank or pit emptied</t>
  </si>
  <si>
    <t>Note: Even if the sludge in a pit/ tank is liquid enough to be adequately pumped, it will be impossible to remove 100% of the contents. This % then reflects a more realistic volume to empty.</t>
  </si>
  <si>
    <t>Emptiers and emptying methods</t>
  </si>
  <si>
    <t xml:space="preserve">For inputs about transportation methods go to column AA   </t>
  </si>
  <si>
    <t>Transportation Methods</t>
  </si>
  <si>
    <t>Please list the number of manual pit emptiers and the average number of pits emptied by this method</t>
  </si>
  <si>
    <t>Fees and business viability</t>
  </si>
  <si>
    <t>Manual pit emptying of onsite sanitation facilities</t>
  </si>
  <si>
    <t>Pit emptying charges</t>
  </si>
  <si>
    <t>Outreach area</t>
  </si>
  <si>
    <t>Faecal sludge transportation details</t>
  </si>
  <si>
    <t>Faecal sludge is transported by second transporter from sub-station</t>
  </si>
  <si>
    <t>MANUAL PIT EMPTIERS</t>
  </si>
  <si>
    <t>Emptying method</t>
  </si>
  <si>
    <t>Average number of units emptied per day per emptier</t>
  </si>
  <si>
    <t>Number of emptiers</t>
  </si>
  <si>
    <t>Safety factor for spillage during emptying</t>
  </si>
  <si>
    <t>Minimum costs charged in local currency</t>
  </si>
  <si>
    <t>Maximum costs charged in local currency</t>
  </si>
  <si>
    <t>Average costs charged in local currency</t>
  </si>
  <si>
    <t>Is transportation charged separately?</t>
  </si>
  <si>
    <t>Is this a profitable business opportunity? (YES/NO)</t>
  </si>
  <si>
    <t>Does this business cover the entire city? (YES/NO)</t>
  </si>
  <si>
    <t>If NO, why not?</t>
  </si>
  <si>
    <t>TRANSPORTATION OF FEACAL SLUDGE FROM ONSITE SANITATION FACILITIES BY MANUAL EMPTIERS</t>
  </si>
  <si>
    <t>Transported by emptier
(YES/NO)</t>
  </si>
  <si>
    <t>What proportion is transported by pit emptier in %</t>
  </si>
  <si>
    <t>What proportion is transported by other in %</t>
  </si>
  <si>
    <t>If NO, provide name of transporter</t>
  </si>
  <si>
    <t>If NO, indicate Public or Private entity</t>
  </si>
  <si>
    <t>Transporting method used</t>
  </si>
  <si>
    <t>Destination of faecal sludge</t>
  </si>
  <si>
    <t>Dumping location is 
legal or illegal site</t>
  </si>
  <si>
    <t>Provide name of second transporter</t>
  </si>
  <si>
    <t>Public or private entity</t>
  </si>
  <si>
    <t>Transporting method used by transporter</t>
  </si>
  <si>
    <t>Destination of sludge</t>
  </si>
  <si>
    <t xml:space="preserve">Emptied by whom? </t>
  </si>
  <si>
    <r>
      <rPr>
        <sz val="10"/>
        <color theme="0"/>
        <rFont val="Wingdings 3"/>
        <family val="1"/>
        <charset val="2"/>
      </rPr>
      <t></t>
    </r>
    <r>
      <rPr>
        <sz val="10"/>
        <color theme="0"/>
        <rFont val="Calibri"/>
        <family val="2"/>
        <scheme val="minor"/>
      </rPr>
      <t xml:space="preserve">   Household</t>
    </r>
  </si>
  <si>
    <t>Bucket and spade</t>
  </si>
  <si>
    <t>YES</t>
  </si>
  <si>
    <t>NO</t>
  </si>
  <si>
    <r>
      <rPr>
        <sz val="10"/>
        <color theme="0"/>
        <rFont val="Wingdings 3"/>
        <family val="1"/>
        <charset val="2"/>
      </rPr>
      <t></t>
    </r>
    <r>
      <rPr>
        <sz val="10"/>
        <color theme="0"/>
        <rFont val="Calibri"/>
        <family val="2"/>
        <scheme val="minor"/>
      </rPr>
      <t xml:space="preserve">   Professional manual pit emptier (sweeper)</t>
    </r>
  </si>
  <si>
    <r>
      <rPr>
        <sz val="10"/>
        <color theme="0"/>
        <rFont val="Wingdings 3"/>
        <family val="1"/>
        <charset val="2"/>
      </rPr>
      <t></t>
    </r>
    <r>
      <rPr>
        <sz val="10"/>
        <color theme="0"/>
        <rFont val="Calibri"/>
        <family val="2"/>
        <scheme val="minor"/>
      </rPr>
      <t xml:space="preserve">   Professional manual pit emptier (bucket and space)</t>
    </r>
  </si>
  <si>
    <t>Manually-operated mechanical device</t>
  </si>
  <si>
    <r>
      <rPr>
        <sz val="10"/>
        <color theme="0"/>
        <rFont val="Wingdings 3"/>
        <family val="1"/>
        <charset val="2"/>
      </rPr>
      <t></t>
    </r>
    <r>
      <rPr>
        <sz val="10"/>
        <color theme="0"/>
        <rFont val="Calibri"/>
        <family val="2"/>
        <scheme val="minor"/>
      </rPr>
      <t xml:space="preserve">   Professional manual pit emptier (manually operated mechanical device)</t>
    </r>
  </si>
  <si>
    <r>
      <rPr>
        <sz val="10"/>
        <color theme="0"/>
        <rFont val="Wingdings 3"/>
        <family val="1"/>
        <charset val="2"/>
      </rPr>
      <t></t>
    </r>
    <r>
      <rPr>
        <sz val="10"/>
        <color theme="0"/>
        <rFont val="Calibri"/>
        <family val="2"/>
        <scheme val="minor"/>
      </rPr>
      <t xml:space="preserve">   Others</t>
    </r>
  </si>
  <si>
    <t>Please list mechanical emptiers in the city, either individual or company, with their related information</t>
  </si>
  <si>
    <t>Mechanical pit emptying of onsite sanitation facilities</t>
  </si>
  <si>
    <t>Profitability</t>
  </si>
  <si>
    <t>Others</t>
  </si>
  <si>
    <t>MECHANICAL PIT EMPTYING 
of onsite sanitation facilities</t>
  </si>
  <si>
    <t xml:space="preserve">Average number of emptied units per day </t>
  </si>
  <si>
    <t>Operator 
(public / private)</t>
  </si>
  <si>
    <t>Number of trucks owned by company</t>
  </si>
  <si>
    <t>(Average) Volume of trucks in cubic metres</t>
  </si>
  <si>
    <t>Is transportation charged separately? (YES/NO)</t>
  </si>
  <si>
    <t>Is it this business madate to cover the entire city? (YES/NO)</t>
  </si>
  <si>
    <t>Is the mandated area accessible by provider? (YES/NO)</t>
  </si>
  <si>
    <t xml:space="preserve">Is the service provided on call or scheduled? </t>
  </si>
  <si>
    <t>Number of regular jobs</t>
  </si>
  <si>
    <t>TRANSPORTATION OF FAECAL SLUDGE FROM ONSITE SANITATION FACILITIES BY MECHANICAL EMPTIERS</t>
  </si>
  <si>
    <t>Transported by emptier (YES/NO)</t>
  </si>
  <si>
    <t>Dumping location is legal or illegal site</t>
  </si>
  <si>
    <t>Public provider [Name]</t>
  </si>
  <si>
    <t>300 providers (approx)</t>
  </si>
  <si>
    <t>Vehicle-mounted vacuum pump</t>
  </si>
  <si>
    <t>PRIVATE</t>
  </si>
  <si>
    <t>SO SO</t>
  </si>
  <si>
    <t>Some of the areas are densely populated and difficult for the vehicle to reach.</t>
  </si>
  <si>
    <t>ON CALL</t>
  </si>
  <si>
    <t>Final destination</t>
  </si>
  <si>
    <t>Illegal</t>
  </si>
  <si>
    <t>Private provider 2 [Name]</t>
  </si>
  <si>
    <t>Private provider 3 [Name]</t>
  </si>
  <si>
    <t>Private provider 4 [Name]</t>
  </si>
  <si>
    <t>Private provider 5 [Name]</t>
  </si>
  <si>
    <t>Private provider 6 [Name]</t>
  </si>
  <si>
    <t xml:space="preserve">Totals </t>
  </si>
  <si>
    <t>LEAKAGE OR SPILLAGE RATES</t>
  </si>
  <si>
    <t>Bucket spillage rate</t>
  </si>
  <si>
    <t>Manual operated mechanical device spillage rate</t>
  </si>
  <si>
    <t>Public provider: truck leakage rate</t>
  </si>
  <si>
    <t>Private provider: truck leakage rate</t>
  </si>
  <si>
    <t>Sewer and small bore leakage rates</t>
  </si>
  <si>
    <t>Sewer leakage rate</t>
  </si>
  <si>
    <t>Communal septic tanks (DEWATS) small bore leakage rate</t>
  </si>
  <si>
    <t>SCORE CARDS</t>
  </si>
  <si>
    <t xml:space="preserve">These scorecards measure the safety of pit emptying and transportation. Please put a 1 in the boxes corresponding to the safety practices described below which are adhered to. </t>
  </si>
  <si>
    <t>Faecal sludge emptying practices by MANUAL SERVICE PROVIDERS</t>
  </si>
  <si>
    <t>Questions / Indicators</t>
  </si>
  <si>
    <r>
      <t>ü</t>
    </r>
    <r>
      <rPr>
        <b/>
        <sz val="11"/>
        <color theme="0"/>
        <rFont val="Calibri"/>
        <family val="2"/>
        <scheme val="minor"/>
      </rPr>
      <t xml:space="preserve"> = 1</t>
    </r>
  </si>
  <si>
    <t>Standards and or additional information</t>
  </si>
  <si>
    <t>If not relevant provide a 1</t>
  </si>
  <si>
    <t>Emptying practices avoid entering the pit</t>
  </si>
  <si>
    <t>Workers wear minimum protective gear</t>
  </si>
  <si>
    <t>Cleaning materials and disinfectives are available</t>
  </si>
  <si>
    <t>Cleaning materials and disinfectives are used when there is a spill</t>
  </si>
  <si>
    <t>Workers do wash their hands with soap after the job is done</t>
  </si>
  <si>
    <t>Workers attended training on minimum safety standards</t>
  </si>
  <si>
    <t>Faecal sludge emptying practices by MECHANICAL SERVICE PROVIDERS</t>
  </si>
  <si>
    <t>It is avoided, but in some cases the cleaner has to enter the pit for loosening the sludge, etc</t>
  </si>
  <si>
    <t>Nothing</t>
  </si>
  <si>
    <t>Workers do wash their hands with soap after empting</t>
  </si>
  <si>
    <t>It is not required/mandated, but personally they may do so</t>
  </si>
  <si>
    <t>Safety protocol in place</t>
  </si>
  <si>
    <t>Workers trained on safety aspects</t>
  </si>
  <si>
    <t>Faecal sludge transportation practices by MECHANICAL SERVICE PROVIDERS</t>
  </si>
  <si>
    <t>Vehicle marked for recognition</t>
  </si>
  <si>
    <t>No</t>
  </si>
  <si>
    <t>Inspection of transportation device prior to use</t>
  </si>
  <si>
    <t>They may do this themselves before starting for a job</t>
  </si>
  <si>
    <t xml:space="preserve">Faecal sludge is discharged without spraying </t>
  </si>
  <si>
    <t>Protocol for any type of spillage is in place</t>
  </si>
  <si>
    <t>Important note regarding the data input cells</t>
  </si>
  <si>
    <t>White</t>
  </si>
  <si>
    <r>
      <t xml:space="preserve">All white cells require data inputs. 
</t>
    </r>
    <r>
      <rPr>
        <sz val="11"/>
        <color theme="8"/>
        <rFont val="Calibri"/>
        <family val="2"/>
        <scheme val="minor"/>
      </rPr>
      <t>This data is required for either the volume calculations or for calculating the scores for the scorecards!</t>
    </r>
  </si>
  <si>
    <t>Pink</t>
  </si>
  <si>
    <r>
      <t>Try to complete all the pink cells as these provide additional information which you may require for reporting purposes.</t>
    </r>
    <r>
      <rPr>
        <sz val="11"/>
        <color theme="0"/>
        <rFont val="Calibri"/>
        <family val="2"/>
        <scheme val="minor"/>
      </rPr>
      <t xml:space="preserve">
</t>
    </r>
    <r>
      <rPr>
        <sz val="11"/>
        <color theme="8"/>
        <rFont val="Calibri"/>
        <family val="2"/>
        <scheme val="minor"/>
      </rPr>
      <t>If for whatsoever reason this information is not available at the time of the assessment, this will not negatively affect the volume calculations or scorecards!</t>
    </r>
  </si>
  <si>
    <t>CAPTURE AND CONTAINMENT: 
RESIDENTS</t>
  </si>
  <si>
    <t>Date</t>
  </si>
  <si>
    <t>Name of city</t>
  </si>
  <si>
    <t>Location (Province or other)</t>
  </si>
  <si>
    <t xml:space="preserve"> in </t>
  </si>
  <si>
    <t xml:space="preserve">, </t>
  </si>
  <si>
    <t>Country</t>
  </si>
  <si>
    <t>POPULATION FIGURES</t>
  </si>
  <si>
    <t>Total present population</t>
  </si>
  <si>
    <t>Date of data</t>
  </si>
  <si>
    <t>Current annual growth rate</t>
  </si>
  <si>
    <t>Planning horizon in # of years</t>
  </si>
  <si>
    <t>Average annual future growth rate</t>
  </si>
  <si>
    <t>Source of data</t>
  </si>
  <si>
    <t>2011 Population Census</t>
  </si>
  <si>
    <t>Average household size</t>
  </si>
  <si>
    <t>PRESENT SITUATION</t>
  </si>
  <si>
    <t>TYPES OF SANITATION FACILITIES
 AND TYPES OF INTERFACES</t>
  </si>
  <si>
    <t>Sanitation coverage</t>
  </si>
  <si>
    <t>Proportion of types of user interfaces</t>
  </si>
  <si>
    <t>Type of onsite pits</t>
  </si>
  <si>
    <t>Total percentages</t>
  </si>
  <si>
    <t>Proportion of septic tanks or pit latrines (sum = 100%)</t>
  </si>
  <si>
    <t>Flush toilet</t>
  </si>
  <si>
    <t>Pour-flush toilet</t>
  </si>
  <si>
    <t>Direct drop (without water for flushing)</t>
  </si>
  <si>
    <t>Total proportion (100%)</t>
  </si>
  <si>
    <t>Toilet connected to holding tank prior to sewer</t>
  </si>
  <si>
    <t>Toilet with direct connection to the environment</t>
  </si>
  <si>
    <t>Pits with non-sealed (open) bottoms</t>
  </si>
  <si>
    <t>Pits with sealed (closed) bottoms</t>
  </si>
  <si>
    <t>1) Networked sewerage systems</t>
  </si>
  <si>
    <t>2) Communal septic tanks (e.g. DEWATS)</t>
  </si>
  <si>
    <t>3) On-site sanitation facilities</t>
  </si>
  <si>
    <t xml:space="preserve">     3.1 Septic tanks</t>
  </si>
  <si>
    <t>X</t>
  </si>
  <si>
    <t xml:space="preserve">     3.2 Pit latrines or holding tanks</t>
  </si>
  <si>
    <t>4) Communal toilets</t>
  </si>
  <si>
    <t xml:space="preserve">     4.1 Connected to sewer</t>
  </si>
  <si>
    <t xml:space="preserve">     4.2 Septic tanks</t>
  </si>
  <si>
    <t xml:space="preserve">     4.3 Pit latrines</t>
  </si>
  <si>
    <t>5) Do not use toilet (Open Defecation)</t>
  </si>
  <si>
    <t xml:space="preserve"> &lt;&lt; Proportion of septic tanks</t>
  </si>
  <si>
    <t xml:space="preserve"> &lt;&lt; Proportion of pit latrines</t>
  </si>
  <si>
    <t>HH using toilet of others (shared)</t>
  </si>
  <si>
    <t>Provide percentage of households without a toilet that use toilet of others</t>
  </si>
  <si>
    <t xml:space="preserve">     4.1 Septic tanks</t>
  </si>
  <si>
    <t>These HH have been added proportionally to 3) On-site sanitation facilities</t>
  </si>
  <si>
    <t xml:space="preserve">     4.2 Pit latrines</t>
  </si>
  <si>
    <t>FUTURE EXPECTED SITUATION</t>
  </si>
  <si>
    <t>Toilet with direct connection to environment</t>
  </si>
  <si>
    <t>3) On-site sanitation facilities (septic tanks, pit latrines)</t>
  </si>
  <si>
    <t xml:space="preserve">     3.2 Pit latrines</t>
  </si>
  <si>
    <t xml:space="preserve">LOCAL STANDARDS FOR VOLUMES PRODUCED </t>
  </si>
  <si>
    <t>Estimations of litres per day per person</t>
  </si>
  <si>
    <t>Faecal sludge requiring emptying</t>
  </si>
  <si>
    <t>No emptying</t>
  </si>
  <si>
    <t>Emptying FS only</t>
  </si>
  <si>
    <t>Dry part (solids)</t>
  </si>
  <si>
    <t>Wet part</t>
  </si>
  <si>
    <t>Total volumes</t>
  </si>
  <si>
    <t xml:space="preserve">Note; Use wherever possilbe national (or local) standards. In the absence of standards you are advised to use realistic sassumptions. </t>
  </si>
  <si>
    <t xml:space="preserve">Faecal sludge (faeces multiplied by two to add same amount of water to allow emptying) </t>
  </si>
  <si>
    <t>In % of total</t>
  </si>
  <si>
    <t>Grey water</t>
  </si>
  <si>
    <t>Amount of faeces produced by one person per day</t>
  </si>
  <si>
    <t>Average amount of water required for flushing the toilet one time (where relevant include water required for anal cleansing)</t>
  </si>
  <si>
    <t>Average number of times one person uses the toilet in one day 
(for urinating and defecating)</t>
  </si>
  <si>
    <t>If grey water ends up in the toilet, then indicate the amount of grey water (bathing) produced per person per day</t>
  </si>
  <si>
    <t>If you are not sure whether grey water ends up in the toilet, it is best to keep the grey water cells empty!</t>
  </si>
  <si>
    <t xml:space="preserve">     1.1 Flush toilet</t>
  </si>
  <si>
    <t xml:space="preserve">     1.2 Pour-flush toilet</t>
  </si>
  <si>
    <t xml:space="preserve">2) Communal septic tanks </t>
  </si>
  <si>
    <t xml:space="preserve">     2.1 Flush toilet</t>
  </si>
  <si>
    <t xml:space="preserve">     2.2 Pour-flush toilet</t>
  </si>
  <si>
    <t xml:space="preserve">     3.1 Flush toilet</t>
  </si>
  <si>
    <t xml:space="preserve">     3.2 Pour-flush toilet</t>
  </si>
  <si>
    <t xml:space="preserve">     3.3 Direct drop (no water for flushing)</t>
  </si>
  <si>
    <t xml:space="preserve">     4.1 Flush toilet</t>
  </si>
  <si>
    <t xml:space="preserve">     4.2 Pour-flush toilet</t>
  </si>
  <si>
    <t xml:space="preserve">     4.3 Direct drop (no water for flushing)</t>
  </si>
  <si>
    <t>Average # of households per communal toilet seat</t>
  </si>
  <si>
    <t>CAPTURE AND CONTAINMENT: 
TEMPORARY RESIDENTS</t>
  </si>
  <si>
    <t>&lt; e.g. 1/1/2015</t>
  </si>
  <si>
    <t>Location</t>
  </si>
  <si>
    <t xml:space="preserve">Average annual growth rate for RESIDENTS &gt;&gt; </t>
  </si>
  <si>
    <t>City Sanitation Planf</t>
  </si>
  <si>
    <t>Number of people</t>
  </si>
  <si>
    <t>Expected annual growth rate</t>
  </si>
  <si>
    <t>Note: Include ONLY those that are not included in the total present population provided in the worksheet {Capture and contiainment: RESIDENTS}</t>
  </si>
  <si>
    <t>A: Tourists and other visitors staying overnight</t>
  </si>
  <si>
    <t>Visitor numbers</t>
  </si>
  <si>
    <t>Note: Include annual growth rates but only if different from the above average growth rate for residents!</t>
  </si>
  <si>
    <t>Number of visitor nights per year</t>
  </si>
  <si>
    <t>B: Temporary residents</t>
  </si>
  <si>
    <t>Workers (informal and formal)</t>
  </si>
  <si>
    <t>Students from outside</t>
  </si>
  <si>
    <t>Hospital patients (in-patients)</t>
  </si>
  <si>
    <t xml:space="preserve">Others, specify: </t>
  </si>
  <si>
    <t>4) Public toilets</t>
  </si>
  <si>
    <t xml:space="preserve">TREATMENT, DISPOSAL and REUSE questions </t>
  </si>
  <si>
    <t xml:space="preserve">For accurate input into this tool it is important that each treatment plant is kept separate and distinct. To this end, a key has been created so that mistakes will be less likely. </t>
  </si>
  <si>
    <t>Please input the treatment plants into the table below, along with any distinguishing features so that the plants cannot be confused. In the rest of the inputs, the plants will be listed in the same order, so please ensure that data is entered under the correct plant.</t>
  </si>
  <si>
    <t>Volumes of faecal sludge from onsite sanitation facilities TREATED in treatment facility</t>
  </si>
  <si>
    <t>For inputs about disposal and reuse go to the right &gt;&gt;</t>
  </si>
  <si>
    <t>Volumes of faecal sludge from onsite sanitation facilities DISPOSED</t>
  </si>
  <si>
    <t>Volumes of faecal sludge from onsite sanitation facilities REUSED</t>
  </si>
  <si>
    <t>Total volumes to be DISPOSED (treated and untreated)</t>
  </si>
  <si>
    <t>Volumes safely treated for DISPOSAL</t>
  </si>
  <si>
    <t>Total volumes to be REUSED (treated and untreated)</t>
  </si>
  <si>
    <t>Volumes safely treated for REUSE</t>
  </si>
  <si>
    <t>Treatment Plant</t>
  </si>
  <si>
    <t>Percentage of sludge and septage received per plant</t>
  </si>
  <si>
    <t>Total volumes of sludge and septage received in cubic metres per year</t>
  </si>
  <si>
    <t>Type(s) of treatment</t>
  </si>
  <si>
    <t>Plant Capacity in cubic metres per day</t>
  </si>
  <si>
    <t>Treatment purposes</t>
  </si>
  <si>
    <t>If D, is the effluent is treated to standard?</t>
  </si>
  <si>
    <t>If R, is the treated final product complying with reuse standards</t>
  </si>
  <si>
    <t>Additional information</t>
  </si>
  <si>
    <t>Proportion of disposal methods in %</t>
  </si>
  <si>
    <t>Volume for disposal = D</t>
  </si>
  <si>
    <t>Volume for 
reuse = R</t>
  </si>
  <si>
    <t>How often are deliveries made?</t>
  </si>
  <si>
    <t>Are record logs kept?</t>
  </si>
  <si>
    <t>Distance of plant from city in KM</t>
  </si>
  <si>
    <t>Owner of plant</t>
  </si>
  <si>
    <t>Dumping or discharging cost to transporters</t>
  </si>
  <si>
    <t>Description of the plant and any distinguishing features</t>
  </si>
  <si>
    <t>In water bodies</t>
  </si>
  <si>
    <t>To landfill</t>
  </si>
  <si>
    <t>Left in facility</t>
  </si>
  <si>
    <t>Totals 
(Row totals must add up to 100%)</t>
  </si>
  <si>
    <t>Check</t>
  </si>
  <si>
    <t>Volumes safely treated for disposal</t>
  </si>
  <si>
    <t>Other</t>
  </si>
  <si>
    <t>Soil conditioner</t>
  </si>
  <si>
    <t>Fertiliser</t>
  </si>
  <si>
    <t>Biofuel</t>
  </si>
  <si>
    <t>Type of treatment plants</t>
  </si>
  <si>
    <t>Waste stabilisation ponds</t>
  </si>
  <si>
    <t>Drying beds</t>
  </si>
  <si>
    <t>Plant 3 [insert name]</t>
  </si>
  <si>
    <t>Waste stabilisation ponds and drying beds</t>
  </si>
  <si>
    <t>Plant 4 [insert name]</t>
  </si>
  <si>
    <t>Trickling filters</t>
  </si>
  <si>
    <t>Plant 5 [insert name]</t>
  </si>
  <si>
    <t>Aeration tanks</t>
  </si>
  <si>
    <t>Plant 6 [insert name]</t>
  </si>
  <si>
    <t>Composting</t>
  </si>
  <si>
    <t>Anaerobic digestion</t>
  </si>
  <si>
    <t>Total volume transported to treatment plants</t>
  </si>
  <si>
    <t>Volumes of septage from sewers TREATED in treatment facility</t>
  </si>
  <si>
    <t>Volumes of septage from sewers DISPOSED</t>
  </si>
  <si>
    <t>Volumes of septage from sewers REUSED</t>
  </si>
  <si>
    <t>Plant Capacity per day</t>
  </si>
  <si>
    <t>If D, is the effluent treated to standard?</t>
  </si>
  <si>
    <t>Distance of plant from city</t>
  </si>
  <si>
    <t>Plant 7 [insert name]</t>
  </si>
  <si>
    <t>Plant 8 [insert name]</t>
  </si>
  <si>
    <t>Plant 9 [insert name]</t>
  </si>
  <si>
    <t>Plant 10 [insert name]</t>
  </si>
  <si>
    <t>Total volume of sewerage safely passed on to treatment plants</t>
  </si>
  <si>
    <t>Volumes of septage from communal septic tanks TREATED</t>
  </si>
  <si>
    <t>Volumes of septage from communal septic tanks DISPOSED</t>
  </si>
  <si>
    <t>Volumes of septage from communal septic tanks REUSED</t>
  </si>
  <si>
    <t>Communal septic tank or DEWATS location</t>
  </si>
  <si>
    <t>Plant Capacity</t>
  </si>
  <si>
    <t>Location 1 [insert name]</t>
  </si>
  <si>
    <t>Location 2 [insert name]</t>
  </si>
  <si>
    <t>Location 3 [insert name]</t>
  </si>
  <si>
    <t>Location 4 [insert name]</t>
  </si>
  <si>
    <t>Location 5 [insert name]</t>
  </si>
  <si>
    <t>Location 6 [insert name]</t>
  </si>
  <si>
    <t>Volumes of septage from onsite septic tanks TREATED</t>
  </si>
  <si>
    <t>Volumes of septage from onsite septic tanks DISPOSED</t>
  </si>
  <si>
    <t>Volumes of septage from onsite septic tanks REUSED</t>
  </si>
  <si>
    <t>Types on onsite treatment options</t>
  </si>
  <si>
    <t>Capacity</t>
  </si>
  <si>
    <t>Low income residential areas (not treated)</t>
  </si>
  <si>
    <t>Primary treatment in septic tank</t>
  </si>
  <si>
    <t>High income residential areas (treated)</t>
  </si>
  <si>
    <t>Primary treatment plus secondary treatment</t>
  </si>
  <si>
    <t>Onsite septic tanks | [Insert location]</t>
  </si>
  <si>
    <t>No treatment taking place (septage passing through)</t>
  </si>
  <si>
    <t xml:space="preserve">Total volume of septage from onsite septic tanks safely passed on </t>
  </si>
  <si>
    <t>THIS WORKSHEET REQUIRES NO DATA INPUTS AS THEY ARE AUTOMATICALLY RETREIVED FROM THE {Interface_Treatment} WORKSHEET…</t>
  </si>
  <si>
    <t>For inputs about disposal and resue go to column T &gt;&gt;</t>
  </si>
  <si>
    <t>Total volumes of sludge and septage received in cubic metres</t>
  </si>
  <si>
    <t xml:space="preserve">Total volume of septage from DEWATS safely passed on </t>
  </si>
  <si>
    <t>CITY-WIDE SCORE CARD questions</t>
  </si>
  <si>
    <t>Planning at National level (Central government)</t>
  </si>
  <si>
    <t>Questions / Conditions</t>
  </si>
  <si>
    <t>Location / author</t>
  </si>
  <si>
    <t>Policy number</t>
  </si>
  <si>
    <t>Target/Budget</t>
  </si>
  <si>
    <t>Date created</t>
  </si>
  <si>
    <t>Other information</t>
  </si>
  <si>
    <t>Does the government have a national sanitation plan?</t>
  </si>
  <si>
    <t>IRC</t>
  </si>
  <si>
    <t>Are there some FSM targets present in the plan?</t>
  </si>
  <si>
    <t>Are the FSM targets comprehensive?</t>
  </si>
  <si>
    <t>Is there a dedicated department responsible for undertaking the plan?</t>
  </si>
  <si>
    <t>Is there a budget allocated to the plan?</t>
  </si>
  <si>
    <t>Planning at city level (Municipality)</t>
  </si>
  <si>
    <r>
      <t>ü</t>
    </r>
    <r>
      <rPr>
        <b/>
        <sz val="10"/>
        <color theme="0"/>
        <rFont val="Calibri"/>
        <family val="2"/>
        <scheme val="minor"/>
      </rPr>
      <t xml:space="preserve"> = 1</t>
    </r>
  </si>
  <si>
    <t>Does the city have a sanitation plan?</t>
  </si>
  <si>
    <t xml:space="preserve">City department responsible for sanitation </t>
  </si>
  <si>
    <t>Does the department take note of the national plan?</t>
  </si>
  <si>
    <t>Does the municipality receive external support?</t>
  </si>
  <si>
    <t>Is there sufficient budget given to the department?</t>
  </si>
  <si>
    <t>Does the department efficiently collect municipal fees and taxes?</t>
  </si>
  <si>
    <t>Does the department have clear roles and responsibilities for employees?</t>
  </si>
  <si>
    <t>Stakeholders</t>
  </si>
  <si>
    <t>Stakeholders present in the city</t>
  </si>
  <si>
    <t>Main interests</t>
  </si>
  <si>
    <t>Strengths</t>
  </si>
  <si>
    <t>Weaknesses</t>
  </si>
  <si>
    <t>Opportunities</t>
  </si>
  <si>
    <t>Threats</t>
  </si>
  <si>
    <t>Relationships</t>
  </si>
  <si>
    <t>Impacts</t>
  </si>
  <si>
    <t>Involvement needs</t>
  </si>
  <si>
    <t>Responsibility</t>
  </si>
  <si>
    <t>INFLUENCING CITY-WIDE ISSUES</t>
  </si>
  <si>
    <t>Storm water management</t>
  </si>
  <si>
    <t>Department</t>
  </si>
  <si>
    <t xml:space="preserve">System </t>
  </si>
  <si>
    <t>Does part or all of the city flood regularly?</t>
  </si>
  <si>
    <t>Is there a department in charge of storm water management?</t>
  </si>
  <si>
    <t>Does the department develop storm water management systems?</t>
  </si>
  <si>
    <t>Has sufficient budget been allocated for this?</t>
  </si>
  <si>
    <t>Is the system maintained?</t>
  </si>
  <si>
    <t>Solid waste management</t>
  </si>
  <si>
    <t>Is there a department in charge of solid waste management?</t>
  </si>
  <si>
    <t>Does the department carry out solid waste management?</t>
  </si>
  <si>
    <t xml:space="preserve">Is the service regular? </t>
  </si>
  <si>
    <t>Is solid waste management (seen as) a problem in the city?</t>
  </si>
  <si>
    <t>BUDGET SCORE CARD questions</t>
  </si>
  <si>
    <t>OVERALL | CITY LEVEL BUDGETS ONLY</t>
  </si>
  <si>
    <t>Investment budget for sanitation</t>
  </si>
  <si>
    <t>Budget and expenditure amounts</t>
  </si>
  <si>
    <t xml:space="preserve">Indicate budget sources &gt;&gt; </t>
  </si>
  <si>
    <t>Currency</t>
  </si>
  <si>
    <t>If not available provide a 1</t>
  </si>
  <si>
    <t>Is there a sanitation infrastructure budget?</t>
  </si>
  <si>
    <t xml:space="preserve">&lt;&lt; If YES, provide name of budget holder (department/entity) </t>
  </si>
  <si>
    <t>Is funding allocation in line with the budget?</t>
  </si>
  <si>
    <t>Is the funding allocation given in time to be used?</t>
  </si>
  <si>
    <t>Is enough funding given to cover the requirements?</t>
  </si>
  <si>
    <t>Is the funding used for its intended purpose?</t>
  </si>
  <si>
    <t>Is all the funding used?</t>
  </si>
  <si>
    <t>Is the funding allocation and spending transparent?</t>
  </si>
  <si>
    <t>Operational budget for sanitation (recurring costs)</t>
  </si>
  <si>
    <t>Amounts</t>
  </si>
  <si>
    <t>Is there a recurring municipal budget?</t>
  </si>
  <si>
    <t>Is the funding allocated given in time to be used?</t>
  </si>
  <si>
    <t>CAPTURE AND CONTAINMENT</t>
  </si>
  <si>
    <t>Infrastructure investment budget for CAPTURE and CONTAINMENT</t>
  </si>
  <si>
    <t>Is there a municipal budget?</t>
  </si>
  <si>
    <t>Operational budget for CAPTURE and CONTAINMENT (recurring costs)</t>
  </si>
  <si>
    <t>Infrastructure investment budget for EMPTYING</t>
  </si>
  <si>
    <t>Operational budget for EMPTYING (recurring costs)</t>
  </si>
  <si>
    <t>Infrastructure investment budget for TRANSPORT</t>
  </si>
  <si>
    <t>Operational budget for TRANSPORT (recurring costs)</t>
  </si>
  <si>
    <t>Infrastructure investment budget for TREATMENT</t>
  </si>
  <si>
    <t>Operational budget for TREATMENT (recurring costs)</t>
  </si>
  <si>
    <t>DISPOSAL AND OR REUSE</t>
  </si>
  <si>
    <t>Infrastructure investment budget for DISPOSAL</t>
  </si>
  <si>
    <t>Operational budget for DISPOSAL (recurring costs)</t>
  </si>
  <si>
    <t>Infrastructure investment budget for REUSE</t>
  </si>
  <si>
    <t>Operational budget for REUSE (recurring costs)</t>
  </si>
  <si>
    <t>PERMITS and STANDARDS SCORE CARD questions</t>
  </si>
  <si>
    <t xml:space="preserve">CAPTURE AND CONTAINMENT </t>
  </si>
  <si>
    <t>Building regulations for sanitation</t>
  </si>
  <si>
    <t>Location/ author</t>
  </si>
  <si>
    <t>Policy/ Legislation/ Standard number</t>
  </si>
  <si>
    <t>No standards</t>
  </si>
  <si>
    <t>Some construction standards present</t>
  </si>
  <si>
    <t>Complete construction standards</t>
  </si>
  <si>
    <t xml:space="preserve">Municipal department responsible for standard compliance and enforcement </t>
  </si>
  <si>
    <t>Standards enforced</t>
  </si>
  <si>
    <t>Building permits and permissions</t>
  </si>
  <si>
    <t>Standard author</t>
  </si>
  <si>
    <t>No permit reqùired</t>
  </si>
  <si>
    <t>Permit required</t>
  </si>
  <si>
    <t>Department responsible for permits</t>
  </si>
  <si>
    <t>Permit enforcement / checked</t>
  </si>
  <si>
    <t>Pit emptying safety standards</t>
  </si>
  <si>
    <t>Some safety standards present</t>
  </si>
  <si>
    <t>Complete safety standards</t>
  </si>
  <si>
    <t xml:space="preserve">Department responsible for policy compliance and enforcement </t>
  </si>
  <si>
    <t>Pit emptying business licences and permissions</t>
  </si>
  <si>
    <t>No licence required</t>
  </si>
  <si>
    <t>Licences required</t>
  </si>
  <si>
    <t>Department responsible for licenses</t>
  </si>
  <si>
    <t>Licence enforcement / checked</t>
  </si>
  <si>
    <t>Faecal sludge transportation regulations on safety standards</t>
  </si>
  <si>
    <t>Faecal sludge transportation business licences and permissions</t>
  </si>
  <si>
    <t>Sewage treatment effluent standards</t>
  </si>
  <si>
    <t>Note: 1 means that there is no sewer system in place</t>
  </si>
  <si>
    <t>No effluent standards</t>
  </si>
  <si>
    <t>Some effluent standards present</t>
  </si>
  <si>
    <t>Complete standards which protect the environment and human health in reuse</t>
  </si>
  <si>
    <t>Department responsible for ensuring standard compliance</t>
  </si>
  <si>
    <t>Communal septic tanks effluent standards</t>
  </si>
  <si>
    <t>Note: 1 means that there are no communal septic tanks in place</t>
  </si>
  <si>
    <t>No disposal/reuse standards</t>
  </si>
  <si>
    <t>Some disposal/reuse standards present</t>
  </si>
  <si>
    <t>Treatment permits and permissions</t>
  </si>
  <si>
    <t>Policy/ standard number</t>
  </si>
  <si>
    <t>No permit required</t>
  </si>
  <si>
    <t>DISPOSAL AND REUSE</t>
  </si>
  <si>
    <t>Standards for DISPOSAL</t>
  </si>
  <si>
    <t>No disposal standards</t>
  </si>
  <si>
    <t>???</t>
  </si>
  <si>
    <t>Some disposal standards present</t>
  </si>
  <si>
    <t>Complete standards which protect the environment and human health in disposal</t>
  </si>
  <si>
    <t>Standards for REUSE</t>
  </si>
  <si>
    <t>Reuse options</t>
  </si>
  <si>
    <t>No reuse standards</t>
  </si>
  <si>
    <t>Some reuse standards present</t>
  </si>
  <si>
    <t>Permits and permissions for DISPOSAL</t>
  </si>
  <si>
    <t>Permits and permissions for REUSE</t>
  </si>
  <si>
    <t>NATIONAL STANDARDS for 
effluent and disposal and reuse</t>
  </si>
  <si>
    <t>National effluent treatment standards</t>
  </si>
  <si>
    <t>Standards for effluent</t>
  </si>
  <si>
    <t>Performance on standards</t>
  </si>
  <si>
    <t>BOD</t>
  </si>
  <si>
    <t>COD</t>
  </si>
  <si>
    <t>TN</t>
  </si>
  <si>
    <t>P</t>
  </si>
  <si>
    <t>pH</t>
  </si>
  <si>
    <t>Helminths</t>
  </si>
  <si>
    <t>E-coli</t>
  </si>
  <si>
    <t>Total coliforms</t>
  </si>
  <si>
    <t>TSS</t>
  </si>
  <si>
    <t>National disposal and reuse standards</t>
  </si>
  <si>
    <t>Standards for disposal</t>
  </si>
  <si>
    <t>Standards for reuse</t>
  </si>
  <si>
    <t>GOVERNMENT AND CITY-WIDE ISSUES | SCORE CARDS</t>
  </si>
  <si>
    <t>Level</t>
  </si>
  <si>
    <r>
      <t>ü</t>
    </r>
    <r>
      <rPr>
        <b/>
        <sz val="11"/>
        <color rgb="FF000000"/>
        <rFont val="Calibri"/>
        <family val="2"/>
        <scheme val="minor"/>
      </rPr>
      <t xml:space="preserve"> = 1</t>
    </r>
  </si>
  <si>
    <t>Weight</t>
  </si>
  <si>
    <t>WS</t>
  </si>
  <si>
    <t>Weight best-case</t>
  </si>
  <si>
    <t>Weighted score</t>
  </si>
  <si>
    <t>Total score</t>
  </si>
  <si>
    <t>Maximum score</t>
  </si>
  <si>
    <t>Average score</t>
  </si>
  <si>
    <r>
      <t>ü</t>
    </r>
    <r>
      <rPr>
        <b/>
        <sz val="10"/>
        <color rgb="FF000000"/>
        <rFont val="Calibri"/>
        <family val="2"/>
        <scheme val="minor"/>
      </rPr>
      <t xml:space="preserve"> = 1</t>
    </r>
  </si>
  <si>
    <t>Sanitation Infrastructure budget</t>
  </si>
  <si>
    <t>Not available or not relevant</t>
  </si>
  <si>
    <t>WASH operational budget</t>
  </si>
  <si>
    <t>Influencing city-wide issues</t>
  </si>
  <si>
    <t>Budget</t>
  </si>
  <si>
    <t>Has a sufficient budget been allocated for this?</t>
  </si>
  <si>
    <t>CAPTURE AND CONTAINMENT ELEMENTS | SCORE CARDS</t>
  </si>
  <si>
    <t xml:space="preserve">Municipal department responsible for policy compliance and enforcement </t>
  </si>
  <si>
    <t>Permits and permissions</t>
  </si>
  <si>
    <t>Infrastructure investment budget</t>
  </si>
  <si>
    <t>Operational recurring budget</t>
  </si>
  <si>
    <t>EMPTYING ELEMENT | SCORE CARDS</t>
  </si>
  <si>
    <t>Safety standards</t>
  </si>
  <si>
    <t>Safe faecal sludge emptying practices by MANUAL SERVICE PROVIDERS</t>
  </si>
  <si>
    <t>Not relevant</t>
  </si>
  <si>
    <t>This means that there are no mechanical pit emptying services available</t>
  </si>
  <si>
    <t>Emptying practices avoid entering the pit or tank</t>
  </si>
  <si>
    <t>Safe faecal sludge emptying practices by MECHANICAL SERVICE PROVIDERS</t>
  </si>
  <si>
    <t>Business licences and permissions</t>
  </si>
  <si>
    <t>TRANSPORT ELEMENT | SCORE CARDS</t>
  </si>
  <si>
    <t>Regulations regarding safety standards</t>
  </si>
  <si>
    <t>Faecal sludge transportation practices by MECHINICAL SERVICE PROVIDERS</t>
  </si>
  <si>
    <t>This means that there are no transportation services available</t>
  </si>
  <si>
    <t>No licences required</t>
  </si>
  <si>
    <t>Infrastructure investment budget related to transportation</t>
  </si>
  <si>
    <t>Operational recurring budget related to transportation</t>
  </si>
  <si>
    <t>TREATMENT ELEMENT | SCORE CARDS</t>
  </si>
  <si>
    <t>Sewerage treatment effluent standards</t>
  </si>
  <si>
    <t>Communal septic tank effluent standards</t>
  </si>
  <si>
    <t>Infrastructure investment budget related treatment</t>
  </si>
  <si>
    <t>Operational recurring budget related to treatment</t>
  </si>
  <si>
    <t>DISPOSAL AND REUSE ELEMENTS | SCORE CARDS</t>
  </si>
  <si>
    <t>Reuse purposes</t>
  </si>
  <si>
    <t>Infrastructure investment budget related to DISPOSAL</t>
  </si>
  <si>
    <r>
      <t>ü</t>
    </r>
    <r>
      <rPr>
        <b/>
        <sz val="11"/>
        <rFont val="Calibri"/>
        <family val="2"/>
        <scheme val="minor"/>
      </rPr>
      <t xml:space="preserve"> = 1</t>
    </r>
  </si>
  <si>
    <t>Operational recurring budget related to DISPOSAL</t>
  </si>
  <si>
    <t>Infrastructure investment budget related to REUSE</t>
  </si>
  <si>
    <t>Operational recurring budget related to REUSE</t>
  </si>
  <si>
    <t>CAPTURE ELEMENT | CALCULATIONS</t>
  </si>
  <si>
    <t>SUMMARY OF VOLUMES PRODUCED</t>
  </si>
  <si>
    <t>Note: All figures are in cubic metres per year</t>
  </si>
  <si>
    <t>Volumes safely captured in WC</t>
  </si>
  <si>
    <t>IN MLD</t>
  </si>
  <si>
    <r>
      <rPr>
        <b/>
        <sz val="12"/>
        <color theme="1"/>
        <rFont val="Wingdings 3"/>
        <family val="1"/>
        <charset val="2"/>
      </rPr>
      <t></t>
    </r>
    <r>
      <rPr>
        <b/>
        <sz val="12"/>
        <color theme="1"/>
        <rFont val="Calibri"/>
        <family val="2"/>
        <scheme val="minor"/>
      </rPr>
      <t xml:space="preserve">   Captured in WC to sewer</t>
    </r>
  </si>
  <si>
    <r>
      <rPr>
        <b/>
        <sz val="12"/>
        <color theme="1"/>
        <rFont val="Wingdings 3"/>
        <family val="1"/>
        <charset val="2"/>
      </rPr>
      <t></t>
    </r>
    <r>
      <rPr>
        <b/>
        <sz val="12"/>
        <color theme="1"/>
        <rFont val="Calibri"/>
        <family val="2"/>
        <scheme val="minor"/>
      </rPr>
      <t xml:space="preserve">   Captured in WC to communal septic tanks</t>
    </r>
  </si>
  <si>
    <r>
      <rPr>
        <b/>
        <sz val="12"/>
        <color theme="1"/>
        <rFont val="Wingdings 3"/>
        <family val="1"/>
        <charset val="2"/>
      </rPr>
      <t></t>
    </r>
    <r>
      <rPr>
        <b/>
        <sz val="12"/>
        <color theme="1"/>
        <rFont val="Calibri"/>
        <family val="2"/>
        <scheme val="minor"/>
      </rPr>
      <t xml:space="preserve">   Captured onsite in septic tanks</t>
    </r>
  </si>
  <si>
    <r>
      <rPr>
        <b/>
        <sz val="12"/>
        <color theme="1"/>
        <rFont val="Wingdings 3"/>
        <family val="1"/>
        <charset val="2"/>
      </rPr>
      <t></t>
    </r>
    <r>
      <rPr>
        <b/>
        <sz val="12"/>
        <color theme="1"/>
        <rFont val="Calibri"/>
        <family val="2"/>
        <scheme val="minor"/>
      </rPr>
      <t xml:space="preserve">   Captured onsite in pit latrines</t>
    </r>
  </si>
  <si>
    <t>Volume not safely captured in WC</t>
  </si>
  <si>
    <r>
      <rPr>
        <b/>
        <sz val="12"/>
        <color theme="1"/>
        <rFont val="Wingdings 3"/>
        <family val="1"/>
        <charset val="2"/>
      </rPr>
      <t></t>
    </r>
    <r>
      <rPr>
        <b/>
        <sz val="12"/>
        <color theme="1"/>
        <rFont val="Calibri"/>
        <family val="2"/>
        <scheme val="minor"/>
      </rPr>
      <t xml:space="preserve">   Open defecation (OD)</t>
    </r>
  </si>
  <si>
    <r>
      <rPr>
        <b/>
        <sz val="12"/>
        <color theme="1"/>
        <rFont val="Wingdings 3"/>
        <family val="1"/>
        <charset val="2"/>
      </rPr>
      <t></t>
    </r>
    <r>
      <rPr>
        <b/>
        <sz val="12"/>
        <color theme="1"/>
        <rFont val="Calibri"/>
        <family val="2"/>
        <scheme val="minor"/>
      </rPr>
      <t xml:space="preserve">   Captured in WC to sewer in cubic metres per day</t>
    </r>
  </si>
  <si>
    <t>CALCULATIONS FOR RESIDENTS</t>
  </si>
  <si>
    <t>POPULATION FIGURES | RESIDENTS</t>
  </si>
  <si>
    <t>Date now</t>
  </si>
  <si>
    <t>Latest population figure</t>
  </si>
  <si>
    <t>Days since data</t>
  </si>
  <si>
    <t>Years since data</t>
  </si>
  <si>
    <t>Annual growth rate</t>
  </si>
  <si>
    <t>Current total population of residents</t>
  </si>
  <si>
    <t>Average annual growth rate</t>
  </si>
  <si>
    <t xml:space="preserve">Future residential population </t>
  </si>
  <si>
    <t>TYPE OF FACILITIES | RESIDENTS</t>
  </si>
  <si>
    <t xml:space="preserve">      1.1 Flush toilets</t>
  </si>
  <si>
    <t xml:space="preserve">      1.2 Pour-flush toilets</t>
  </si>
  <si>
    <t>2) Communal septic tanks</t>
  </si>
  <si>
    <t xml:space="preserve">      2.1 Flush toilets</t>
  </si>
  <si>
    <t>Corrected for shared toilets</t>
  </si>
  <si>
    <t>Modified to correct for HH using toilet of others (shared)</t>
  </si>
  <si>
    <t xml:space="preserve">      2.2 Pour-flush toilets</t>
  </si>
  <si>
    <t>3) On-site sanitation facilities | SEPTIC TANKS</t>
  </si>
  <si>
    <t xml:space="preserve">      3.1 Flush toilets</t>
  </si>
  <si>
    <t xml:space="preserve">      3.2 Pour-flush toilets</t>
  </si>
  <si>
    <t>3) On-site sanitation facilities | PIT LATRINES</t>
  </si>
  <si>
    <t xml:space="preserve">      3.3 Direct drop (without water for flushing)</t>
  </si>
  <si>
    <t>4) Communal toilets | CONNECTED TO SEWER</t>
  </si>
  <si>
    <t xml:space="preserve">      4.1 Flush toilets</t>
  </si>
  <si>
    <t xml:space="preserve">      4.2 Pour-flush toilets</t>
  </si>
  <si>
    <t>4) Communal toilets | SEPTIC TANKS</t>
  </si>
  <si>
    <t>4) Communal toilets | PIT LATRINES</t>
  </si>
  <si>
    <t xml:space="preserve">      4.3 Direct drop (without water for flushing)</t>
  </si>
  <si>
    <t>Type of interface used by residents</t>
  </si>
  <si>
    <t>In #</t>
  </si>
  <si>
    <t>1) Flush toilets</t>
  </si>
  <si>
    <t>2) Pour-flush toilets</t>
  </si>
  <si>
    <t xml:space="preserve">3) Direct drop (without water for flushing) </t>
  </si>
  <si>
    <t>Residents using septic tanks</t>
  </si>
  <si>
    <t>Residents using pit latrines</t>
  </si>
  <si>
    <t>VOLUMES PRODUCED | RESIDENTS</t>
  </si>
  <si>
    <t>In litres/day</t>
  </si>
  <si>
    <r>
      <t>In m</t>
    </r>
    <r>
      <rPr>
        <b/>
        <vertAlign val="superscript"/>
        <sz val="11"/>
        <rFont val="Calibri"/>
        <family val="2"/>
        <scheme val="minor"/>
      </rPr>
      <t>3</t>
    </r>
    <r>
      <rPr>
        <b/>
        <sz val="11"/>
        <rFont val="Calibri"/>
        <family val="2"/>
        <scheme val="minor"/>
      </rPr>
      <t>/year</t>
    </r>
  </si>
  <si>
    <t>Summary of volumes of human waste produced by residents</t>
  </si>
  <si>
    <t>In ltr/day</t>
  </si>
  <si>
    <t>Totals of human waste in liters per day</t>
  </si>
  <si>
    <t>SUMMARY OF VOLUMES PRODUCED | RESIDENTS</t>
  </si>
  <si>
    <r>
      <rPr>
        <b/>
        <sz val="11"/>
        <color theme="1"/>
        <rFont val="Wingdings 3"/>
        <family val="1"/>
        <charset val="2"/>
      </rPr>
      <t></t>
    </r>
    <r>
      <rPr>
        <b/>
        <sz val="11"/>
        <color theme="1"/>
        <rFont val="Calibri"/>
        <family val="2"/>
        <scheme val="minor"/>
      </rPr>
      <t xml:space="preserve">   Captured in WC to sewer</t>
    </r>
  </si>
  <si>
    <r>
      <rPr>
        <b/>
        <sz val="11"/>
        <color theme="1"/>
        <rFont val="Wingdings 3"/>
        <family val="1"/>
        <charset val="2"/>
      </rPr>
      <t></t>
    </r>
    <r>
      <rPr>
        <b/>
        <sz val="11"/>
        <color theme="1"/>
        <rFont val="Calibri"/>
        <family val="2"/>
        <scheme val="minor"/>
      </rPr>
      <t xml:space="preserve">   Captured in WC to communal septic tanks</t>
    </r>
  </si>
  <si>
    <r>
      <rPr>
        <b/>
        <sz val="11"/>
        <color theme="1"/>
        <rFont val="Wingdings 3"/>
        <family val="1"/>
        <charset val="2"/>
      </rPr>
      <t></t>
    </r>
    <r>
      <rPr>
        <b/>
        <sz val="11"/>
        <color theme="1"/>
        <rFont val="Calibri"/>
        <family val="2"/>
        <scheme val="minor"/>
      </rPr>
      <t xml:space="preserve">   Captured onsite in septic tanks</t>
    </r>
  </si>
  <si>
    <r>
      <rPr>
        <b/>
        <sz val="11"/>
        <color theme="1"/>
        <rFont val="Wingdings 3"/>
        <family val="1"/>
        <charset val="2"/>
      </rPr>
      <t></t>
    </r>
    <r>
      <rPr>
        <b/>
        <sz val="11"/>
        <color theme="1"/>
        <rFont val="Calibri"/>
        <family val="2"/>
        <scheme val="minor"/>
      </rPr>
      <t xml:space="preserve">   Captured onsite in pit latrines</t>
    </r>
  </si>
  <si>
    <r>
      <rPr>
        <b/>
        <sz val="11"/>
        <color theme="1"/>
        <rFont val="Wingdings 3"/>
        <family val="1"/>
        <charset val="2"/>
      </rPr>
      <t></t>
    </r>
    <r>
      <rPr>
        <b/>
        <sz val="11"/>
        <color theme="1"/>
        <rFont val="Calibri"/>
        <family val="2"/>
        <scheme val="minor"/>
      </rPr>
      <t xml:space="preserve">   Open defecation (OD)</t>
    </r>
  </si>
  <si>
    <t>TOTAL VOLUMES PRODUCED</t>
  </si>
  <si>
    <t>CALCULATIONS FOR TEMPORARY RESIDENTS</t>
  </si>
  <si>
    <t>Correction factor for temporary residents</t>
  </si>
  <si>
    <t>Corrected # of temporary residents per year</t>
  </si>
  <si>
    <t>POPULATION FIGURES TEMPORARY RESIDENTS</t>
  </si>
  <si>
    <t>A: Visitors that stay overnight</t>
  </si>
  <si>
    <t>Number of visitor nights</t>
  </si>
  <si>
    <t>Hospitals (in-patients)</t>
  </si>
  <si>
    <t>TYPE OF FACILITIES | TEMPORARY RESIDENTS</t>
  </si>
  <si>
    <t>4) Public toilets | CONNECTED TO SEWER</t>
  </si>
  <si>
    <t>4) Public toilets | SEPTIC TANKS</t>
  </si>
  <si>
    <t>4) Public toilets | PIT LATRINES</t>
  </si>
  <si>
    <t>Type of interface used by temporary residents</t>
  </si>
  <si>
    <t>Temporary residents using septic tanks</t>
  </si>
  <si>
    <t>Temporary residents using pit latrines</t>
  </si>
  <si>
    <t>VOLUMES PRODUCED | TEMPORARY RESIDENTS</t>
  </si>
  <si>
    <t>Volumes of human waste produced by temporary residents</t>
  </si>
  <si>
    <t>SUMMARY OF VOLUMES PRODUCED | TEMPORARY RESIDENTS</t>
  </si>
  <si>
    <t>SUMMARY PRODUCED | RESIDENTS + TEMPORARY RESIDENTS</t>
  </si>
  <si>
    <t>Summary of volumes produced by residents</t>
  </si>
  <si>
    <t>1) Networked sewerage systems | DIRECT CONNECTION</t>
  </si>
  <si>
    <t>1) Networked sewerage systems | INDIRECT CONNECTION</t>
  </si>
  <si>
    <r>
      <t>Totals of human waste in m</t>
    </r>
    <r>
      <rPr>
        <b/>
        <vertAlign val="superscript"/>
        <sz val="11"/>
        <color theme="1"/>
        <rFont val="Calibri"/>
        <family val="2"/>
        <scheme val="minor"/>
      </rPr>
      <t>3</t>
    </r>
    <r>
      <rPr>
        <b/>
        <sz val="11"/>
        <color theme="1"/>
        <rFont val="Calibri"/>
        <family val="2"/>
        <scheme val="minor"/>
      </rPr>
      <t xml:space="preserve"> per day</t>
    </r>
  </si>
  <si>
    <t>Summary of volumes produced by temporary residents</t>
  </si>
  <si>
    <t xml:space="preserve">Summary of volumes of human waste produced by ALL </t>
  </si>
  <si>
    <t>Volumes of human waste to be passed on to treatment facilities</t>
  </si>
  <si>
    <r>
      <t>In m</t>
    </r>
    <r>
      <rPr>
        <b/>
        <vertAlign val="superscript"/>
        <sz val="12"/>
        <rFont val="Calibri"/>
        <family val="2"/>
        <scheme val="minor"/>
      </rPr>
      <t>3</t>
    </r>
    <r>
      <rPr>
        <b/>
        <sz val="12"/>
        <rFont val="Calibri"/>
        <family val="2"/>
        <scheme val="minor"/>
      </rPr>
      <t>/year</t>
    </r>
  </si>
  <si>
    <t>Non-residents</t>
  </si>
  <si>
    <t>Communal toilets residents</t>
  </si>
  <si>
    <t>Public toilets non-residents</t>
  </si>
  <si>
    <t>Residents = Communal toilets</t>
  </si>
  <si>
    <t>Non-residents = Public toilets</t>
  </si>
  <si>
    <r>
      <t>Totals of human waste passed on in m</t>
    </r>
    <r>
      <rPr>
        <b/>
        <vertAlign val="superscript"/>
        <sz val="12"/>
        <color theme="1"/>
        <rFont val="Calibri"/>
        <family val="2"/>
        <scheme val="minor"/>
      </rPr>
      <t>3</t>
    </r>
    <r>
      <rPr>
        <b/>
        <sz val="12"/>
        <color theme="1"/>
        <rFont val="Calibri"/>
        <family val="2"/>
        <scheme val="minor"/>
      </rPr>
      <t xml:space="preserve"> per day</t>
    </r>
  </si>
  <si>
    <t>Sub-total</t>
  </si>
  <si>
    <t>Grand total</t>
  </si>
  <si>
    <t>CONTAINMENT ELEMENT | CALCULATIONS</t>
  </si>
  <si>
    <t xml:space="preserve">SUMMARY OF VOLUMES CONTAINED </t>
  </si>
  <si>
    <r>
      <rPr>
        <b/>
        <sz val="12"/>
        <color theme="1"/>
        <rFont val="Wingdings 3"/>
        <family val="1"/>
        <charset val="2"/>
      </rPr>
      <t></t>
    </r>
    <r>
      <rPr>
        <b/>
        <sz val="12"/>
        <color theme="1"/>
        <rFont val="Calibri"/>
        <family val="2"/>
        <scheme val="minor"/>
      </rPr>
      <t xml:space="preserve">   Contained in WC to sewer (sludge contained onsite)</t>
    </r>
  </si>
  <si>
    <r>
      <rPr>
        <b/>
        <sz val="12"/>
        <color theme="1"/>
        <rFont val="Wingdings 3"/>
        <family val="1"/>
        <charset val="2"/>
      </rPr>
      <t></t>
    </r>
    <r>
      <rPr>
        <b/>
        <sz val="12"/>
        <color theme="1"/>
        <rFont val="Calibri"/>
        <family val="2"/>
        <scheme val="minor"/>
      </rPr>
      <t xml:space="preserve">   Contained in WC to DEWATS</t>
    </r>
  </si>
  <si>
    <r>
      <rPr>
        <b/>
        <sz val="12"/>
        <color theme="1"/>
        <rFont val="Wingdings 3"/>
        <family val="1"/>
        <charset val="2"/>
      </rPr>
      <t></t>
    </r>
    <r>
      <rPr>
        <b/>
        <sz val="12"/>
        <color theme="1"/>
        <rFont val="Calibri"/>
        <family val="2"/>
        <scheme val="minor"/>
      </rPr>
      <t xml:space="preserve">   Contained onsite in septic tanks (HH + communal toilets)</t>
    </r>
  </si>
  <si>
    <r>
      <rPr>
        <b/>
        <sz val="12"/>
        <color theme="1"/>
        <rFont val="Wingdings 3"/>
        <family val="1"/>
        <charset val="2"/>
      </rPr>
      <t></t>
    </r>
    <r>
      <rPr>
        <b/>
        <sz val="12"/>
        <color theme="1"/>
        <rFont val="Calibri"/>
        <family val="2"/>
        <scheme val="minor"/>
      </rPr>
      <t xml:space="preserve">   Contained onsite in pit latrines</t>
    </r>
  </si>
  <si>
    <t>Volume (safely) passed on</t>
  </si>
  <si>
    <t>Volume not safely contained</t>
  </si>
  <si>
    <r>
      <rPr>
        <b/>
        <sz val="12"/>
        <color theme="1"/>
        <rFont val="Wingdings 3"/>
        <family val="1"/>
        <charset val="2"/>
      </rPr>
      <t></t>
    </r>
    <r>
      <rPr>
        <b/>
        <sz val="12"/>
        <color theme="1"/>
        <rFont val="Calibri"/>
        <family val="2"/>
        <scheme val="minor"/>
      </rPr>
      <t xml:space="preserve">   Contained onsite in septic tanks</t>
    </r>
  </si>
  <si>
    <t>VOLUMES CAPTURED IN WC TO SEWER | RESIDENTS</t>
  </si>
  <si>
    <t>Captured in onsite holding tank prior to sewer connection</t>
  </si>
  <si>
    <t>Captured in WC directly connected to sewer</t>
  </si>
  <si>
    <t>Summary for septic tanks</t>
  </si>
  <si>
    <t>Volumes produced and captured</t>
  </si>
  <si>
    <t>% captured in onsite holding tank</t>
  </si>
  <si>
    <t>Volumes indirectly connected to sewer</t>
  </si>
  <si>
    <t>Volumes requiring emptying</t>
  </si>
  <si>
    <t>Volumes of blackwater requiring treatment</t>
  </si>
  <si>
    <t>Volumes directly connected to sewer</t>
  </si>
  <si>
    <t>Volumes directly disposed in environment</t>
  </si>
  <si>
    <t xml:space="preserve">1) Networked sewerage systems </t>
  </si>
  <si>
    <t>VOLUMES CONTAINED IN SEPTIC TANKS | RESIDENTS</t>
  </si>
  <si>
    <t>Septic tanks with open bottoms</t>
  </si>
  <si>
    <t>Septic tanks with closed bottoms</t>
  </si>
  <si>
    <t>Pits with closed bottoms</t>
  </si>
  <si>
    <t>Volumes contained in septic tanks with open bottoms</t>
  </si>
  <si>
    <t>% directly disposed in environment</t>
  </si>
  <si>
    <t>Net volumes contained</t>
  </si>
  <si>
    <t>Volumes of blackwater disposed onsite</t>
  </si>
  <si>
    <t>Volumes contained in pits with closed bottoms</t>
  </si>
  <si>
    <t>Volumes produced and captured in septic tanks</t>
  </si>
  <si>
    <t>Volumes requiring onsite treatment and disposal</t>
  </si>
  <si>
    <t>VOLUMES CONTAINED IN PIT LATRINES | RESIDENTS</t>
  </si>
  <si>
    <t>Pits with open bottoms</t>
  </si>
  <si>
    <t>Summary for pit latrines</t>
  </si>
  <si>
    <t>Volumes contained in pits with open bottoms</t>
  </si>
  <si>
    <t>Volumes produced and captured in pit latrines</t>
  </si>
  <si>
    <t>CHECK VOLUMES PRODUCED AND CAPTURED</t>
  </si>
  <si>
    <t>Volumes contained in WC to sewers</t>
  </si>
  <si>
    <t>Volumes contained in WC to communal septic tanks</t>
  </si>
  <si>
    <t>Volumes contained in septic tanks</t>
  </si>
  <si>
    <t>Volumes contained in pit latrines</t>
  </si>
  <si>
    <t>Total volumes produced and captured</t>
  </si>
  <si>
    <t>NUMBER OF TOILET FACILITIES | RESIDENTS</t>
  </si>
  <si>
    <t>Average number of households per public toilet</t>
  </si>
  <si>
    <t>Number of sanitation facilities used by residents</t>
  </si>
  <si>
    <t>Total # of facilities = # of HH</t>
  </si>
  <si>
    <t>Total # of facilities</t>
  </si>
  <si>
    <t>4) Public toilets | CONNECTED TO SEWERS</t>
  </si>
  <si>
    <t>Not captured in toilet (Open defecation)</t>
  </si>
  <si>
    <t>Total number of households</t>
  </si>
  <si>
    <r>
      <t>SUMMARY OF VOLUMES CONTAINED IN M</t>
    </r>
    <r>
      <rPr>
        <b/>
        <vertAlign val="superscript"/>
        <sz val="12"/>
        <color theme="1"/>
        <rFont val="Calibri"/>
        <family val="2"/>
        <scheme val="minor"/>
      </rPr>
      <t>3</t>
    </r>
    <r>
      <rPr>
        <b/>
        <sz val="12"/>
        <color theme="1"/>
        <rFont val="Calibri"/>
        <family val="2"/>
        <scheme val="minor"/>
      </rPr>
      <t>/YEAR</t>
    </r>
  </si>
  <si>
    <t>Open bottoms</t>
  </si>
  <si>
    <t>Closed bottoms</t>
  </si>
  <si>
    <t>Volumes requiring treatment</t>
  </si>
  <si>
    <t>Volumes captured in WC to sewer</t>
  </si>
  <si>
    <t>Volumes contained in WC to DEWATS</t>
  </si>
  <si>
    <t>Volumes contained onsite in septic tanks</t>
  </si>
  <si>
    <t>SUMMARY OF VOLUMES CONTAINED | RESIDENTS</t>
  </si>
  <si>
    <t>Volumes safely contained in WC</t>
  </si>
  <si>
    <t>FS requiring emptying</t>
  </si>
  <si>
    <r>
      <rPr>
        <b/>
        <sz val="11"/>
        <color theme="1"/>
        <rFont val="Wingdings 3"/>
        <family val="1"/>
        <charset val="2"/>
      </rPr>
      <t></t>
    </r>
    <r>
      <rPr>
        <b/>
        <sz val="11"/>
        <color theme="1"/>
        <rFont val="Calibri"/>
        <family val="2"/>
        <scheme val="minor"/>
      </rPr>
      <t xml:space="preserve">   Contained in WC to sewer (sludge contained onsite)</t>
    </r>
  </si>
  <si>
    <r>
      <rPr>
        <b/>
        <sz val="11"/>
        <color theme="1"/>
        <rFont val="Wingdings 3"/>
        <family val="1"/>
        <charset val="2"/>
      </rPr>
      <t></t>
    </r>
    <r>
      <rPr>
        <b/>
        <sz val="11"/>
        <color theme="1"/>
        <rFont val="Calibri"/>
        <family val="2"/>
        <scheme val="minor"/>
      </rPr>
      <t xml:space="preserve">   Contained in WC to sewer</t>
    </r>
  </si>
  <si>
    <r>
      <rPr>
        <b/>
        <sz val="11"/>
        <color theme="1"/>
        <rFont val="Wingdings 3"/>
        <family val="1"/>
        <charset val="2"/>
      </rPr>
      <t></t>
    </r>
    <r>
      <rPr>
        <b/>
        <sz val="11"/>
        <color theme="1"/>
        <rFont val="Calibri"/>
        <family val="2"/>
        <scheme val="minor"/>
      </rPr>
      <t xml:space="preserve">   Contained in WC to DEWATS</t>
    </r>
  </si>
  <si>
    <r>
      <rPr>
        <b/>
        <sz val="11"/>
        <color theme="1"/>
        <rFont val="Wingdings 3"/>
        <family val="1"/>
        <charset val="2"/>
      </rPr>
      <t></t>
    </r>
    <r>
      <rPr>
        <b/>
        <sz val="11"/>
        <color theme="1"/>
        <rFont val="Calibri"/>
        <family val="2"/>
        <scheme val="minor"/>
      </rPr>
      <t xml:space="preserve">   Contained onsite in septic tanks (HH + communal toilets)</t>
    </r>
  </si>
  <si>
    <r>
      <rPr>
        <b/>
        <sz val="11"/>
        <color theme="1"/>
        <rFont val="Wingdings 3"/>
        <family val="1"/>
        <charset val="2"/>
      </rPr>
      <t></t>
    </r>
    <r>
      <rPr>
        <b/>
        <sz val="11"/>
        <color theme="1"/>
        <rFont val="Calibri"/>
        <family val="2"/>
        <scheme val="minor"/>
      </rPr>
      <t xml:space="preserve">   Contained onsite in septic tanks</t>
    </r>
  </si>
  <si>
    <r>
      <rPr>
        <b/>
        <sz val="11"/>
        <color theme="1"/>
        <rFont val="Wingdings 3"/>
        <family val="1"/>
        <charset val="2"/>
      </rPr>
      <t></t>
    </r>
    <r>
      <rPr>
        <b/>
        <sz val="11"/>
        <color theme="1"/>
        <rFont val="Calibri"/>
        <family val="2"/>
        <scheme val="minor"/>
      </rPr>
      <t xml:space="preserve">   Contained onsite in pit latrines</t>
    </r>
  </si>
  <si>
    <t>Volume not safely contained in WC</t>
  </si>
  <si>
    <r>
      <rPr>
        <b/>
        <sz val="11"/>
        <color theme="1"/>
        <rFont val="Wingdings 3"/>
        <family val="1"/>
        <charset val="2"/>
      </rPr>
      <t></t>
    </r>
    <r>
      <rPr>
        <b/>
        <sz val="11"/>
        <color theme="1"/>
        <rFont val="Calibri"/>
        <family val="2"/>
        <scheme val="minor"/>
      </rPr>
      <t xml:space="preserve">   Captured in WC but not connected to DEWATS</t>
    </r>
  </si>
  <si>
    <r>
      <rPr>
        <b/>
        <sz val="11"/>
        <color theme="1"/>
        <rFont val="Wingdings 3"/>
        <family val="1"/>
        <charset val="2"/>
      </rPr>
      <t></t>
    </r>
    <r>
      <rPr>
        <b/>
        <sz val="11"/>
        <color theme="1"/>
        <rFont val="Calibri"/>
        <family val="2"/>
        <scheme val="minor"/>
      </rPr>
      <t xml:space="preserve">   Captured in WC but not safely contained in DEWATS</t>
    </r>
  </si>
  <si>
    <r>
      <rPr>
        <b/>
        <sz val="11"/>
        <color theme="1"/>
        <rFont val="Wingdings 3"/>
        <family val="1"/>
        <charset val="2"/>
      </rPr>
      <t></t>
    </r>
    <r>
      <rPr>
        <b/>
        <sz val="11"/>
        <color theme="1"/>
        <rFont val="Calibri"/>
        <family val="2"/>
        <scheme val="minor"/>
      </rPr>
      <t xml:space="preserve">   Captured in WC but not connected to onsite septic tanks</t>
    </r>
  </si>
  <si>
    <r>
      <rPr>
        <b/>
        <sz val="11"/>
        <color theme="1"/>
        <rFont val="Wingdings 3"/>
        <family val="1"/>
        <charset val="2"/>
      </rPr>
      <t></t>
    </r>
    <r>
      <rPr>
        <b/>
        <sz val="11"/>
        <color theme="1"/>
        <rFont val="Calibri"/>
        <family val="2"/>
        <scheme val="minor"/>
      </rPr>
      <t xml:space="preserve">   Captured in WC but not safely contained onsite in septic tanks</t>
    </r>
  </si>
  <si>
    <r>
      <rPr>
        <b/>
        <sz val="11"/>
        <color theme="1"/>
        <rFont val="Wingdings 3"/>
        <family val="1"/>
        <charset val="2"/>
      </rPr>
      <t></t>
    </r>
    <r>
      <rPr>
        <b/>
        <sz val="11"/>
        <color theme="1"/>
        <rFont val="Calibri"/>
        <family val="2"/>
        <scheme val="minor"/>
      </rPr>
      <t xml:space="preserve">   Captured in WC but connected to pit latrines</t>
    </r>
  </si>
  <si>
    <r>
      <rPr>
        <b/>
        <sz val="11"/>
        <color theme="1"/>
        <rFont val="Wingdings 3"/>
        <family val="1"/>
        <charset val="2"/>
      </rPr>
      <t></t>
    </r>
    <r>
      <rPr>
        <b/>
        <sz val="11"/>
        <color theme="1"/>
        <rFont val="Calibri"/>
        <family val="2"/>
        <scheme val="minor"/>
      </rPr>
      <t xml:space="preserve">   Captured in WC but not safely contained onsite in pit latrines</t>
    </r>
  </si>
  <si>
    <t>TOTAL VOLUMES CONTAINED</t>
  </si>
  <si>
    <t>VOLUMES CAPTURED IN WC TO SEWER | TEMPORARY RESIDENTS</t>
  </si>
  <si>
    <t>VOLUMES CONTAINED IN SEPTIC TANKS | TEMPORARY RESIDENTS</t>
  </si>
  <si>
    <t>VOLUMES CONTAINED IN PIT LATRINES | TEMPORARY RESIDENTS</t>
  </si>
  <si>
    <t>SUMMARY OF VOLUMES CONTAINED | TEMPORARY RESIDENTS</t>
  </si>
  <si>
    <t>SUMMARY FOR RESIDENTS AND TEMPORARY RESIDENTS</t>
  </si>
  <si>
    <t>Volumes of human waste passed on to treatment facilities</t>
  </si>
  <si>
    <t>EMPTYING ELEMENT | CALCULATIONS</t>
  </si>
  <si>
    <t>SUMMARY OF VOLUMES EMPTIED</t>
  </si>
  <si>
    <r>
      <rPr>
        <b/>
        <sz val="12"/>
        <color theme="1"/>
        <rFont val="Wingdings 3"/>
        <family val="1"/>
        <charset val="2"/>
      </rPr>
      <t></t>
    </r>
    <r>
      <rPr>
        <b/>
        <sz val="12"/>
        <color theme="1"/>
        <rFont val="Calibri"/>
        <family val="2"/>
        <scheme val="minor"/>
      </rPr>
      <t xml:space="preserve">   Safely emptied manually</t>
    </r>
  </si>
  <si>
    <r>
      <rPr>
        <b/>
        <sz val="12"/>
        <color theme="1"/>
        <rFont val="Wingdings 3"/>
        <family val="1"/>
        <charset val="2"/>
      </rPr>
      <t></t>
    </r>
    <r>
      <rPr>
        <b/>
        <sz val="12"/>
        <color theme="1"/>
        <rFont val="Calibri"/>
        <family val="2"/>
        <scheme val="minor"/>
      </rPr>
      <t xml:space="preserve">   Safely emptied mechanically</t>
    </r>
  </si>
  <si>
    <r>
      <rPr>
        <b/>
        <sz val="12"/>
        <color theme="1"/>
        <rFont val="Wingdings 3"/>
        <family val="1"/>
        <charset val="2"/>
      </rPr>
      <t></t>
    </r>
    <r>
      <rPr>
        <b/>
        <sz val="12"/>
        <color theme="1"/>
        <rFont val="Calibri"/>
        <family val="2"/>
        <scheme val="minor"/>
      </rPr>
      <t xml:space="preserve">   Septage from DEWATS</t>
    </r>
  </si>
  <si>
    <r>
      <rPr>
        <b/>
        <sz val="12"/>
        <color theme="1"/>
        <rFont val="Wingdings 3"/>
        <family val="1"/>
        <charset val="2"/>
      </rPr>
      <t></t>
    </r>
    <r>
      <rPr>
        <b/>
        <sz val="12"/>
        <color theme="1"/>
        <rFont val="Calibri"/>
        <family val="2"/>
        <scheme val="minor"/>
      </rPr>
      <t xml:space="preserve">   Septage from onsite septic tanks</t>
    </r>
  </si>
  <si>
    <r>
      <rPr>
        <b/>
        <sz val="12"/>
        <color theme="1"/>
        <rFont val="Wingdings 3"/>
        <family val="1"/>
        <charset val="2"/>
      </rPr>
      <t></t>
    </r>
    <r>
      <rPr>
        <b/>
        <sz val="12"/>
        <color theme="1"/>
        <rFont val="Calibri"/>
        <family val="2"/>
        <scheme val="minor"/>
      </rPr>
      <t xml:space="preserve">   Unsafely emptied manually</t>
    </r>
  </si>
  <si>
    <r>
      <rPr>
        <b/>
        <sz val="12"/>
        <color theme="1"/>
        <rFont val="Wingdings 3"/>
        <family val="1"/>
        <charset val="2"/>
      </rPr>
      <t></t>
    </r>
    <r>
      <rPr>
        <b/>
        <sz val="12"/>
        <color theme="1"/>
        <rFont val="Calibri"/>
        <family val="2"/>
        <scheme val="minor"/>
      </rPr>
      <t xml:space="preserve">   Unsafely emptied mechanically</t>
    </r>
  </si>
  <si>
    <r>
      <rPr>
        <b/>
        <sz val="12"/>
        <color theme="1"/>
        <rFont val="Wingdings 3"/>
        <family val="1"/>
        <charset val="2"/>
      </rPr>
      <t></t>
    </r>
    <r>
      <rPr>
        <b/>
        <sz val="12"/>
        <color theme="1"/>
        <rFont val="Calibri"/>
        <family val="2"/>
        <scheme val="minor"/>
      </rPr>
      <t xml:space="preserve">   Not emptied onsite sanitation facilities</t>
    </r>
  </si>
  <si>
    <r>
      <rPr>
        <b/>
        <sz val="12"/>
        <color theme="1"/>
        <rFont val="Wingdings 3"/>
        <family val="1"/>
        <charset val="2"/>
      </rPr>
      <t></t>
    </r>
    <r>
      <rPr>
        <b/>
        <sz val="12"/>
        <color theme="1"/>
        <rFont val="Calibri"/>
        <family val="2"/>
        <scheme val="minor"/>
      </rPr>
      <t xml:space="preserve">   Septage from onsite pit latrines</t>
    </r>
  </si>
  <si>
    <t>CALCULATIONS</t>
  </si>
  <si>
    <t>VOLUMES OF FAECAL SLUDGE REQUIRING EMPTYING</t>
  </si>
  <si>
    <t>Volumes captured in WC to sewer (with onsite holding tank)</t>
  </si>
  <si>
    <t>Volumes contained in communal septic tanks (DEWATS)</t>
  </si>
  <si>
    <t>Volumes contained in onsite septic tanks</t>
  </si>
  <si>
    <t>Volumes contained in onsite pit latrines</t>
  </si>
  <si>
    <t>Total volumes of feacal sludge requiring emptying</t>
  </si>
  <si>
    <t>AVERAGE VOLUMES OF ONSITE TOILET SUB-STRUCTURES</t>
  </si>
  <si>
    <t>Average size of pits and tanks in cubic metres</t>
  </si>
  <si>
    <t>Assumption: Emptiers will uniformly empty 90% of a tank or pit content (Source: WaterAid, hydrophil iC GmbH and David Still)
 &amp; Mark O’Riordan for WRC</t>
  </si>
  <si>
    <t>Corrected size of pits and tanks in cubic metres</t>
  </si>
  <si>
    <t>City distribution of toilet sub-structures</t>
  </si>
  <si>
    <t>Average volumes of onsite toilet sub-structures</t>
  </si>
  <si>
    <t xml:space="preserve">AVERAGE EMPTYING VOLUMES </t>
  </si>
  <si>
    <t>Volume emptied per day in cubic metres</t>
  </si>
  <si>
    <t>Total volume emptied  per year in cubic metres</t>
  </si>
  <si>
    <t>Volume unsafely emptied per year in cubic metres</t>
  </si>
  <si>
    <t>Volume safely emptied per year in cubic metres</t>
  </si>
  <si>
    <t>Is this a profitable business opportunity?</t>
  </si>
  <si>
    <t>Does this business cover the entire city?</t>
  </si>
  <si>
    <r>
      <rPr>
        <sz val="10"/>
        <color theme="1"/>
        <rFont val="Wingdings 3"/>
        <family val="1"/>
        <charset val="2"/>
      </rPr>
      <t></t>
    </r>
    <r>
      <rPr>
        <sz val="10"/>
        <color theme="1"/>
        <rFont val="Calibri"/>
        <family val="2"/>
        <scheme val="minor"/>
      </rPr>
      <t xml:space="preserve">   Household</t>
    </r>
  </si>
  <si>
    <r>
      <rPr>
        <sz val="10"/>
        <color theme="1"/>
        <rFont val="Wingdings 3"/>
        <family val="1"/>
        <charset val="2"/>
      </rPr>
      <t></t>
    </r>
    <r>
      <rPr>
        <sz val="10"/>
        <color theme="1"/>
        <rFont val="Calibri"/>
        <family val="2"/>
        <scheme val="minor"/>
      </rPr>
      <t xml:space="preserve">   Professional manual pit emptier (sweeper)</t>
    </r>
  </si>
  <si>
    <r>
      <rPr>
        <sz val="10"/>
        <color theme="1"/>
        <rFont val="Wingdings 3"/>
        <family val="1"/>
        <charset val="2"/>
      </rPr>
      <t></t>
    </r>
    <r>
      <rPr>
        <sz val="10"/>
        <color theme="1"/>
        <rFont val="Calibri"/>
        <family val="2"/>
        <scheme val="minor"/>
      </rPr>
      <t xml:space="preserve">   Others</t>
    </r>
  </si>
  <si>
    <t>MECHANICAL PIT EMPTIERS</t>
  </si>
  <si>
    <t>Operator (public / private)</t>
  </si>
  <si>
    <t>Number of trucks owned by service provider</t>
  </si>
  <si>
    <t>Average volume of trucks in cubic metres</t>
  </si>
  <si>
    <t>Total volume emptied per day in cubic metres</t>
  </si>
  <si>
    <t>Profitability: Is this a profitable business opportunity?</t>
  </si>
  <si>
    <t>Is the entire city accessible by vacuum trucks?</t>
  </si>
  <si>
    <t>Number of regular jobs (institutions)</t>
  </si>
  <si>
    <t>PIT EMPTYING OCCURRENCES</t>
  </si>
  <si>
    <t>Total number of pits and tanks that should be emptied regularly</t>
  </si>
  <si>
    <t>Total number of pits and tanks actually emptied per year</t>
  </si>
  <si>
    <t>Pits emptied as % of total number of pits and tanks</t>
  </si>
  <si>
    <t>PIT EMPTYING VOLUMES</t>
  </si>
  <si>
    <t>Volume of pits and tanks that should be emptied regularly</t>
  </si>
  <si>
    <t>Total volume of pits and tanks actually emptied per year</t>
  </si>
  <si>
    <t>Volumes of pits emptied as % of total volume in pits and tanks</t>
  </si>
  <si>
    <t>CHECK VOLUMES PRODUCED AND PASSED ON</t>
  </si>
  <si>
    <r>
      <rPr>
        <b/>
        <sz val="11"/>
        <color theme="1"/>
        <rFont val="Wingdings 3"/>
        <family val="1"/>
        <charset val="2"/>
      </rPr>
      <t></t>
    </r>
    <r>
      <rPr>
        <b/>
        <sz val="11"/>
        <color theme="1"/>
        <rFont val="Calibri"/>
        <family val="2"/>
        <scheme val="minor"/>
      </rPr>
      <t xml:space="preserve">   Septage</t>
    </r>
  </si>
  <si>
    <r>
      <rPr>
        <b/>
        <sz val="11"/>
        <color theme="1"/>
        <rFont val="Wingdings 3"/>
        <family val="1"/>
        <charset val="2"/>
      </rPr>
      <t></t>
    </r>
    <r>
      <rPr>
        <b/>
        <sz val="11"/>
        <color theme="1"/>
        <rFont val="Calibri"/>
        <family val="2"/>
        <scheme val="minor"/>
      </rPr>
      <t xml:space="preserve">   Faecal sludge contained in onsite holding tanks</t>
    </r>
  </si>
  <si>
    <r>
      <rPr>
        <b/>
        <sz val="11"/>
        <color theme="1"/>
        <rFont val="Wingdings 3"/>
        <family val="1"/>
        <charset val="2"/>
      </rPr>
      <t></t>
    </r>
    <r>
      <rPr>
        <b/>
        <sz val="11"/>
        <color theme="1"/>
        <rFont val="Calibri"/>
        <family val="2"/>
        <scheme val="minor"/>
      </rPr>
      <t xml:space="preserve">   Faecal sludge</t>
    </r>
  </si>
  <si>
    <t>Wastewater contained in septic tanks and passed on</t>
  </si>
  <si>
    <t>Wastewater contained in pit latrines and passed on</t>
  </si>
  <si>
    <t>SUMMARY</t>
  </si>
  <si>
    <t>Volumes emptied</t>
  </si>
  <si>
    <t>Manual pit emptiers</t>
  </si>
  <si>
    <t>Mechanical pit emptiers</t>
  </si>
  <si>
    <r>
      <rPr>
        <b/>
        <sz val="11"/>
        <color theme="1"/>
        <rFont val="Wingdings 3"/>
        <family val="1"/>
        <charset val="2"/>
      </rPr>
      <t></t>
    </r>
    <r>
      <rPr>
        <b/>
        <sz val="11"/>
        <color theme="1"/>
        <rFont val="Calibri"/>
        <family val="2"/>
        <scheme val="minor"/>
      </rPr>
      <t xml:space="preserve">   Safely emptied manually</t>
    </r>
  </si>
  <si>
    <r>
      <rPr>
        <b/>
        <sz val="11"/>
        <color theme="1"/>
        <rFont val="Wingdings 3"/>
        <family val="1"/>
        <charset val="2"/>
      </rPr>
      <t></t>
    </r>
    <r>
      <rPr>
        <b/>
        <sz val="11"/>
        <color theme="1"/>
        <rFont val="Calibri"/>
        <family val="2"/>
        <scheme val="minor"/>
      </rPr>
      <t xml:space="preserve">   Safely emptied mechanically</t>
    </r>
  </si>
  <si>
    <r>
      <rPr>
        <b/>
        <sz val="11"/>
        <color theme="1"/>
        <rFont val="Wingdings 3"/>
        <family val="1"/>
        <charset val="2"/>
      </rPr>
      <t></t>
    </r>
    <r>
      <rPr>
        <b/>
        <sz val="11"/>
        <color theme="1"/>
        <rFont val="Calibri"/>
        <family val="2"/>
        <scheme val="minor"/>
      </rPr>
      <t xml:space="preserve">   Septage from DEWATS</t>
    </r>
  </si>
  <si>
    <r>
      <rPr>
        <b/>
        <sz val="11"/>
        <color theme="1"/>
        <rFont val="Wingdings 3"/>
        <family val="1"/>
        <charset val="2"/>
      </rPr>
      <t></t>
    </r>
    <r>
      <rPr>
        <b/>
        <sz val="11"/>
        <color theme="1"/>
        <rFont val="Calibri"/>
        <family val="2"/>
        <scheme val="minor"/>
      </rPr>
      <t xml:space="preserve">   Septage from septic tanks</t>
    </r>
  </si>
  <si>
    <r>
      <rPr>
        <b/>
        <sz val="11"/>
        <color theme="1"/>
        <rFont val="Wingdings 3"/>
        <family val="1"/>
        <charset val="2"/>
      </rPr>
      <t></t>
    </r>
    <r>
      <rPr>
        <b/>
        <sz val="11"/>
        <color theme="1"/>
        <rFont val="Calibri"/>
        <family val="2"/>
        <scheme val="minor"/>
      </rPr>
      <t xml:space="preserve">   Unsafely emptied manually</t>
    </r>
  </si>
  <si>
    <r>
      <rPr>
        <b/>
        <sz val="11"/>
        <color theme="1"/>
        <rFont val="Wingdings 3"/>
        <family val="1"/>
        <charset val="2"/>
      </rPr>
      <t></t>
    </r>
    <r>
      <rPr>
        <b/>
        <sz val="11"/>
        <color theme="1"/>
        <rFont val="Calibri"/>
        <family val="2"/>
        <scheme val="minor"/>
      </rPr>
      <t xml:space="preserve">   Unsafely emptied mechanically</t>
    </r>
  </si>
  <si>
    <r>
      <rPr>
        <b/>
        <sz val="11"/>
        <color theme="1"/>
        <rFont val="Wingdings 3"/>
        <family val="1"/>
        <charset val="2"/>
      </rPr>
      <t></t>
    </r>
    <r>
      <rPr>
        <b/>
        <sz val="11"/>
        <color theme="1"/>
        <rFont val="Calibri"/>
        <family val="2"/>
        <scheme val="minor"/>
      </rPr>
      <t xml:space="preserve">   Not emptied sanitation facilities</t>
    </r>
  </si>
  <si>
    <t>TOTAL VOLUMES EMPTIED</t>
  </si>
  <si>
    <t>TRANSPORT ELEMENT | CALCULATIONS</t>
  </si>
  <si>
    <t>SUMMARY OF VOLUMES TRANSPORTED</t>
  </si>
  <si>
    <t>Volume safely transported</t>
  </si>
  <si>
    <r>
      <rPr>
        <sz val="12"/>
        <color theme="1"/>
        <rFont val="Wingdings 3"/>
        <family val="1"/>
        <charset val="2"/>
      </rPr>
      <t></t>
    </r>
    <r>
      <rPr>
        <sz val="12"/>
        <color theme="1"/>
        <rFont val="Calibri"/>
        <family val="2"/>
        <scheme val="minor"/>
      </rPr>
      <t xml:space="preserve">   Safely transported </t>
    </r>
  </si>
  <si>
    <t>Volume safely passed on</t>
  </si>
  <si>
    <r>
      <rPr>
        <sz val="12"/>
        <color theme="1"/>
        <rFont val="Wingdings 3"/>
        <family val="1"/>
        <charset val="2"/>
      </rPr>
      <t></t>
    </r>
    <r>
      <rPr>
        <sz val="12"/>
        <color theme="1"/>
        <rFont val="Calibri"/>
        <family val="2"/>
        <scheme val="minor"/>
      </rPr>
      <t xml:space="preserve">  Captured in WC to sewer</t>
    </r>
  </si>
  <si>
    <r>
      <rPr>
        <sz val="12"/>
        <color theme="1"/>
        <rFont val="Wingdings 3"/>
        <family val="1"/>
        <charset val="2"/>
      </rPr>
      <t></t>
    </r>
    <r>
      <rPr>
        <sz val="12"/>
        <color theme="1"/>
        <rFont val="Calibri"/>
        <family val="2"/>
        <scheme val="minor"/>
      </rPr>
      <t xml:space="preserve">  Septage from DEWATS</t>
    </r>
  </si>
  <si>
    <r>
      <rPr>
        <sz val="12"/>
        <color theme="1"/>
        <rFont val="Wingdings 3"/>
        <family val="1"/>
        <charset val="2"/>
      </rPr>
      <t></t>
    </r>
    <r>
      <rPr>
        <sz val="12"/>
        <color theme="1"/>
        <rFont val="Calibri"/>
        <family val="2"/>
        <scheme val="minor"/>
      </rPr>
      <t xml:space="preserve">  Septage from onsite septic tanks</t>
    </r>
  </si>
  <si>
    <t>Volume not safely transported</t>
  </si>
  <si>
    <r>
      <rPr>
        <sz val="12"/>
        <color theme="1"/>
        <rFont val="Wingdings 3"/>
        <family val="1"/>
        <charset val="2"/>
      </rPr>
      <t></t>
    </r>
    <r>
      <rPr>
        <sz val="12"/>
        <color theme="1"/>
        <rFont val="Calibri"/>
        <family val="2"/>
        <scheme val="minor"/>
      </rPr>
      <t xml:space="preserve">   Spillage or leakage during transport</t>
    </r>
  </si>
  <si>
    <r>
      <rPr>
        <sz val="12"/>
        <color theme="1"/>
        <rFont val="Wingdings 3"/>
        <family val="1"/>
        <charset val="2"/>
      </rPr>
      <t></t>
    </r>
    <r>
      <rPr>
        <sz val="12"/>
        <color theme="1"/>
        <rFont val="Calibri"/>
        <family val="2"/>
        <scheme val="minor"/>
      </rPr>
      <t xml:space="preserve">   Illegally disposed</t>
    </r>
  </si>
  <si>
    <t>Volume not safely passed on</t>
  </si>
  <si>
    <r>
      <rPr>
        <sz val="12"/>
        <color theme="1"/>
        <rFont val="Wingdings 3"/>
        <family val="1"/>
        <charset val="2"/>
      </rPr>
      <t></t>
    </r>
    <r>
      <rPr>
        <sz val="12"/>
        <color theme="1"/>
        <rFont val="Calibri"/>
        <family val="2"/>
        <scheme val="minor"/>
      </rPr>
      <t xml:space="preserve">   Leakage in sewers</t>
    </r>
  </si>
  <si>
    <r>
      <rPr>
        <sz val="12"/>
        <color theme="1"/>
        <rFont val="Wingdings 3"/>
        <family val="1"/>
        <charset val="2"/>
      </rPr>
      <t></t>
    </r>
    <r>
      <rPr>
        <sz val="12"/>
        <color theme="1"/>
        <rFont val="Calibri"/>
        <family val="2"/>
        <scheme val="minor"/>
      </rPr>
      <t xml:space="preserve">   Leakage in DEWATS</t>
    </r>
  </si>
  <si>
    <t>VOLUMES OF FAECAL SLUDGE TRANSPORTED</t>
  </si>
  <si>
    <t>TRANSPORTATION OF FEACAL SLUDGE FROM ONSITE SANITATION FACILITIES</t>
  </si>
  <si>
    <t>Does the emptier also transport? Yes/No</t>
  </si>
  <si>
    <t>Proportion of YES and NO</t>
  </si>
  <si>
    <t>If YES, volume</t>
  </si>
  <si>
    <t>Public or Private entity</t>
  </si>
  <si>
    <t>If NO, volume</t>
  </si>
  <si>
    <t>Transporting method</t>
  </si>
  <si>
    <t>Destination</t>
  </si>
  <si>
    <t xml:space="preserve">Dumping location </t>
  </si>
  <si>
    <t>Legal</t>
  </si>
  <si>
    <t xml:space="preserve">Name of second transporter </t>
  </si>
  <si>
    <t>Volumes reaching illegal destinations</t>
  </si>
  <si>
    <t>Volumes reaching legal destination</t>
  </si>
  <si>
    <t>Transported by manual emptiers</t>
  </si>
  <si>
    <t>Household (bucket and space)</t>
  </si>
  <si>
    <t>Professional manual pit emptier (bucket and space)</t>
  </si>
  <si>
    <t>Professional manual pit emptier (mechanical device)</t>
  </si>
  <si>
    <t>Sub-totals</t>
  </si>
  <si>
    <t>Transported by mechanical emptiers</t>
  </si>
  <si>
    <t>Where there is a substation the leakage rate between the two stages has been taken as the average between the two transport methods.</t>
  </si>
  <si>
    <t>It is assumed that once sludge has reached the substation it is transported further by mechanical means</t>
  </si>
  <si>
    <t>1st leg</t>
  </si>
  <si>
    <t>2nd leg</t>
  </si>
  <si>
    <t>Combined</t>
  </si>
  <si>
    <t>Legal volume transported</t>
  </si>
  <si>
    <t>Illegal volume transported</t>
  </si>
  <si>
    <t>Total volume</t>
  </si>
  <si>
    <t>Spillage / Leakage</t>
  </si>
  <si>
    <t>Net volume</t>
  </si>
  <si>
    <t>Reaching destination</t>
  </si>
  <si>
    <t>Spillage / leakage</t>
  </si>
  <si>
    <t>Illegally disposed</t>
  </si>
  <si>
    <t>VOLUMES OF SEPTAGE TRANSPORTED</t>
  </si>
  <si>
    <r>
      <t>Volumes in m</t>
    </r>
    <r>
      <rPr>
        <b/>
        <vertAlign val="superscript"/>
        <sz val="11"/>
        <color theme="1"/>
        <rFont val="Calibri"/>
        <family val="2"/>
        <scheme val="minor"/>
      </rPr>
      <t>3</t>
    </r>
    <r>
      <rPr>
        <b/>
        <sz val="11"/>
        <color theme="1"/>
        <rFont val="Calibri"/>
        <family val="2"/>
        <scheme val="minor"/>
      </rPr>
      <t>/year</t>
    </r>
  </si>
  <si>
    <t>Leakage</t>
  </si>
  <si>
    <t>Captured in WC to sewer</t>
  </si>
  <si>
    <t>Septage from DEWATS</t>
  </si>
  <si>
    <t>Septage from onsite septic tanks</t>
  </si>
  <si>
    <r>
      <rPr>
        <sz val="11"/>
        <color theme="1"/>
        <rFont val="Wingdings 3"/>
        <family val="1"/>
        <charset val="2"/>
      </rPr>
      <t></t>
    </r>
    <r>
      <rPr>
        <sz val="11"/>
        <color theme="1"/>
        <rFont val="Calibri"/>
        <family val="2"/>
        <scheme val="minor"/>
      </rPr>
      <t xml:space="preserve">   Safely transported </t>
    </r>
  </si>
  <si>
    <r>
      <rPr>
        <sz val="11"/>
        <color theme="1"/>
        <rFont val="Wingdings 3"/>
        <family val="1"/>
        <charset val="2"/>
      </rPr>
      <t></t>
    </r>
    <r>
      <rPr>
        <sz val="11"/>
        <color theme="1"/>
        <rFont val="Calibri"/>
        <family val="2"/>
        <scheme val="minor"/>
      </rPr>
      <t xml:space="preserve">  Captured in WC to sewer</t>
    </r>
  </si>
  <si>
    <r>
      <rPr>
        <sz val="11"/>
        <color theme="1"/>
        <rFont val="Wingdings 3"/>
        <family val="1"/>
        <charset val="2"/>
      </rPr>
      <t></t>
    </r>
    <r>
      <rPr>
        <sz val="11"/>
        <color theme="1"/>
        <rFont val="Calibri"/>
        <family val="2"/>
        <scheme val="minor"/>
      </rPr>
      <t xml:space="preserve">  Septage from DEWATS</t>
    </r>
  </si>
  <si>
    <r>
      <rPr>
        <sz val="11"/>
        <color theme="1"/>
        <rFont val="Wingdings 3"/>
        <family val="1"/>
        <charset val="2"/>
      </rPr>
      <t></t>
    </r>
    <r>
      <rPr>
        <sz val="11"/>
        <color theme="1"/>
        <rFont val="Calibri"/>
        <family val="2"/>
        <scheme val="minor"/>
      </rPr>
      <t xml:space="preserve">  Septage from onsite septic tanks</t>
    </r>
  </si>
  <si>
    <r>
      <rPr>
        <sz val="11"/>
        <color theme="1"/>
        <rFont val="Wingdings 3"/>
        <family val="1"/>
        <charset val="2"/>
      </rPr>
      <t></t>
    </r>
    <r>
      <rPr>
        <sz val="11"/>
        <color theme="1"/>
        <rFont val="Calibri"/>
        <family val="2"/>
        <scheme val="minor"/>
      </rPr>
      <t xml:space="preserve">   Spillage or leakage during transport</t>
    </r>
  </si>
  <si>
    <r>
      <rPr>
        <sz val="11"/>
        <color theme="1"/>
        <rFont val="Wingdings 3"/>
        <family val="1"/>
        <charset val="2"/>
      </rPr>
      <t></t>
    </r>
    <r>
      <rPr>
        <sz val="11"/>
        <color theme="1"/>
        <rFont val="Calibri"/>
        <family val="2"/>
        <scheme val="minor"/>
      </rPr>
      <t xml:space="preserve">   Illegally disposed</t>
    </r>
  </si>
  <si>
    <r>
      <rPr>
        <sz val="11"/>
        <color theme="1"/>
        <rFont val="Wingdings 3"/>
        <family val="1"/>
        <charset val="2"/>
      </rPr>
      <t></t>
    </r>
    <r>
      <rPr>
        <sz val="11"/>
        <color theme="1"/>
        <rFont val="Calibri"/>
        <family val="2"/>
        <scheme val="minor"/>
      </rPr>
      <t xml:space="preserve">   Leakage in sewers</t>
    </r>
  </si>
  <si>
    <r>
      <rPr>
        <sz val="11"/>
        <color theme="1"/>
        <rFont val="Wingdings 3"/>
        <family val="1"/>
        <charset val="2"/>
      </rPr>
      <t></t>
    </r>
    <r>
      <rPr>
        <sz val="11"/>
        <color theme="1"/>
        <rFont val="Calibri"/>
        <family val="2"/>
        <scheme val="minor"/>
      </rPr>
      <t xml:space="preserve">   Leakage in DEWATS</t>
    </r>
  </si>
  <si>
    <t>TOTAL VOLUMES TRANSPORTED</t>
  </si>
  <si>
    <t>TREATMENT ELEMENT | CALCULATIONS</t>
  </si>
  <si>
    <t>SUMMARY OF VOLUMES TREATED</t>
  </si>
  <si>
    <t>Volume safely treated</t>
  </si>
  <si>
    <r>
      <rPr>
        <sz val="12"/>
        <color theme="1"/>
        <rFont val="Wingdings 3"/>
        <family val="1"/>
        <charset val="2"/>
      </rPr>
      <t></t>
    </r>
    <r>
      <rPr>
        <sz val="12"/>
        <color theme="1"/>
        <rFont val="Calibri"/>
        <family val="2"/>
        <scheme val="minor"/>
      </rPr>
      <t xml:space="preserve">   Safely treated for disposal</t>
    </r>
  </si>
  <si>
    <r>
      <rPr>
        <sz val="12"/>
        <color theme="1"/>
        <rFont val="Wingdings 3"/>
        <family val="1"/>
        <charset val="2"/>
      </rPr>
      <t></t>
    </r>
    <r>
      <rPr>
        <sz val="12"/>
        <color theme="1"/>
        <rFont val="Calibri"/>
        <family val="2"/>
        <scheme val="minor"/>
      </rPr>
      <t xml:space="preserve">   Safely treated for reuse</t>
    </r>
  </si>
  <si>
    <t>Volume not safely treated</t>
  </si>
  <si>
    <r>
      <rPr>
        <sz val="12"/>
        <color theme="1"/>
        <rFont val="Wingdings 3"/>
        <family val="1"/>
        <charset val="2"/>
      </rPr>
      <t></t>
    </r>
    <r>
      <rPr>
        <sz val="12"/>
        <color theme="1"/>
        <rFont val="Calibri"/>
        <family val="2"/>
        <scheme val="minor"/>
      </rPr>
      <t xml:space="preserve">   Unsafely treated for disposal</t>
    </r>
  </si>
  <si>
    <r>
      <rPr>
        <sz val="12"/>
        <color theme="1"/>
        <rFont val="Wingdings 3"/>
        <family val="1"/>
        <charset val="2"/>
      </rPr>
      <t></t>
    </r>
    <r>
      <rPr>
        <sz val="12"/>
        <color theme="1"/>
        <rFont val="Calibri"/>
        <family val="2"/>
        <scheme val="minor"/>
      </rPr>
      <t xml:space="preserve">   Unsafely treated for reuse</t>
    </r>
  </si>
  <si>
    <t>VOLUMES OF FAECAL SLUDGE TREATED</t>
  </si>
  <si>
    <t>Volumes received in cubic metres</t>
  </si>
  <si>
    <t>Treatment volumes in cubic metres</t>
  </si>
  <si>
    <t>Volumes not safely treated for DISPOSAL</t>
  </si>
  <si>
    <t>Volumes not safely treated for REUSE</t>
  </si>
  <si>
    <t>National reuse standards</t>
  </si>
  <si>
    <t>WHO reuse standards</t>
  </si>
  <si>
    <t>Cost to transporters</t>
  </si>
  <si>
    <t>Parameters</t>
  </si>
  <si>
    <t>Standards for unrestricted use in agriculture</t>
  </si>
  <si>
    <t>Standards for restricted use in agriculture</t>
  </si>
  <si>
    <t>Nematode eggs/L</t>
  </si>
  <si>
    <t>&lt;=1</t>
  </si>
  <si>
    <t>Faecal coliforms /100ml</t>
  </si>
  <si>
    <t>-</t>
  </si>
  <si>
    <t>&lt;1000</t>
  </si>
  <si>
    <t>Assumed that if effluent fails one parameter of the standards then the plant has failed to treat the waste and so all is 0% treated.</t>
  </si>
  <si>
    <t>Where local or national standards cannot be found use WHO standards</t>
  </si>
  <si>
    <t>VOLUMES OF SEPTAGE FROM SEWERS TREATED</t>
  </si>
  <si>
    <t>VOLUMES OF SEPTAGE FROM DEWATS TREATED</t>
  </si>
  <si>
    <t>VOLUMES OF SEPTAGE FROM ONSITE SEPTIC TANKS TREATED</t>
  </si>
  <si>
    <t>Source of faecal sludge or septage</t>
  </si>
  <si>
    <t>Not safe</t>
  </si>
  <si>
    <t>Faecal sludge</t>
  </si>
  <si>
    <t>Septage from sewers</t>
  </si>
  <si>
    <r>
      <rPr>
        <sz val="11"/>
        <color theme="1"/>
        <rFont val="Wingdings 3"/>
        <family val="1"/>
        <charset val="2"/>
      </rPr>
      <t></t>
    </r>
    <r>
      <rPr>
        <sz val="11"/>
        <color theme="1"/>
        <rFont val="Calibri"/>
        <family val="2"/>
        <scheme val="minor"/>
      </rPr>
      <t xml:space="preserve">   Safely treated for disposal</t>
    </r>
  </si>
  <si>
    <r>
      <rPr>
        <sz val="11"/>
        <color theme="1"/>
        <rFont val="Wingdings 3"/>
        <family val="1"/>
        <charset val="2"/>
      </rPr>
      <t></t>
    </r>
    <r>
      <rPr>
        <sz val="11"/>
        <color theme="1"/>
        <rFont val="Calibri"/>
        <family val="2"/>
        <scheme val="minor"/>
      </rPr>
      <t xml:space="preserve">   Safely treated for reuse</t>
    </r>
  </si>
  <si>
    <r>
      <rPr>
        <sz val="11"/>
        <color theme="1"/>
        <rFont val="Wingdings 3"/>
        <family val="1"/>
        <charset val="2"/>
      </rPr>
      <t></t>
    </r>
    <r>
      <rPr>
        <sz val="11"/>
        <color theme="1"/>
        <rFont val="Calibri"/>
        <family val="2"/>
        <scheme val="minor"/>
      </rPr>
      <t xml:space="preserve">   Unsafely treated for disposal</t>
    </r>
  </si>
  <si>
    <r>
      <rPr>
        <sz val="11"/>
        <color theme="1"/>
        <rFont val="Wingdings 3"/>
        <family val="1"/>
        <charset val="2"/>
      </rPr>
      <t></t>
    </r>
    <r>
      <rPr>
        <sz val="11"/>
        <color theme="1"/>
        <rFont val="Calibri"/>
        <family val="2"/>
        <scheme val="minor"/>
      </rPr>
      <t xml:space="preserve">   Unsafely treated for reuse</t>
    </r>
  </si>
  <si>
    <t>DISPOSAL AND REUSE ELEMENT | CALCULATIONS</t>
  </si>
  <si>
    <t>SUMMARY OF VOLUMES DISPOSED OR REUSED</t>
  </si>
  <si>
    <t>Volume safely disposed / reused</t>
  </si>
  <si>
    <t>Volume safely disposed</t>
  </si>
  <si>
    <t>Volume safely reused</t>
  </si>
  <si>
    <t>Volume not safely disposed / reused</t>
  </si>
  <si>
    <t>Volume not safely disposed</t>
  </si>
  <si>
    <t>Volume not safely reused</t>
  </si>
  <si>
    <t>VOLUMES AND METHODS OF DISPOSAL</t>
  </si>
  <si>
    <t>FAECAL SLUDGE (Volumes to DISPOSED)</t>
  </si>
  <si>
    <t>Volume to be DISPOSED</t>
  </si>
  <si>
    <t>Volumes treated safely</t>
  </si>
  <si>
    <t>Volumes per disposal method</t>
  </si>
  <si>
    <t>Assumed that once treated, the effluent from multiple sources will not be mixed together, which would re-contaminate the treated volume.</t>
  </si>
  <si>
    <t>SEPTAGE FROM SEWERS (Volumes to DISPOSED)</t>
  </si>
  <si>
    <t>SEPTAGE FROM DEWATS (Volumes to DISPOSED)</t>
  </si>
  <si>
    <t>Communal septic tank  or DEWATS location</t>
  </si>
  <si>
    <t>SEPTAGE FROM ONSITE SEPTIC TANKS (Volumes to DISPOSED)</t>
  </si>
  <si>
    <t>VOLUMES AND METHODS OF REUSE</t>
  </si>
  <si>
    <t>FAECAL SLUDGE (Volumes to REUSED)</t>
  </si>
  <si>
    <t>Volume to be REUSED</t>
  </si>
  <si>
    <t>SEPTAGE FROM SEWERS (Volumes to REUSED)</t>
  </si>
  <si>
    <t>SEPTAGE FROM DEWATS (Volumes to REUSED)</t>
  </si>
  <si>
    <t>SEPTAGE FROM ONSITE SEPTIC TANKS (Volumes to REUSED)</t>
  </si>
  <si>
    <t>SUMMARY OF VOLUMES DISPOSED</t>
  </si>
  <si>
    <t>DISPOSED</t>
  </si>
  <si>
    <t xml:space="preserve">Faecal sludge </t>
  </si>
  <si>
    <t>SUMMARY OF VOLUMES REUSED</t>
  </si>
  <si>
    <t>REUSED</t>
  </si>
  <si>
    <t>VOLUMES DISPOSED</t>
  </si>
  <si>
    <t>VOLUMES REUSED</t>
  </si>
  <si>
    <t>COMBINED TOTALS</t>
  </si>
  <si>
    <t>NOT SAFE</t>
  </si>
  <si>
    <t>TOTAL VOLUMES DISPOSED OR REUSED</t>
  </si>
  <si>
    <t>CAPTURE ELEMENT | CALCULATIONS OF FEACAL SLUDGE VOLUMES</t>
  </si>
  <si>
    <t>Correction factor for non-residents</t>
  </si>
  <si>
    <t>Corrected # of non-residents per year NOW</t>
  </si>
  <si>
    <t>Corrected # of non-residents per year IN FUTURE</t>
  </si>
  <si>
    <t xml:space="preserve">1) Networked sewerage systems | </t>
  </si>
  <si>
    <t xml:space="preserve">Summary of volumes produced by ALL </t>
  </si>
  <si>
    <t>4) Communal / Public toilets | CONNECTED TO SEWER</t>
  </si>
  <si>
    <t>4) Communal / Public toilets | SEPTIC TANKS</t>
  </si>
  <si>
    <t>4) Communal / Public toilets | PIT LATRINES</t>
  </si>
  <si>
    <t>CONTAINMENT ELEMENT | CALCULATIONS OF FEACAL SLUDGE VOLUMES</t>
  </si>
  <si>
    <r>
      <rPr>
        <b/>
        <sz val="12"/>
        <color theme="1"/>
        <rFont val="Wingdings 3"/>
        <family val="1"/>
        <charset val="2"/>
      </rPr>
      <t></t>
    </r>
    <r>
      <rPr>
        <b/>
        <sz val="12"/>
        <color theme="1"/>
        <rFont val="Calibri"/>
        <family val="2"/>
        <scheme val="minor"/>
      </rPr>
      <t xml:space="preserve">   Contained in WC to sewer</t>
    </r>
  </si>
  <si>
    <r>
      <rPr>
        <b/>
        <sz val="11"/>
        <color theme="1"/>
        <rFont val="Wingdings 3"/>
        <family val="1"/>
        <charset val="2"/>
      </rPr>
      <t></t>
    </r>
    <r>
      <rPr>
        <b/>
        <sz val="11"/>
        <color theme="1"/>
        <rFont val="Calibri"/>
        <family val="2"/>
        <scheme val="minor"/>
      </rPr>
      <t xml:space="preserve">   Contained in WC to sewer </t>
    </r>
  </si>
  <si>
    <t>EMPTYING ELEMENT | CALCULATIONS OF FAECAL SLUDGE VOLUMES</t>
  </si>
  <si>
    <t>Average volumes of SLUDGE in onsite toilet sub-structures</t>
  </si>
  <si>
    <t>EHRA: 14% emptied at least once; 4% emptied in past year</t>
  </si>
  <si>
    <t>TRANSPORT ELEMENT | CALCULATIONS OF FEACAL SLUDGE VOLUMES</t>
  </si>
  <si>
    <t>Total legal volume</t>
  </si>
  <si>
    <t>TREATMENT ELEMENT | CALCULATIONS OF FEACAL SLUDGE VOLUMES</t>
  </si>
  <si>
    <t>VOLUMES OF FEACAL SLUDGE FROM SEWERS TREATED</t>
  </si>
  <si>
    <t>VOLUMES OF FAECAL SLUDGE FROM DEWATS TREATED</t>
  </si>
  <si>
    <t>VOLUMES OF FEACAL SLUDGE FROM ONSITE SEPTIC TANKS TREATED</t>
  </si>
  <si>
    <t>Source of faecal sludge</t>
  </si>
  <si>
    <t>Faecal sludge from onsite facilities</t>
  </si>
  <si>
    <t>Faecal sludge from sewers</t>
  </si>
  <si>
    <t>Faecal sludge from DEWATS</t>
  </si>
  <si>
    <t>Faecal sludge from onsite septic tanks</t>
  </si>
  <si>
    <t>DISPOSAL AND REUSE ELEMENT | CALCULATIONS OF FEACAL SLUDGE VOLUMES</t>
  </si>
  <si>
    <t>FEACAL SLUDGE FROM SEWERS (Volumes to DISPOSED)</t>
  </si>
  <si>
    <t>FAECAL SLUDGE FROM DEWATS (Volumes to DISPOSED)</t>
  </si>
  <si>
    <t>FEACAL SLUDGE FROM ONSITE SEPTIC TANKS (Volumes to DISPOSED)</t>
  </si>
  <si>
    <t>FAECAL SLUDGE FROM SEWERS (Volumes to REUSED)</t>
  </si>
  <si>
    <t>FEACAL SLUDGE FROM DEWATS (Volumes to REUSED)</t>
  </si>
  <si>
    <t>FEACAL SLUDGE FROM ONSITE SEPTIC TANKS (Volumes to REUSED)</t>
  </si>
  <si>
    <t>Any city</t>
  </si>
  <si>
    <t>the world</t>
  </si>
  <si>
    <t>Plant 1 [sewerage treatment works]</t>
  </si>
  <si>
    <t>Plant 2 [sewerage treatment works]</t>
  </si>
  <si>
    <t>Plant 1</t>
  </si>
  <si>
    <t>Plant 2</t>
  </si>
  <si>
    <t>Plant 3</t>
  </si>
  <si>
    <t>Plant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</si>
</sst>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0_ ;\-#,##0\ "/>
    <numFmt numFmtId="165" formatCode="#,##0.0_ ;\-#,##0.0\ "/>
    <numFmt numFmtId="166" formatCode="0.0%"/>
    <numFmt numFmtId="167" formatCode="#,##0.00_ ;\-#,##0.00\ "/>
    <numFmt numFmtId="168" formatCode="_-* #,##0_-;\-* #,##0_-;_-* &quot;-&quot;??_-;_-@_-"/>
    <numFmt numFmtId="169" formatCode="0.0"/>
    <numFmt numFmtId="170" formatCode="[$-809]dd\ mmmm\ yyyy;@"/>
  </numFmts>
  <fonts count="165" x14ac:knownFonts="1">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b/>
      <sz val="14"/>
      <color theme="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0"/>
      <color rgb="FFFF0000"/>
      <name val="Calibri"/>
      <family val="2"/>
      <scheme val="minor"/>
    </font>
    <font>
      <sz val="10"/>
      <name val="Calibri"/>
      <family val="2"/>
      <scheme val="minor"/>
    </font>
    <font>
      <b/>
      <sz val="10"/>
      <color rgb="FF000000"/>
      <name val="Calibri"/>
      <family val="2"/>
      <scheme val="minor"/>
    </font>
    <font>
      <b/>
      <sz val="11"/>
      <name val="Calibri"/>
      <family val="2"/>
      <scheme val="minor"/>
    </font>
    <font>
      <sz val="11"/>
      <color theme="1"/>
      <name val="Wingdings 3"/>
      <family val="1"/>
      <charset val="2"/>
    </font>
    <font>
      <sz val="10"/>
      <color theme="1"/>
      <name val="Wingdings 3"/>
      <family val="1"/>
      <charset val="2"/>
    </font>
    <font>
      <i/>
      <sz val="10"/>
      <color theme="1"/>
      <name val="Calibri"/>
      <family val="2"/>
      <scheme val="minor"/>
    </font>
    <font>
      <b/>
      <vertAlign val="superscript"/>
      <sz val="11"/>
      <name val="Calibri"/>
      <family val="2"/>
      <scheme val="minor"/>
    </font>
    <font>
      <b/>
      <sz val="10"/>
      <color rgb="FF0033CC"/>
      <name val="Calibri"/>
      <family val="2"/>
      <scheme val="minor"/>
    </font>
    <font>
      <b/>
      <sz val="11"/>
      <color rgb="FF1B951E"/>
      <name val="Calibri"/>
      <family val="2"/>
      <scheme val="minor"/>
    </font>
    <font>
      <b/>
      <i/>
      <sz val="10"/>
      <color theme="1"/>
      <name val="Calibri"/>
      <family val="2"/>
      <scheme val="minor"/>
    </font>
    <font>
      <b/>
      <i/>
      <sz val="11"/>
      <color theme="1"/>
      <name val="Calibri"/>
      <family val="2"/>
      <scheme val="minor"/>
    </font>
    <font>
      <b/>
      <sz val="12"/>
      <name val="Calibri"/>
      <family val="2"/>
      <scheme val="minor"/>
    </font>
    <font>
      <sz val="12"/>
      <name val="Calibri"/>
      <family val="2"/>
      <scheme val="minor"/>
    </font>
    <font>
      <b/>
      <i/>
      <sz val="11"/>
      <name val="Calibri"/>
      <family val="2"/>
      <scheme val="minor"/>
    </font>
    <font>
      <b/>
      <sz val="10"/>
      <name val="Calibri"/>
      <family val="2"/>
      <scheme val="minor"/>
    </font>
    <font>
      <b/>
      <sz val="14"/>
      <name val="Calibri"/>
      <family val="2"/>
      <scheme val="minor"/>
    </font>
    <font>
      <i/>
      <sz val="10"/>
      <name val="Calibri"/>
      <family val="2"/>
      <scheme val="minor"/>
    </font>
    <font>
      <b/>
      <sz val="11"/>
      <color rgb="FFFF0000"/>
      <name val="Calibri"/>
      <family val="2"/>
      <scheme val="minor"/>
    </font>
    <font>
      <b/>
      <sz val="11"/>
      <color rgb="FF000000"/>
      <name val="Calibri"/>
      <family val="2"/>
      <scheme val="minor"/>
    </font>
    <font>
      <b/>
      <i/>
      <sz val="10"/>
      <name val="Calibri"/>
      <family val="2"/>
      <scheme val="minor"/>
    </font>
    <font>
      <sz val="14"/>
      <color theme="1"/>
      <name val="Calibri"/>
      <family val="2"/>
      <scheme val="minor"/>
    </font>
    <font>
      <sz val="11"/>
      <color theme="9" tint="-0.249977111117893"/>
      <name val="Calibri"/>
      <family val="2"/>
      <scheme val="minor"/>
    </font>
    <font>
      <b/>
      <sz val="11"/>
      <color rgb="FF7030A0"/>
      <name val="Calibri"/>
      <family val="2"/>
      <scheme val="minor"/>
    </font>
    <font>
      <b/>
      <i/>
      <sz val="11"/>
      <color rgb="FF7030A0"/>
      <name val="Calibri"/>
      <family val="2"/>
      <scheme val="minor"/>
    </font>
    <font>
      <b/>
      <sz val="10"/>
      <color rgb="FF7030A0"/>
      <name val="Calibri"/>
      <family val="2"/>
      <scheme val="minor"/>
    </font>
    <font>
      <sz val="11"/>
      <color rgb="FF7030A0"/>
      <name val="Calibri"/>
      <family val="2"/>
      <scheme val="minor"/>
    </font>
    <font>
      <b/>
      <sz val="10"/>
      <color rgb="FFFF0000"/>
      <name val="Calibri"/>
      <family val="2"/>
      <scheme val="minor"/>
    </font>
    <font>
      <sz val="9"/>
      <color indexed="81"/>
      <name val="Tahoma"/>
      <family val="2"/>
    </font>
    <font>
      <b/>
      <sz val="9"/>
      <color indexed="81"/>
      <name val="Tahoma"/>
      <family val="2"/>
    </font>
    <font>
      <b/>
      <sz val="11"/>
      <color rgb="FF000000"/>
      <name val="Wingdings"/>
      <charset val="2"/>
    </font>
    <font>
      <sz val="12"/>
      <color theme="1"/>
      <name val="Calibri"/>
      <family val="2"/>
      <scheme val="minor"/>
    </font>
    <font>
      <b/>
      <sz val="10"/>
      <color rgb="FF000000"/>
      <name val="Wingdings"/>
      <charset val="2"/>
    </font>
    <font>
      <b/>
      <sz val="11"/>
      <color theme="0"/>
      <name val="Calibri"/>
      <family val="2"/>
      <scheme val="minor"/>
    </font>
    <font>
      <sz val="12"/>
      <color theme="1"/>
      <name val="Wingdings 3"/>
      <family val="1"/>
      <charset val="2"/>
    </font>
    <font>
      <sz val="9"/>
      <color theme="1"/>
      <name val="Calibri"/>
      <family val="2"/>
      <scheme val="minor"/>
    </font>
    <font>
      <b/>
      <sz val="16"/>
      <color theme="1"/>
      <name val="Calibri"/>
      <family val="2"/>
      <scheme val="minor"/>
    </font>
    <font>
      <b/>
      <sz val="20"/>
      <color theme="1"/>
      <name val="Calibri"/>
      <family val="2"/>
      <scheme val="minor"/>
    </font>
    <font>
      <sz val="10"/>
      <color rgb="FF27130D"/>
      <name val="Arial"/>
      <family val="2"/>
    </font>
    <font>
      <b/>
      <vertAlign val="superscript"/>
      <sz val="11"/>
      <color theme="1"/>
      <name val="Calibri"/>
      <family val="2"/>
      <scheme val="minor"/>
    </font>
    <font>
      <b/>
      <sz val="10"/>
      <color theme="0"/>
      <name val="Calibri"/>
      <family val="2"/>
      <scheme val="minor"/>
    </font>
    <font>
      <sz val="8"/>
      <color theme="1"/>
      <name val="Calibri"/>
      <family val="2"/>
      <scheme val="minor"/>
    </font>
    <font>
      <sz val="8"/>
      <name val="Calibri"/>
      <family val="2"/>
      <scheme val="minor"/>
    </font>
    <font>
      <sz val="8"/>
      <color theme="9" tint="-0.249977111117893"/>
      <name val="Calibri"/>
      <family val="2"/>
      <scheme val="minor"/>
    </font>
    <font>
      <sz val="10"/>
      <color theme="0"/>
      <name val="Calibri"/>
      <family val="2"/>
      <scheme val="minor"/>
    </font>
    <font>
      <b/>
      <sz val="12"/>
      <color theme="0"/>
      <name val="Calibri"/>
      <family val="2"/>
      <scheme val="minor"/>
    </font>
    <font>
      <b/>
      <sz val="11"/>
      <color theme="1"/>
      <name val="Wingdings 3"/>
      <family val="1"/>
      <charset val="2"/>
    </font>
    <font>
      <b/>
      <sz val="12"/>
      <color theme="1"/>
      <name val="Wingdings 3"/>
      <family val="1"/>
      <charset val="2"/>
    </font>
    <font>
      <b/>
      <sz val="8"/>
      <name val="Calibri"/>
      <family val="2"/>
      <scheme val="minor"/>
    </font>
    <font>
      <b/>
      <sz val="12"/>
      <color rgb="FF0033CC"/>
      <name val="Calibri"/>
      <family val="2"/>
      <scheme val="minor"/>
    </font>
    <font>
      <sz val="14"/>
      <color rgb="FFFF0000"/>
      <name val="Calibri"/>
      <family val="2"/>
      <scheme val="minor"/>
    </font>
    <font>
      <b/>
      <sz val="14"/>
      <color rgb="FF0033CC"/>
      <name val="Calibri"/>
      <family val="2"/>
      <scheme val="minor"/>
    </font>
    <font>
      <b/>
      <sz val="8"/>
      <color theme="1"/>
      <name val="Calibri"/>
      <family val="2"/>
      <scheme val="minor"/>
    </font>
    <font>
      <sz val="10"/>
      <color theme="9" tint="-0.249977111117893"/>
      <name val="Calibri"/>
      <family val="2"/>
      <scheme val="minor"/>
    </font>
    <font>
      <i/>
      <sz val="11"/>
      <name val="Calibri"/>
      <family val="2"/>
      <scheme val="minor"/>
    </font>
    <font>
      <b/>
      <sz val="9"/>
      <color theme="1"/>
      <name val="Calibri"/>
      <family val="2"/>
      <scheme val="minor"/>
    </font>
    <font>
      <sz val="10"/>
      <color rgb="FF7030A0"/>
      <name val="Calibri"/>
      <family val="2"/>
      <scheme val="minor"/>
    </font>
    <font>
      <b/>
      <sz val="12"/>
      <color rgb="FFFF0000"/>
      <name val="Calibri"/>
      <family val="2"/>
      <scheme val="minor"/>
    </font>
    <font>
      <b/>
      <sz val="9"/>
      <color rgb="FFFF0000"/>
      <name val="Calibri"/>
      <family val="2"/>
      <scheme val="minor"/>
    </font>
    <font>
      <b/>
      <sz val="11"/>
      <color theme="9" tint="0.39997558519241921"/>
      <name val="Calibri"/>
      <family val="2"/>
      <scheme val="minor"/>
    </font>
    <font>
      <b/>
      <sz val="16"/>
      <name val="Calibri"/>
      <family val="2"/>
      <scheme val="minor"/>
    </font>
    <font>
      <b/>
      <vertAlign val="superscript"/>
      <sz val="12"/>
      <color theme="1"/>
      <name val="Calibri"/>
      <family val="2"/>
      <scheme val="minor"/>
    </font>
    <font>
      <sz val="10"/>
      <color rgb="FF002060"/>
      <name val="Calibri"/>
      <family val="2"/>
      <scheme val="minor"/>
    </font>
    <font>
      <b/>
      <vertAlign val="superscript"/>
      <sz val="12"/>
      <name val="Calibri"/>
      <family val="2"/>
      <scheme val="minor"/>
    </font>
    <font>
      <b/>
      <sz val="14"/>
      <color theme="0"/>
      <name val="Calibri"/>
      <family val="2"/>
      <scheme val="minor"/>
    </font>
    <font>
      <b/>
      <sz val="16"/>
      <color theme="0"/>
      <name val="Calibri"/>
      <family val="2"/>
      <scheme val="minor"/>
    </font>
    <font>
      <b/>
      <sz val="11"/>
      <color rgb="FF008000"/>
      <name val="Calibri"/>
      <family val="2"/>
      <scheme val="minor"/>
    </font>
    <font>
      <sz val="11"/>
      <color rgb="FF008000"/>
      <name val="Calibri"/>
      <family val="2"/>
      <scheme val="minor"/>
    </font>
    <font>
      <b/>
      <sz val="12"/>
      <color theme="3"/>
      <name val="Calibri"/>
      <family val="2"/>
      <scheme val="minor"/>
    </font>
    <font>
      <b/>
      <sz val="10"/>
      <color theme="3"/>
      <name val="Calibri"/>
      <family val="2"/>
      <scheme val="minor"/>
    </font>
    <font>
      <sz val="14"/>
      <color theme="7"/>
      <name val="Calibri"/>
      <family val="2"/>
      <scheme val="minor"/>
    </font>
    <font>
      <sz val="10"/>
      <color theme="8"/>
      <name val="Calibri"/>
      <family val="2"/>
      <scheme val="minor"/>
    </font>
    <font>
      <b/>
      <sz val="10"/>
      <color theme="8"/>
      <name val="Calibri"/>
      <family val="2"/>
      <scheme val="minor"/>
    </font>
    <font>
      <b/>
      <sz val="12"/>
      <color theme="7"/>
      <name val="Calibri"/>
      <family val="2"/>
      <scheme val="minor"/>
    </font>
    <font>
      <b/>
      <sz val="11"/>
      <color theme="3"/>
      <name val="Calibri"/>
      <family val="2"/>
      <scheme val="minor"/>
    </font>
    <font>
      <sz val="11"/>
      <color theme="0"/>
      <name val="Calibri"/>
      <family val="2"/>
      <scheme val="minor"/>
    </font>
    <font>
      <b/>
      <sz val="14"/>
      <color theme="7"/>
      <name val="Calibri"/>
      <family val="2"/>
      <scheme val="minor"/>
    </font>
    <font>
      <b/>
      <sz val="14"/>
      <color theme="3"/>
      <name val="Calibri"/>
      <family val="2"/>
      <scheme val="minor"/>
    </font>
    <font>
      <sz val="8"/>
      <color theme="0"/>
      <name val="Calibri"/>
      <family val="2"/>
      <scheme val="minor"/>
    </font>
    <font>
      <b/>
      <sz val="18"/>
      <color theme="0"/>
      <name val="Calibri"/>
      <family val="2"/>
      <scheme val="minor"/>
    </font>
    <font>
      <sz val="18"/>
      <color theme="1"/>
      <name val="Calibri"/>
      <family val="2"/>
      <scheme val="minor"/>
    </font>
    <font>
      <sz val="11"/>
      <color theme="3"/>
      <name val="Calibri"/>
      <family val="2"/>
      <scheme val="minor"/>
    </font>
    <font>
      <sz val="9"/>
      <name val="Calibri"/>
      <family val="2"/>
      <scheme val="minor"/>
    </font>
    <font>
      <b/>
      <sz val="10"/>
      <color theme="5"/>
      <name val="Calibri"/>
      <family val="2"/>
      <scheme val="minor"/>
    </font>
    <font>
      <b/>
      <sz val="10"/>
      <color theme="2"/>
      <name val="Calibri"/>
      <family val="2"/>
      <scheme val="minor"/>
    </font>
    <font>
      <b/>
      <sz val="12"/>
      <color theme="5"/>
      <name val="Calibri"/>
      <family val="2"/>
      <scheme val="minor"/>
    </font>
    <font>
      <sz val="10"/>
      <color theme="0"/>
      <name val="Wingdings 3"/>
      <family val="1"/>
      <charset val="2"/>
    </font>
    <font>
      <sz val="11"/>
      <color theme="7"/>
      <name val="Calibri"/>
      <family val="2"/>
      <scheme val="minor"/>
    </font>
    <font>
      <sz val="11"/>
      <color theme="2"/>
      <name val="Calibri"/>
      <family val="2"/>
      <scheme val="minor"/>
    </font>
    <font>
      <b/>
      <sz val="11"/>
      <color theme="5"/>
      <name val="Calibri"/>
      <family val="2"/>
      <scheme val="minor"/>
    </font>
    <font>
      <b/>
      <sz val="11"/>
      <color theme="2"/>
      <name val="Calibri"/>
      <family val="2"/>
      <scheme val="minor"/>
    </font>
    <font>
      <b/>
      <sz val="11"/>
      <color theme="0"/>
      <name val="Wingdings"/>
      <charset val="2"/>
    </font>
    <font>
      <sz val="10"/>
      <color theme="7"/>
      <name val="Calibri"/>
      <family val="2"/>
      <scheme val="minor"/>
    </font>
    <font>
      <b/>
      <sz val="10"/>
      <color theme="8" tint="-9.9978637043366805E-2"/>
      <name val="Calibri"/>
      <family val="2"/>
      <scheme val="minor"/>
    </font>
    <font>
      <sz val="10"/>
      <color theme="8" tint="-9.9978637043366805E-2"/>
      <name val="Calibri"/>
      <family val="2"/>
      <scheme val="minor"/>
    </font>
    <font>
      <sz val="11"/>
      <color theme="8" tint="-9.9978637043366805E-2"/>
      <name val="Calibri"/>
      <family val="2"/>
      <scheme val="minor"/>
    </font>
    <font>
      <b/>
      <sz val="11"/>
      <color theme="8" tint="-9.9978637043366805E-2"/>
      <name val="Calibri"/>
      <family val="2"/>
      <scheme val="minor"/>
    </font>
    <font>
      <sz val="8"/>
      <color theme="7"/>
      <name val="Calibri"/>
      <family val="2"/>
      <scheme val="minor"/>
    </font>
    <font>
      <b/>
      <sz val="10"/>
      <color theme="0"/>
      <name val="Wingdings"/>
      <charset val="2"/>
    </font>
    <font>
      <b/>
      <sz val="18"/>
      <color theme="2"/>
      <name val="Calibri"/>
      <family val="2"/>
      <scheme val="minor"/>
    </font>
    <font>
      <sz val="9"/>
      <color theme="8" tint="-9.9978637043366805E-2"/>
      <name val="Calibri"/>
      <family val="2"/>
      <scheme val="minor"/>
    </font>
    <font>
      <sz val="12"/>
      <color theme="7"/>
      <name val="Calibri"/>
      <family val="2"/>
      <scheme val="minor"/>
    </font>
    <font>
      <sz val="18"/>
      <color theme="0"/>
      <name val="Calibri"/>
      <family val="2"/>
      <scheme val="minor"/>
    </font>
    <font>
      <b/>
      <sz val="18"/>
      <color theme="1"/>
      <name val="Calibri"/>
      <family val="2"/>
      <scheme val="minor"/>
    </font>
    <font>
      <b/>
      <sz val="8"/>
      <color theme="0"/>
      <name val="Calibri"/>
      <family val="2"/>
      <scheme val="minor"/>
    </font>
    <font>
      <sz val="16"/>
      <name val="Calibri"/>
      <family val="2"/>
      <scheme val="minor"/>
    </font>
    <font>
      <sz val="16"/>
      <color theme="1"/>
      <name val="Calibri"/>
      <family val="2"/>
      <scheme val="minor"/>
    </font>
    <font>
      <sz val="10"/>
      <color theme="2"/>
      <name val="Calibri"/>
      <family val="2"/>
      <scheme val="minor"/>
    </font>
    <font>
      <b/>
      <sz val="16"/>
      <color theme="2"/>
      <name val="Calibri"/>
      <family val="2"/>
      <scheme val="minor"/>
    </font>
    <font>
      <sz val="14"/>
      <color theme="0"/>
      <name val="Calibri"/>
      <family val="2"/>
      <scheme val="minor"/>
    </font>
    <font>
      <b/>
      <sz val="18"/>
      <color theme="3"/>
      <name val="Calibri"/>
      <family val="2"/>
      <scheme val="minor"/>
    </font>
    <font>
      <b/>
      <sz val="10"/>
      <color theme="2"/>
      <name val="Calibri"/>
      <family val="2"/>
    </font>
    <font>
      <b/>
      <sz val="8"/>
      <color theme="2"/>
      <name val="Wingdings 3"/>
      <family val="1"/>
      <charset val="2"/>
    </font>
    <font>
      <b/>
      <sz val="9"/>
      <color theme="2"/>
      <name val="Calibri"/>
      <family val="2"/>
    </font>
    <font>
      <sz val="10"/>
      <color theme="2"/>
      <name val="Calibri"/>
      <family val="2"/>
    </font>
    <font>
      <sz val="8"/>
      <color theme="2"/>
      <name val="Wingdings 3"/>
      <family val="1"/>
      <charset val="2"/>
    </font>
    <font>
      <sz val="9"/>
      <color theme="2"/>
      <name val="Calibri"/>
      <family val="2"/>
    </font>
    <font>
      <sz val="10"/>
      <color theme="2"/>
      <name val="Wingdings 3"/>
      <family val="1"/>
      <charset val="2"/>
    </font>
    <font>
      <sz val="16"/>
      <color theme="5"/>
      <name val="Calibri"/>
      <family val="2"/>
      <scheme val="minor"/>
    </font>
    <font>
      <b/>
      <sz val="16"/>
      <color theme="3"/>
      <name val="Calibri"/>
      <family val="2"/>
      <scheme val="minor"/>
    </font>
    <font>
      <u/>
      <sz val="10"/>
      <color theme="1"/>
      <name val="Calibri"/>
      <family val="2"/>
      <scheme val="minor"/>
    </font>
    <font>
      <b/>
      <sz val="14"/>
      <color theme="8"/>
      <name val="Calibri"/>
      <family val="2"/>
      <scheme val="minor"/>
    </font>
    <font>
      <sz val="12"/>
      <color rgb="FFFF0000"/>
      <name val="Calibri"/>
      <family val="2"/>
      <scheme val="minor"/>
    </font>
    <font>
      <b/>
      <sz val="18"/>
      <color rgb="FF003F4C"/>
      <name val="Calibri"/>
      <family val="2"/>
      <scheme val="minor"/>
    </font>
    <font>
      <b/>
      <sz val="11"/>
      <color rgb="FF007E97"/>
      <name val="Calibri"/>
      <family val="2"/>
      <scheme val="minor"/>
    </font>
    <font>
      <sz val="11"/>
      <color theme="8"/>
      <name val="Calibri"/>
      <family val="2"/>
      <scheme val="minor"/>
    </font>
    <font>
      <sz val="14"/>
      <color theme="8"/>
      <name val="Calibri"/>
      <family val="2"/>
      <scheme val="minor"/>
    </font>
    <font>
      <u/>
      <sz val="11"/>
      <color theme="10"/>
      <name val="Calibri"/>
      <family val="2"/>
      <scheme val="minor"/>
    </font>
    <font>
      <sz val="11"/>
      <color theme="5"/>
      <name val="Calibri"/>
      <family val="2"/>
      <scheme val="minor"/>
    </font>
    <font>
      <sz val="10"/>
      <color rgb="FF222222"/>
      <name val="Calibri"/>
      <family val="2"/>
      <scheme val="minor"/>
    </font>
    <font>
      <b/>
      <sz val="9"/>
      <name val="Calibri"/>
      <family val="2"/>
      <scheme val="minor"/>
    </font>
    <font>
      <b/>
      <sz val="16"/>
      <color rgb="FF003F4C"/>
      <name val="Calibri"/>
      <family val="2"/>
      <scheme val="minor"/>
    </font>
    <font>
      <b/>
      <sz val="20"/>
      <color rgb="FF003F4C"/>
      <name val="Calibri"/>
      <family val="2"/>
      <scheme val="minor"/>
    </font>
    <font>
      <b/>
      <sz val="11"/>
      <name val="Wingdings"/>
      <charset val="2"/>
    </font>
    <font>
      <b/>
      <sz val="12"/>
      <color theme="0"/>
      <name val="Wingdings 3"/>
      <family val="1"/>
      <charset val="2"/>
    </font>
    <font>
      <b/>
      <sz val="12"/>
      <color theme="2"/>
      <name val="Calibri"/>
      <family val="2"/>
      <scheme val="minor"/>
    </font>
    <font>
      <b/>
      <sz val="12"/>
      <color theme="0"/>
      <name val="Calibri"/>
      <family val="2"/>
    </font>
    <font>
      <b/>
      <sz val="12"/>
      <color theme="2"/>
      <name val="Calibri"/>
      <family val="2"/>
    </font>
    <font>
      <b/>
      <vertAlign val="superscript"/>
      <sz val="12"/>
      <color theme="2"/>
      <name val="Calibri"/>
      <family val="2"/>
      <scheme val="minor"/>
    </font>
    <font>
      <b/>
      <vertAlign val="superscript"/>
      <sz val="12"/>
      <color theme="0"/>
      <name val="Calibri"/>
      <family val="2"/>
      <scheme val="minor"/>
    </font>
    <font>
      <i/>
      <sz val="10"/>
      <color rgb="FFFF0000"/>
      <name val="Calibri"/>
      <family val="2"/>
      <scheme val="minor"/>
    </font>
    <font>
      <b/>
      <i/>
      <sz val="10"/>
      <color rgb="FFFF0000"/>
      <name val="Calibri"/>
      <family val="2"/>
      <scheme val="minor"/>
    </font>
    <font>
      <b/>
      <sz val="14"/>
      <color theme="2"/>
      <name val="Calibri"/>
      <family val="2"/>
      <scheme val="minor"/>
    </font>
    <font>
      <b/>
      <sz val="14"/>
      <color theme="2"/>
      <name val="Calibri"/>
      <family val="2"/>
    </font>
    <font>
      <b/>
      <sz val="11"/>
      <color rgb="FF039579"/>
      <name val="Calibri"/>
      <family val="2"/>
      <scheme val="minor"/>
    </font>
    <font>
      <sz val="11"/>
      <color rgb="FF039579"/>
      <name val="Calibri"/>
      <family val="2"/>
      <scheme val="minor"/>
    </font>
    <font>
      <b/>
      <sz val="15"/>
      <color theme="0"/>
      <name val="Calibri"/>
      <family val="2"/>
      <scheme val="minor"/>
    </font>
    <font>
      <sz val="10"/>
      <color rgb="FF1B951E"/>
      <name val="Calibri"/>
      <family val="2"/>
      <scheme val="minor"/>
    </font>
    <font>
      <sz val="14"/>
      <name val="Calibri"/>
      <family val="2"/>
      <scheme val="minor"/>
    </font>
    <font>
      <sz val="14"/>
      <color theme="9" tint="-0.249977111117893"/>
      <name val="Calibri"/>
      <family val="2"/>
      <scheme val="minor"/>
    </font>
    <font>
      <sz val="10"/>
      <color indexed="81"/>
      <name val="Tahoma"/>
      <family val="2"/>
    </font>
    <font>
      <b/>
      <sz val="10"/>
      <color indexed="81"/>
      <name val="Tahoma"/>
      <family val="2"/>
    </font>
    <font>
      <b/>
      <sz val="11"/>
      <color indexed="81"/>
      <name val="Calibri"/>
      <family val="2"/>
      <scheme val="minor"/>
    </font>
    <font>
      <b/>
      <sz val="10"/>
      <color rgb="FFE62733"/>
      <name val="Calibri"/>
      <family val="2"/>
      <scheme val="minor"/>
    </font>
    <font>
      <b/>
      <sz val="11"/>
      <color rgb="FFE62733"/>
      <name val="Calibri"/>
      <family val="2"/>
      <scheme val="minor"/>
    </font>
  </fonts>
  <fills count="45">
    <fill>
      <patternFill patternType="none"/>
    </fill>
    <fill>
      <patternFill patternType="gray125"/>
    </fill>
    <fill>
      <patternFill patternType="solid">
        <fgColor rgb="FFFFFF0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rgb="FF008000"/>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2"/>
        <bgColor indexed="64"/>
      </patternFill>
    </fill>
    <fill>
      <patternFill patternType="solid">
        <fgColor rgb="FF5BC531"/>
        <bgColor indexed="64"/>
      </patternFill>
    </fill>
    <fill>
      <patternFill patternType="solid">
        <fgColor theme="0"/>
        <bgColor indexed="64"/>
      </patternFill>
    </fill>
    <fill>
      <patternFill patternType="solid">
        <fgColor rgb="FFFFFF66"/>
        <bgColor indexed="64"/>
      </patternFill>
    </fill>
    <fill>
      <patternFill patternType="solid">
        <fgColor theme="4"/>
        <bgColor indexed="64"/>
      </patternFill>
    </fill>
    <fill>
      <patternFill patternType="solid">
        <fgColor theme="3"/>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007E97"/>
        <bgColor indexed="64"/>
      </patternFill>
    </fill>
    <fill>
      <patternFill patternType="solid">
        <fgColor rgb="FFFCDED5"/>
        <bgColor indexed="64"/>
      </patternFill>
    </fill>
    <fill>
      <patternFill patternType="solid">
        <fgColor rgb="FF003F4C"/>
        <bgColor indexed="64"/>
      </patternFill>
    </fill>
    <fill>
      <patternFill patternType="solid">
        <fgColor theme="0" tint="-0.14999847407452621"/>
        <bgColor indexed="64"/>
      </patternFill>
    </fill>
    <fill>
      <patternFill patternType="solid">
        <fgColor rgb="FFCAE1E8"/>
        <bgColor indexed="64"/>
      </patternFill>
    </fill>
    <fill>
      <patternFill patternType="solid">
        <fgColor theme="5"/>
        <bgColor indexed="64"/>
      </patternFill>
    </fill>
    <fill>
      <patternFill patternType="solid">
        <fgColor rgb="FFB1D3DD"/>
        <bgColor indexed="64"/>
      </patternFill>
    </fill>
    <fill>
      <patternFill patternType="solid">
        <fgColor rgb="FFCCFF66"/>
        <bgColor indexed="64"/>
      </patternFill>
    </fill>
    <fill>
      <patternFill patternType="solid">
        <fgColor theme="8" tint="-9.9978637043366805E-2"/>
        <bgColor indexed="64"/>
      </patternFill>
    </fill>
    <fill>
      <patternFill patternType="solid">
        <fgColor rgb="FFFDE6DF"/>
        <bgColor indexed="64"/>
      </patternFill>
    </fill>
    <fill>
      <patternFill patternType="solid">
        <fgColor theme="9" tint="-9.9978637043366805E-2"/>
        <bgColor indexed="64"/>
      </patternFill>
    </fill>
    <fill>
      <patternFill patternType="solid">
        <fgColor rgb="FFFBD2C5"/>
        <bgColor indexed="64"/>
      </patternFill>
    </fill>
    <fill>
      <patternFill patternType="solid">
        <fgColor rgb="FF039579"/>
        <bgColor indexed="64"/>
      </patternFill>
    </fill>
    <fill>
      <patternFill patternType="solid">
        <fgColor rgb="FFB5151F"/>
        <bgColor indexed="64"/>
      </patternFill>
    </fill>
    <fill>
      <patternFill patternType="solid">
        <fgColor rgb="FF006174"/>
        <bgColor indexed="64"/>
      </patternFill>
    </fill>
    <fill>
      <patternFill patternType="solid">
        <fgColor rgb="FF92D050"/>
        <bgColor indexed="64"/>
      </patternFill>
    </fill>
    <fill>
      <patternFill patternType="solid">
        <fgColor rgb="FF84B9CA"/>
        <bgColor indexed="64"/>
      </patternFill>
    </fill>
    <fill>
      <patternFill patternType="solid">
        <fgColor rgb="FFFFC000"/>
        <bgColor indexed="64"/>
      </patternFill>
    </fill>
    <fill>
      <patternFill patternType="solid">
        <fgColor rgb="FFFF3737"/>
        <bgColor indexed="64"/>
      </patternFill>
    </fill>
    <fill>
      <patternFill patternType="solid">
        <fgColor rgb="FFFF7D25"/>
        <bgColor indexed="64"/>
      </patternFill>
    </fill>
    <fill>
      <patternFill patternType="solid">
        <fgColor rgb="FF49AE38"/>
        <bgColor indexed="64"/>
      </patternFill>
    </fill>
    <fill>
      <patternFill patternType="solid">
        <fgColor rgb="FF339966"/>
        <bgColor indexed="64"/>
      </patternFill>
    </fill>
    <fill>
      <patternFill patternType="solid">
        <fgColor rgb="FF7EB6C7"/>
        <bgColor indexed="64"/>
      </patternFill>
    </fill>
    <fill>
      <patternFill patternType="solid">
        <fgColor rgb="FF99FF99"/>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rgb="FF008000"/>
      </left>
      <right style="thin">
        <color rgb="FF008000"/>
      </right>
      <top style="thin">
        <color rgb="FF008000"/>
      </top>
      <bottom style="thin">
        <color rgb="FF008000"/>
      </bottom>
      <diagonal/>
    </border>
    <border>
      <left style="thin">
        <color rgb="FF008000"/>
      </left>
      <right style="thin">
        <color rgb="FF008000"/>
      </right>
      <top style="thin">
        <color rgb="FF008000"/>
      </top>
      <bottom style="thin">
        <color indexed="64"/>
      </bottom>
      <diagonal/>
    </border>
    <border>
      <left style="thin">
        <color rgb="FF008000"/>
      </left>
      <right style="thin">
        <color rgb="FF008000"/>
      </right>
      <top style="thin">
        <color indexed="64"/>
      </top>
      <bottom style="thin">
        <color indexed="64"/>
      </bottom>
      <diagonal/>
    </border>
    <border>
      <left style="thin">
        <color rgb="FF008000"/>
      </left>
      <right style="thin">
        <color rgb="FF008000"/>
      </right>
      <top style="thin">
        <color indexed="64"/>
      </top>
      <bottom style="thin">
        <color rgb="FF008000"/>
      </bottom>
      <diagonal/>
    </border>
    <border>
      <left style="thin">
        <color rgb="FFFF0000"/>
      </left>
      <right style="thin">
        <color rgb="FFFF0000"/>
      </right>
      <top style="thin">
        <color rgb="FFFF0000"/>
      </top>
      <bottom style="thin">
        <color rgb="FFFF0000"/>
      </bottom>
      <diagonal/>
    </border>
    <border>
      <left style="thin">
        <color rgb="FF008000"/>
      </left>
      <right style="thin">
        <color rgb="FF008000"/>
      </right>
      <top style="thin">
        <color rgb="FF008000"/>
      </top>
      <bottom/>
      <diagonal/>
    </border>
    <border>
      <left style="thin">
        <color rgb="FF008000"/>
      </left>
      <right style="thin">
        <color rgb="FF008000"/>
      </right>
      <top/>
      <bottom/>
      <diagonal/>
    </border>
    <border>
      <left/>
      <right/>
      <top/>
      <bottom style="medium">
        <color theme="0"/>
      </bottom>
      <diagonal/>
    </border>
    <border>
      <left style="thin">
        <color indexed="64"/>
      </left>
      <right style="thin">
        <color indexed="64"/>
      </right>
      <top style="thin">
        <color indexed="64"/>
      </top>
      <bottom style="thin">
        <color theme="8"/>
      </bottom>
      <diagonal/>
    </border>
    <border>
      <left style="thin">
        <color indexed="64"/>
      </left>
      <right style="thin">
        <color indexed="64"/>
      </right>
      <top style="thin">
        <color theme="8"/>
      </top>
      <bottom style="thin">
        <color theme="8"/>
      </bottom>
      <diagonal/>
    </border>
    <border>
      <left style="thin">
        <color indexed="64"/>
      </left>
      <right style="thin">
        <color indexed="64"/>
      </right>
      <top style="thin">
        <color theme="8"/>
      </top>
      <bottom style="thin">
        <color indexed="64"/>
      </bottom>
      <diagonal/>
    </border>
    <border>
      <left style="thick">
        <color theme="8"/>
      </left>
      <right style="thick">
        <color theme="8"/>
      </right>
      <top style="thick">
        <color theme="8"/>
      </top>
      <bottom style="thick">
        <color theme="8"/>
      </bottom>
      <diagonal/>
    </border>
    <border>
      <left/>
      <right style="thin">
        <color indexed="64"/>
      </right>
      <top style="thin">
        <color indexed="64"/>
      </top>
      <bottom style="thin">
        <color theme="8"/>
      </bottom>
      <diagonal/>
    </border>
    <border>
      <left/>
      <right style="thin">
        <color indexed="64"/>
      </right>
      <top style="thin">
        <color theme="8"/>
      </top>
      <bottom style="thin">
        <color theme="8"/>
      </bottom>
      <diagonal/>
    </border>
    <border>
      <left/>
      <right style="thin">
        <color indexed="64"/>
      </right>
      <top style="thin">
        <color theme="8"/>
      </top>
      <bottom style="thin">
        <color indexed="64"/>
      </bottom>
      <diagonal/>
    </border>
    <border>
      <left/>
      <right/>
      <top/>
      <bottom style="medium">
        <color theme="3"/>
      </bottom>
      <diagonal/>
    </border>
    <border>
      <left style="thick">
        <color theme="8"/>
      </left>
      <right/>
      <top style="thick">
        <color theme="8"/>
      </top>
      <bottom style="thick">
        <color theme="8"/>
      </bottom>
      <diagonal/>
    </border>
    <border>
      <left/>
      <right style="thick">
        <color theme="8"/>
      </right>
      <top style="thick">
        <color theme="8"/>
      </top>
      <bottom style="thick">
        <color theme="8"/>
      </bottom>
      <diagonal/>
    </border>
    <border>
      <left/>
      <right style="thin">
        <color theme="0"/>
      </right>
      <top style="thin">
        <color theme="0"/>
      </top>
      <bottom style="thin">
        <color theme="0"/>
      </bottom>
      <diagonal/>
    </border>
    <border>
      <left style="thin">
        <color rgb="FF039579"/>
      </left>
      <right style="thin">
        <color rgb="FF039579"/>
      </right>
      <top style="thin">
        <color rgb="FF039579"/>
      </top>
      <bottom style="thin">
        <color rgb="FF039579"/>
      </bottom>
      <diagonal/>
    </border>
    <border>
      <left style="thin">
        <color rgb="FF039579"/>
      </left>
      <right style="thin">
        <color rgb="FF039579"/>
      </right>
      <top style="thin">
        <color rgb="FF039579"/>
      </top>
      <bottom/>
      <diagonal/>
    </border>
    <border>
      <left style="thin">
        <color rgb="FF039579"/>
      </left>
      <right style="thin">
        <color rgb="FF039579"/>
      </right>
      <top/>
      <bottom/>
      <diagonal/>
    </border>
    <border>
      <left style="thin">
        <color rgb="FF039579"/>
      </left>
      <right style="thin">
        <color rgb="FF039579"/>
      </right>
      <top/>
      <bottom style="thin">
        <color rgb="FF039579"/>
      </bottom>
      <diagonal/>
    </border>
    <border>
      <left style="thin">
        <color rgb="FF039579"/>
      </left>
      <right style="thin">
        <color rgb="FF039579"/>
      </right>
      <top style="thin">
        <color rgb="FF039579"/>
      </top>
      <bottom style="thin">
        <color indexed="64"/>
      </bottom>
      <diagonal/>
    </border>
    <border>
      <left style="thin">
        <color rgb="FF039579"/>
      </left>
      <right style="thin">
        <color rgb="FF039579"/>
      </right>
      <top style="thin">
        <color indexed="64"/>
      </top>
      <bottom style="thin">
        <color indexed="64"/>
      </bottom>
      <diagonal/>
    </border>
    <border>
      <left style="thin">
        <color rgb="FF039579"/>
      </left>
      <right style="thin">
        <color rgb="FF039579"/>
      </right>
      <top style="thin">
        <color indexed="64"/>
      </top>
      <bottom style="thin">
        <color rgb="FF039579"/>
      </bottom>
      <diagonal/>
    </border>
    <border>
      <left style="thin">
        <color theme="5"/>
      </left>
      <right style="thin">
        <color theme="5"/>
      </right>
      <top style="thin">
        <color theme="5"/>
      </top>
      <bottom style="thin">
        <color theme="5"/>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style="thin">
        <color indexed="64"/>
      </bottom>
      <diagonal/>
    </border>
    <border>
      <left style="thin">
        <color theme="4"/>
      </left>
      <right style="thin">
        <color theme="4"/>
      </right>
      <top style="thin">
        <color indexed="64"/>
      </top>
      <bottom style="thin">
        <color indexed="64"/>
      </bottom>
      <diagonal/>
    </border>
    <border>
      <left style="thin">
        <color theme="4"/>
      </left>
      <right style="thin">
        <color theme="4"/>
      </right>
      <top style="thin">
        <color indexed="64"/>
      </top>
      <bottom style="thin">
        <color theme="4"/>
      </bottom>
      <diagonal/>
    </border>
    <border>
      <left style="thin">
        <color theme="4"/>
      </left>
      <right style="thin">
        <color theme="4"/>
      </right>
      <top style="thin">
        <color theme="4"/>
      </top>
      <bottom/>
      <diagonal/>
    </border>
    <border>
      <left style="thin">
        <color theme="4"/>
      </left>
      <right style="thin">
        <color theme="4"/>
      </right>
      <top/>
      <bottom/>
      <diagonal/>
    </border>
    <border>
      <left style="thin">
        <color theme="4"/>
      </left>
      <right style="thin">
        <color theme="4"/>
      </right>
      <top/>
      <bottom style="thin">
        <color theme="4"/>
      </bottom>
      <diagonal/>
    </border>
    <border>
      <left style="thin">
        <color rgb="FFB5151F"/>
      </left>
      <right style="thin">
        <color rgb="FFB5151F"/>
      </right>
      <top style="thin">
        <color rgb="FFB5151F"/>
      </top>
      <bottom style="thin">
        <color rgb="FFB5151F"/>
      </bottom>
      <diagonal/>
    </border>
    <border>
      <left style="thin">
        <color theme="5"/>
      </left>
      <right/>
      <top style="thin">
        <color theme="5"/>
      </top>
      <bottom style="thin">
        <color theme="5"/>
      </bottom>
      <diagonal/>
    </border>
    <border>
      <left/>
      <right/>
      <top style="thin">
        <color theme="5"/>
      </top>
      <bottom style="thin">
        <color theme="5"/>
      </bottom>
      <diagonal/>
    </border>
    <border>
      <left/>
      <right style="thin">
        <color theme="5"/>
      </right>
      <top style="thin">
        <color theme="5"/>
      </top>
      <bottom style="thin">
        <color theme="5"/>
      </bottom>
      <diagonal/>
    </border>
    <border>
      <left style="thin">
        <color rgb="FF039579"/>
      </left>
      <right style="thin">
        <color rgb="FF039579"/>
      </right>
      <top/>
      <bottom style="thin">
        <color indexed="64"/>
      </bottom>
      <diagonal/>
    </border>
    <border>
      <left style="thin">
        <color rgb="FF039579"/>
      </left>
      <right style="thin">
        <color rgb="FF039579"/>
      </right>
      <top style="thin">
        <color indexed="64"/>
      </top>
      <bottom/>
      <diagonal/>
    </border>
    <border>
      <left style="thin">
        <color theme="4"/>
      </left>
      <right style="thin">
        <color theme="4"/>
      </right>
      <top style="thin">
        <color indexed="64"/>
      </top>
      <bottom/>
      <diagonal/>
    </border>
  </borders>
  <cellStyleXfs count="4">
    <xf numFmtId="0" fontId="0" fillId="0" borderId="0"/>
    <xf numFmtId="43" fontId="3" fillId="0" borderId="0" applyFont="0" applyFill="0" applyBorder="0" applyAlignment="0" applyProtection="0"/>
    <xf numFmtId="9" fontId="3" fillId="0" borderId="0" applyFont="0" applyFill="0" applyBorder="0" applyAlignment="0" applyProtection="0"/>
    <xf numFmtId="0" fontId="137" fillId="0" borderId="0" applyNumberFormat="0" applyFill="0" applyBorder="0" applyAlignment="0" applyProtection="0"/>
  </cellStyleXfs>
  <cellXfs count="1859">
    <xf numFmtId="0" fontId="0" fillId="0" borderId="0" xfId="0"/>
    <xf numFmtId="0" fontId="1" fillId="0" borderId="0" xfId="0" applyFont="1"/>
    <xf numFmtId="0" fontId="2" fillId="0" borderId="0" xfId="0" applyFont="1"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7" fillId="0" borderId="0" xfId="0" applyFont="1" applyBorder="1" applyAlignment="1">
      <alignment horizontal="center" vertical="center"/>
    </xf>
    <xf numFmtId="0" fontId="7" fillId="0" borderId="0" xfId="0" applyFont="1" applyAlignment="1">
      <alignment horizontal="right" vertical="center"/>
    </xf>
    <xf numFmtId="0" fontId="7" fillId="0" borderId="0" xfId="0" applyFont="1" applyBorder="1" applyAlignment="1">
      <alignment vertical="center"/>
    </xf>
    <xf numFmtId="0" fontId="7" fillId="0" borderId="0" xfId="0" applyFont="1" applyBorder="1" applyAlignment="1">
      <alignment horizontal="right" vertical="center"/>
    </xf>
    <xf numFmtId="9" fontId="8" fillId="0" borderId="0" xfId="0" applyNumberFormat="1" applyFont="1" applyBorder="1" applyAlignment="1">
      <alignment horizontal="center" vertical="center"/>
    </xf>
    <xf numFmtId="164" fontId="8" fillId="0" borderId="0" xfId="0" applyNumberFormat="1" applyFont="1" applyFill="1" applyBorder="1" applyAlignment="1">
      <alignment horizontal="center" vertical="center"/>
    </xf>
    <xf numFmtId="0" fontId="1" fillId="0" borderId="0" xfId="0" applyFont="1" applyAlignment="1">
      <alignment vertical="center"/>
    </xf>
    <xf numFmtId="0" fontId="0" fillId="0" borderId="0" xfId="0" applyFont="1" applyAlignment="1">
      <alignment vertical="center"/>
    </xf>
    <xf numFmtId="0" fontId="6" fillId="0" borderId="0" xfId="0" applyFont="1" applyAlignment="1">
      <alignment vertical="center"/>
    </xf>
    <xf numFmtId="0" fontId="18" fillId="0" borderId="0" xfId="0" applyFont="1" applyAlignment="1">
      <alignment vertical="center"/>
    </xf>
    <xf numFmtId="0" fontId="7" fillId="6" borderId="1" xfId="0" applyFont="1" applyFill="1" applyBorder="1" applyAlignment="1">
      <alignment vertical="center"/>
    </xf>
    <xf numFmtId="0" fontId="19" fillId="0" borderId="0" xfId="0" applyFont="1" applyFill="1" applyAlignment="1">
      <alignment vertical="center"/>
    </xf>
    <xf numFmtId="0" fontId="0" fillId="0" borderId="0" xfId="0" applyAlignment="1">
      <alignment vertical="center"/>
    </xf>
    <xf numFmtId="165" fontId="0" fillId="0" borderId="0" xfId="0" applyNumberFormat="1" applyAlignment="1">
      <alignment vertical="center"/>
    </xf>
    <xf numFmtId="164" fontId="0" fillId="0" borderId="0" xfId="0" applyNumberFormat="1" applyAlignment="1">
      <alignment vertical="center"/>
    </xf>
    <xf numFmtId="0" fontId="0" fillId="0" borderId="0" xfId="0" applyBorder="1" applyAlignment="1">
      <alignment vertical="center"/>
    </xf>
    <xf numFmtId="164" fontId="0" fillId="0" borderId="0" xfId="0" applyNumberFormat="1" applyBorder="1" applyAlignment="1">
      <alignment horizontal="center" vertical="center"/>
    </xf>
    <xf numFmtId="9" fontId="0" fillId="0" borderId="0" xfId="2" applyFont="1" applyBorder="1" applyAlignment="1">
      <alignment horizontal="center" vertical="center"/>
    </xf>
    <xf numFmtId="0" fontId="1" fillId="0" borderId="0" xfId="0" applyFont="1" applyBorder="1" applyAlignment="1">
      <alignment horizontal="right" vertical="center"/>
    </xf>
    <xf numFmtId="164" fontId="1" fillId="0" borderId="0" xfId="0" applyNumberFormat="1" applyFont="1" applyBorder="1" applyAlignment="1">
      <alignment horizontal="center" vertical="center"/>
    </xf>
    <xf numFmtId="0" fontId="0" fillId="0" borderId="0" xfId="0" applyFill="1" applyBorder="1" applyAlignment="1">
      <alignment vertical="center"/>
    </xf>
    <xf numFmtId="0" fontId="0" fillId="0" borderId="1" xfId="0" applyBorder="1" applyAlignment="1">
      <alignment vertical="center"/>
    </xf>
    <xf numFmtId="0" fontId="5" fillId="0" borderId="0" xfId="0" applyFont="1" applyAlignment="1">
      <alignment vertical="center"/>
    </xf>
    <xf numFmtId="164" fontId="22" fillId="0" borderId="1" xfId="0" applyNumberFormat="1" applyFont="1" applyBorder="1" applyAlignment="1">
      <alignment horizontal="center" vertical="center"/>
    </xf>
    <xf numFmtId="164" fontId="13" fillId="0" borderId="1" xfId="0" applyNumberFormat="1" applyFont="1" applyFill="1" applyBorder="1" applyAlignment="1">
      <alignment horizontal="center" vertical="center"/>
    </xf>
    <xf numFmtId="0" fontId="5" fillId="0" borderId="0" xfId="0" applyFont="1" applyBorder="1" applyAlignment="1">
      <alignment horizontal="center" vertical="center"/>
    </xf>
    <xf numFmtId="164" fontId="5" fillId="0" borderId="0" xfId="0" applyNumberFormat="1" applyFont="1" applyBorder="1" applyAlignment="1">
      <alignment horizontal="center" vertical="center"/>
    </xf>
    <xf numFmtId="164" fontId="1" fillId="0" borderId="0" xfId="0" applyNumberFormat="1" applyFont="1" applyFill="1" applyBorder="1" applyAlignment="1">
      <alignment horizontal="center" vertical="center"/>
    </xf>
    <xf numFmtId="0" fontId="1" fillId="0" borderId="13" xfId="0" applyFont="1" applyFill="1" applyBorder="1" applyAlignment="1">
      <alignment vertical="center"/>
    </xf>
    <xf numFmtId="0" fontId="5" fillId="0" borderId="0" xfId="0" applyFont="1" applyBorder="1" applyAlignment="1">
      <alignment vertical="center"/>
    </xf>
    <xf numFmtId="0" fontId="0" fillId="0" borderId="0" xfId="0" applyBorder="1" applyAlignment="1">
      <alignment vertical="center" wrapText="1"/>
    </xf>
    <xf numFmtId="0" fontId="0" fillId="0" borderId="0" xfId="0" applyFill="1" applyBorder="1" applyAlignment="1">
      <alignment vertical="center" wrapText="1"/>
    </xf>
    <xf numFmtId="0" fontId="4" fillId="0" borderId="0" xfId="0" applyFont="1" applyAlignment="1">
      <alignment vertical="center"/>
    </xf>
    <xf numFmtId="0" fontId="1" fillId="0" borderId="14" xfId="0" applyFont="1" applyFill="1" applyBorder="1" applyAlignment="1">
      <alignment horizontal="center" vertical="center" wrapText="1"/>
    </xf>
    <xf numFmtId="9" fontId="0" fillId="0" borderId="0" xfId="2" applyFont="1" applyBorder="1" applyAlignment="1">
      <alignment horizontal="left" vertical="center"/>
    </xf>
    <xf numFmtId="0" fontId="28" fillId="0" borderId="0" xfId="0" applyFont="1" applyAlignment="1">
      <alignment vertical="center"/>
    </xf>
    <xf numFmtId="0" fontId="9" fillId="0" borderId="0" xfId="0" applyFont="1" applyBorder="1" applyAlignment="1">
      <alignment horizontal="center" vertical="center" wrapText="1"/>
    </xf>
    <xf numFmtId="165" fontId="7" fillId="0" borderId="0" xfId="1" applyNumberFormat="1" applyFont="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xf>
    <xf numFmtId="0" fontId="9" fillId="0" borderId="0" xfId="0" applyFont="1" applyFill="1" applyBorder="1" applyAlignment="1">
      <alignment horizontal="center" vertical="center" wrapText="1"/>
    </xf>
    <xf numFmtId="9" fontId="8" fillId="0" borderId="0" xfId="0" applyNumberFormat="1" applyFont="1" applyFill="1" applyBorder="1" applyAlignment="1">
      <alignment horizontal="center" vertical="center"/>
    </xf>
    <xf numFmtId="0" fontId="8" fillId="0" borderId="0" xfId="0" applyFont="1" applyAlignment="1">
      <alignment vertical="center"/>
    </xf>
    <xf numFmtId="0" fontId="8" fillId="0" borderId="0" xfId="0" applyFont="1" applyAlignment="1">
      <alignment horizontal="right" vertical="center"/>
    </xf>
    <xf numFmtId="0" fontId="7" fillId="5" borderId="1" xfId="0" applyFont="1" applyFill="1" applyBorder="1" applyAlignment="1">
      <alignment horizontal="left" vertical="center"/>
    </xf>
    <xf numFmtId="164" fontId="7" fillId="5" borderId="1" xfId="0" applyNumberFormat="1" applyFont="1" applyFill="1" applyBorder="1" applyAlignment="1">
      <alignment horizontal="center" vertical="center"/>
    </xf>
    <xf numFmtId="164" fontId="7" fillId="6" borderId="1" xfId="0" applyNumberFormat="1" applyFont="1" applyFill="1" applyBorder="1" applyAlignment="1">
      <alignment horizontal="center" vertical="center"/>
    </xf>
    <xf numFmtId="168" fontId="7" fillId="0" borderId="0" xfId="1" applyNumberFormat="1" applyFont="1" applyAlignment="1">
      <alignment horizontal="center" vertical="center"/>
    </xf>
    <xf numFmtId="164" fontId="8" fillId="0" borderId="1" xfId="0" applyNumberFormat="1" applyFont="1" applyBorder="1" applyAlignment="1">
      <alignment horizontal="center" vertical="center"/>
    </xf>
    <xf numFmtId="164" fontId="8" fillId="0" borderId="0" xfId="0" applyNumberFormat="1" applyFont="1" applyBorder="1" applyAlignment="1">
      <alignment horizontal="center" vertical="center"/>
    </xf>
    <xf numFmtId="0" fontId="8" fillId="0" borderId="0" xfId="0" applyFont="1" applyAlignment="1">
      <alignment horizontal="center" vertical="center"/>
    </xf>
    <xf numFmtId="0" fontId="20" fillId="0" borderId="0" xfId="0" applyFont="1" applyBorder="1" applyAlignment="1">
      <alignment vertical="center"/>
    </xf>
    <xf numFmtId="166" fontId="30" fillId="0" borderId="0" xfId="2" applyNumberFormat="1" applyFont="1" applyBorder="1" applyAlignment="1">
      <alignment horizontal="center" vertical="center"/>
    </xf>
    <xf numFmtId="0" fontId="7" fillId="0" borderId="0" xfId="0" applyFont="1" applyFill="1" applyAlignment="1">
      <alignment horizontal="center" vertical="center"/>
    </xf>
    <xf numFmtId="0" fontId="7" fillId="5" borderId="1" xfId="0" applyFont="1" applyFill="1" applyBorder="1" applyAlignment="1">
      <alignment vertical="center"/>
    </xf>
    <xf numFmtId="0" fontId="7" fillId="0" borderId="0" xfId="0" applyFont="1" applyFill="1" applyAlignment="1">
      <alignment vertical="center"/>
    </xf>
    <xf numFmtId="0" fontId="1" fillId="0" borderId="0" xfId="0" applyFont="1" applyFill="1" applyAlignment="1">
      <alignment vertical="center"/>
    </xf>
    <xf numFmtId="0" fontId="7" fillId="0" borderId="0" xfId="0" applyFont="1" applyBorder="1" applyAlignment="1">
      <alignment horizontal="left" vertical="center"/>
    </xf>
    <xf numFmtId="0" fontId="31" fillId="0" borderId="0" xfId="0" applyFont="1" applyAlignment="1">
      <alignment vertical="center"/>
    </xf>
    <xf numFmtId="164" fontId="8" fillId="0" borderId="0" xfId="0" applyNumberFormat="1" applyFont="1" applyBorder="1" applyAlignment="1">
      <alignment vertical="center"/>
    </xf>
    <xf numFmtId="164" fontId="8" fillId="0" borderId="0" xfId="0" applyNumberFormat="1" applyFont="1" applyBorder="1" applyAlignment="1">
      <alignment horizontal="left" vertical="center"/>
    </xf>
    <xf numFmtId="0" fontId="7" fillId="0" borderId="0" xfId="0" applyFont="1" applyFill="1" applyBorder="1" applyAlignment="1">
      <alignment horizontal="center" vertical="center" wrapText="1"/>
    </xf>
    <xf numFmtId="164" fontId="7" fillId="0" borderId="0" xfId="0" applyNumberFormat="1" applyFont="1" applyBorder="1" applyAlignment="1">
      <alignment horizontal="center" vertical="center"/>
    </xf>
    <xf numFmtId="164" fontId="7" fillId="0" borderId="0" xfId="0" applyNumberFormat="1" applyFont="1" applyAlignment="1">
      <alignment vertical="center"/>
    </xf>
    <xf numFmtId="0" fontId="32" fillId="0" borderId="0" xfId="0" applyFont="1" applyAlignment="1">
      <alignment vertical="center"/>
    </xf>
    <xf numFmtId="0" fontId="5" fillId="0" borderId="0" xfId="0" applyFont="1" applyFill="1" applyBorder="1" applyAlignment="1">
      <alignment vertical="center"/>
    </xf>
    <xf numFmtId="0" fontId="21" fillId="0" borderId="0" xfId="0" applyFont="1" applyBorder="1" applyAlignment="1">
      <alignment vertical="center"/>
    </xf>
    <xf numFmtId="166" fontId="24" fillId="0" borderId="0" xfId="2" applyNumberFormat="1" applyFont="1" applyBorder="1" applyAlignment="1">
      <alignment horizontal="center" vertical="center"/>
    </xf>
    <xf numFmtId="165" fontId="7" fillId="0" borderId="0" xfId="1" applyNumberFormat="1" applyFont="1" applyFill="1" applyBorder="1" applyAlignment="1">
      <alignment horizontal="center" vertical="center"/>
    </xf>
    <xf numFmtId="9" fontId="0" fillId="0" borderId="0" xfId="0" applyNumberFormat="1" applyFill="1" applyBorder="1" applyAlignment="1">
      <alignment vertical="center"/>
    </xf>
    <xf numFmtId="166" fontId="24" fillId="0" borderId="0" xfId="2" applyNumberFormat="1" applyFont="1" applyFill="1" applyBorder="1" applyAlignment="1">
      <alignment horizontal="center" vertical="center"/>
    </xf>
    <xf numFmtId="0" fontId="0" fillId="0" borderId="0" xfId="0" applyFill="1" applyBorder="1" applyAlignment="1">
      <alignment horizontal="left" vertical="center"/>
    </xf>
    <xf numFmtId="2" fontId="1" fillId="0" borderId="0" xfId="0" applyNumberFormat="1" applyFont="1" applyFill="1" applyBorder="1" applyAlignment="1">
      <alignment horizontal="center" vertical="center"/>
    </xf>
    <xf numFmtId="0" fontId="1" fillId="0" borderId="0" xfId="0" applyFont="1" applyFill="1" applyBorder="1" applyAlignment="1">
      <alignment vertical="center"/>
    </xf>
    <xf numFmtId="0" fontId="0" fillId="0" borderId="0" xfId="0" applyAlignment="1">
      <alignment horizontal="center" vertical="center" wrapText="1"/>
    </xf>
    <xf numFmtId="0" fontId="1" fillId="0" borderId="0" xfId="0" applyFont="1" applyBorder="1" applyAlignment="1">
      <alignment vertical="center"/>
    </xf>
    <xf numFmtId="164" fontId="1" fillId="0" borderId="9" xfId="0" applyNumberFormat="1" applyFont="1" applyFill="1" applyBorder="1" applyAlignment="1">
      <alignment horizontal="center" vertical="center"/>
    </xf>
    <xf numFmtId="166" fontId="34" fillId="0" borderId="0" xfId="2" applyNumberFormat="1" applyFont="1" applyBorder="1" applyAlignment="1">
      <alignment horizontal="center" vertical="center"/>
    </xf>
    <xf numFmtId="0" fontId="7" fillId="0" borderId="0" xfId="0" applyFont="1" applyFill="1" applyBorder="1" applyAlignment="1">
      <alignment horizontal="left" vertical="center"/>
    </xf>
    <xf numFmtId="0" fontId="35" fillId="0" borderId="0" xfId="0" applyFont="1" applyAlignment="1">
      <alignment vertical="center"/>
    </xf>
    <xf numFmtId="0" fontId="1" fillId="0" borderId="0" xfId="0" applyFont="1" applyFill="1" applyBorder="1" applyAlignment="1">
      <alignment vertical="center" wrapText="1"/>
    </xf>
    <xf numFmtId="164" fontId="7" fillId="6" borderId="1" xfId="1" applyNumberFormat="1" applyFont="1" applyFill="1" applyBorder="1" applyAlignment="1">
      <alignment horizontal="center" vertical="center"/>
    </xf>
    <xf numFmtId="164" fontId="7" fillId="5" borderId="1" xfId="1" applyNumberFormat="1" applyFont="1" applyFill="1" applyBorder="1" applyAlignment="1">
      <alignment horizontal="center" vertical="center"/>
    </xf>
    <xf numFmtId="0" fontId="7" fillId="6" borderId="1" xfId="0" applyFont="1" applyFill="1" applyBorder="1" applyAlignment="1">
      <alignment horizontal="left" vertical="center"/>
    </xf>
    <xf numFmtId="0" fontId="11" fillId="0" borderId="0" xfId="0" applyFont="1" applyFill="1" applyBorder="1" applyAlignment="1">
      <alignment horizontal="center" vertical="center"/>
    </xf>
    <xf numFmtId="0" fontId="10" fillId="0" borderId="0" xfId="0" applyFont="1" applyAlignment="1">
      <alignment vertical="center"/>
    </xf>
    <xf numFmtId="0" fontId="36" fillId="0" borderId="0" xfId="0" applyFont="1"/>
    <xf numFmtId="0" fontId="0" fillId="0" borderId="0" xfId="0" applyFont="1" applyBorder="1" applyAlignment="1">
      <alignment vertical="center"/>
    </xf>
    <xf numFmtId="0" fontId="0" fillId="0" borderId="0" xfId="0" applyFont="1" applyFill="1" applyBorder="1" applyAlignment="1">
      <alignment vertical="center"/>
    </xf>
    <xf numFmtId="164" fontId="0" fillId="0" borderId="0" xfId="0" applyNumberFormat="1" applyFont="1" applyAlignment="1">
      <alignment vertical="center"/>
    </xf>
    <xf numFmtId="165" fontId="7" fillId="0" borderId="0" xfId="0" applyNumberFormat="1" applyFont="1" applyFill="1" applyBorder="1" applyAlignment="1">
      <alignment horizontal="center" vertical="center"/>
    </xf>
    <xf numFmtId="9" fontId="7" fillId="0" borderId="0" xfId="2" applyFont="1" applyFill="1" applyBorder="1" applyAlignment="1">
      <alignment horizontal="center" vertical="center"/>
    </xf>
    <xf numFmtId="0" fontId="8" fillId="0" borderId="0" xfId="0" applyFont="1" applyFill="1" applyBorder="1" applyAlignment="1">
      <alignment horizontal="center" vertical="center"/>
    </xf>
    <xf numFmtId="0" fontId="0" fillId="0" borderId="0" xfId="0" applyAlignment="1">
      <alignment horizontal="center" vertical="center"/>
    </xf>
    <xf numFmtId="167" fontId="7" fillId="0" borderId="0" xfId="0" applyNumberFormat="1" applyFont="1" applyFill="1" applyBorder="1" applyAlignment="1">
      <alignment horizontal="center" vertical="center"/>
    </xf>
    <xf numFmtId="164" fontId="8" fillId="6" borderId="1" xfId="0" applyNumberFormat="1" applyFont="1" applyFill="1" applyBorder="1" applyAlignment="1">
      <alignment horizontal="center" vertical="center"/>
    </xf>
    <xf numFmtId="0" fontId="25"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164" fontId="7" fillId="0" borderId="0" xfId="0" applyNumberFormat="1" applyFont="1" applyFill="1" applyBorder="1" applyAlignment="1">
      <alignment horizontal="center" vertical="center"/>
    </xf>
    <xf numFmtId="9" fontId="7" fillId="0" borderId="0" xfId="0" applyNumberFormat="1" applyFont="1" applyFill="1" applyBorder="1" applyAlignment="1">
      <alignment horizontal="center" vertical="center"/>
    </xf>
    <xf numFmtId="164" fontId="25" fillId="6" borderId="1" xfId="0" applyNumberFormat="1" applyFont="1" applyFill="1" applyBorder="1" applyAlignment="1">
      <alignment horizontal="center" vertical="center"/>
    </xf>
    <xf numFmtId="9" fontId="0" fillId="0" borderId="0" xfId="2" applyFont="1" applyAlignment="1">
      <alignment vertical="center"/>
    </xf>
    <xf numFmtId="0" fontId="0" fillId="0" borderId="0" xfId="0" applyFill="1" applyBorder="1" applyAlignment="1">
      <alignment vertical="center"/>
    </xf>
    <xf numFmtId="0" fontId="0" fillId="0" borderId="0" xfId="0" applyFont="1" applyFill="1" applyBorder="1" applyAlignment="1">
      <alignment horizontal="center" vertical="center"/>
    </xf>
    <xf numFmtId="0" fontId="0" fillId="0" borderId="0" xfId="0" applyFont="1" applyAlignment="1">
      <alignment horizontal="center" vertical="center"/>
    </xf>
    <xf numFmtId="0" fontId="11" fillId="6" borderId="1" xfId="0" applyFont="1" applyFill="1" applyBorder="1" applyAlignment="1">
      <alignment vertical="center"/>
    </xf>
    <xf numFmtId="0" fontId="7" fillId="6" borderId="1" xfId="0" applyFont="1" applyFill="1" applyBorder="1" applyAlignment="1">
      <alignment vertical="center" wrapText="1"/>
    </xf>
    <xf numFmtId="0" fontId="4" fillId="0" borderId="0" xfId="0" applyFont="1" applyAlignment="1">
      <alignment horizontal="center"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41" fillId="0" borderId="0" xfId="0" applyFont="1" applyAlignment="1">
      <alignment vertical="center"/>
    </xf>
    <xf numFmtId="0" fontId="8" fillId="0" borderId="0" xfId="0" applyFont="1" applyBorder="1" applyAlignment="1">
      <alignment vertical="center"/>
    </xf>
    <xf numFmtId="0" fontId="8" fillId="0" borderId="0" xfId="0" applyFont="1" applyFill="1" applyAlignment="1">
      <alignment vertical="center"/>
    </xf>
    <xf numFmtId="164" fontId="2" fillId="0" borderId="1"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2" fillId="0" borderId="0" xfId="0" applyFont="1" applyFill="1" applyBorder="1" applyAlignment="1">
      <alignment vertical="center"/>
    </xf>
    <xf numFmtId="0" fontId="7" fillId="0" borderId="0" xfId="0" applyFont="1" applyFill="1" applyBorder="1" applyAlignment="1">
      <alignment vertical="center" wrapText="1"/>
    </xf>
    <xf numFmtId="0" fontId="8" fillId="0" borderId="0" xfId="0" applyFont="1" applyFill="1" applyBorder="1" applyAlignment="1">
      <alignment vertical="center"/>
    </xf>
    <xf numFmtId="0" fontId="13" fillId="0" borderId="0" xfId="0" applyFont="1" applyFill="1" applyBorder="1" applyAlignment="1">
      <alignment horizontal="center" vertical="center" wrapText="1"/>
    </xf>
    <xf numFmtId="0" fontId="33" fillId="0" borderId="0" xfId="0" applyFont="1" applyAlignment="1">
      <alignment horizontal="center" vertical="center"/>
    </xf>
    <xf numFmtId="9" fontId="0" fillId="0" borderId="0" xfId="0" applyNumberFormat="1" applyFill="1" applyBorder="1" applyAlignment="1">
      <alignment horizontal="center" vertical="center"/>
    </xf>
    <xf numFmtId="0" fontId="10" fillId="0" borderId="0" xfId="0" applyFont="1" applyAlignment="1">
      <alignment horizontal="center" vertical="center"/>
    </xf>
    <xf numFmtId="9" fontId="1" fillId="0" borderId="0" xfId="0" applyNumberFormat="1" applyFont="1" applyFill="1" applyBorder="1" applyAlignment="1">
      <alignment horizontal="center" vertical="center"/>
    </xf>
    <xf numFmtId="2" fontId="1" fillId="0" borderId="0" xfId="0" applyNumberFormat="1" applyFont="1" applyFill="1" applyBorder="1" applyAlignment="1">
      <alignment vertical="center"/>
    </xf>
    <xf numFmtId="164" fontId="7" fillId="0" borderId="14" xfId="0" applyNumberFormat="1" applyFont="1" applyFill="1" applyBorder="1" applyAlignment="1">
      <alignment horizontal="center" vertical="center" wrapText="1"/>
    </xf>
    <xf numFmtId="164" fontId="7" fillId="0" borderId="14" xfId="0" applyNumberFormat="1" applyFont="1" applyFill="1" applyBorder="1" applyAlignment="1">
      <alignment horizontal="center" vertical="center"/>
    </xf>
    <xf numFmtId="165" fontId="8" fillId="0" borderId="0" xfId="1" applyNumberFormat="1" applyFont="1" applyBorder="1" applyAlignment="1">
      <alignment horizontal="center" vertical="center"/>
    </xf>
    <xf numFmtId="168" fontId="7" fillId="0" borderId="0" xfId="1" applyNumberFormat="1" applyFont="1" applyAlignment="1">
      <alignment vertical="center"/>
    </xf>
    <xf numFmtId="9" fontId="7" fillId="0" borderId="0" xfId="2" applyFont="1" applyAlignment="1">
      <alignment vertical="center"/>
    </xf>
    <xf numFmtId="0" fontId="1" fillId="0" borderId="0" xfId="0" applyFont="1" applyAlignment="1">
      <alignment horizontal="center" vertical="center"/>
    </xf>
    <xf numFmtId="0" fontId="1" fillId="0" borderId="1" xfId="0" applyFont="1" applyBorder="1" applyAlignment="1">
      <alignment vertical="center"/>
    </xf>
    <xf numFmtId="0" fontId="0" fillId="0" borderId="0" xfId="0" applyFont="1" applyFill="1" applyAlignment="1">
      <alignment vertical="center"/>
    </xf>
    <xf numFmtId="0" fontId="7" fillId="0" borderId="0" xfId="0" applyFont="1"/>
    <xf numFmtId="0" fontId="8" fillId="5" borderId="1" xfId="0" applyFont="1" applyFill="1" applyBorder="1" applyAlignment="1">
      <alignment vertical="center"/>
    </xf>
    <xf numFmtId="164" fontId="25" fillId="9" borderId="1" xfId="0" applyNumberFormat="1" applyFont="1" applyFill="1" applyBorder="1" applyAlignment="1">
      <alignment horizontal="center" vertical="center"/>
    </xf>
    <xf numFmtId="0" fontId="23" fillId="0" borderId="0" xfId="0" applyFont="1" applyAlignment="1">
      <alignment vertical="center"/>
    </xf>
    <xf numFmtId="164" fontId="8" fillId="5" borderId="1" xfId="0" applyNumberFormat="1" applyFont="1" applyFill="1" applyBorder="1" applyAlignment="1">
      <alignment horizontal="center" vertical="center"/>
    </xf>
    <xf numFmtId="0" fontId="1" fillId="0" borderId="1" xfId="0" applyFont="1" applyFill="1" applyBorder="1" applyAlignment="1">
      <alignment vertical="center"/>
    </xf>
    <xf numFmtId="0" fontId="7" fillId="0" borderId="1" xfId="0" applyFont="1" applyBorder="1" applyAlignment="1">
      <alignment vertical="center"/>
    </xf>
    <xf numFmtId="0" fontId="1" fillId="0" borderId="1" xfId="0" quotePrefix="1" applyFont="1" applyBorder="1" applyAlignment="1">
      <alignment vertical="center"/>
    </xf>
    <xf numFmtId="0" fontId="1" fillId="0" borderId="0" xfId="0" quotePrefix="1" applyFont="1" applyAlignment="1">
      <alignment horizontal="center" vertical="center"/>
    </xf>
    <xf numFmtId="0" fontId="43" fillId="8" borderId="1" xfId="0" quotePrefix="1" applyFont="1" applyFill="1" applyBorder="1" applyAlignment="1">
      <alignment vertical="center"/>
    </xf>
    <xf numFmtId="0" fontId="43" fillId="7" borderId="1" xfId="0" quotePrefix="1" applyFont="1" applyFill="1" applyBorder="1" applyAlignment="1">
      <alignment vertical="center"/>
    </xf>
    <xf numFmtId="164" fontId="7" fillId="0" borderId="0" xfId="0" applyNumberFormat="1" applyFont="1" applyAlignment="1">
      <alignment horizontal="center" vertical="center"/>
    </xf>
    <xf numFmtId="0" fontId="0" fillId="0" borderId="1" xfId="0" applyFont="1" applyBorder="1" applyAlignment="1">
      <alignment vertical="center"/>
    </xf>
    <xf numFmtId="164" fontId="43" fillId="8" borderId="1" xfId="0" quotePrefix="1" applyNumberFormat="1" applyFont="1" applyFill="1" applyBorder="1" applyAlignment="1">
      <alignment horizontal="center" vertical="center"/>
    </xf>
    <xf numFmtId="164" fontId="43" fillId="7" borderId="1" xfId="0" quotePrefix="1" applyNumberFormat="1" applyFont="1" applyFill="1" applyBorder="1" applyAlignment="1">
      <alignment horizontal="center" vertical="center"/>
    </xf>
    <xf numFmtId="166" fontId="7" fillId="0" borderId="1" xfId="0" applyNumberFormat="1" applyFont="1" applyBorder="1" applyAlignment="1">
      <alignment horizontal="center" vertical="center"/>
    </xf>
    <xf numFmtId="164" fontId="7" fillId="0" borderId="1" xfId="2" applyNumberFormat="1" applyFont="1" applyFill="1" applyBorder="1" applyAlignment="1">
      <alignment horizontal="center" vertical="center"/>
    </xf>
    <xf numFmtId="0" fontId="7" fillId="0" borderId="1" xfId="0" applyFont="1" applyFill="1" applyBorder="1" applyAlignment="1">
      <alignment vertical="center" wrapText="1"/>
    </xf>
    <xf numFmtId="0" fontId="7" fillId="0" borderId="1" xfId="0" applyFont="1" applyFill="1" applyBorder="1" applyAlignment="1">
      <alignment vertical="center"/>
    </xf>
    <xf numFmtId="164" fontId="1" fillId="0" borderId="0" xfId="0" quotePrefix="1" applyNumberFormat="1" applyFont="1" applyAlignment="1">
      <alignment horizontal="center" vertical="center"/>
    </xf>
    <xf numFmtId="164" fontId="43" fillId="7" borderId="4" xfId="0" quotePrefix="1" applyNumberFormat="1" applyFont="1" applyFill="1" applyBorder="1" applyAlignment="1">
      <alignment horizontal="center" vertical="center"/>
    </xf>
    <xf numFmtId="164" fontId="43" fillId="8" borderId="4" xfId="0" quotePrefix="1" applyNumberFormat="1" applyFont="1" applyFill="1" applyBorder="1" applyAlignment="1">
      <alignment horizontal="center" vertical="center"/>
    </xf>
    <xf numFmtId="0" fontId="7" fillId="0" borderId="1" xfId="0" applyFont="1" applyBorder="1" applyAlignment="1">
      <alignment vertical="center" wrapText="1"/>
    </xf>
    <xf numFmtId="164" fontId="7" fillId="0" borderId="1" xfId="0" applyNumberFormat="1" applyFont="1" applyBorder="1" applyAlignment="1">
      <alignment horizontal="center" vertical="center" wrapText="1"/>
    </xf>
    <xf numFmtId="0" fontId="7" fillId="0" borderId="0" xfId="0" applyFont="1" applyBorder="1" applyAlignment="1">
      <alignment vertical="center" wrapText="1"/>
    </xf>
    <xf numFmtId="0" fontId="0" fillId="10" borderId="0" xfId="0" applyFill="1" applyAlignment="1">
      <alignment vertical="center"/>
    </xf>
    <xf numFmtId="0" fontId="0" fillId="10" borderId="0" xfId="0" applyFill="1" applyAlignment="1">
      <alignment horizontal="center" vertical="center"/>
    </xf>
    <xf numFmtId="4" fontId="48" fillId="0" borderId="0" xfId="0" applyNumberFormat="1" applyFont="1" applyAlignment="1">
      <alignment vertical="center"/>
    </xf>
    <xf numFmtId="164" fontId="7" fillId="0" borderId="0" xfId="2" applyNumberFormat="1" applyFont="1" applyFill="1" applyBorder="1" applyAlignment="1">
      <alignment horizontal="center" vertical="center"/>
    </xf>
    <xf numFmtId="0" fontId="5" fillId="0" borderId="1" xfId="0" applyFont="1" applyBorder="1" applyAlignment="1">
      <alignment vertical="center"/>
    </xf>
    <xf numFmtId="0" fontId="7" fillId="11" borderId="0" xfId="0" applyFont="1" applyFill="1" applyAlignment="1">
      <alignment vertical="center"/>
    </xf>
    <xf numFmtId="0" fontId="8" fillId="0" borderId="1" xfId="0" applyFont="1" applyFill="1" applyBorder="1" applyAlignment="1">
      <alignment vertical="center"/>
    </xf>
    <xf numFmtId="0" fontId="45" fillId="0" borderId="0" xfId="0" applyFont="1" applyAlignment="1">
      <alignment vertical="center"/>
    </xf>
    <xf numFmtId="10" fontId="29" fillId="0" borderId="1" xfId="0" applyNumberFormat="1" applyFont="1" applyFill="1" applyBorder="1" applyAlignment="1">
      <alignment horizontal="center" vertical="center"/>
    </xf>
    <xf numFmtId="0" fontId="8" fillId="0" borderId="1" xfId="0" applyFont="1" applyFill="1" applyBorder="1" applyAlignment="1">
      <alignment horizontal="center" vertical="center"/>
    </xf>
    <xf numFmtId="166" fontId="8" fillId="0" borderId="1" xfId="2" applyNumberFormat="1" applyFont="1" applyBorder="1" applyAlignment="1">
      <alignment horizontal="center" vertical="center"/>
    </xf>
    <xf numFmtId="0" fontId="8" fillId="0" borderId="2" xfId="0" applyFont="1" applyFill="1" applyBorder="1" applyAlignment="1">
      <alignment horizontal="center" vertical="center" wrapText="1"/>
    </xf>
    <xf numFmtId="0" fontId="50" fillId="0" borderId="1" xfId="0" applyFont="1" applyBorder="1" applyAlignment="1">
      <alignment horizontal="center" vertical="center"/>
    </xf>
    <xf numFmtId="166" fontId="50" fillId="3" borderId="1" xfId="2" applyNumberFormat="1" applyFont="1" applyFill="1" applyBorder="1" applyAlignment="1">
      <alignment horizontal="center" vertical="center"/>
    </xf>
    <xf numFmtId="0" fontId="8" fillId="0" borderId="1" xfId="0" applyFont="1" applyBorder="1" applyAlignment="1">
      <alignment vertical="center"/>
    </xf>
    <xf numFmtId="166" fontId="7" fillId="0" borderId="0" xfId="2" applyNumberFormat="1" applyFont="1" applyAlignment="1">
      <alignment vertical="center"/>
    </xf>
    <xf numFmtId="166" fontId="7" fillId="0" borderId="0" xfId="2" applyNumberFormat="1" applyFont="1" applyAlignment="1">
      <alignment horizontal="center" vertical="center"/>
    </xf>
    <xf numFmtId="0" fontId="13" fillId="0" borderId="0" xfId="0" applyFont="1" applyAlignment="1">
      <alignment vertical="center"/>
    </xf>
    <xf numFmtId="166" fontId="25" fillId="0" borderId="0" xfId="2" applyNumberFormat="1" applyFont="1" applyAlignment="1">
      <alignment vertical="center"/>
    </xf>
    <xf numFmtId="166" fontId="13" fillId="0" borderId="1" xfId="2" quotePrefix="1" applyNumberFormat="1" applyFont="1" applyFill="1" applyBorder="1" applyAlignment="1">
      <alignment horizontal="center" vertical="center"/>
    </xf>
    <xf numFmtId="0" fontId="47" fillId="0" borderId="0" xfId="0" applyFont="1" applyAlignment="1">
      <alignment vertical="center"/>
    </xf>
    <xf numFmtId="0" fontId="46" fillId="0" borderId="0" xfId="0" applyFont="1" applyAlignment="1">
      <alignment vertical="center"/>
    </xf>
    <xf numFmtId="0" fontId="11" fillId="0" borderId="0" xfId="0" applyFont="1" applyAlignment="1">
      <alignment vertical="center"/>
    </xf>
    <xf numFmtId="0" fontId="51" fillId="0" borderId="0" xfId="0" applyFont="1" applyAlignment="1">
      <alignment vertical="center"/>
    </xf>
    <xf numFmtId="0" fontId="52" fillId="0" borderId="0" xfId="0" applyFont="1" applyAlignment="1">
      <alignment vertical="center"/>
    </xf>
    <xf numFmtId="0" fontId="53" fillId="0" borderId="0" xfId="0" applyFont="1" applyAlignment="1">
      <alignment vertical="center"/>
    </xf>
    <xf numFmtId="0" fontId="2" fillId="0" borderId="8" xfId="0" applyFont="1" applyFill="1" applyBorder="1" applyAlignment="1">
      <alignment vertical="center"/>
    </xf>
    <xf numFmtId="169" fontId="7" fillId="0" borderId="0" xfId="0" applyNumberFormat="1" applyFont="1" applyAlignment="1">
      <alignment vertical="center"/>
    </xf>
    <xf numFmtId="164" fontId="1" fillId="3" borderId="1" xfId="0" applyNumberFormat="1" applyFont="1" applyFill="1" applyBorder="1" applyAlignment="1">
      <alignment horizontal="center" vertical="center"/>
    </xf>
    <xf numFmtId="0" fontId="2" fillId="0" borderId="1" xfId="0" applyFont="1" applyFill="1" applyBorder="1" applyAlignment="1">
      <alignment vertical="center"/>
    </xf>
    <xf numFmtId="0" fontId="2" fillId="0" borderId="0" xfId="0" applyFont="1" applyBorder="1" applyAlignment="1">
      <alignment horizontal="right" vertical="center"/>
    </xf>
    <xf numFmtId="9" fontId="2" fillId="0" borderId="0" xfId="2" applyFont="1" applyBorder="1" applyAlignment="1">
      <alignment horizontal="center" vertical="center"/>
    </xf>
    <xf numFmtId="0" fontId="2" fillId="0" borderId="0" xfId="0" applyFont="1" applyBorder="1" applyAlignment="1">
      <alignment vertical="center"/>
    </xf>
    <xf numFmtId="0" fontId="5" fillId="0" borderId="0" xfId="0" applyFont="1" applyFill="1" applyBorder="1" applyAlignment="1">
      <alignment horizontal="center" vertical="center"/>
    </xf>
    <xf numFmtId="0" fontId="0" fillId="0" borderId="0" xfId="0" applyFill="1" applyBorder="1" applyAlignment="1">
      <alignment horizontal="center" vertical="center"/>
    </xf>
    <xf numFmtId="0" fontId="11"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11" fillId="0" borderId="0" xfId="0" applyFont="1" applyBorder="1" applyAlignment="1">
      <alignment horizontal="center" vertical="center"/>
    </xf>
    <xf numFmtId="164" fontId="11" fillId="0" borderId="0" xfId="0" applyNumberFormat="1" applyFont="1" applyBorder="1" applyAlignment="1">
      <alignment horizontal="center" vertical="center"/>
    </xf>
    <xf numFmtId="9" fontId="7" fillId="0" borderId="0" xfId="2" applyFont="1" applyBorder="1" applyAlignment="1">
      <alignment horizontal="center" vertical="center"/>
    </xf>
    <xf numFmtId="166" fontId="11" fillId="0" borderId="0" xfId="0" applyNumberFormat="1" applyFont="1" applyAlignment="1">
      <alignment vertical="center"/>
    </xf>
    <xf numFmtId="164" fontId="11" fillId="0" borderId="1" xfId="0" applyNumberFormat="1" applyFont="1" applyBorder="1" applyAlignment="1">
      <alignment horizontal="center" vertical="center"/>
    </xf>
    <xf numFmtId="164" fontId="25" fillId="0" borderId="1" xfId="0" applyNumberFormat="1" applyFont="1" applyBorder="1" applyAlignment="1">
      <alignment horizontal="center" vertical="center"/>
    </xf>
    <xf numFmtId="0" fontId="55" fillId="8" borderId="1" xfId="0" quotePrefix="1" applyFont="1" applyFill="1" applyBorder="1" applyAlignment="1">
      <alignment vertical="center"/>
    </xf>
    <xf numFmtId="164" fontId="55" fillId="8" borderId="1" xfId="0" quotePrefix="1" applyNumberFormat="1" applyFont="1" applyFill="1" applyBorder="1" applyAlignment="1">
      <alignment horizontal="center" vertical="center"/>
    </xf>
    <xf numFmtId="0" fontId="55" fillId="7" borderId="1" xfId="0" quotePrefix="1" applyFont="1" applyFill="1" applyBorder="1" applyAlignment="1">
      <alignment vertical="center"/>
    </xf>
    <xf numFmtId="164" fontId="55" fillId="7" borderId="1" xfId="0" quotePrefix="1" applyNumberFormat="1" applyFont="1" applyFill="1" applyBorder="1" applyAlignment="1">
      <alignment horizontal="center" vertical="center"/>
    </xf>
    <xf numFmtId="0" fontId="1" fillId="0" borderId="1" xfId="0" applyFont="1" applyBorder="1" applyAlignment="1">
      <alignment vertical="center" wrapText="1"/>
    </xf>
    <xf numFmtId="164" fontId="1" fillId="0" borderId="1" xfId="0" applyNumberFormat="1" applyFont="1" applyBorder="1" applyAlignment="1">
      <alignment horizontal="center" vertical="center" wrapText="1"/>
    </xf>
    <xf numFmtId="0" fontId="2" fillId="0" borderId="1" xfId="0" applyFont="1" applyBorder="1" applyAlignment="1">
      <alignment vertical="center"/>
    </xf>
    <xf numFmtId="164" fontId="0" fillId="0" borderId="0" xfId="0" applyNumberFormat="1" applyFont="1" applyBorder="1" applyAlignment="1">
      <alignment horizontal="center" vertical="center"/>
    </xf>
    <xf numFmtId="164" fontId="41" fillId="0" borderId="0" xfId="0" applyNumberFormat="1" applyFont="1" applyBorder="1" applyAlignment="1">
      <alignment horizontal="center" vertical="center"/>
    </xf>
    <xf numFmtId="9" fontId="41" fillId="0" borderId="0" xfId="2" applyFont="1" applyBorder="1" applyAlignment="1">
      <alignment horizontal="center" vertical="center"/>
    </xf>
    <xf numFmtId="0" fontId="41" fillId="0" borderId="0" xfId="0" applyFont="1" applyBorder="1" applyAlignment="1">
      <alignment vertical="center"/>
    </xf>
    <xf numFmtId="0" fontId="1" fillId="0" borderId="11" xfId="0" applyFont="1" applyBorder="1" applyAlignment="1">
      <alignment vertical="center"/>
    </xf>
    <xf numFmtId="0" fontId="13" fillId="0" borderId="8" xfId="0" applyFont="1" applyFill="1" applyBorder="1" applyAlignment="1">
      <alignment horizontal="center" vertical="center" wrapText="1"/>
    </xf>
    <xf numFmtId="0" fontId="13" fillId="0" borderId="8" xfId="0" applyFont="1" applyFill="1" applyBorder="1" applyAlignment="1">
      <alignment horizontal="center" vertical="center"/>
    </xf>
    <xf numFmtId="0" fontId="1" fillId="0" borderId="11" xfId="0" applyFont="1" applyFill="1" applyBorder="1" applyAlignment="1">
      <alignment vertical="center"/>
    </xf>
    <xf numFmtId="166" fontId="22" fillId="0" borderId="0" xfId="2" quotePrefix="1" applyNumberFormat="1" applyFont="1" applyFill="1" applyBorder="1" applyAlignment="1">
      <alignment horizontal="center" vertical="center"/>
    </xf>
    <xf numFmtId="0" fontId="58" fillId="0" borderId="0" xfId="0" applyFont="1" applyAlignment="1">
      <alignment vertical="center"/>
    </xf>
    <xf numFmtId="0" fontId="11" fillId="0" borderId="1" xfId="0" applyFont="1" applyBorder="1" applyAlignment="1">
      <alignment vertical="center"/>
    </xf>
    <xf numFmtId="0" fontId="8" fillId="7"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41" fillId="0" borderId="0" xfId="0" applyFont="1" applyAlignment="1">
      <alignment horizontal="center" vertical="center"/>
    </xf>
    <xf numFmtId="0" fontId="11" fillId="9" borderId="1" xfId="0" applyFont="1" applyFill="1" applyBorder="1" applyAlignment="1">
      <alignment vertical="center"/>
    </xf>
    <xf numFmtId="165" fontId="13" fillId="0" borderId="1" xfId="0" applyNumberFormat="1" applyFont="1" applyFill="1" applyBorder="1" applyAlignment="1">
      <alignment horizontal="center" vertical="center"/>
    </xf>
    <xf numFmtId="165" fontId="7" fillId="0" borderId="0" xfId="0" applyNumberFormat="1" applyFont="1" applyAlignment="1">
      <alignment vertical="center"/>
    </xf>
    <xf numFmtId="0" fontId="6" fillId="0" borderId="1" xfId="0" applyFont="1" applyFill="1" applyBorder="1" applyAlignment="1">
      <alignment vertical="center"/>
    </xf>
    <xf numFmtId="0" fontId="59" fillId="0" borderId="0" xfId="0" applyFont="1" applyAlignment="1">
      <alignment vertical="center"/>
    </xf>
    <xf numFmtId="164" fontId="26" fillId="0" borderId="1" xfId="0" applyNumberFormat="1" applyFont="1" applyBorder="1" applyAlignment="1">
      <alignment horizontal="center" vertical="center"/>
    </xf>
    <xf numFmtId="164" fontId="60" fillId="0" borderId="0" xfId="0" applyNumberFormat="1" applyFont="1" applyAlignment="1">
      <alignment horizontal="center" vertical="center"/>
    </xf>
    <xf numFmtId="0" fontId="61" fillId="0" borderId="0" xfId="0" applyFont="1" applyAlignment="1">
      <alignment vertical="center"/>
    </xf>
    <xf numFmtId="164" fontId="41" fillId="0" borderId="0" xfId="0" applyNumberFormat="1" applyFont="1" applyAlignment="1">
      <alignment vertical="center"/>
    </xf>
    <xf numFmtId="0" fontId="22" fillId="0" borderId="0" xfId="0" applyFont="1" applyAlignment="1">
      <alignment vertical="center"/>
    </xf>
    <xf numFmtId="0" fontId="62" fillId="0" borderId="0" xfId="0" applyFont="1" applyAlignment="1">
      <alignment vertical="center"/>
    </xf>
    <xf numFmtId="0" fontId="58" fillId="0" borderId="8" xfId="0" applyFont="1" applyFill="1" applyBorder="1" applyAlignment="1">
      <alignment horizontal="center" vertical="center"/>
    </xf>
    <xf numFmtId="165" fontId="51" fillId="0" borderId="0" xfId="0" applyNumberFormat="1" applyFont="1" applyAlignment="1">
      <alignment vertical="center"/>
    </xf>
    <xf numFmtId="0" fontId="2" fillId="0" borderId="1" xfId="0" applyFont="1" applyBorder="1" applyAlignment="1">
      <alignment vertical="center" wrapText="1"/>
    </xf>
    <xf numFmtId="164" fontId="51" fillId="0" borderId="0" xfId="0" applyNumberFormat="1" applyFont="1" applyAlignment="1">
      <alignment vertical="center"/>
    </xf>
    <xf numFmtId="0" fontId="10" fillId="9" borderId="1" xfId="0" applyFont="1" applyFill="1" applyBorder="1" applyAlignment="1">
      <alignment vertical="center"/>
    </xf>
    <xf numFmtId="164" fontId="10" fillId="9" borderId="1" xfId="0" applyNumberFormat="1" applyFont="1" applyFill="1" applyBorder="1" applyAlignment="1">
      <alignment horizontal="center" vertical="center"/>
    </xf>
    <xf numFmtId="0" fontId="11" fillId="9" borderId="4" xfId="0" applyFont="1" applyFill="1" applyBorder="1" applyAlignment="1">
      <alignment vertical="center"/>
    </xf>
    <xf numFmtId="167" fontId="10" fillId="9" borderId="1" xfId="0" applyNumberFormat="1" applyFont="1" applyFill="1" applyBorder="1" applyAlignment="1">
      <alignment horizontal="center" vertical="center"/>
    </xf>
    <xf numFmtId="0" fontId="43" fillId="7" borderId="1" xfId="0" quotePrefix="1" applyFont="1" applyFill="1" applyBorder="1" applyAlignment="1">
      <alignment vertical="center" wrapText="1"/>
    </xf>
    <xf numFmtId="0" fontId="51" fillId="0" borderId="0" xfId="0" applyFont="1" applyAlignment="1">
      <alignment horizontal="center" vertical="center"/>
    </xf>
    <xf numFmtId="0" fontId="0" fillId="0" borderId="0" xfId="0" applyFont="1" applyBorder="1" applyAlignment="1">
      <alignment vertical="center" wrapText="1"/>
    </xf>
    <xf numFmtId="0" fontId="41" fillId="0" borderId="0" xfId="0" applyFont="1" applyBorder="1" applyAlignment="1">
      <alignment vertical="center" wrapText="1"/>
    </xf>
    <xf numFmtId="0" fontId="0" fillId="0" borderId="1" xfId="0" applyBorder="1" applyAlignment="1">
      <alignment vertical="center" wrapText="1"/>
    </xf>
    <xf numFmtId="164" fontId="0" fillId="0" borderId="1" xfId="0" applyNumberFormat="1" applyBorder="1" applyAlignment="1">
      <alignment horizontal="center" vertical="center" wrapText="1"/>
    </xf>
    <xf numFmtId="164" fontId="51" fillId="0" borderId="0" xfId="0" applyNumberFormat="1" applyFont="1" applyBorder="1" applyAlignment="1">
      <alignment horizontal="center" vertical="center"/>
    </xf>
    <xf numFmtId="0" fontId="62" fillId="0" borderId="0" xfId="0" applyFont="1" applyBorder="1" applyAlignment="1">
      <alignment horizontal="right" vertical="center"/>
    </xf>
    <xf numFmtId="164" fontId="62" fillId="0" borderId="0" xfId="0" applyNumberFormat="1" applyFont="1" applyBorder="1" applyAlignment="1">
      <alignment horizontal="center" vertical="center"/>
    </xf>
    <xf numFmtId="0" fontId="51" fillId="0" borderId="0" xfId="0" applyFont="1" applyBorder="1" applyAlignment="1">
      <alignment vertical="center"/>
    </xf>
    <xf numFmtId="0" fontId="62" fillId="0" borderId="11" xfId="0" applyFont="1" applyBorder="1" applyAlignment="1">
      <alignment vertical="center"/>
    </xf>
    <xf numFmtId="0" fontId="58" fillId="0" borderId="8" xfId="0" applyFont="1" applyFill="1" applyBorder="1" applyAlignment="1">
      <alignment horizontal="center" vertical="center" wrapText="1"/>
    </xf>
    <xf numFmtId="0" fontId="1" fillId="0" borderId="5" xfId="0" applyFont="1" applyBorder="1" applyAlignment="1">
      <alignment vertical="center"/>
    </xf>
    <xf numFmtId="164" fontId="1" fillId="0" borderId="4" xfId="0" applyNumberFormat="1" applyFont="1" applyBorder="1" applyAlignment="1">
      <alignment horizontal="center" vertical="center"/>
    </xf>
    <xf numFmtId="164" fontId="1" fillId="0" borderId="1" xfId="2" applyNumberFormat="1" applyFont="1" applyBorder="1" applyAlignment="1">
      <alignment horizontal="center" vertical="center"/>
    </xf>
    <xf numFmtId="166" fontId="1" fillId="0" borderId="1" xfId="2" applyNumberFormat="1" applyFont="1" applyBorder="1" applyAlignment="1">
      <alignment horizontal="center" vertical="center"/>
    </xf>
    <xf numFmtId="164" fontId="7" fillId="0" borderId="0" xfId="0" applyNumberFormat="1" applyFont="1" applyFill="1" applyBorder="1" applyAlignment="1">
      <alignment horizontal="center" vertical="center" wrapText="1"/>
    </xf>
    <xf numFmtId="167" fontId="8" fillId="0" borderId="0" xfId="0" applyNumberFormat="1" applyFont="1" applyFill="1" applyBorder="1" applyAlignment="1">
      <alignment horizontal="center" vertical="center"/>
    </xf>
    <xf numFmtId="0" fontId="63" fillId="0" borderId="0" xfId="0" applyFont="1" applyAlignment="1">
      <alignment vertical="center"/>
    </xf>
    <xf numFmtId="0" fontId="1" fillId="0" borderId="1" xfId="0" applyFont="1" applyFill="1" applyBorder="1" applyAlignment="1">
      <alignment horizontal="left" vertical="center"/>
    </xf>
    <xf numFmtId="164" fontId="25" fillId="0" borderId="0" xfId="0" applyNumberFormat="1" applyFont="1" applyFill="1" applyBorder="1" applyAlignment="1">
      <alignment horizontal="left" vertical="center"/>
    </xf>
    <xf numFmtId="0" fontId="22" fillId="0" borderId="11" xfId="0" applyFont="1" applyFill="1" applyBorder="1" applyAlignment="1">
      <alignment horizontal="center" vertical="center"/>
    </xf>
    <xf numFmtId="0" fontId="8" fillId="0" borderId="2" xfId="0" applyFont="1" applyFill="1" applyBorder="1" applyAlignment="1">
      <alignment vertical="center" wrapText="1"/>
    </xf>
    <xf numFmtId="0" fontId="8"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7" borderId="2" xfId="0" applyFont="1" applyFill="1" applyBorder="1" applyAlignment="1">
      <alignment horizontal="center" vertical="center" wrapText="1"/>
    </xf>
    <xf numFmtId="0" fontId="25" fillId="13" borderId="2" xfId="0" applyFont="1" applyFill="1" applyBorder="1" applyAlignment="1">
      <alignment horizontal="center" vertical="center" wrapText="1"/>
    </xf>
    <xf numFmtId="164" fontId="1" fillId="0" borderId="0" xfId="1" applyNumberFormat="1" applyFont="1" applyFill="1" applyBorder="1" applyAlignment="1">
      <alignment horizontal="center" vertical="center"/>
    </xf>
    <xf numFmtId="2" fontId="11" fillId="0" borderId="0" xfId="0" applyNumberFormat="1" applyFont="1" applyFill="1" applyBorder="1" applyAlignment="1">
      <alignment horizontal="left" vertical="center"/>
    </xf>
    <xf numFmtId="9" fontId="7" fillId="0" borderId="0" xfId="0" applyNumberFormat="1" applyFont="1" applyFill="1" applyBorder="1" applyAlignment="1">
      <alignment vertical="center"/>
    </xf>
    <xf numFmtId="2" fontId="8" fillId="0" borderId="0" xfId="0" applyNumberFormat="1" applyFont="1" applyFill="1" applyBorder="1" applyAlignment="1">
      <alignment horizontal="center" vertical="center"/>
    </xf>
    <xf numFmtId="9" fontId="8" fillId="0" borderId="1" xfId="0" applyNumberFormat="1" applyFont="1" applyFill="1" applyBorder="1" applyAlignment="1">
      <alignment horizontal="center" vertical="center"/>
    </xf>
    <xf numFmtId="0" fontId="1" fillId="0" borderId="7" xfId="0" applyFont="1" applyFill="1" applyBorder="1" applyAlignment="1">
      <alignment vertical="center" wrapText="1"/>
    </xf>
    <xf numFmtId="0" fontId="8" fillId="0" borderId="14" xfId="0" applyFont="1" applyFill="1" applyBorder="1" applyAlignment="1">
      <alignment horizontal="center" vertical="center" wrapText="1"/>
    </xf>
    <xf numFmtId="0" fontId="7" fillId="0" borderId="0" xfId="0" applyFont="1" applyAlignment="1">
      <alignment horizontal="center" vertical="center" wrapText="1"/>
    </xf>
    <xf numFmtId="0" fontId="62" fillId="0" borderId="0" xfId="0" applyFont="1" applyFill="1" applyBorder="1" applyAlignment="1">
      <alignment horizontal="center" vertical="center"/>
    </xf>
    <xf numFmtId="0" fontId="51" fillId="0" borderId="0" xfId="0" applyFont="1" applyFill="1" applyBorder="1" applyAlignment="1">
      <alignment horizontal="center" vertical="center"/>
    </xf>
    <xf numFmtId="164" fontId="62" fillId="0" borderId="0" xfId="0" applyNumberFormat="1" applyFont="1" applyFill="1" applyBorder="1" applyAlignment="1">
      <alignment horizontal="center" vertical="center"/>
    </xf>
    <xf numFmtId="0" fontId="51" fillId="0" borderId="0" xfId="0" applyFont="1" applyFill="1" applyBorder="1" applyAlignment="1">
      <alignment vertical="center"/>
    </xf>
    <xf numFmtId="0" fontId="62" fillId="0" borderId="0" xfId="0" applyFont="1" applyFill="1" applyBorder="1" applyAlignment="1">
      <alignment vertical="center"/>
    </xf>
    <xf numFmtId="0" fontId="51" fillId="0" borderId="0" xfId="0" applyFont="1"/>
    <xf numFmtId="164" fontId="26" fillId="0" borderId="1" xfId="0" applyNumberFormat="1" applyFont="1" applyFill="1" applyBorder="1" applyAlignment="1">
      <alignment horizontal="center" vertical="center" wrapText="1"/>
    </xf>
    <xf numFmtId="0" fontId="7" fillId="0" borderId="13" xfId="0" applyFont="1" applyBorder="1" applyAlignment="1">
      <alignment vertical="center"/>
    </xf>
    <xf numFmtId="164" fontId="7" fillId="0" borderId="13" xfId="0" applyNumberFormat="1" applyFont="1" applyBorder="1" applyAlignment="1">
      <alignment horizontal="center" vertical="center" wrapText="1"/>
    </xf>
    <xf numFmtId="0" fontId="7" fillId="8" borderId="1" xfId="0" applyFont="1" applyFill="1" applyBorder="1" applyAlignment="1">
      <alignment horizontal="center" vertical="center"/>
    </xf>
    <xf numFmtId="0" fontId="7" fillId="7" borderId="1" xfId="0" applyFont="1" applyFill="1" applyBorder="1" applyAlignment="1">
      <alignment vertical="center"/>
    </xf>
    <xf numFmtId="0" fontId="41" fillId="0" borderId="0" xfId="0" applyFont="1" applyFill="1" applyBorder="1" applyAlignment="1">
      <alignment horizontal="center" vertical="center"/>
    </xf>
    <xf numFmtId="0" fontId="41" fillId="0" borderId="0" xfId="0" applyFont="1" applyFill="1" applyBorder="1" applyAlignment="1">
      <alignment vertical="center"/>
    </xf>
    <xf numFmtId="0" fontId="11" fillId="0" borderId="0" xfId="0" applyFont="1" applyFill="1" applyBorder="1" applyAlignment="1">
      <alignment vertical="center" wrapText="1"/>
    </xf>
    <xf numFmtId="164" fontId="0" fillId="0" borderId="1" xfId="0" applyNumberFormat="1" applyFont="1" applyBorder="1" applyAlignment="1">
      <alignment horizontal="center" vertical="center" wrapText="1"/>
    </xf>
    <xf numFmtId="164" fontId="0" fillId="0" borderId="1" xfId="0" applyNumberFormat="1" applyFont="1" applyBorder="1" applyAlignment="1">
      <alignment horizontal="center" vertical="center"/>
    </xf>
    <xf numFmtId="0" fontId="0" fillId="0" borderId="1" xfId="0" applyFont="1" applyFill="1" applyBorder="1" applyAlignment="1">
      <alignment vertical="center" wrapText="1"/>
    </xf>
    <xf numFmtId="0" fontId="0" fillId="0" borderId="1" xfId="0" applyFont="1" applyFill="1" applyBorder="1" applyAlignment="1">
      <alignment vertical="center"/>
    </xf>
    <xf numFmtId="0" fontId="41" fillId="0" borderId="1" xfId="0" applyFont="1" applyBorder="1" applyAlignment="1">
      <alignment vertical="center"/>
    </xf>
    <xf numFmtId="164" fontId="41" fillId="0" borderId="1" xfId="0" applyNumberFormat="1" applyFont="1" applyBorder="1" applyAlignment="1">
      <alignment horizontal="center" vertical="center"/>
    </xf>
    <xf numFmtId="164" fontId="0" fillId="0" borderId="0" xfId="0" applyNumberFormat="1" applyFill="1" applyBorder="1" applyAlignment="1">
      <alignment vertical="center"/>
    </xf>
    <xf numFmtId="164" fontId="41" fillId="0" borderId="1" xfId="0" applyNumberFormat="1" applyFont="1" applyBorder="1" applyAlignment="1">
      <alignment horizontal="center" vertical="center" wrapText="1"/>
    </xf>
    <xf numFmtId="0" fontId="41" fillId="0" borderId="13" xfId="0" applyFont="1" applyBorder="1" applyAlignment="1">
      <alignment vertical="center"/>
    </xf>
    <xf numFmtId="164" fontId="41" fillId="0" borderId="13" xfId="0" applyNumberFormat="1" applyFont="1" applyBorder="1" applyAlignment="1">
      <alignment horizontal="center" vertical="center" wrapText="1"/>
    </xf>
    <xf numFmtId="0" fontId="2" fillId="0" borderId="0" xfId="0" quotePrefix="1" applyFont="1" applyAlignment="1">
      <alignment horizontal="center" vertical="center"/>
    </xf>
    <xf numFmtId="164" fontId="2" fillId="0" borderId="0" xfId="0" quotePrefix="1" applyNumberFormat="1" applyFont="1" applyAlignment="1">
      <alignment horizontal="center" vertical="center"/>
    </xf>
    <xf numFmtId="0" fontId="41" fillId="0" borderId="1" xfId="0" applyFont="1" applyFill="1" applyBorder="1" applyAlignment="1">
      <alignment vertical="center" wrapText="1"/>
    </xf>
    <xf numFmtId="0" fontId="41" fillId="0" borderId="1" xfId="0" applyFont="1" applyFill="1" applyBorder="1" applyAlignment="1">
      <alignment vertical="center"/>
    </xf>
    <xf numFmtId="0" fontId="65" fillId="0" borderId="1" xfId="0" applyFont="1" applyFill="1" applyBorder="1" applyAlignment="1">
      <alignment horizontal="center" vertical="center" wrapText="1"/>
    </xf>
    <xf numFmtId="0" fontId="65" fillId="0" borderId="3" xfId="0" applyFont="1" applyFill="1" applyBorder="1" applyAlignment="1">
      <alignment horizontal="center" vertical="center" wrapText="1"/>
    </xf>
    <xf numFmtId="0" fontId="65" fillId="0" borderId="10" xfId="0" applyFont="1" applyFill="1" applyBorder="1" applyAlignment="1">
      <alignment horizontal="center" vertical="center" wrapText="1"/>
    </xf>
    <xf numFmtId="0" fontId="65" fillId="0" borderId="7" xfId="0" applyFont="1" applyFill="1" applyBorder="1" applyAlignment="1">
      <alignment horizontal="center" vertical="center" wrapText="1"/>
    </xf>
    <xf numFmtId="0" fontId="65" fillId="0" borderId="3" xfId="0" applyFont="1" applyFill="1" applyBorder="1" applyAlignment="1">
      <alignment horizontal="center" vertical="center"/>
    </xf>
    <xf numFmtId="0" fontId="65" fillId="0" borderId="0" xfId="0" applyFont="1" applyFill="1" applyAlignment="1">
      <alignment vertical="center"/>
    </xf>
    <xf numFmtId="0" fontId="65" fillId="8" borderId="1" xfId="0" applyFont="1" applyFill="1" applyBorder="1" applyAlignment="1">
      <alignment horizontal="center" vertical="center" wrapText="1"/>
    </xf>
    <xf numFmtId="0" fontId="65" fillId="7" borderId="1" xfId="0" applyFont="1" applyFill="1" applyBorder="1" applyAlignment="1">
      <alignment horizontal="center" vertical="center" wrapText="1"/>
    </xf>
    <xf numFmtId="0" fontId="65" fillId="0" borderId="0" xfId="0" applyFont="1" applyFill="1" applyBorder="1" applyAlignment="1">
      <alignment horizontal="center" vertical="center" wrapText="1"/>
    </xf>
    <xf numFmtId="164" fontId="7" fillId="0" borderId="0" xfId="1" applyNumberFormat="1" applyFont="1" applyFill="1" applyBorder="1" applyAlignment="1">
      <alignment horizontal="center" vertical="center"/>
    </xf>
    <xf numFmtId="0" fontId="65" fillId="0" borderId="1" xfId="0" applyFont="1" applyFill="1" applyBorder="1" applyAlignment="1">
      <alignment horizontal="center" vertical="center"/>
    </xf>
    <xf numFmtId="0" fontId="7" fillId="8" borderId="1" xfId="0" applyFont="1" applyFill="1" applyBorder="1" applyAlignment="1">
      <alignment vertical="center"/>
    </xf>
    <xf numFmtId="0" fontId="8" fillId="6" borderId="1" xfId="0" applyFont="1" applyFill="1" applyBorder="1" applyAlignment="1">
      <alignment vertical="center"/>
    </xf>
    <xf numFmtId="0" fontId="2" fillId="0" borderId="0" xfId="0" applyFont="1" applyFill="1" applyBorder="1" applyAlignment="1">
      <alignment horizontal="center" vertical="center"/>
    </xf>
    <xf numFmtId="0" fontId="6" fillId="0" borderId="0" xfId="0" applyFont="1" applyFill="1" applyBorder="1" applyAlignment="1">
      <alignment vertical="center"/>
    </xf>
    <xf numFmtId="164" fontId="54" fillId="7" borderId="1" xfId="0" applyNumberFormat="1" applyFont="1" applyFill="1" applyBorder="1" applyAlignment="1">
      <alignment horizontal="center" vertical="center"/>
    </xf>
    <xf numFmtId="164" fontId="7" fillId="8" borderId="1" xfId="2" applyNumberFormat="1" applyFont="1" applyFill="1" applyBorder="1" applyAlignment="1">
      <alignment horizontal="center" vertical="center"/>
    </xf>
    <xf numFmtId="164" fontId="7" fillId="0" borderId="0" xfId="0" applyNumberFormat="1" applyFont="1" applyFill="1" applyAlignment="1">
      <alignment vertical="center"/>
    </xf>
    <xf numFmtId="164" fontId="7" fillId="7" borderId="1" xfId="2" applyNumberFormat="1" applyFont="1" applyFill="1" applyBorder="1" applyAlignment="1">
      <alignment horizontal="center" vertical="center"/>
    </xf>
    <xf numFmtId="0" fontId="1" fillId="0" borderId="9" xfId="0" applyFont="1" applyFill="1" applyBorder="1" applyAlignment="1">
      <alignment vertical="center"/>
    </xf>
    <xf numFmtId="0" fontId="1" fillId="0" borderId="2" xfId="0" applyFont="1" applyFill="1" applyBorder="1" applyAlignment="1">
      <alignment vertical="center"/>
    </xf>
    <xf numFmtId="164" fontId="8" fillId="0" borderId="0" xfId="0" applyNumberFormat="1" applyFont="1" applyAlignment="1">
      <alignment vertical="center"/>
    </xf>
    <xf numFmtId="164" fontId="1" fillId="0" borderId="0" xfId="0" applyNumberFormat="1" applyFont="1" applyAlignment="1">
      <alignment vertical="center"/>
    </xf>
    <xf numFmtId="0" fontId="7" fillId="8"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0" borderId="3" xfId="0" applyFont="1" applyFill="1" applyBorder="1" applyAlignment="1">
      <alignment vertical="center"/>
    </xf>
    <xf numFmtId="0" fontId="0" fillId="0" borderId="8" xfId="0" applyFont="1" applyBorder="1" applyAlignment="1">
      <alignment vertical="center"/>
    </xf>
    <xf numFmtId="164" fontId="0" fillId="0" borderId="8" xfId="0" applyNumberFormat="1" applyFont="1" applyBorder="1" applyAlignment="1">
      <alignment horizontal="center" vertical="center"/>
    </xf>
    <xf numFmtId="0" fontId="54" fillId="0" borderId="0" xfId="0" quotePrefix="1" applyFont="1" applyFill="1" applyBorder="1" applyAlignment="1">
      <alignment vertical="center"/>
    </xf>
    <xf numFmtId="164" fontId="54" fillId="0" borderId="0" xfId="0" quotePrefix="1" applyNumberFormat="1" applyFont="1" applyFill="1" applyBorder="1" applyAlignment="1">
      <alignment horizontal="center" vertical="center"/>
    </xf>
    <xf numFmtId="0" fontId="66" fillId="0" borderId="0" xfId="0" applyFont="1" applyFill="1" applyAlignment="1">
      <alignment vertical="center"/>
    </xf>
    <xf numFmtId="0" fontId="50" fillId="8" borderId="1" xfId="0" applyFont="1" applyFill="1" applyBorder="1" applyAlignment="1">
      <alignment horizontal="center" vertical="center"/>
    </xf>
    <xf numFmtId="0" fontId="50" fillId="7" borderId="1" xfId="0" applyFont="1" applyFill="1" applyBorder="1" applyAlignment="1">
      <alignment horizontal="center" vertical="center"/>
    </xf>
    <xf numFmtId="166" fontId="7" fillId="0" borderId="1" xfId="2" applyNumberFormat="1" applyFont="1" applyBorder="1" applyAlignment="1">
      <alignment horizontal="center" vertical="center"/>
    </xf>
    <xf numFmtId="0" fontId="62" fillId="0" borderId="0" xfId="0" applyFont="1" applyAlignment="1">
      <alignment horizontal="center" vertical="center"/>
    </xf>
    <xf numFmtId="0" fontId="62" fillId="0" borderId="0" xfId="0" applyFont="1"/>
    <xf numFmtId="164" fontId="7" fillId="5" borderId="1" xfId="2" applyNumberFormat="1" applyFont="1" applyFill="1" applyBorder="1" applyAlignment="1">
      <alignment horizontal="center" vertical="center"/>
    </xf>
    <xf numFmtId="0" fontId="1" fillId="0" borderId="0" xfId="0" applyFont="1" applyFill="1" applyBorder="1" applyAlignment="1">
      <alignment horizontal="center" vertical="center"/>
    </xf>
    <xf numFmtId="0" fontId="7" fillId="5" borderId="1" xfId="0" applyFont="1" applyFill="1" applyBorder="1" applyAlignment="1">
      <alignment horizontal="center" vertical="center"/>
    </xf>
    <xf numFmtId="0" fontId="40" fillId="0" borderId="0" xfId="0" applyFont="1" applyFill="1" applyBorder="1" applyAlignment="1">
      <alignment horizontal="center" vertical="center" wrapText="1"/>
    </xf>
    <xf numFmtId="165" fontId="1" fillId="0" borderId="0" xfId="1" applyNumberFormat="1" applyFont="1" applyBorder="1" applyAlignment="1">
      <alignment horizontal="center" vertical="center"/>
    </xf>
    <xf numFmtId="165" fontId="0" fillId="0" borderId="0" xfId="1" applyNumberFormat="1" applyFont="1" applyBorder="1" applyAlignment="1">
      <alignment horizontal="center" vertical="center"/>
    </xf>
    <xf numFmtId="9" fontId="1" fillId="2" borderId="1" xfId="0" applyNumberFormat="1" applyFont="1" applyFill="1" applyBorder="1" applyAlignment="1">
      <alignment horizontal="center" vertical="center"/>
    </xf>
    <xf numFmtId="0" fontId="0" fillId="0" borderId="0" xfId="0" applyFont="1"/>
    <xf numFmtId="0" fontId="1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8" fillId="0" borderId="4" xfId="0" applyFont="1" applyFill="1" applyBorder="1" applyAlignment="1">
      <alignment vertical="center"/>
    </xf>
    <xf numFmtId="164" fontId="7" fillId="6" borderId="1" xfId="2" applyNumberFormat="1" applyFont="1" applyFill="1" applyBorder="1" applyAlignment="1">
      <alignment horizontal="center" vertical="center"/>
    </xf>
    <xf numFmtId="0" fontId="2" fillId="0" borderId="0" xfId="0" applyFont="1"/>
    <xf numFmtId="0" fontId="8" fillId="0" borderId="15" xfId="0" applyFont="1" applyBorder="1" applyAlignment="1">
      <alignment vertical="center"/>
    </xf>
    <xf numFmtId="0" fontId="1" fillId="0" borderId="15" xfId="0" applyFont="1" applyBorder="1" applyAlignment="1">
      <alignment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8" fillId="0" borderId="14" xfId="0" applyFont="1" applyBorder="1" applyAlignment="1">
      <alignment horizontal="center" vertical="center"/>
    </xf>
    <xf numFmtId="0" fontId="7" fillId="11" borderId="0" xfId="0" applyFont="1" applyFill="1" applyAlignment="1">
      <alignment horizontal="center" vertical="center"/>
    </xf>
    <xf numFmtId="0" fontId="45" fillId="11" borderId="0" xfId="0" applyFont="1" applyFill="1" applyAlignment="1">
      <alignment horizontal="center" vertical="center"/>
    </xf>
    <xf numFmtId="164" fontId="25" fillId="0" borderId="1" xfId="0" applyNumberFormat="1" applyFont="1" applyFill="1" applyBorder="1" applyAlignment="1">
      <alignment horizontal="center" vertical="center"/>
    </xf>
    <xf numFmtId="0" fontId="45" fillId="0" borderId="0" xfId="0" applyFont="1" applyAlignment="1">
      <alignment horizontal="center" vertical="center"/>
    </xf>
    <xf numFmtId="166" fontId="25" fillId="0" borderId="1" xfId="2" applyNumberFormat="1" applyFont="1" applyBorder="1" applyAlignment="1">
      <alignment horizontal="center" vertical="center"/>
    </xf>
    <xf numFmtId="0" fontId="2" fillId="0" borderId="13" xfId="0" applyFont="1" applyFill="1" applyBorder="1" applyAlignment="1">
      <alignment vertical="center"/>
    </xf>
    <xf numFmtId="0" fontId="37" fillId="0" borderId="0" xfId="0" applyFont="1" applyFill="1" applyBorder="1" applyAlignment="1">
      <alignment horizontal="left" vertical="center"/>
    </xf>
    <xf numFmtId="166" fontId="30" fillId="0" borderId="0" xfId="2" applyNumberFormat="1" applyFont="1" applyFill="1" applyBorder="1" applyAlignment="1">
      <alignment horizontal="center" vertical="center"/>
    </xf>
    <xf numFmtId="0" fontId="51" fillId="11" borderId="0" xfId="0" applyFont="1" applyFill="1" applyAlignment="1">
      <alignment vertical="center"/>
    </xf>
    <xf numFmtId="0" fontId="62" fillId="11" borderId="0" xfId="0" applyFont="1" applyFill="1" applyAlignment="1">
      <alignment vertical="center"/>
    </xf>
    <xf numFmtId="166" fontId="13" fillId="0" borderId="0" xfId="0" applyNumberFormat="1" applyFont="1" applyFill="1" applyBorder="1" applyAlignment="1">
      <alignment horizontal="center" vertical="center"/>
    </xf>
    <xf numFmtId="166" fontId="13" fillId="0" borderId="0" xfId="2" applyNumberFormat="1" applyFont="1" applyFill="1" applyBorder="1" applyAlignment="1">
      <alignment horizontal="center" vertical="center"/>
    </xf>
    <xf numFmtId="0" fontId="1" fillId="0" borderId="6" xfId="0" applyFont="1" applyFill="1" applyBorder="1" applyAlignment="1">
      <alignment vertical="center"/>
    </xf>
    <xf numFmtId="0" fontId="1" fillId="0" borderId="15" xfId="0" applyFont="1" applyFill="1" applyBorder="1" applyAlignment="1">
      <alignment vertical="center"/>
    </xf>
    <xf numFmtId="164" fontId="7" fillId="9" borderId="1" xfId="2" applyNumberFormat="1" applyFont="1" applyFill="1" applyBorder="1" applyAlignment="1">
      <alignment horizontal="center" vertical="center"/>
    </xf>
    <xf numFmtId="164" fontId="1" fillId="4" borderId="1" xfId="0" applyNumberFormat="1" applyFont="1" applyFill="1" applyBorder="1" applyAlignment="1">
      <alignment horizontal="center" vertical="center"/>
    </xf>
    <xf numFmtId="0" fontId="70" fillId="0" borderId="0" xfId="0" applyFont="1" applyAlignment="1">
      <alignment vertical="center"/>
    </xf>
    <xf numFmtId="0" fontId="11" fillId="7" borderId="1" xfId="0" applyFont="1" applyFill="1" applyBorder="1" applyAlignment="1">
      <alignment vertical="center"/>
    </xf>
    <xf numFmtId="0" fontId="62" fillId="0" borderId="1" xfId="0" applyFont="1" applyFill="1" applyBorder="1" applyAlignment="1">
      <alignment horizontal="center" vertical="center" wrapText="1"/>
    </xf>
    <xf numFmtId="0" fontId="62" fillId="7" borderId="1" xfId="0" applyFont="1" applyFill="1" applyBorder="1" applyAlignment="1">
      <alignment horizontal="center" vertical="center" wrapText="1"/>
    </xf>
    <xf numFmtId="0" fontId="51" fillId="8" borderId="1" xfId="0" applyFont="1" applyFill="1" applyBorder="1" applyAlignment="1">
      <alignment vertical="center"/>
    </xf>
    <xf numFmtId="0" fontId="52" fillId="7" borderId="1" xfId="0" applyFont="1" applyFill="1" applyBorder="1" applyAlignment="1">
      <alignment vertical="center"/>
    </xf>
    <xf numFmtId="0" fontId="51" fillId="0" borderId="1" xfId="0" applyFont="1" applyBorder="1" applyAlignment="1">
      <alignment vertical="center"/>
    </xf>
    <xf numFmtId="0" fontId="62" fillId="8" borderId="1" xfId="0" applyFont="1" applyFill="1" applyBorder="1" applyAlignment="1">
      <alignment horizontal="center" vertical="center" wrapText="1"/>
    </xf>
    <xf numFmtId="0" fontId="2" fillId="0" borderId="1" xfId="0" applyFont="1" applyFill="1" applyBorder="1" applyAlignment="1">
      <alignment horizontal="center" vertical="center"/>
    </xf>
    <xf numFmtId="166" fontId="25" fillId="0" borderId="1" xfId="2" applyNumberFormat="1" applyFont="1" applyFill="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Fill="1" applyBorder="1" applyAlignment="1">
      <alignment vertical="center"/>
    </xf>
    <xf numFmtId="0" fontId="25" fillId="0" borderId="13" xfId="0" applyFont="1" applyFill="1" applyBorder="1" applyAlignment="1">
      <alignment vertical="center"/>
    </xf>
    <xf numFmtId="166" fontId="25" fillId="0" borderId="13" xfId="2" applyNumberFormat="1" applyFont="1" applyFill="1" applyBorder="1" applyAlignment="1">
      <alignment horizontal="center" vertical="center"/>
    </xf>
    <xf numFmtId="0" fontId="25" fillId="0" borderId="11" xfId="0" applyFont="1" applyFill="1" applyBorder="1" applyAlignment="1">
      <alignment vertical="center"/>
    </xf>
    <xf numFmtId="166" fontId="25" fillId="0" borderId="11" xfId="2" applyNumberFormat="1" applyFont="1" applyFill="1" applyBorder="1" applyAlignment="1">
      <alignment horizontal="center" vertical="center"/>
    </xf>
    <xf numFmtId="0" fontId="25" fillId="0" borderId="0" xfId="0" applyFont="1" applyFill="1" applyBorder="1" applyAlignment="1">
      <alignment vertical="center"/>
    </xf>
    <xf numFmtId="166" fontId="25" fillId="0" borderId="0" xfId="2" applyNumberFormat="1" applyFont="1" applyFill="1" applyBorder="1" applyAlignment="1">
      <alignment horizontal="center" vertical="center"/>
    </xf>
    <xf numFmtId="0" fontId="1" fillId="0" borderId="1" xfId="0" applyFont="1" applyFill="1" applyBorder="1" applyAlignment="1">
      <alignment horizontal="center" vertical="center"/>
    </xf>
    <xf numFmtId="164" fontId="5" fillId="0" borderId="1" xfId="0" applyNumberFormat="1" applyFont="1" applyBorder="1" applyAlignment="1">
      <alignment horizontal="center" vertical="center"/>
    </xf>
    <xf numFmtId="0" fontId="62" fillId="0" borderId="1" xfId="0" applyFont="1" applyFill="1" applyBorder="1" applyAlignment="1">
      <alignment vertical="center"/>
    </xf>
    <xf numFmtId="0" fontId="1" fillId="0" borderId="3" xfId="0" applyFont="1" applyFill="1" applyBorder="1" applyAlignment="1">
      <alignment vertical="center"/>
    </xf>
    <xf numFmtId="0" fontId="2" fillId="0" borderId="8" xfId="0" applyFont="1" applyFill="1" applyBorder="1" applyAlignment="1">
      <alignment horizontal="left" vertical="center"/>
    </xf>
    <xf numFmtId="0" fontId="22" fillId="0" borderId="8" xfId="0" applyFont="1" applyFill="1" applyBorder="1" applyAlignment="1">
      <alignment horizontal="center" vertical="center"/>
    </xf>
    <xf numFmtId="164" fontId="2" fillId="0" borderId="0" xfId="0" applyNumberFormat="1" applyFont="1" applyFill="1" applyBorder="1" applyAlignment="1">
      <alignment horizontal="center" vertical="center"/>
    </xf>
    <xf numFmtId="0" fontId="58" fillId="0" borderId="1" xfId="0" applyFont="1" applyFill="1" applyBorder="1" applyAlignment="1">
      <alignment vertical="center"/>
    </xf>
    <xf numFmtId="0" fontId="58" fillId="7" borderId="1" xfId="0" applyFont="1" applyFill="1" applyBorder="1" applyAlignment="1">
      <alignment horizontal="center" vertical="center" wrapText="1"/>
    </xf>
    <xf numFmtId="0" fontId="58" fillId="8" borderId="1" xfId="0" applyFont="1" applyFill="1" applyBorder="1" applyAlignment="1">
      <alignment horizontal="center" vertical="center" wrapText="1"/>
    </xf>
    <xf numFmtId="0" fontId="1" fillId="6" borderId="1" xfId="0" applyFont="1" applyFill="1" applyBorder="1" applyAlignment="1">
      <alignment vertical="center"/>
    </xf>
    <xf numFmtId="166" fontId="22" fillId="0" borderId="1" xfId="2" applyNumberFormat="1" applyFont="1" applyFill="1" applyBorder="1" applyAlignment="1">
      <alignment horizontal="center" vertical="center"/>
    </xf>
    <xf numFmtId="164" fontId="0" fillId="0" borderId="0" xfId="0" applyNumberFormat="1" applyFont="1" applyFill="1" applyBorder="1" applyAlignment="1">
      <alignment horizontal="center" vertical="center"/>
    </xf>
    <xf numFmtId="9" fontId="8" fillId="0" borderId="0" xfId="2" applyFont="1" applyFill="1" applyBorder="1" applyAlignment="1">
      <alignment horizontal="center" vertical="center"/>
    </xf>
    <xf numFmtId="9" fontId="8" fillId="0" borderId="0" xfId="2" applyFont="1" applyAlignment="1">
      <alignment horizontal="center" vertical="center"/>
    </xf>
    <xf numFmtId="0" fontId="1" fillId="0" borderId="0" xfId="0" applyFont="1" applyBorder="1" applyAlignment="1">
      <alignment vertical="center" wrapText="1"/>
    </xf>
    <xf numFmtId="9" fontId="8" fillId="0" borderId="0" xfId="2" applyFont="1" applyBorder="1" applyAlignment="1">
      <alignment horizontal="center" vertical="center"/>
    </xf>
    <xf numFmtId="0" fontId="9" fillId="0" borderId="1" xfId="0" applyFont="1" applyFill="1" applyBorder="1" applyAlignment="1">
      <alignment horizontal="center" vertical="center" wrapText="1"/>
    </xf>
    <xf numFmtId="165" fontId="7" fillId="0" borderId="1" xfId="1" applyNumberFormat="1" applyFont="1" applyFill="1" applyBorder="1" applyAlignment="1">
      <alignment horizontal="center" vertical="center"/>
    </xf>
    <xf numFmtId="165" fontId="8" fillId="0" borderId="1" xfId="1" applyNumberFormat="1" applyFont="1" applyFill="1" applyBorder="1" applyAlignment="1">
      <alignment horizontal="center" vertical="center"/>
    </xf>
    <xf numFmtId="166" fontId="43" fillId="8" borderId="1" xfId="2" quotePrefix="1" applyNumberFormat="1" applyFont="1" applyFill="1" applyBorder="1" applyAlignment="1">
      <alignment horizontal="center" vertical="center"/>
    </xf>
    <xf numFmtId="166" fontId="43" fillId="7" borderId="1" xfId="2" quotePrefix="1" applyNumberFormat="1" applyFont="1" applyFill="1" applyBorder="1" applyAlignment="1">
      <alignment horizontal="center" vertical="center"/>
    </xf>
    <xf numFmtId="0" fontId="8" fillId="0" borderId="2" xfId="0" applyFont="1" applyBorder="1" applyAlignment="1">
      <alignment vertical="center"/>
    </xf>
    <xf numFmtId="166" fontId="0" fillId="0" borderId="0" xfId="0" applyNumberFormat="1" applyFont="1" applyAlignment="1">
      <alignment vertical="center"/>
    </xf>
    <xf numFmtId="0" fontId="1" fillId="0" borderId="0" xfId="0" applyFont="1" applyFill="1" applyBorder="1" applyAlignment="1">
      <alignment horizontal="left" vertical="center"/>
    </xf>
    <xf numFmtId="0" fontId="62" fillId="8" borderId="1" xfId="0" applyFont="1" applyFill="1" applyBorder="1" applyAlignment="1">
      <alignment horizontal="center" vertical="center"/>
    </xf>
    <xf numFmtId="0" fontId="51" fillId="0" borderId="0" xfId="0" applyFont="1" applyFill="1" applyAlignment="1">
      <alignment vertical="center"/>
    </xf>
    <xf numFmtId="0" fontId="51" fillId="7" borderId="1" xfId="0" applyFont="1" applyFill="1" applyBorder="1" applyAlignment="1">
      <alignment vertical="center"/>
    </xf>
    <xf numFmtId="9" fontId="13" fillId="0" borderId="0" xfId="2" applyFont="1" applyAlignment="1">
      <alignment vertical="center"/>
    </xf>
    <xf numFmtId="164" fontId="8" fillId="0" borderId="0" xfId="0" applyNumberFormat="1" applyFont="1" applyAlignment="1">
      <alignment horizontal="center" vertical="center"/>
    </xf>
    <xf numFmtId="169" fontId="0" fillId="0" borderId="0" xfId="0" applyNumberFormat="1" applyFont="1" applyAlignment="1">
      <alignment vertical="center"/>
    </xf>
    <xf numFmtId="10" fontId="7" fillId="0" borderId="1" xfId="0" applyNumberFormat="1" applyFont="1" applyBorder="1" applyAlignment="1">
      <alignment horizontal="center" vertical="center"/>
    </xf>
    <xf numFmtId="10" fontId="7" fillId="0" borderId="1" xfId="2" applyNumberFormat="1" applyFont="1" applyBorder="1" applyAlignment="1">
      <alignment horizontal="center" vertical="center"/>
    </xf>
    <xf numFmtId="10" fontId="0" fillId="0" borderId="0" xfId="2" applyNumberFormat="1" applyFont="1" applyAlignment="1">
      <alignment horizontal="center" vertical="center"/>
    </xf>
    <xf numFmtId="10" fontId="0" fillId="0" borderId="0" xfId="0" applyNumberFormat="1" applyFont="1" applyAlignment="1">
      <alignment horizontal="center" vertical="center"/>
    </xf>
    <xf numFmtId="166" fontId="55" fillId="7" borderId="1" xfId="2" quotePrefix="1" applyNumberFormat="1" applyFont="1" applyFill="1" applyBorder="1" applyAlignment="1">
      <alignment horizontal="center" vertical="center"/>
    </xf>
    <xf numFmtId="166" fontId="55" fillId="8" borderId="1" xfId="2" quotePrefix="1" applyNumberFormat="1" applyFont="1" applyFill="1" applyBorder="1" applyAlignment="1">
      <alignment horizontal="center" vertical="center"/>
    </xf>
    <xf numFmtId="166" fontId="13" fillId="0" borderId="0" xfId="2" applyNumberFormat="1" applyFont="1" applyAlignment="1">
      <alignment vertical="center"/>
    </xf>
    <xf numFmtId="164" fontId="54" fillId="0" borderId="0" xfId="0" applyNumberFormat="1" applyFont="1" applyAlignment="1">
      <alignment horizontal="center" vertical="center"/>
    </xf>
    <xf numFmtId="164" fontId="50" fillId="0" borderId="0" xfId="0" applyNumberFormat="1" applyFont="1" applyAlignment="1">
      <alignment horizontal="center" vertical="center"/>
    </xf>
    <xf numFmtId="164" fontId="7" fillId="0" borderId="5" xfId="0" applyNumberFormat="1" applyFont="1" applyBorder="1" applyAlignment="1">
      <alignment vertical="center"/>
    </xf>
    <xf numFmtId="164" fontId="7" fillId="0" borderId="4" xfId="0" applyNumberFormat="1" applyFont="1" applyBorder="1" applyAlignment="1">
      <alignment horizontal="center" vertical="center"/>
    </xf>
    <xf numFmtId="164" fontId="54" fillId="8" borderId="1" xfId="0" applyNumberFormat="1" applyFont="1" applyFill="1" applyBorder="1" applyAlignment="1">
      <alignment horizontal="center" vertical="center"/>
    </xf>
    <xf numFmtId="164" fontId="8" fillId="0" borderId="0" xfId="0" applyNumberFormat="1" applyFont="1" applyAlignment="1">
      <alignment horizontal="right" vertical="center"/>
    </xf>
    <xf numFmtId="164" fontId="7" fillId="0" borderId="0" xfId="0" applyNumberFormat="1" applyFont="1" applyAlignment="1">
      <alignment horizontal="center" vertical="center" wrapText="1"/>
    </xf>
    <xf numFmtId="164" fontId="1" fillId="0" borderId="14" xfId="0" applyNumberFormat="1" applyFont="1" applyBorder="1" applyAlignment="1">
      <alignment horizontal="center" vertical="center" wrapText="1"/>
    </xf>
    <xf numFmtId="164" fontId="1" fillId="0" borderId="0" xfId="0" applyNumberFormat="1" applyFont="1" applyAlignment="1">
      <alignment horizontal="center" vertical="center"/>
    </xf>
    <xf numFmtId="164" fontId="1" fillId="0" borderId="0" xfId="0" applyNumberFormat="1" applyFont="1" applyBorder="1" applyAlignment="1">
      <alignment horizontal="center" vertical="center" wrapText="1"/>
    </xf>
    <xf numFmtId="164" fontId="43" fillId="0" borderId="0" xfId="0" applyNumberFormat="1" applyFont="1" applyAlignment="1">
      <alignment horizontal="center" vertical="center"/>
    </xf>
    <xf numFmtId="164" fontId="1" fillId="0" borderId="0" xfId="0" applyNumberFormat="1" applyFont="1" applyAlignment="1">
      <alignment horizontal="center" vertical="center" wrapText="1"/>
    </xf>
    <xf numFmtId="164" fontId="1" fillId="0" borderId="15" xfId="0" applyNumberFormat="1" applyFont="1" applyBorder="1" applyAlignment="1">
      <alignment horizontal="center" vertical="center"/>
    </xf>
    <xf numFmtId="166" fontId="1" fillId="0" borderId="0" xfId="2" applyNumberFormat="1" applyFont="1" applyAlignment="1">
      <alignment horizontal="center" vertical="center"/>
    </xf>
    <xf numFmtId="164" fontId="1" fillId="0" borderId="9" xfId="0" applyNumberFormat="1" applyFont="1" applyBorder="1" applyAlignment="1">
      <alignment horizontal="center" vertical="center" wrapText="1"/>
    </xf>
    <xf numFmtId="166" fontId="43" fillId="0" borderId="0" xfId="2" applyNumberFormat="1" applyFont="1" applyAlignment="1">
      <alignment horizontal="center" vertical="center"/>
    </xf>
    <xf numFmtId="9" fontId="8" fillId="0" borderId="1" xfId="2" applyFont="1" applyBorder="1" applyAlignment="1">
      <alignment horizontal="center" vertical="center"/>
    </xf>
    <xf numFmtId="166" fontId="1" fillId="0" borderId="0" xfId="0" applyNumberFormat="1" applyFont="1" applyAlignment="1">
      <alignment horizontal="center" vertical="center"/>
    </xf>
    <xf numFmtId="166" fontId="43" fillId="7" borderId="20" xfId="2" applyNumberFormat="1" applyFont="1" applyFill="1" applyBorder="1" applyAlignment="1">
      <alignment horizontal="center" vertical="center"/>
    </xf>
    <xf numFmtId="166" fontId="43" fillId="8" borderId="16" xfId="2" applyNumberFormat="1" applyFont="1" applyFill="1" applyBorder="1" applyAlignment="1">
      <alignment horizontal="center" vertical="center"/>
    </xf>
    <xf numFmtId="166" fontId="1" fillId="0" borderId="0" xfId="2" applyNumberFormat="1" applyFont="1" applyAlignment="1">
      <alignment vertical="center"/>
    </xf>
    <xf numFmtId="166" fontId="76" fillId="0" borderId="0" xfId="2" applyNumberFormat="1" applyFont="1" applyFill="1" applyAlignment="1">
      <alignment horizontal="left" vertical="center"/>
    </xf>
    <xf numFmtId="164" fontId="77" fillId="0" borderId="0" xfId="0" applyNumberFormat="1" applyFont="1" applyFill="1" applyAlignment="1">
      <alignment horizontal="center" vertical="center"/>
    </xf>
    <xf numFmtId="164" fontId="77" fillId="0" borderId="0" xfId="0" applyNumberFormat="1" applyFont="1" applyFill="1" applyAlignment="1">
      <alignment vertical="center"/>
    </xf>
    <xf numFmtId="166" fontId="28" fillId="0" borderId="0" xfId="2" applyNumberFormat="1" applyFont="1" applyAlignment="1">
      <alignment horizontal="left" vertical="center"/>
    </xf>
    <xf numFmtId="166" fontId="28" fillId="0" borderId="0" xfId="2" applyNumberFormat="1" applyFont="1" applyAlignment="1">
      <alignment horizontal="center" vertical="center"/>
    </xf>
    <xf numFmtId="166" fontId="76" fillId="0" borderId="0" xfId="2" applyNumberFormat="1" applyFont="1" applyFill="1" applyAlignment="1">
      <alignment horizontal="center" vertical="center"/>
    </xf>
    <xf numFmtId="166" fontId="76" fillId="0" borderId="0" xfId="2" applyNumberFormat="1" applyFont="1" applyFill="1" applyAlignment="1">
      <alignment vertical="center"/>
    </xf>
    <xf numFmtId="166" fontId="76" fillId="0" borderId="0" xfId="2" applyNumberFormat="1" applyFont="1" applyAlignment="1">
      <alignment horizontal="center" vertical="center"/>
    </xf>
    <xf numFmtId="164" fontId="76" fillId="0" borderId="0" xfId="2" applyNumberFormat="1" applyFont="1" applyFill="1" applyAlignment="1">
      <alignment horizontal="center" vertical="center"/>
    </xf>
    <xf numFmtId="164" fontId="76" fillId="0" borderId="0" xfId="2" applyNumberFormat="1" applyFont="1" applyFill="1" applyAlignment="1">
      <alignment vertical="center"/>
    </xf>
    <xf numFmtId="164" fontId="76" fillId="0" borderId="0" xfId="2" applyNumberFormat="1" applyFont="1" applyAlignment="1">
      <alignment horizontal="center" vertical="center"/>
    </xf>
    <xf numFmtId="164" fontId="28" fillId="0" borderId="0" xfId="2" applyNumberFormat="1" applyFont="1" applyAlignment="1">
      <alignment horizontal="center" vertical="center"/>
    </xf>
    <xf numFmtId="164" fontId="5" fillId="0" borderId="0" xfId="2" applyNumberFormat="1" applyFont="1" applyFill="1" applyAlignment="1">
      <alignment horizontal="center" vertical="center"/>
    </xf>
    <xf numFmtId="164" fontId="1" fillId="0" borderId="0" xfId="2" applyNumberFormat="1" applyFont="1" applyAlignment="1">
      <alignment horizontal="center" vertical="center"/>
    </xf>
    <xf numFmtId="164" fontId="43" fillId="8" borderId="16" xfId="2" applyNumberFormat="1" applyFont="1" applyFill="1" applyBorder="1" applyAlignment="1">
      <alignment horizontal="center" vertical="center"/>
    </xf>
    <xf numFmtId="164" fontId="43" fillId="7" borderId="20" xfId="2" applyNumberFormat="1" applyFont="1" applyFill="1" applyBorder="1" applyAlignment="1">
      <alignment horizontal="center" vertical="center"/>
    </xf>
    <xf numFmtId="164" fontId="43" fillId="0" borderId="0" xfId="2" applyNumberFormat="1" applyFont="1" applyAlignment="1">
      <alignment horizontal="center" vertical="center"/>
    </xf>
    <xf numFmtId="0" fontId="7" fillId="17" borderId="0" xfId="0" applyFont="1" applyFill="1" applyAlignment="1">
      <alignment vertical="center"/>
    </xf>
    <xf numFmtId="0" fontId="74" fillId="16" borderId="0" xfId="0" applyFont="1" applyFill="1" applyAlignment="1">
      <alignment vertical="center"/>
    </xf>
    <xf numFmtId="0" fontId="7" fillId="19" borderId="0" xfId="0" applyFont="1" applyFill="1" applyAlignment="1">
      <alignment vertical="center"/>
    </xf>
    <xf numFmtId="0" fontId="7" fillId="19" borderId="14" xfId="0" applyFont="1" applyFill="1" applyBorder="1" applyAlignment="1">
      <alignment vertical="center"/>
    </xf>
    <xf numFmtId="0" fontId="45" fillId="19" borderId="0" xfId="0" applyFont="1" applyFill="1" applyAlignment="1">
      <alignment vertical="center"/>
    </xf>
    <xf numFmtId="0" fontId="50" fillId="16" borderId="1" xfId="0" applyFont="1" applyFill="1" applyBorder="1" applyAlignment="1">
      <alignment vertical="center"/>
    </xf>
    <xf numFmtId="0" fontId="54" fillId="16" borderId="1" xfId="0" applyFont="1" applyFill="1" applyBorder="1" applyAlignment="1">
      <alignment vertical="center"/>
    </xf>
    <xf numFmtId="0" fontId="11" fillId="16" borderId="0" xfId="0" applyFont="1" applyFill="1" applyAlignment="1">
      <alignment vertical="center"/>
    </xf>
    <xf numFmtId="0" fontId="51" fillId="16" borderId="0" xfId="0" applyFont="1" applyFill="1" applyAlignment="1">
      <alignment vertical="center"/>
    </xf>
    <xf numFmtId="0" fontId="62" fillId="16" borderId="0" xfId="0" applyFont="1" applyFill="1" applyAlignment="1">
      <alignment vertical="center"/>
    </xf>
    <xf numFmtId="166" fontId="50" fillId="17" borderId="1" xfId="2" applyNumberFormat="1" applyFont="1" applyFill="1" applyBorder="1" applyAlignment="1">
      <alignment horizontal="center" vertical="center"/>
    </xf>
    <xf numFmtId="166" fontId="54" fillId="17" borderId="1" xfId="2" applyNumberFormat="1" applyFont="1" applyFill="1" applyBorder="1" applyAlignment="1">
      <alignment horizontal="center" vertical="center"/>
    </xf>
    <xf numFmtId="166" fontId="7" fillId="19" borderId="13" xfId="2" applyNumberFormat="1" applyFont="1" applyFill="1" applyBorder="1" applyAlignment="1">
      <alignment horizontal="center" vertical="center"/>
    </xf>
    <xf numFmtId="0" fontId="7" fillId="19" borderId="0" xfId="0" applyFont="1" applyFill="1" applyBorder="1" applyAlignment="1">
      <alignment vertical="center"/>
    </xf>
    <xf numFmtId="166" fontId="16" fillId="19" borderId="9" xfId="2" applyNumberFormat="1" applyFont="1" applyFill="1" applyBorder="1" applyAlignment="1">
      <alignment horizontal="left" vertical="center"/>
    </xf>
    <xf numFmtId="0" fontId="7" fillId="19" borderId="9" xfId="0" applyFont="1" applyFill="1" applyBorder="1" applyAlignment="1">
      <alignment vertical="center"/>
    </xf>
    <xf numFmtId="166" fontId="50" fillId="16" borderId="1" xfId="2" applyNumberFormat="1" applyFont="1" applyFill="1" applyBorder="1" applyAlignment="1">
      <alignment horizontal="center" vertical="center"/>
    </xf>
    <xf numFmtId="166" fontId="50" fillId="16" borderId="1" xfId="0" applyNumberFormat="1" applyFont="1" applyFill="1" applyBorder="1" applyAlignment="1">
      <alignment horizontal="center" vertical="center"/>
    </xf>
    <xf numFmtId="166" fontId="8" fillId="19" borderId="5" xfId="2" applyNumberFormat="1" applyFont="1" applyFill="1" applyBorder="1" applyAlignment="1">
      <alignment horizontal="center" vertical="center"/>
    </xf>
    <xf numFmtId="166" fontId="8" fillId="19" borderId="0" xfId="2" applyNumberFormat="1" applyFont="1" applyFill="1" applyBorder="1" applyAlignment="1">
      <alignment horizontal="center" vertical="center"/>
    </xf>
    <xf numFmtId="0" fontId="80" fillId="17" borderId="0" xfId="0" applyFont="1" applyFill="1" applyAlignment="1">
      <alignment vertical="center"/>
    </xf>
    <xf numFmtId="166" fontId="7" fillId="19" borderId="0" xfId="2" applyNumberFormat="1" applyFont="1" applyFill="1" applyBorder="1" applyAlignment="1">
      <alignment horizontal="center" vertical="center"/>
    </xf>
    <xf numFmtId="166" fontId="8" fillId="19" borderId="13" xfId="2" applyNumberFormat="1" applyFont="1" applyFill="1" applyBorder="1" applyAlignment="1">
      <alignment horizontal="center" vertical="center"/>
    </xf>
    <xf numFmtId="166" fontId="54" fillId="19" borderId="13" xfId="2" applyNumberFormat="1" applyFont="1" applyFill="1" applyBorder="1" applyAlignment="1">
      <alignment horizontal="center" vertical="center"/>
    </xf>
    <xf numFmtId="0" fontId="72" fillId="19" borderId="0" xfId="0" applyFont="1" applyFill="1" applyAlignment="1">
      <alignment vertical="center"/>
    </xf>
    <xf numFmtId="0" fontId="50" fillId="17" borderId="1" xfId="0" applyFont="1" applyFill="1" applyBorder="1" applyAlignment="1">
      <alignment vertical="center"/>
    </xf>
    <xf numFmtId="0" fontId="8" fillId="19" borderId="6" xfId="0" applyFont="1" applyFill="1" applyBorder="1" applyAlignment="1">
      <alignment vertical="center"/>
    </xf>
    <xf numFmtId="166" fontId="27" fillId="19" borderId="9" xfId="2" applyNumberFormat="1" applyFont="1" applyFill="1" applyBorder="1" applyAlignment="1">
      <alignment horizontal="left" vertical="center"/>
    </xf>
    <xf numFmtId="0" fontId="7" fillId="17" borderId="23" xfId="0" applyFont="1" applyFill="1" applyBorder="1" applyAlignment="1">
      <alignment vertical="center"/>
    </xf>
    <xf numFmtId="0" fontId="50" fillId="16" borderId="5" xfId="0" applyFont="1" applyFill="1" applyBorder="1" applyAlignment="1">
      <alignment vertical="center"/>
    </xf>
    <xf numFmtId="0" fontId="50" fillId="17" borderId="5" xfId="0" applyFont="1" applyFill="1" applyBorder="1" applyAlignment="1">
      <alignment vertical="center"/>
    </xf>
    <xf numFmtId="0" fontId="50" fillId="17" borderId="4" xfId="0" applyFont="1" applyFill="1" applyBorder="1" applyAlignment="1">
      <alignment vertical="center"/>
    </xf>
    <xf numFmtId="0" fontId="7" fillId="19" borderId="13" xfId="0" applyFont="1" applyFill="1" applyBorder="1" applyAlignment="1">
      <alignment vertical="center"/>
    </xf>
    <xf numFmtId="0" fontId="27" fillId="19" borderId="9" xfId="0" applyFont="1" applyFill="1" applyBorder="1" applyAlignment="1">
      <alignment vertical="center"/>
    </xf>
    <xf numFmtId="0" fontId="27" fillId="19" borderId="0" xfId="0" applyFont="1" applyFill="1" applyBorder="1" applyAlignment="1">
      <alignment vertical="center"/>
    </xf>
    <xf numFmtId="167" fontId="50" fillId="16" borderId="1" xfId="0" applyNumberFormat="1" applyFont="1" applyFill="1" applyBorder="1" applyAlignment="1">
      <alignment horizontal="center" vertical="center"/>
    </xf>
    <xf numFmtId="0" fontId="0" fillId="17" borderId="0" xfId="0" applyFill="1"/>
    <xf numFmtId="0" fontId="0" fillId="14" borderId="0" xfId="0" applyFill="1"/>
    <xf numFmtId="0" fontId="81" fillId="19" borderId="0" xfId="0" applyFont="1" applyFill="1" applyBorder="1" applyAlignment="1">
      <alignment vertical="center"/>
    </xf>
    <xf numFmtId="0" fontId="82" fillId="19" borderId="0" xfId="0" applyFont="1" applyFill="1" applyBorder="1" applyAlignment="1">
      <alignment horizontal="center" vertical="center"/>
    </xf>
    <xf numFmtId="0" fontId="7" fillId="17" borderId="0" xfId="0" applyFont="1" applyFill="1" applyAlignment="1">
      <alignment horizontal="center" vertical="center"/>
    </xf>
    <xf numFmtId="0" fontId="45" fillId="17" borderId="0" xfId="0" applyFont="1" applyFill="1" applyAlignment="1">
      <alignment horizontal="center" vertical="center"/>
    </xf>
    <xf numFmtId="0" fontId="87" fillId="17" borderId="0" xfId="0" applyFont="1" applyFill="1" applyAlignment="1">
      <alignment vertical="center"/>
    </xf>
    <xf numFmtId="0" fontId="51" fillId="17" borderId="0" xfId="0" applyFont="1" applyFill="1" applyAlignment="1">
      <alignment vertical="center"/>
    </xf>
    <xf numFmtId="0" fontId="85" fillId="17" borderId="0" xfId="0" applyFont="1" applyFill="1" applyAlignment="1">
      <alignment vertical="center"/>
    </xf>
    <xf numFmtId="0" fontId="88" fillId="17" borderId="0" xfId="0" applyFont="1" applyFill="1" applyAlignment="1">
      <alignment vertical="center"/>
    </xf>
    <xf numFmtId="0" fontId="91" fillId="17" borderId="0" xfId="0" applyFont="1" applyFill="1" applyAlignment="1">
      <alignment vertical="center"/>
    </xf>
    <xf numFmtId="0" fontId="7" fillId="19" borderId="0" xfId="0" applyFont="1" applyFill="1" applyAlignment="1">
      <alignment horizontal="center" vertical="center"/>
    </xf>
    <xf numFmtId="0" fontId="45" fillId="19" borderId="0" xfId="0" applyFont="1" applyFill="1" applyAlignment="1">
      <alignment horizontal="center" vertical="center"/>
    </xf>
    <xf numFmtId="0" fontId="68" fillId="19" borderId="0" xfId="0" applyFont="1" applyFill="1" applyAlignment="1">
      <alignment horizontal="left" vertical="center"/>
    </xf>
    <xf numFmtId="164" fontId="25" fillId="19" borderId="0" xfId="0" applyNumberFormat="1" applyFont="1" applyFill="1" applyBorder="1" applyAlignment="1">
      <alignment horizontal="left" vertical="center"/>
    </xf>
    <xf numFmtId="0" fontId="8" fillId="19" borderId="0" xfId="0" applyFont="1" applyFill="1" applyAlignment="1">
      <alignment horizontal="right" vertical="center"/>
    </xf>
    <xf numFmtId="0" fontId="37" fillId="19" borderId="0" xfId="0" applyFont="1" applyFill="1" applyAlignment="1">
      <alignment horizontal="left" vertical="center"/>
    </xf>
    <xf numFmtId="0" fontId="51" fillId="19" borderId="0" xfId="0" applyFont="1" applyFill="1" applyAlignment="1">
      <alignment vertical="center"/>
    </xf>
    <xf numFmtId="164" fontId="7" fillId="19" borderId="0" xfId="0" applyNumberFormat="1" applyFont="1" applyFill="1" applyAlignment="1">
      <alignment horizontal="center" vertical="center"/>
    </xf>
    <xf numFmtId="0" fontId="7" fillId="19" borderId="8" xfId="0" applyFont="1" applyFill="1" applyBorder="1" applyAlignment="1">
      <alignment vertical="center"/>
    </xf>
    <xf numFmtId="0" fontId="37" fillId="19" borderId="0" xfId="0" applyFont="1" applyFill="1" applyBorder="1" applyAlignment="1">
      <alignment vertical="center"/>
    </xf>
    <xf numFmtId="0" fontId="8" fillId="19" borderId="8" xfId="0" applyFont="1" applyFill="1" applyBorder="1" applyAlignment="1">
      <alignment vertical="center"/>
    </xf>
    <xf numFmtId="164" fontId="25" fillId="19" borderId="8" xfId="0" applyNumberFormat="1" applyFont="1" applyFill="1" applyBorder="1" applyAlignment="1">
      <alignment horizontal="center" vertical="center"/>
    </xf>
    <xf numFmtId="0" fontId="7" fillId="19" borderId="1" xfId="0" applyFont="1" applyFill="1" applyBorder="1" applyAlignment="1">
      <alignment vertical="center"/>
    </xf>
    <xf numFmtId="164" fontId="43" fillId="17" borderId="1" xfId="0" applyNumberFormat="1" applyFont="1" applyFill="1" applyBorder="1" applyAlignment="1">
      <alignment horizontal="center" vertical="center"/>
    </xf>
    <xf numFmtId="10" fontId="43" fillId="17" borderId="1" xfId="0" applyNumberFormat="1" applyFont="1" applyFill="1" applyBorder="1" applyAlignment="1">
      <alignment horizontal="center" vertical="center"/>
    </xf>
    <xf numFmtId="9" fontId="43" fillId="17" borderId="1" xfId="0" applyNumberFormat="1" applyFont="1" applyFill="1" applyBorder="1" applyAlignment="1">
      <alignment horizontal="center" vertical="center"/>
    </xf>
    <xf numFmtId="164" fontId="50" fillId="17" borderId="1" xfId="0" applyNumberFormat="1" applyFont="1" applyFill="1" applyBorder="1" applyAlignment="1">
      <alignment horizontal="center" vertical="center"/>
    </xf>
    <xf numFmtId="0" fontId="81" fillId="19" borderId="0" xfId="0" applyFont="1" applyFill="1" applyAlignment="1">
      <alignment vertical="center"/>
    </xf>
    <xf numFmtId="164" fontId="81" fillId="19" borderId="0" xfId="0" applyNumberFormat="1" applyFont="1" applyFill="1" applyAlignment="1">
      <alignment vertical="center"/>
    </xf>
    <xf numFmtId="0" fontId="7" fillId="19" borderId="11" xfId="0" applyFont="1" applyFill="1" applyBorder="1" applyAlignment="1">
      <alignment vertical="center"/>
    </xf>
    <xf numFmtId="0" fontId="1" fillId="19" borderId="5" xfId="0" applyFont="1" applyFill="1" applyBorder="1" applyAlignment="1">
      <alignment vertical="center"/>
    </xf>
    <xf numFmtId="0" fontId="0" fillId="19" borderId="0" xfId="0" applyFill="1" applyAlignment="1">
      <alignment vertical="center"/>
    </xf>
    <xf numFmtId="0" fontId="13" fillId="19" borderId="8" xfId="0" applyFont="1" applyFill="1" applyBorder="1" applyAlignment="1">
      <alignment horizontal="center" vertical="center" wrapText="1"/>
    </xf>
    <xf numFmtId="0" fontId="1" fillId="19" borderId="8" xfId="0" applyFont="1" applyFill="1" applyBorder="1" applyAlignment="1">
      <alignment vertical="center"/>
    </xf>
    <xf numFmtId="0" fontId="0" fillId="19" borderId="8" xfId="0" applyFill="1" applyBorder="1" applyAlignment="1">
      <alignment vertical="center" wrapText="1"/>
    </xf>
    <xf numFmtId="0" fontId="0" fillId="19" borderId="8" xfId="0" applyFill="1" applyBorder="1" applyAlignment="1">
      <alignment vertical="center"/>
    </xf>
    <xf numFmtId="0" fontId="0" fillId="19" borderId="0" xfId="0" applyFill="1" applyBorder="1" applyAlignment="1">
      <alignment vertical="center"/>
    </xf>
    <xf numFmtId="0" fontId="0" fillId="19" borderId="15" xfId="0" applyFill="1" applyBorder="1" applyAlignment="1">
      <alignment vertical="center"/>
    </xf>
    <xf numFmtId="0" fontId="1" fillId="19" borderId="0" xfId="0" applyFont="1" applyFill="1" applyBorder="1" applyAlignment="1">
      <alignment vertical="center"/>
    </xf>
    <xf numFmtId="0" fontId="43" fillId="16" borderId="2" xfId="0" applyFont="1" applyFill="1" applyBorder="1" applyAlignment="1">
      <alignment horizontal="center" vertical="center" wrapText="1"/>
    </xf>
    <xf numFmtId="0" fontId="43" fillId="17" borderId="1" xfId="0" applyFont="1" applyFill="1" applyBorder="1" applyAlignment="1">
      <alignment vertical="center" wrapText="1"/>
    </xf>
    <xf numFmtId="0" fontId="7" fillId="19" borderId="8" xfId="0" applyFont="1" applyFill="1" applyBorder="1" applyAlignment="1">
      <alignment horizontal="left" vertical="center"/>
    </xf>
    <xf numFmtId="0" fontId="7" fillId="19" borderId="5" xfId="0" applyFont="1" applyFill="1" applyBorder="1" applyAlignment="1">
      <alignment vertical="center"/>
    </xf>
    <xf numFmtId="164" fontId="7" fillId="19" borderId="8" xfId="0" applyNumberFormat="1" applyFont="1" applyFill="1" applyBorder="1" applyAlignment="1">
      <alignment horizontal="center" vertical="center"/>
    </xf>
    <xf numFmtId="9" fontId="11" fillId="19" borderId="8" xfId="2" applyFont="1" applyFill="1" applyBorder="1" applyAlignment="1">
      <alignment horizontal="center" vertical="center"/>
    </xf>
    <xf numFmtId="3" fontId="7" fillId="19" borderId="8" xfId="0" applyNumberFormat="1" applyFont="1" applyFill="1" applyBorder="1" applyAlignment="1">
      <alignment horizontal="center" vertical="center"/>
    </xf>
    <xf numFmtId="0" fontId="7" fillId="17" borderId="23" xfId="0" applyFont="1" applyFill="1" applyBorder="1" applyAlignment="1">
      <alignment horizontal="center" vertical="center"/>
    </xf>
    <xf numFmtId="0" fontId="45" fillId="17" borderId="23" xfId="0" applyFont="1" applyFill="1" applyBorder="1" applyAlignment="1">
      <alignment horizontal="center" vertical="center"/>
    </xf>
    <xf numFmtId="0" fontId="97" fillId="17" borderId="0" xfId="0" applyFont="1" applyFill="1" applyAlignment="1"/>
    <xf numFmtId="0" fontId="98" fillId="17" borderId="0" xfId="0" applyFont="1" applyFill="1" applyAlignment="1">
      <alignment vertical="center"/>
    </xf>
    <xf numFmtId="0" fontId="47" fillId="19" borderId="0" xfId="0" applyFont="1" applyFill="1" applyAlignment="1">
      <alignment vertical="center"/>
    </xf>
    <xf numFmtId="0" fontId="6" fillId="19" borderId="0" xfId="0" applyFont="1" applyFill="1" applyAlignment="1">
      <alignment vertical="center"/>
    </xf>
    <xf numFmtId="0" fontId="1" fillId="19" borderId="0" xfId="0" applyFont="1" applyFill="1" applyBorder="1" applyAlignment="1">
      <alignment horizontal="center" vertical="center"/>
    </xf>
    <xf numFmtId="0" fontId="43" fillId="17" borderId="1" xfId="0" applyFont="1" applyFill="1" applyBorder="1" applyAlignment="1">
      <alignment horizontal="left" vertical="center" wrapText="1"/>
    </xf>
    <xf numFmtId="0" fontId="54" fillId="17" borderId="1" xfId="0" applyFont="1" applyFill="1" applyBorder="1" applyAlignment="1">
      <alignment vertical="center"/>
    </xf>
    <xf numFmtId="0" fontId="93" fillId="19" borderId="0" xfId="0" applyFont="1" applyFill="1" applyAlignment="1">
      <alignment horizontal="left" vertical="center" indent="1"/>
    </xf>
    <xf numFmtId="0" fontId="99" fillId="19" borderId="0" xfId="0" applyFont="1" applyFill="1" applyAlignment="1">
      <alignment vertical="center"/>
    </xf>
    <xf numFmtId="0" fontId="0" fillId="19" borderId="0" xfId="0" applyFont="1" applyFill="1" applyAlignment="1">
      <alignment vertical="center"/>
    </xf>
    <xf numFmtId="0" fontId="7" fillId="19" borderId="0" xfId="0" applyFont="1" applyFill="1"/>
    <xf numFmtId="0" fontId="1" fillId="19" borderId="0" xfId="0" applyFont="1" applyFill="1" applyAlignment="1">
      <alignment vertical="center"/>
    </xf>
    <xf numFmtId="0" fontId="13" fillId="19" borderId="0" xfId="0" applyFont="1" applyFill="1" applyAlignment="1">
      <alignment vertical="top"/>
    </xf>
    <xf numFmtId="0" fontId="84" fillId="19" borderId="0" xfId="0" applyFont="1" applyFill="1" applyBorder="1" applyAlignment="1">
      <alignment vertical="center"/>
    </xf>
    <xf numFmtId="0" fontId="97" fillId="17" borderId="0" xfId="0" applyFont="1" applyFill="1" applyAlignment="1">
      <alignment vertical="center"/>
    </xf>
    <xf numFmtId="0" fontId="78" fillId="19" borderId="7" xfId="0" applyFont="1" applyFill="1" applyBorder="1" applyAlignment="1">
      <alignment horizontal="center" vertical="center" wrapText="1"/>
    </xf>
    <xf numFmtId="0" fontId="43" fillId="17" borderId="5" xfId="0" applyFont="1" applyFill="1" applyBorder="1" applyAlignment="1">
      <alignment vertical="center"/>
    </xf>
    <xf numFmtId="0" fontId="43" fillId="17" borderId="8" xfId="0" applyFont="1" applyFill="1" applyBorder="1" applyAlignment="1">
      <alignment vertical="center"/>
    </xf>
    <xf numFmtId="9" fontId="7" fillId="14" borderId="1" xfId="2" applyFont="1" applyFill="1" applyBorder="1" applyAlignment="1">
      <alignment horizontal="center" vertical="center"/>
    </xf>
    <xf numFmtId="0" fontId="1" fillId="19" borderId="5" xfId="0" applyFont="1" applyFill="1" applyBorder="1" applyAlignment="1">
      <alignment horizontal="center" vertical="center" wrapText="1"/>
    </xf>
    <xf numFmtId="0" fontId="85" fillId="16" borderId="1" xfId="0" applyFont="1" applyFill="1" applyBorder="1" applyAlignment="1">
      <alignment horizontal="center" vertical="center"/>
    </xf>
    <xf numFmtId="0" fontId="43" fillId="17" borderId="1" xfId="0" applyFont="1" applyFill="1" applyBorder="1" applyAlignment="1">
      <alignment horizontal="left" vertical="center" wrapText="1" indent="1"/>
    </xf>
    <xf numFmtId="0" fontId="43" fillId="16" borderId="1" xfId="0" applyFont="1" applyFill="1" applyBorder="1" applyAlignment="1">
      <alignment horizontal="left" vertical="center" indent="1"/>
    </xf>
    <xf numFmtId="0" fontId="0" fillId="19" borderId="0" xfId="0" applyFill="1" applyBorder="1" applyAlignment="1">
      <alignment horizontal="center" vertical="center" wrapText="1"/>
    </xf>
    <xf numFmtId="0" fontId="1" fillId="19" borderId="13" xfId="0" applyFont="1" applyFill="1" applyBorder="1" applyAlignment="1">
      <alignment vertical="center"/>
    </xf>
    <xf numFmtId="164" fontId="7" fillId="19" borderId="13" xfId="0" applyNumberFormat="1" applyFont="1" applyFill="1" applyBorder="1" applyAlignment="1">
      <alignment horizontal="center" vertical="center"/>
    </xf>
    <xf numFmtId="9" fontId="11" fillId="19" borderId="13" xfId="2" applyFont="1" applyFill="1" applyBorder="1" applyAlignment="1">
      <alignment horizontal="center" vertical="center"/>
    </xf>
    <xf numFmtId="3" fontId="7" fillId="19" borderId="13" xfId="0" applyNumberFormat="1" applyFont="1" applyFill="1" applyBorder="1" applyAlignment="1">
      <alignment horizontal="center" vertical="center"/>
    </xf>
    <xf numFmtId="0" fontId="7" fillId="19" borderId="13" xfId="0" applyFont="1" applyFill="1" applyBorder="1" applyAlignment="1">
      <alignment horizontal="left" vertical="center"/>
    </xf>
    <xf numFmtId="0" fontId="0" fillId="19" borderId="0" xfId="0" applyFont="1" applyFill="1" applyBorder="1" applyAlignment="1">
      <alignment vertical="center"/>
    </xf>
    <xf numFmtId="0" fontId="28" fillId="19" borderId="0" xfId="0" applyFont="1" applyFill="1" applyBorder="1" applyAlignment="1">
      <alignment vertical="center"/>
    </xf>
    <xf numFmtId="0" fontId="2" fillId="19" borderId="0" xfId="0" applyFont="1" applyFill="1" applyAlignment="1">
      <alignment vertical="center"/>
    </xf>
    <xf numFmtId="0" fontId="55" fillId="17" borderId="1" xfId="0" applyFont="1" applyFill="1" applyBorder="1" applyAlignment="1">
      <alignment vertical="center"/>
    </xf>
    <xf numFmtId="0" fontId="43" fillId="17" borderId="1" xfId="0" applyFont="1" applyFill="1" applyBorder="1" applyAlignment="1">
      <alignment vertical="center"/>
    </xf>
    <xf numFmtId="9" fontId="8" fillId="19" borderId="13" xfId="0" applyNumberFormat="1" applyFont="1" applyFill="1" applyBorder="1" applyAlignment="1">
      <alignment horizontal="center" vertical="center"/>
    </xf>
    <xf numFmtId="9" fontId="8" fillId="19" borderId="10" xfId="0" applyNumberFormat="1" applyFont="1" applyFill="1" applyBorder="1" applyAlignment="1">
      <alignment horizontal="center" vertical="center"/>
    </xf>
    <xf numFmtId="0" fontId="101" fillId="17" borderId="1" xfId="0" applyFont="1" applyFill="1" applyBorder="1" applyAlignment="1">
      <alignment horizontal="center" vertical="center" wrapText="1"/>
    </xf>
    <xf numFmtId="0" fontId="54" fillId="16" borderId="1" xfId="0" applyFont="1" applyFill="1" applyBorder="1" applyAlignment="1">
      <alignment horizontal="left" vertical="center" wrapText="1"/>
    </xf>
    <xf numFmtId="0" fontId="85" fillId="17" borderId="8" xfId="0" applyFont="1" applyFill="1" applyBorder="1" applyAlignment="1">
      <alignment vertical="center"/>
    </xf>
    <xf numFmtId="0" fontId="79" fillId="19" borderId="1" xfId="0" applyFont="1" applyFill="1" applyBorder="1" applyAlignment="1">
      <alignment horizontal="center" vertical="center" wrapText="1"/>
    </xf>
    <xf numFmtId="0" fontId="8" fillId="19" borderId="0" xfId="0" applyFont="1" applyFill="1" applyAlignment="1">
      <alignment horizontal="center" vertical="center"/>
    </xf>
    <xf numFmtId="0" fontId="1" fillId="19" borderId="15" xfId="0" applyFont="1" applyFill="1" applyBorder="1" applyAlignment="1">
      <alignment horizontal="center" vertical="center" wrapText="1"/>
    </xf>
    <xf numFmtId="0" fontId="1" fillId="19" borderId="7" xfId="0" applyFont="1" applyFill="1" applyBorder="1" applyAlignment="1">
      <alignment horizontal="center" vertical="center" wrapText="1"/>
    </xf>
    <xf numFmtId="0" fontId="1" fillId="19" borderId="8" xfId="0" applyFont="1" applyFill="1" applyBorder="1" applyAlignment="1">
      <alignment vertical="center" wrapText="1"/>
    </xf>
    <xf numFmtId="166" fontId="43" fillId="17" borderId="14" xfId="2" applyNumberFormat="1" applyFont="1" applyFill="1" applyBorder="1" applyAlignment="1">
      <alignment horizontal="center" vertical="center" wrapText="1"/>
    </xf>
    <xf numFmtId="0" fontId="1" fillId="19" borderId="15" xfId="0" applyFont="1" applyFill="1" applyBorder="1" applyAlignment="1">
      <alignment vertical="center"/>
    </xf>
    <xf numFmtId="0" fontId="54" fillId="16" borderId="1" xfId="0" applyFont="1" applyFill="1" applyBorder="1" applyAlignment="1">
      <alignment horizontal="left" vertical="center"/>
    </xf>
    <xf numFmtId="0" fontId="0" fillId="19" borderId="13" xfId="0" applyFill="1" applyBorder="1" applyAlignment="1">
      <alignment vertical="center"/>
    </xf>
    <xf numFmtId="0" fontId="13" fillId="19" borderId="8" xfId="0" applyFont="1" applyFill="1" applyBorder="1" applyAlignment="1">
      <alignment vertical="center"/>
    </xf>
    <xf numFmtId="0" fontId="13" fillId="19" borderId="8" xfId="0" applyFont="1" applyFill="1" applyBorder="1" applyAlignment="1">
      <alignment horizontal="center" vertical="center"/>
    </xf>
    <xf numFmtId="0" fontId="0" fillId="19" borderId="13" xfId="0" applyFont="1" applyFill="1" applyBorder="1" applyAlignment="1">
      <alignment horizontal="center" vertical="center"/>
    </xf>
    <xf numFmtId="0" fontId="0" fillId="19" borderId="13" xfId="0" applyFont="1" applyFill="1" applyBorder="1" applyAlignment="1">
      <alignment vertical="center"/>
    </xf>
    <xf numFmtId="0" fontId="99" fillId="19" borderId="0" xfId="0" applyFont="1" applyFill="1" applyBorder="1" applyAlignment="1">
      <alignment vertical="center"/>
    </xf>
    <xf numFmtId="49" fontId="7" fillId="14" borderId="1" xfId="2" applyNumberFormat="1" applyFont="1" applyFill="1" applyBorder="1" applyAlignment="1">
      <alignment horizontal="center" vertical="center"/>
    </xf>
    <xf numFmtId="9" fontId="25" fillId="19" borderId="1" xfId="2" applyNumberFormat="1" applyFont="1" applyFill="1" applyBorder="1" applyAlignment="1">
      <alignment horizontal="center" vertical="center"/>
    </xf>
    <xf numFmtId="0" fontId="7" fillId="19" borderId="0" xfId="0" applyFont="1" applyFill="1" applyBorder="1"/>
    <xf numFmtId="9" fontId="7" fillId="19" borderId="1" xfId="2" applyFont="1" applyFill="1" applyBorder="1" applyAlignment="1">
      <alignment horizontal="center" vertical="center"/>
    </xf>
    <xf numFmtId="9" fontId="8" fillId="19" borderId="1" xfId="2" applyFont="1" applyFill="1" applyBorder="1" applyAlignment="1">
      <alignment horizontal="center" vertical="center"/>
    </xf>
    <xf numFmtId="9" fontId="7" fillId="19" borderId="5" xfId="2" applyFont="1" applyFill="1" applyBorder="1" applyAlignment="1">
      <alignment horizontal="center" vertical="center"/>
    </xf>
    <xf numFmtId="9" fontId="8" fillId="19" borderId="5" xfId="2" applyFont="1" applyFill="1" applyBorder="1" applyAlignment="1">
      <alignment horizontal="center" vertical="center"/>
    </xf>
    <xf numFmtId="166" fontId="11" fillId="14" borderId="3" xfId="2" applyNumberFormat="1" applyFont="1" applyFill="1" applyBorder="1" applyAlignment="1">
      <alignment horizontal="center" vertical="center"/>
    </xf>
    <xf numFmtId="166" fontId="11" fillId="14" borderId="1" xfId="2" applyNumberFormat="1" applyFont="1" applyFill="1" applyBorder="1" applyAlignment="1">
      <alignment horizontal="center" vertical="center"/>
    </xf>
    <xf numFmtId="166" fontId="27" fillId="19" borderId="5" xfId="2" applyNumberFormat="1" applyFont="1" applyFill="1" applyBorder="1" applyAlignment="1">
      <alignment horizontal="center" vertical="center"/>
    </xf>
    <xf numFmtId="166" fontId="8" fillId="19" borderId="2" xfId="2" applyNumberFormat="1" applyFont="1" applyFill="1" applyBorder="1" applyAlignment="1">
      <alignment horizontal="center" vertical="center"/>
    </xf>
    <xf numFmtId="166" fontId="8" fillId="19" borderId="3" xfId="2" applyNumberFormat="1" applyFont="1" applyFill="1" applyBorder="1" applyAlignment="1">
      <alignment horizontal="center" vertical="center"/>
    </xf>
    <xf numFmtId="166" fontId="8" fillId="19" borderId="14" xfId="2" applyNumberFormat="1" applyFont="1" applyFill="1" applyBorder="1" applyAlignment="1">
      <alignment horizontal="center" vertical="center"/>
    </xf>
    <xf numFmtId="0" fontId="54" fillId="19" borderId="13" xfId="0" applyFont="1" applyFill="1" applyBorder="1" applyAlignment="1">
      <alignment vertical="center"/>
    </xf>
    <xf numFmtId="0" fontId="8" fillId="18" borderId="1" xfId="0" applyFont="1" applyFill="1" applyBorder="1" applyAlignment="1">
      <alignment horizontal="center" vertical="center"/>
    </xf>
    <xf numFmtId="0" fontId="7" fillId="19" borderId="2" xfId="0" applyFont="1" applyFill="1" applyBorder="1" applyAlignment="1">
      <alignment vertical="center"/>
    </xf>
    <xf numFmtId="0" fontId="7" fillId="19" borderId="3" xfId="0" applyFont="1" applyFill="1" applyBorder="1" applyAlignment="1">
      <alignment vertical="center"/>
    </xf>
    <xf numFmtId="0" fontId="50" fillId="19" borderId="0" xfId="0" applyFont="1" applyFill="1" applyBorder="1" applyAlignment="1">
      <alignment horizontal="center" vertical="center"/>
    </xf>
    <xf numFmtId="0" fontId="7" fillId="19" borderId="7" xfId="0" applyFont="1" applyFill="1" applyBorder="1" applyAlignment="1">
      <alignment vertical="center"/>
    </xf>
    <xf numFmtId="0" fontId="67" fillId="19" borderId="0" xfId="0" applyFont="1" applyFill="1" applyAlignment="1">
      <alignment vertical="center"/>
    </xf>
    <xf numFmtId="0" fontId="95" fillId="19" borderId="0" xfId="0" applyFont="1" applyFill="1" applyAlignment="1">
      <alignment vertical="center"/>
    </xf>
    <xf numFmtId="9" fontId="50" fillId="16" borderId="1" xfId="2" applyFont="1" applyFill="1" applyBorder="1" applyAlignment="1">
      <alignment horizontal="center" vertical="center"/>
    </xf>
    <xf numFmtId="164" fontId="50" fillId="17" borderId="1" xfId="2" applyNumberFormat="1" applyFont="1" applyFill="1" applyBorder="1" applyAlignment="1">
      <alignment horizontal="center" vertical="center"/>
    </xf>
    <xf numFmtId="0" fontId="43" fillId="16" borderId="1" xfId="0" applyFont="1" applyFill="1" applyBorder="1" applyAlignment="1">
      <alignment horizontal="left" vertical="center"/>
    </xf>
    <xf numFmtId="0" fontId="1" fillId="19" borderId="0" xfId="0" applyFont="1" applyFill="1" applyAlignment="1">
      <alignment horizontal="right" vertical="center"/>
    </xf>
    <xf numFmtId="168" fontId="1" fillId="19" borderId="0" xfId="1" applyNumberFormat="1" applyFont="1" applyFill="1" applyAlignment="1">
      <alignment horizontal="center" vertical="center"/>
    </xf>
    <xf numFmtId="0" fontId="7" fillId="19" borderId="0" xfId="0" applyFont="1" applyFill="1" applyAlignment="1">
      <alignment horizontal="right" vertical="center"/>
    </xf>
    <xf numFmtId="168" fontId="7" fillId="19" borderId="0" xfId="1" applyNumberFormat="1" applyFont="1" applyFill="1" applyAlignment="1">
      <alignment horizontal="center" vertical="center"/>
    </xf>
    <xf numFmtId="0" fontId="91" fillId="19" borderId="0" xfId="0" applyFont="1" applyFill="1" applyAlignment="1">
      <alignment vertical="center"/>
    </xf>
    <xf numFmtId="0" fontId="85" fillId="19" borderId="0" xfId="0" applyFont="1" applyFill="1" applyAlignment="1">
      <alignment vertical="center"/>
    </xf>
    <xf numFmtId="0" fontId="88" fillId="19" borderId="0" xfId="0" applyFont="1" applyFill="1" applyAlignment="1">
      <alignment vertical="center"/>
    </xf>
    <xf numFmtId="0" fontId="8" fillId="19" borderId="0" xfId="0" applyFont="1" applyFill="1" applyAlignment="1">
      <alignment vertical="center"/>
    </xf>
    <xf numFmtId="164" fontId="54" fillId="16" borderId="1" xfId="2" applyNumberFormat="1" applyFont="1" applyFill="1" applyBorder="1" applyAlignment="1">
      <alignment horizontal="center" vertical="center"/>
    </xf>
    <xf numFmtId="0" fontId="65" fillId="19" borderId="11" xfId="0" applyFont="1" applyFill="1" applyBorder="1" applyAlignment="1">
      <alignment horizontal="center" vertical="center" wrapText="1"/>
    </xf>
    <xf numFmtId="0" fontId="65" fillId="19" borderId="8" xfId="0" applyFont="1" applyFill="1" applyBorder="1" applyAlignment="1">
      <alignment horizontal="center" vertical="center" wrapText="1"/>
    </xf>
    <xf numFmtId="164" fontId="7" fillId="19" borderId="8" xfId="2" applyNumberFormat="1" applyFont="1" applyFill="1" applyBorder="1" applyAlignment="1">
      <alignment horizontal="center" vertical="center"/>
    </xf>
    <xf numFmtId="0" fontId="8" fillId="19" borderId="0" xfId="0" applyFont="1" applyFill="1" applyBorder="1" applyAlignment="1">
      <alignment vertical="center"/>
    </xf>
    <xf numFmtId="164" fontId="54" fillId="16" borderId="1" xfId="0" applyNumberFormat="1" applyFont="1" applyFill="1" applyBorder="1" applyAlignment="1">
      <alignment horizontal="center" vertical="center"/>
    </xf>
    <xf numFmtId="0" fontId="95" fillId="19" borderId="0" xfId="0" applyFont="1" applyFill="1" applyAlignment="1">
      <alignment horizontal="right" vertical="center"/>
    </xf>
    <xf numFmtId="0" fontId="103" fillId="19" borderId="0" xfId="0" applyFont="1" applyFill="1" applyBorder="1" applyAlignment="1">
      <alignment vertical="center"/>
    </xf>
    <xf numFmtId="0" fontId="104" fillId="19" borderId="0" xfId="0" applyFont="1" applyFill="1" applyAlignment="1">
      <alignment vertical="center"/>
    </xf>
    <xf numFmtId="0" fontId="105" fillId="19" borderId="0" xfId="0" applyFont="1" applyFill="1" applyAlignment="1">
      <alignment vertical="center"/>
    </xf>
    <xf numFmtId="0" fontId="106" fillId="19" borderId="0" xfId="0" applyFont="1" applyFill="1" applyAlignment="1">
      <alignment vertical="center"/>
    </xf>
    <xf numFmtId="0" fontId="105" fillId="19" borderId="0" xfId="0" applyFont="1" applyFill="1" applyBorder="1" applyAlignment="1">
      <alignment vertical="center"/>
    </xf>
    <xf numFmtId="0" fontId="85" fillId="17" borderId="23" xfId="0" applyFont="1" applyFill="1" applyBorder="1" applyAlignment="1">
      <alignment vertical="center"/>
    </xf>
    <xf numFmtId="0" fontId="85" fillId="19" borderId="23" xfId="0" applyFont="1" applyFill="1" applyBorder="1" applyAlignment="1">
      <alignment vertical="center"/>
    </xf>
    <xf numFmtId="0" fontId="107" fillId="17" borderId="0" xfId="0" applyFont="1" applyFill="1" applyAlignment="1"/>
    <xf numFmtId="0" fontId="7" fillId="19" borderId="0" xfId="0" applyFont="1" applyFill="1" applyBorder="1" applyAlignment="1">
      <alignment horizontal="center" vertical="center"/>
    </xf>
    <xf numFmtId="0" fontId="40" fillId="19" borderId="0" xfId="0" applyFont="1" applyFill="1" applyBorder="1" applyAlignment="1">
      <alignment horizontal="center" vertical="center" wrapText="1"/>
    </xf>
    <xf numFmtId="0" fontId="9" fillId="19" borderId="0" xfId="0" applyFont="1" applyFill="1" applyBorder="1" applyAlignment="1">
      <alignment horizontal="center" vertical="center" wrapText="1"/>
    </xf>
    <xf numFmtId="0" fontId="7" fillId="19" borderId="0" xfId="0" applyFont="1" applyFill="1" applyBorder="1" applyAlignment="1">
      <alignment horizontal="left" vertical="center"/>
    </xf>
    <xf numFmtId="9" fontId="8" fillId="19" borderId="0" xfId="0" applyNumberFormat="1" applyFont="1" applyFill="1" applyBorder="1" applyAlignment="1">
      <alignment horizontal="center" vertical="center"/>
    </xf>
    <xf numFmtId="0" fontId="108" fillId="17" borderId="1" xfId="0" applyFont="1" applyFill="1" applyBorder="1" applyAlignment="1">
      <alignment horizontal="center" vertical="center" wrapText="1"/>
    </xf>
    <xf numFmtId="0" fontId="43" fillId="17" borderId="5" xfId="0" applyFont="1" applyFill="1" applyBorder="1" applyAlignment="1">
      <alignment horizontal="left" vertical="center"/>
    </xf>
    <xf numFmtId="0" fontId="89" fillId="17" borderId="23" xfId="0" applyFont="1" applyFill="1" applyBorder="1" applyAlignment="1">
      <alignment vertical="top"/>
    </xf>
    <xf numFmtId="0" fontId="97" fillId="17" borderId="23" xfId="0" applyFont="1" applyFill="1" applyBorder="1" applyAlignment="1">
      <alignment vertical="center"/>
    </xf>
    <xf numFmtId="0" fontId="109" fillId="17" borderId="23" xfId="0" applyFont="1" applyFill="1" applyBorder="1" applyAlignment="1">
      <alignment vertical="top"/>
    </xf>
    <xf numFmtId="0" fontId="110" fillId="19" borderId="0" xfId="0" applyFont="1" applyFill="1" applyAlignment="1">
      <alignment vertical="center"/>
    </xf>
    <xf numFmtId="0" fontId="103" fillId="19" borderId="0" xfId="0" applyFont="1" applyFill="1" applyAlignment="1">
      <alignment horizontal="center" vertical="center"/>
    </xf>
    <xf numFmtId="166" fontId="104" fillId="19" borderId="0" xfId="2" applyNumberFormat="1" applyFont="1" applyFill="1" applyAlignment="1">
      <alignment horizontal="center" vertical="center"/>
    </xf>
    <xf numFmtId="9" fontId="104" fillId="19" borderId="0" xfId="2" applyFont="1" applyFill="1" applyAlignment="1">
      <alignment vertical="center"/>
    </xf>
    <xf numFmtId="9" fontId="104" fillId="19" borderId="0" xfId="0" applyNumberFormat="1" applyFont="1" applyFill="1" applyAlignment="1">
      <alignment vertical="center"/>
    </xf>
    <xf numFmtId="0" fontId="104" fillId="19" borderId="0" xfId="0" applyFont="1" applyFill="1" applyBorder="1" applyAlignment="1">
      <alignment vertical="center"/>
    </xf>
    <xf numFmtId="165" fontId="8" fillId="19" borderId="0" xfId="1" applyNumberFormat="1" applyFont="1" applyFill="1" applyBorder="1" applyAlignment="1">
      <alignment horizontal="center" vertical="center"/>
    </xf>
    <xf numFmtId="165" fontId="7" fillId="19" borderId="0" xfId="1" applyNumberFormat="1" applyFont="1" applyFill="1" applyBorder="1" applyAlignment="1">
      <alignment horizontal="center" vertical="center"/>
    </xf>
    <xf numFmtId="0" fontId="8" fillId="19" borderId="0" xfId="0" applyFont="1" applyFill="1" applyBorder="1" applyAlignment="1">
      <alignment horizontal="center" vertical="center"/>
    </xf>
    <xf numFmtId="0" fontId="7" fillId="19" borderId="0" xfId="0" applyFont="1" applyFill="1" applyBorder="1" applyAlignment="1">
      <alignment horizontal="right" vertical="center"/>
    </xf>
    <xf numFmtId="0" fontId="111" fillId="17" borderId="0" xfId="0" applyFont="1" applyFill="1" applyAlignment="1">
      <alignment vertical="center"/>
    </xf>
    <xf numFmtId="0" fontId="111" fillId="17" borderId="0" xfId="0" applyFont="1" applyFill="1" applyAlignment="1"/>
    <xf numFmtId="9" fontId="54" fillId="16" borderId="3" xfId="2" applyFont="1" applyFill="1" applyBorder="1" applyAlignment="1">
      <alignment horizontal="center" vertical="center"/>
    </xf>
    <xf numFmtId="0" fontId="101" fillId="17" borderId="2" xfId="0" applyFont="1" applyFill="1" applyBorder="1" applyAlignment="1">
      <alignment horizontal="center" vertical="center" wrapText="1"/>
    </xf>
    <xf numFmtId="0" fontId="112" fillId="17" borderId="23" xfId="0" applyFont="1" applyFill="1" applyBorder="1" applyAlignment="1">
      <alignment vertical="top"/>
    </xf>
    <xf numFmtId="0" fontId="7" fillId="19" borderId="0" xfId="0" applyFont="1" applyFill="1" applyBorder="1" applyAlignment="1">
      <alignment horizontal="center" vertical="center" wrapText="1"/>
    </xf>
    <xf numFmtId="0" fontId="2" fillId="19" borderId="0" xfId="0" applyFont="1" applyFill="1"/>
    <xf numFmtId="0" fontId="1" fillId="19" borderId="0" xfId="0" applyFont="1" applyFill="1"/>
    <xf numFmtId="0" fontId="0" fillId="19" borderId="0" xfId="0" applyFill="1"/>
    <xf numFmtId="0" fontId="36" fillId="19" borderId="0" xfId="0" applyFont="1" applyFill="1" applyAlignment="1">
      <alignment vertical="center"/>
    </xf>
    <xf numFmtId="0" fontId="1" fillId="17" borderId="0" xfId="0" applyFont="1" applyFill="1" applyAlignment="1">
      <alignment vertical="center"/>
    </xf>
    <xf numFmtId="0" fontId="43" fillId="17" borderId="0" xfId="0" applyFont="1" applyFill="1" applyAlignment="1">
      <alignment vertical="center"/>
    </xf>
    <xf numFmtId="0" fontId="114" fillId="17" borderId="0" xfId="0" applyFont="1" applyFill="1" applyAlignment="1">
      <alignment vertical="center"/>
    </xf>
    <xf numFmtId="0" fontId="8" fillId="19" borderId="8" xfId="0" applyFont="1" applyFill="1" applyBorder="1" applyAlignment="1">
      <alignment vertical="center" wrapText="1"/>
    </xf>
    <xf numFmtId="0" fontId="6" fillId="19" borderId="11" xfId="0" applyFont="1" applyFill="1" applyBorder="1" applyAlignment="1">
      <alignment vertical="center"/>
    </xf>
    <xf numFmtId="0" fontId="1" fillId="19" borderId="11" xfId="0" applyFont="1" applyFill="1" applyBorder="1" applyAlignment="1">
      <alignment vertical="center"/>
    </xf>
    <xf numFmtId="0" fontId="0" fillId="19" borderId="11" xfId="0" applyFill="1" applyBorder="1" applyAlignment="1">
      <alignment vertical="center"/>
    </xf>
    <xf numFmtId="0" fontId="43" fillId="17" borderId="23" xfId="0" applyFont="1" applyFill="1" applyBorder="1" applyAlignment="1">
      <alignment vertical="center"/>
    </xf>
    <xf numFmtId="0" fontId="115" fillId="19" borderId="11" xfId="0" applyFont="1" applyFill="1" applyBorder="1" applyAlignment="1">
      <alignment vertical="center"/>
    </xf>
    <xf numFmtId="0" fontId="70" fillId="19" borderId="11" xfId="0" applyFont="1" applyFill="1" applyBorder="1" applyAlignment="1">
      <alignment vertical="center"/>
    </xf>
    <xf numFmtId="0" fontId="5" fillId="19" borderId="11" xfId="0" applyFont="1" applyFill="1" applyBorder="1" applyAlignment="1">
      <alignment vertical="center"/>
    </xf>
    <xf numFmtId="166" fontId="27" fillId="19" borderId="0" xfId="2" applyNumberFormat="1" applyFont="1" applyFill="1" applyBorder="1" applyAlignment="1">
      <alignment horizontal="center" vertical="center"/>
    </xf>
    <xf numFmtId="166" fontId="25" fillId="19" borderId="0" xfId="2" applyNumberFormat="1" applyFont="1" applyFill="1" applyBorder="1" applyAlignment="1">
      <alignment horizontal="center" vertical="center" wrapText="1"/>
    </xf>
    <xf numFmtId="9" fontId="0" fillId="19" borderId="0" xfId="0" applyNumberFormat="1" applyFill="1" applyBorder="1" applyAlignment="1">
      <alignment vertical="center"/>
    </xf>
    <xf numFmtId="9" fontId="5" fillId="19" borderId="0" xfId="0" applyNumberFormat="1" applyFont="1" applyFill="1" applyBorder="1" applyAlignment="1">
      <alignment vertical="center"/>
    </xf>
    <xf numFmtId="0" fontId="97" fillId="17" borderId="0" xfId="0" applyFont="1" applyFill="1" applyAlignment="1">
      <alignment horizontal="center" vertical="center"/>
    </xf>
    <xf numFmtId="0" fontId="111" fillId="17" borderId="0" xfId="0" applyFont="1" applyFill="1" applyAlignment="1">
      <alignment horizontal="center" vertical="center"/>
    </xf>
    <xf numFmtId="0" fontId="0" fillId="19" borderId="0" xfId="0" applyFill="1" applyAlignment="1">
      <alignment horizontal="center" vertical="center"/>
    </xf>
    <xf numFmtId="9" fontId="7" fillId="19" borderId="0" xfId="2" applyFont="1" applyFill="1" applyAlignment="1">
      <alignment horizontal="center" vertical="center"/>
    </xf>
    <xf numFmtId="9" fontId="7" fillId="19" borderId="0" xfId="2" applyFont="1" applyFill="1" applyBorder="1" applyAlignment="1">
      <alignment horizontal="center" vertical="center"/>
    </xf>
    <xf numFmtId="164" fontId="7" fillId="19" borderId="0" xfId="0" applyNumberFormat="1" applyFont="1" applyFill="1" applyBorder="1" applyAlignment="1">
      <alignment horizontal="center" vertical="center"/>
    </xf>
    <xf numFmtId="164" fontId="54" fillId="17" borderId="1" xfId="0" applyNumberFormat="1" applyFont="1" applyFill="1" applyBorder="1" applyAlignment="1">
      <alignment horizontal="center" vertical="center"/>
    </xf>
    <xf numFmtId="166" fontId="7" fillId="19" borderId="0" xfId="0" applyNumberFormat="1" applyFont="1" applyFill="1" applyBorder="1" applyAlignment="1">
      <alignment horizontal="center" vertical="center"/>
    </xf>
    <xf numFmtId="0" fontId="8" fillId="19" borderId="3" xfId="0" applyFont="1" applyFill="1" applyBorder="1" applyAlignment="1">
      <alignment horizontal="center" vertical="center"/>
    </xf>
    <xf numFmtId="0" fontId="85" fillId="19" borderId="0" xfId="0" applyFont="1" applyFill="1" applyAlignment="1">
      <alignment horizontal="center" vertical="center"/>
    </xf>
    <xf numFmtId="0" fontId="50" fillId="17" borderId="24" xfId="0" applyFont="1" applyFill="1" applyBorder="1" applyAlignment="1">
      <alignment vertical="center"/>
    </xf>
    <xf numFmtId="0" fontId="50" fillId="17" borderId="25" xfId="0" applyFont="1" applyFill="1" applyBorder="1" applyAlignment="1">
      <alignment vertical="center"/>
    </xf>
    <xf numFmtId="0" fontId="50" fillId="17" borderId="26" xfId="0" applyFont="1" applyFill="1" applyBorder="1" applyAlignment="1">
      <alignment vertical="center"/>
    </xf>
    <xf numFmtId="0" fontId="1" fillId="19" borderId="27" xfId="0" applyFont="1" applyFill="1" applyBorder="1" applyAlignment="1">
      <alignment vertical="center"/>
    </xf>
    <xf numFmtId="0" fontId="50" fillId="17" borderId="28" xfId="0" applyFont="1" applyFill="1" applyBorder="1" applyAlignment="1">
      <alignment vertical="center"/>
    </xf>
    <xf numFmtId="0" fontId="50" fillId="17" borderId="29" xfId="0" applyFont="1" applyFill="1" applyBorder="1" applyAlignment="1">
      <alignment vertical="center"/>
    </xf>
    <xf numFmtId="0" fontId="50" fillId="17" borderId="30" xfId="0" applyFont="1" applyFill="1" applyBorder="1" applyAlignment="1">
      <alignment vertical="center"/>
    </xf>
    <xf numFmtId="0" fontId="54" fillId="17" borderId="28" xfId="0" applyFont="1" applyFill="1" applyBorder="1" applyAlignment="1">
      <alignment vertical="center"/>
    </xf>
    <xf numFmtId="0" fontId="54" fillId="17" borderId="29" xfId="0" applyFont="1" applyFill="1" applyBorder="1" applyAlignment="1">
      <alignment vertical="center"/>
    </xf>
    <xf numFmtId="0" fontId="54" fillId="17" borderId="30" xfId="0" applyFont="1" applyFill="1" applyBorder="1" applyAlignment="1">
      <alignment vertical="center"/>
    </xf>
    <xf numFmtId="0" fontId="31" fillId="19" borderId="0" xfId="0" applyFont="1" applyFill="1" applyAlignment="1">
      <alignment vertical="center"/>
    </xf>
    <xf numFmtId="166" fontId="0" fillId="19" borderId="0" xfId="2" applyNumberFormat="1" applyFont="1" applyFill="1" applyAlignment="1">
      <alignment vertical="center"/>
    </xf>
    <xf numFmtId="166" fontId="0" fillId="19" borderId="0" xfId="0" applyNumberFormat="1" applyFill="1" applyAlignment="1">
      <alignment vertical="center"/>
    </xf>
    <xf numFmtId="164" fontId="0" fillId="19" borderId="0" xfId="0" applyNumberFormat="1" applyFill="1" applyAlignment="1">
      <alignment horizontal="center" vertical="center"/>
    </xf>
    <xf numFmtId="0" fontId="116" fillId="19" borderId="0" xfId="0" applyFont="1" applyFill="1" applyAlignment="1">
      <alignment vertical="center"/>
    </xf>
    <xf numFmtId="9" fontId="1" fillId="19" borderId="0" xfId="2" applyFont="1" applyFill="1" applyBorder="1" applyAlignment="1">
      <alignment horizontal="center" vertical="center"/>
    </xf>
    <xf numFmtId="0" fontId="1" fillId="19" borderId="0" xfId="0" quotePrefix="1" applyFont="1" applyFill="1" applyAlignment="1">
      <alignment horizontal="center" vertical="center"/>
    </xf>
    <xf numFmtId="0" fontId="8" fillId="19" borderId="0" xfId="0" quotePrefix="1" applyFont="1" applyFill="1" applyAlignment="1">
      <alignment horizontal="center" vertical="center"/>
    </xf>
    <xf numFmtId="164" fontId="8" fillId="19" borderId="0" xfId="0" quotePrefix="1" applyNumberFormat="1" applyFont="1" applyFill="1" applyAlignment="1">
      <alignment horizontal="center" vertical="center"/>
    </xf>
    <xf numFmtId="164" fontId="1" fillId="19" borderId="0" xfId="0" quotePrefix="1" applyNumberFormat="1" applyFont="1" applyFill="1" applyAlignment="1">
      <alignment horizontal="center" vertical="center"/>
    </xf>
    <xf numFmtId="0" fontId="8" fillId="19" borderId="0" xfId="0" quotePrefix="1" applyFont="1" applyFill="1" applyBorder="1" applyAlignment="1">
      <alignment vertical="center"/>
    </xf>
    <xf numFmtId="164" fontId="8" fillId="19" borderId="0" xfId="0" applyNumberFormat="1" applyFont="1" applyFill="1" applyBorder="1" applyAlignment="1">
      <alignment horizontal="center" vertical="center"/>
    </xf>
    <xf numFmtId="164" fontId="7" fillId="19" borderId="0" xfId="0" applyNumberFormat="1" applyFont="1" applyFill="1" applyAlignment="1">
      <alignment vertical="center"/>
    </xf>
    <xf numFmtId="164" fontId="7" fillId="19" borderId="13" xfId="0" applyNumberFormat="1" applyFont="1" applyFill="1" applyBorder="1" applyAlignment="1">
      <alignment horizontal="center" vertical="center" wrapText="1"/>
    </xf>
    <xf numFmtId="166" fontId="7" fillId="19" borderId="13" xfId="0" applyNumberFormat="1" applyFont="1" applyFill="1" applyBorder="1" applyAlignment="1">
      <alignment vertical="center"/>
    </xf>
    <xf numFmtId="164" fontId="7" fillId="19" borderId="0" xfId="2" applyNumberFormat="1" applyFont="1" applyFill="1" applyBorder="1" applyAlignment="1">
      <alignment horizontal="center" vertical="center"/>
    </xf>
    <xf numFmtId="0" fontId="7" fillId="19" borderId="0" xfId="0" quotePrefix="1" applyFont="1" applyFill="1" applyAlignment="1">
      <alignment horizontal="center" vertical="center"/>
    </xf>
    <xf numFmtId="164" fontId="7" fillId="19" borderId="0" xfId="0" quotePrefix="1" applyNumberFormat="1" applyFont="1" applyFill="1" applyAlignment="1">
      <alignment horizontal="center" vertical="center"/>
    </xf>
    <xf numFmtId="0" fontId="98" fillId="19" borderId="0" xfId="0" applyFont="1" applyFill="1" applyAlignment="1">
      <alignment vertical="center"/>
    </xf>
    <xf numFmtId="0" fontId="98" fillId="17" borderId="0" xfId="0" applyFont="1" applyFill="1" applyAlignment="1">
      <alignment horizontal="center" vertical="center"/>
    </xf>
    <xf numFmtId="0" fontId="117" fillId="17" borderId="0" xfId="0" applyFont="1" applyFill="1"/>
    <xf numFmtId="9" fontId="100" fillId="17" borderId="1" xfId="0" applyNumberFormat="1" applyFont="1" applyFill="1" applyBorder="1" applyAlignment="1">
      <alignment horizontal="center" vertical="center"/>
    </xf>
    <xf numFmtId="9" fontId="117" fillId="16" borderId="1" xfId="0" applyNumberFormat="1" applyFont="1" applyFill="1" applyBorder="1" applyAlignment="1">
      <alignment horizontal="center" vertical="center"/>
    </xf>
    <xf numFmtId="0" fontId="117" fillId="19" borderId="0" xfId="0" applyFont="1" applyFill="1" applyAlignment="1">
      <alignment horizontal="center" vertical="center"/>
    </xf>
    <xf numFmtId="0" fontId="98" fillId="19" borderId="0" xfId="0" applyFont="1" applyFill="1" applyAlignment="1">
      <alignment horizontal="center" vertical="center"/>
    </xf>
    <xf numFmtId="9" fontId="94" fillId="16" borderId="1" xfId="0" applyNumberFormat="1" applyFont="1" applyFill="1" applyBorder="1" applyAlignment="1">
      <alignment horizontal="center" vertical="center"/>
    </xf>
    <xf numFmtId="0" fontId="109" fillId="17" borderId="23" xfId="0" applyFont="1" applyFill="1" applyBorder="1" applyAlignment="1">
      <alignment horizontal="left" vertical="top" indent="2"/>
    </xf>
    <xf numFmtId="0" fontId="98" fillId="17" borderId="23" xfId="0" applyFont="1" applyFill="1" applyBorder="1" applyAlignment="1">
      <alignment vertical="center"/>
    </xf>
    <xf numFmtId="0" fontId="98" fillId="17" borderId="23" xfId="0" applyFont="1" applyFill="1" applyBorder="1" applyAlignment="1">
      <alignment horizontal="center" vertical="center"/>
    </xf>
    <xf numFmtId="0" fontId="119" fillId="19" borderId="0" xfId="0" applyFont="1" applyFill="1" applyAlignment="1">
      <alignment vertical="center"/>
    </xf>
    <xf numFmtId="0" fontId="86" fillId="17" borderId="23" xfId="0" applyFont="1" applyFill="1" applyBorder="1" applyAlignment="1">
      <alignment vertical="center"/>
    </xf>
    <xf numFmtId="0" fontId="97" fillId="17" borderId="23" xfId="0" applyFont="1" applyFill="1" applyBorder="1" applyAlignment="1">
      <alignment horizontal="center" vertical="center"/>
    </xf>
    <xf numFmtId="0" fontId="102" fillId="17" borderId="23" xfId="0" applyFont="1" applyFill="1" applyBorder="1"/>
    <xf numFmtId="9" fontId="43" fillId="16" borderId="1" xfId="0" applyNumberFormat="1" applyFont="1" applyFill="1" applyBorder="1" applyAlignment="1">
      <alignment horizontal="center" vertical="center"/>
    </xf>
    <xf numFmtId="9" fontId="54" fillId="16" borderId="1" xfId="0" applyNumberFormat="1" applyFont="1" applyFill="1" applyBorder="1" applyAlignment="1">
      <alignment horizontal="center" vertical="center"/>
    </xf>
    <xf numFmtId="9" fontId="50" fillId="16" borderId="1" xfId="0" applyNumberFormat="1" applyFont="1" applyFill="1" applyBorder="1" applyAlignment="1">
      <alignment horizontal="center" vertical="center"/>
    </xf>
    <xf numFmtId="164" fontId="74" fillId="17" borderId="0" xfId="0" applyNumberFormat="1" applyFont="1" applyFill="1" applyAlignment="1">
      <alignment horizontal="center" vertical="center"/>
    </xf>
    <xf numFmtId="164" fontId="85" fillId="17" borderId="0" xfId="0" applyNumberFormat="1" applyFont="1" applyFill="1" applyAlignment="1">
      <alignment horizontal="center" vertical="center"/>
    </xf>
    <xf numFmtId="164" fontId="85" fillId="17" borderId="0" xfId="0" applyNumberFormat="1" applyFont="1" applyFill="1" applyAlignment="1">
      <alignment vertical="center"/>
    </xf>
    <xf numFmtId="164" fontId="43" fillId="17" borderId="1" xfId="0" applyNumberFormat="1" applyFont="1" applyFill="1" applyBorder="1" applyAlignment="1">
      <alignment horizontal="center" vertical="center" wrapText="1"/>
    </xf>
    <xf numFmtId="164" fontId="7" fillId="0" borderId="31" xfId="0" applyNumberFormat="1" applyFont="1" applyBorder="1" applyAlignment="1">
      <alignment horizontal="center" vertical="center"/>
    </xf>
    <xf numFmtId="164" fontId="7" fillId="0" borderId="31" xfId="0" applyNumberFormat="1" applyFont="1" applyBorder="1" applyAlignment="1">
      <alignment vertical="center"/>
    </xf>
    <xf numFmtId="164" fontId="83" fillId="17" borderId="0" xfId="0" applyNumberFormat="1" applyFont="1" applyFill="1" applyAlignment="1">
      <alignment horizontal="center" vertical="center"/>
    </xf>
    <xf numFmtId="164" fontId="111" fillId="17" borderId="0" xfId="0" applyNumberFormat="1" applyFont="1" applyFill="1" applyAlignment="1">
      <alignment horizontal="center" vertical="center"/>
    </xf>
    <xf numFmtId="164" fontId="111" fillId="17" borderId="0" xfId="0" applyNumberFormat="1" applyFont="1" applyFill="1" applyAlignment="1">
      <alignment vertical="center"/>
    </xf>
    <xf numFmtId="164" fontId="7" fillId="0" borderId="0" xfId="0" applyNumberFormat="1" applyFont="1" applyBorder="1" applyAlignment="1">
      <alignment vertical="center"/>
    </xf>
    <xf numFmtId="164" fontId="1" fillId="0" borderId="0" xfId="0" applyNumberFormat="1" applyFont="1" applyAlignment="1"/>
    <xf numFmtId="164" fontId="85" fillId="17" borderId="23" xfId="0" applyNumberFormat="1" applyFont="1" applyFill="1" applyBorder="1" applyAlignment="1">
      <alignment horizontal="center" vertical="center"/>
    </xf>
    <xf numFmtId="164" fontId="85" fillId="17" borderId="23" xfId="0" applyNumberFormat="1" applyFont="1" applyFill="1" applyBorder="1" applyAlignment="1">
      <alignment vertical="center"/>
    </xf>
    <xf numFmtId="164" fontId="54" fillId="17" borderId="23" xfId="0" applyNumberFormat="1" applyFont="1" applyFill="1" applyBorder="1" applyAlignment="1">
      <alignment vertical="center"/>
    </xf>
    <xf numFmtId="164" fontId="112" fillId="17" borderId="23" xfId="0" applyNumberFormat="1" applyFont="1" applyFill="1" applyBorder="1" applyAlignment="1">
      <alignment horizontal="left" vertical="top" indent="2"/>
    </xf>
    <xf numFmtId="0" fontId="1" fillId="17" borderId="0" xfId="0" applyFont="1" applyFill="1" applyBorder="1" applyAlignment="1">
      <alignment vertical="center"/>
    </xf>
    <xf numFmtId="0" fontId="1" fillId="17" borderId="0" xfId="0" applyFont="1" applyFill="1" applyAlignment="1">
      <alignment horizontal="center" vertical="center"/>
    </xf>
    <xf numFmtId="0" fontId="1" fillId="17" borderId="0" xfId="0" applyFont="1" applyFill="1" applyBorder="1" applyAlignment="1">
      <alignment horizontal="center" vertical="center"/>
    </xf>
    <xf numFmtId="0" fontId="62" fillId="17" borderId="0" xfId="0" applyFont="1" applyFill="1" applyAlignment="1"/>
    <xf numFmtId="0" fontId="62" fillId="17" borderId="0" xfId="0" applyFont="1" applyFill="1" applyBorder="1" applyAlignment="1"/>
    <xf numFmtId="0" fontId="62" fillId="17" borderId="0" xfId="0" applyFont="1" applyFill="1" applyAlignment="1">
      <alignment horizontal="center"/>
    </xf>
    <xf numFmtId="0" fontId="62" fillId="17" borderId="0" xfId="0" applyFont="1" applyFill="1" applyBorder="1" applyAlignment="1">
      <alignment horizontal="center"/>
    </xf>
    <xf numFmtId="0" fontId="100" fillId="17" borderId="1" xfId="0" applyFont="1" applyFill="1" applyBorder="1" applyAlignment="1">
      <alignment vertical="center"/>
    </xf>
    <xf numFmtId="0" fontId="121" fillId="16" borderId="1" xfId="0" applyFont="1" applyFill="1" applyBorder="1" applyAlignment="1">
      <alignment vertical="center"/>
    </xf>
    <xf numFmtId="0" fontId="100" fillId="16" borderId="1" xfId="0" applyFont="1" applyFill="1" applyBorder="1" applyAlignment="1">
      <alignment horizontal="center" vertical="center"/>
    </xf>
    <xf numFmtId="9" fontId="100" fillId="16" borderId="1" xfId="2" applyFont="1" applyFill="1" applyBorder="1" applyAlignment="1">
      <alignment horizontal="center" vertical="center"/>
    </xf>
    <xf numFmtId="0" fontId="8" fillId="14" borderId="0" xfId="0" applyFont="1" applyFill="1" applyBorder="1" applyAlignment="1">
      <alignment vertical="center"/>
    </xf>
    <xf numFmtId="0" fontId="1" fillId="14" borderId="0" xfId="0" applyFont="1" applyFill="1" applyBorder="1" applyAlignment="1">
      <alignment vertical="center"/>
    </xf>
    <xf numFmtId="0" fontId="8" fillId="14" borderId="0" xfId="0" applyFont="1" applyFill="1" applyBorder="1" applyAlignment="1">
      <alignment horizontal="center" vertical="center"/>
    </xf>
    <xf numFmtId="0" fontId="1" fillId="14" borderId="0" xfId="0" applyFont="1" applyFill="1" applyBorder="1" applyAlignment="1">
      <alignment horizontal="center" vertical="center"/>
    </xf>
    <xf numFmtId="0" fontId="8" fillId="14" borderId="0" xfId="0" applyFont="1" applyFill="1" applyAlignment="1">
      <alignment horizontal="center" vertical="center"/>
    </xf>
    <xf numFmtId="0" fontId="94" fillId="17" borderId="1" xfId="0" applyFont="1" applyFill="1" applyBorder="1" applyAlignment="1">
      <alignment vertical="center"/>
    </xf>
    <xf numFmtId="0" fontId="124" fillId="16" borderId="1" xfId="0" applyFont="1" applyFill="1" applyBorder="1" applyAlignment="1">
      <alignment vertical="center"/>
    </xf>
    <xf numFmtId="0" fontId="94" fillId="0" borderId="0" xfId="0" applyFont="1" applyFill="1" applyBorder="1" applyAlignment="1">
      <alignment horizontal="center" vertical="center"/>
    </xf>
    <xf numFmtId="0" fontId="1" fillId="17" borderId="23" xfId="0" applyFont="1" applyFill="1" applyBorder="1" applyAlignment="1">
      <alignment vertical="center"/>
    </xf>
    <xf numFmtId="0" fontId="1" fillId="17" borderId="23" xfId="0" applyFont="1" applyFill="1" applyBorder="1" applyAlignment="1">
      <alignment horizontal="center" vertical="center"/>
    </xf>
    <xf numFmtId="0" fontId="128" fillId="19" borderId="11" xfId="0" applyFont="1" applyFill="1" applyBorder="1" applyAlignment="1">
      <alignment horizontal="right" vertical="center" indent="1"/>
    </xf>
    <xf numFmtId="0" fontId="129" fillId="19" borderId="11" xfId="0" applyFont="1" applyFill="1" applyBorder="1" applyAlignment="1">
      <alignment horizontal="left" vertical="center" indent="1"/>
    </xf>
    <xf numFmtId="0" fontId="50" fillId="16" borderId="1" xfId="0" applyFont="1" applyFill="1" applyBorder="1" applyAlignment="1">
      <alignment horizontal="center" vertical="center" wrapText="1"/>
    </xf>
    <xf numFmtId="167" fontId="8" fillId="21" borderId="1" xfId="0" applyNumberFormat="1" applyFont="1" applyFill="1" applyBorder="1" applyAlignment="1">
      <alignment horizontal="center" vertical="center"/>
    </xf>
    <xf numFmtId="166" fontId="8" fillId="21" borderId="1" xfId="2" applyNumberFormat="1" applyFont="1" applyFill="1" applyBorder="1" applyAlignment="1">
      <alignment horizontal="center" vertical="center"/>
    </xf>
    <xf numFmtId="0" fontId="50" fillId="17" borderId="7" xfId="0" applyFont="1" applyFill="1" applyBorder="1" applyAlignment="1">
      <alignment vertical="center"/>
    </xf>
    <xf numFmtId="0" fontId="7" fillId="19" borderId="5" xfId="0" applyFont="1" applyFill="1" applyBorder="1" applyAlignment="1">
      <alignment horizontal="left" vertical="center"/>
    </xf>
    <xf numFmtId="0" fontId="7" fillId="19" borderId="4" xfId="0" applyFont="1" applyFill="1" applyBorder="1" applyAlignment="1">
      <alignment horizontal="left" vertical="center"/>
    </xf>
    <xf numFmtId="166" fontId="43" fillId="19" borderId="5" xfId="2" applyNumberFormat="1" applyFont="1" applyFill="1" applyBorder="1" applyAlignment="1">
      <alignment horizontal="center" vertical="center" wrapText="1"/>
    </xf>
    <xf numFmtId="166" fontId="43" fillId="19" borderId="4" xfId="2" applyNumberFormat="1" applyFont="1" applyFill="1" applyBorder="1" applyAlignment="1">
      <alignment horizontal="center" vertical="center" wrapText="1"/>
    </xf>
    <xf numFmtId="0" fontId="115" fillId="19" borderId="11" xfId="0" applyFont="1" applyFill="1" applyBorder="1" applyAlignment="1">
      <alignment horizontal="left" vertical="center"/>
    </xf>
    <xf numFmtId="165" fontId="43" fillId="16" borderId="1" xfId="0" applyNumberFormat="1" applyFont="1" applyFill="1" applyBorder="1" applyAlignment="1">
      <alignment horizontal="center" vertical="center"/>
    </xf>
    <xf numFmtId="166" fontId="28" fillId="0" borderId="1" xfId="2" applyNumberFormat="1" applyFont="1" applyBorder="1" applyAlignment="1">
      <alignment horizontal="center" vertical="center"/>
    </xf>
    <xf numFmtId="0" fontId="85" fillId="17" borderId="0" xfId="0" applyFont="1" applyFill="1"/>
    <xf numFmtId="0" fontId="55" fillId="17" borderId="0" xfId="0" applyFont="1" applyFill="1"/>
    <xf numFmtId="0" fontId="43" fillId="17" borderId="0" xfId="0" applyFont="1" applyFill="1"/>
    <xf numFmtId="0" fontId="0" fillId="17" borderId="0" xfId="0" applyFill="1" applyAlignment="1">
      <alignment horizontal="center"/>
    </xf>
    <xf numFmtId="0" fontId="1" fillId="19" borderId="0" xfId="0" applyFont="1" applyFill="1" applyBorder="1" applyAlignment="1">
      <alignment vertical="center" wrapText="1"/>
    </xf>
    <xf numFmtId="0" fontId="78" fillId="19" borderId="11" xfId="0" applyFont="1" applyFill="1" applyBorder="1" applyAlignment="1">
      <alignment horizontal="center" vertical="center" wrapText="1"/>
    </xf>
    <xf numFmtId="0" fontId="54" fillId="21" borderId="1" xfId="0" applyFont="1" applyFill="1" applyBorder="1" applyAlignment="1">
      <alignment vertical="center"/>
    </xf>
    <xf numFmtId="0" fontId="130" fillId="19" borderId="0" xfId="0" applyFont="1" applyFill="1" applyAlignment="1">
      <alignment vertical="center"/>
    </xf>
    <xf numFmtId="164" fontId="43" fillId="23" borderId="1" xfId="0" applyNumberFormat="1" applyFont="1" applyFill="1" applyBorder="1" applyAlignment="1">
      <alignment horizontal="center" vertical="center" wrapText="1"/>
    </xf>
    <xf numFmtId="164" fontId="50" fillId="23" borderId="1" xfId="0" applyNumberFormat="1" applyFont="1" applyFill="1" applyBorder="1" applyAlignment="1">
      <alignment horizontal="center" vertical="center" wrapText="1"/>
    </xf>
    <xf numFmtId="164" fontId="7" fillId="0" borderId="14" xfId="0" applyNumberFormat="1" applyFont="1" applyBorder="1" applyAlignment="1">
      <alignment horizontal="center" vertical="center"/>
    </xf>
    <xf numFmtId="164" fontId="7" fillId="0" borderId="14" xfId="0" applyNumberFormat="1" applyFont="1" applyBorder="1" applyAlignment="1">
      <alignment horizontal="center" vertical="center" wrapText="1"/>
    </xf>
    <xf numFmtId="0" fontId="131" fillId="17" borderId="0" xfId="0" applyFont="1" applyFill="1" applyAlignment="1">
      <alignment horizontal="left" indent="2"/>
    </xf>
    <xf numFmtId="0" fontId="131" fillId="17" borderId="0" xfId="0" applyFont="1" applyFill="1" applyAlignment="1">
      <alignment horizontal="left"/>
    </xf>
    <xf numFmtId="0" fontId="109" fillId="17" borderId="23" xfId="0" applyFont="1" applyFill="1" applyBorder="1" applyAlignment="1">
      <alignment horizontal="left" vertical="top"/>
    </xf>
    <xf numFmtId="0" fontId="89" fillId="17" borderId="23" xfId="0" applyFont="1" applyFill="1" applyBorder="1" applyAlignment="1">
      <alignment vertical="top" wrapText="1"/>
    </xf>
    <xf numFmtId="164" fontId="131" fillId="17" borderId="0" xfId="0" applyNumberFormat="1" applyFont="1" applyFill="1" applyAlignment="1"/>
    <xf numFmtId="0" fontId="131" fillId="17" borderId="0" xfId="0" applyFont="1" applyFill="1" applyAlignment="1"/>
    <xf numFmtId="0" fontId="90" fillId="17" borderId="23" xfId="0" applyFont="1" applyFill="1" applyBorder="1" applyAlignment="1"/>
    <xf numFmtId="164" fontId="7" fillId="0" borderId="8" xfId="0" applyNumberFormat="1" applyFont="1" applyBorder="1" applyAlignment="1">
      <alignment horizontal="center" vertical="center"/>
    </xf>
    <xf numFmtId="164" fontId="8" fillId="0" borderId="5" xfId="0" applyNumberFormat="1" applyFont="1" applyBorder="1" applyAlignment="1">
      <alignment vertical="center"/>
    </xf>
    <xf numFmtId="166" fontId="8" fillId="15" borderId="1" xfId="2" applyNumberFormat="1" applyFont="1" applyFill="1" applyBorder="1" applyAlignment="1">
      <alignment horizontal="center" vertical="center"/>
    </xf>
    <xf numFmtId="164" fontId="43" fillId="7" borderId="0" xfId="2" applyNumberFormat="1" applyFont="1" applyFill="1" applyBorder="1" applyAlignment="1">
      <alignment horizontal="center" vertical="center"/>
    </xf>
    <xf numFmtId="164" fontId="1" fillId="0" borderId="0" xfId="2" applyNumberFormat="1" applyFont="1" applyBorder="1" applyAlignment="1">
      <alignment horizontal="center" vertical="center"/>
    </xf>
    <xf numFmtId="164" fontId="1" fillId="0" borderId="0" xfId="0" applyNumberFormat="1" applyFont="1" applyAlignment="1">
      <alignment horizontal="left" vertical="center"/>
    </xf>
    <xf numFmtId="164" fontId="50" fillId="17" borderId="1" xfId="0" applyNumberFormat="1" applyFont="1" applyFill="1" applyBorder="1" applyAlignment="1">
      <alignment horizontal="center" vertical="center" wrapText="1"/>
    </xf>
    <xf numFmtId="166" fontId="7" fillId="0" borderId="1" xfId="2" applyNumberFormat="1" applyFont="1" applyBorder="1" applyAlignment="1">
      <alignment horizontal="center" vertical="center" wrapText="1"/>
    </xf>
    <xf numFmtId="0" fontId="4" fillId="0" borderId="0" xfId="0" applyFont="1"/>
    <xf numFmtId="164" fontId="13" fillId="0" borderId="0" xfId="0" applyNumberFormat="1" applyFont="1" applyFill="1" applyAlignment="1">
      <alignment horizontal="center" vertical="center"/>
    </xf>
    <xf numFmtId="164" fontId="8" fillId="0" borderId="14" xfId="0" applyNumberFormat="1" applyFont="1" applyBorder="1" applyAlignment="1">
      <alignment horizontal="center" vertical="center" wrapText="1"/>
    </xf>
    <xf numFmtId="164" fontId="25" fillId="24" borderId="1" xfId="0" applyNumberFormat="1" applyFont="1" applyFill="1" applyBorder="1" applyAlignment="1">
      <alignment horizontal="center" vertical="center" wrapText="1"/>
    </xf>
    <xf numFmtId="164" fontId="28" fillId="0" borderId="31" xfId="0" applyNumberFormat="1" applyFont="1" applyBorder="1" applyAlignment="1">
      <alignment horizontal="right"/>
    </xf>
    <xf numFmtId="164" fontId="10" fillId="0" borderId="0" xfId="0" applyNumberFormat="1" applyFont="1" applyBorder="1" applyAlignment="1">
      <alignment vertical="center"/>
    </xf>
    <xf numFmtId="0" fontId="4" fillId="19" borderId="0" xfId="0" applyFont="1" applyFill="1" applyAlignment="1">
      <alignment vertical="center"/>
    </xf>
    <xf numFmtId="0" fontId="7" fillId="25" borderId="0" xfId="0" applyFont="1" applyFill="1" applyAlignment="1">
      <alignment vertical="center"/>
    </xf>
    <xf numFmtId="9" fontId="8" fillId="25" borderId="1" xfId="2" applyFont="1" applyFill="1" applyBorder="1" applyAlignment="1">
      <alignment horizontal="center" vertical="center"/>
    </xf>
    <xf numFmtId="0" fontId="8" fillId="25" borderId="0" xfId="0" applyFont="1" applyFill="1" applyAlignment="1">
      <alignment vertical="center"/>
    </xf>
    <xf numFmtId="0" fontId="100" fillId="17" borderId="1" xfId="0" applyFont="1" applyFill="1" applyBorder="1" applyAlignment="1">
      <alignment horizontal="center" vertical="center"/>
    </xf>
    <xf numFmtId="0" fontId="100" fillId="0" borderId="0" xfId="0" applyFont="1" applyBorder="1" applyAlignment="1">
      <alignment horizontal="center" vertical="center"/>
    </xf>
    <xf numFmtId="164" fontId="37" fillId="19" borderId="0" xfId="0" applyNumberFormat="1" applyFont="1" applyFill="1" applyBorder="1" applyAlignment="1">
      <alignment vertical="center"/>
    </xf>
    <xf numFmtId="0" fontId="6" fillId="19" borderId="0" xfId="0" quotePrefix="1" applyFont="1" applyFill="1" applyAlignment="1">
      <alignment horizontal="center" vertical="center"/>
    </xf>
    <xf numFmtId="164" fontId="6" fillId="19" borderId="0" xfId="0" quotePrefix="1" applyNumberFormat="1" applyFont="1" applyFill="1" applyAlignment="1">
      <alignment horizontal="center" vertical="center"/>
    </xf>
    <xf numFmtId="0" fontId="6" fillId="19" borderId="0" xfId="0" applyFont="1" applyFill="1" applyAlignment="1">
      <alignment horizontal="center" vertical="center"/>
    </xf>
    <xf numFmtId="164" fontId="6" fillId="19" borderId="0" xfId="0" applyNumberFormat="1" applyFont="1" applyFill="1" applyBorder="1" applyAlignment="1">
      <alignment horizontal="center" vertical="center"/>
    </xf>
    <xf numFmtId="9" fontId="6" fillId="19" borderId="0" xfId="2" applyFont="1" applyFill="1" applyBorder="1" applyAlignment="1">
      <alignment horizontal="center" vertical="center"/>
    </xf>
    <xf numFmtId="0" fontId="6" fillId="19" borderId="0" xfId="0" applyFont="1" applyFill="1" applyBorder="1" applyAlignment="1">
      <alignment vertical="center"/>
    </xf>
    <xf numFmtId="164" fontId="6" fillId="19" borderId="0" xfId="0" applyNumberFormat="1" applyFont="1" applyFill="1" applyAlignment="1">
      <alignment horizontal="center" vertical="center"/>
    </xf>
    <xf numFmtId="0" fontId="8" fillId="19" borderId="0" xfId="0" quotePrefix="1" applyFont="1" applyFill="1" applyAlignment="1">
      <alignment horizontal="left" vertical="center"/>
    </xf>
    <xf numFmtId="0" fontId="70" fillId="19" borderId="11" xfId="0" applyFont="1" applyFill="1" applyBorder="1" applyAlignment="1">
      <alignment horizontal="left" vertical="center"/>
    </xf>
    <xf numFmtId="0" fontId="43" fillId="17" borderId="4" xfId="0" applyFont="1" applyFill="1" applyBorder="1" applyAlignment="1">
      <alignment horizontal="right" vertical="center"/>
    </xf>
    <xf numFmtId="164" fontId="133" fillId="0" borderId="31" xfId="0" applyNumberFormat="1" applyFont="1" applyBorder="1" applyAlignment="1">
      <alignment horizontal="left"/>
    </xf>
    <xf numFmtId="9" fontId="100" fillId="21" borderId="1" xfId="0" applyNumberFormat="1" applyFont="1" applyFill="1" applyBorder="1" applyAlignment="1">
      <alignment horizontal="center" vertical="center"/>
    </xf>
    <xf numFmtId="0" fontId="0" fillId="17" borderId="0" xfId="0" applyFill="1" applyBorder="1" applyAlignment="1">
      <alignment horizontal="center"/>
    </xf>
    <xf numFmtId="0" fontId="43" fillId="17" borderId="0" xfId="0" applyFont="1" applyFill="1" applyAlignment="1">
      <alignment horizontal="left" vertical="top" indent="1"/>
    </xf>
    <xf numFmtId="0" fontId="0" fillId="17" borderId="0" xfId="0" applyFill="1" applyProtection="1">
      <protection locked="0"/>
    </xf>
    <xf numFmtId="0" fontId="89" fillId="17" borderId="0" xfId="0" applyFont="1" applyFill="1" applyAlignment="1">
      <alignment vertical="top"/>
    </xf>
    <xf numFmtId="0" fontId="136" fillId="17" borderId="0" xfId="0" applyFont="1" applyFill="1"/>
    <xf numFmtId="0" fontId="4" fillId="17" borderId="0" xfId="0" applyFont="1" applyFill="1"/>
    <xf numFmtId="0" fontId="138" fillId="0" borderId="0" xfId="0" applyFont="1"/>
    <xf numFmtId="0" fontId="7" fillId="19" borderId="0" xfId="0" applyFont="1" applyFill="1" applyAlignment="1" applyProtection="1">
      <alignment vertical="center"/>
      <protection locked="0"/>
    </xf>
    <xf numFmtId="170" fontId="25" fillId="14" borderId="1" xfId="0" applyNumberFormat="1" applyFont="1" applyFill="1" applyBorder="1" applyAlignment="1" applyProtection="1">
      <alignment horizontal="center" vertical="center"/>
      <protection locked="0"/>
    </xf>
    <xf numFmtId="164" fontId="7" fillId="14" borderId="1" xfId="2" applyNumberFormat="1" applyFont="1" applyFill="1" applyBorder="1" applyAlignment="1" applyProtection="1">
      <alignment horizontal="center" vertical="center"/>
      <protection locked="0"/>
    </xf>
    <xf numFmtId="10" fontId="7" fillId="14" borderId="1" xfId="2" applyNumberFormat="1" applyFont="1" applyFill="1" applyBorder="1" applyAlignment="1" applyProtection="1">
      <alignment horizontal="center" vertical="center"/>
      <protection locked="0"/>
    </xf>
    <xf numFmtId="166" fontId="8" fillId="14" borderId="1" xfId="2" applyNumberFormat="1" applyFont="1" applyFill="1" applyBorder="1" applyAlignment="1" applyProtection="1">
      <alignment horizontal="center" vertical="center"/>
      <protection locked="0"/>
    </xf>
    <xf numFmtId="167" fontId="8" fillId="14" borderId="1" xfId="0" applyNumberFormat="1" applyFont="1" applyFill="1" applyBorder="1" applyAlignment="1" applyProtection="1">
      <alignment horizontal="center" vertical="center"/>
      <protection locked="0"/>
    </xf>
    <xf numFmtId="164" fontId="25" fillId="14" borderId="1" xfId="0" applyNumberFormat="1" applyFont="1" applyFill="1" applyBorder="1" applyAlignment="1" applyProtection="1">
      <alignment horizontal="left" vertical="center"/>
      <protection locked="0"/>
    </xf>
    <xf numFmtId="164" fontId="25" fillId="14" borderId="1" xfId="0" applyNumberFormat="1" applyFont="1" applyFill="1" applyBorder="1" applyAlignment="1" applyProtection="1">
      <alignment horizontal="center" vertical="center"/>
      <protection locked="0"/>
    </xf>
    <xf numFmtId="0" fontId="7" fillId="14" borderId="1" xfId="0" applyFont="1" applyFill="1" applyBorder="1" applyAlignment="1" applyProtection="1">
      <alignment vertical="center"/>
      <protection locked="0"/>
    </xf>
    <xf numFmtId="10" fontId="25" fillId="14" borderId="1" xfId="2" applyNumberFormat="1" applyFont="1" applyFill="1" applyBorder="1" applyAlignment="1" applyProtection="1">
      <alignment horizontal="center" vertical="center"/>
      <protection locked="0"/>
    </xf>
    <xf numFmtId="167" fontId="13" fillId="14" borderId="1" xfId="0" applyNumberFormat="1" applyFont="1" applyFill="1" applyBorder="1" applyAlignment="1" applyProtection="1">
      <alignment horizontal="center" vertical="center"/>
      <protection locked="0"/>
    </xf>
    <xf numFmtId="0" fontId="12" fillId="14" borderId="1" xfId="0" applyFont="1" applyFill="1" applyBorder="1" applyAlignment="1" applyProtection="1">
      <alignment horizontal="center" vertical="center" wrapText="1"/>
      <protection locked="0"/>
    </xf>
    <xf numFmtId="0" fontId="9" fillId="14" borderId="1" xfId="0" applyFont="1" applyFill="1" applyBorder="1" applyAlignment="1" applyProtection="1">
      <alignment horizontal="center" vertical="center" wrapText="1"/>
      <protection locked="0"/>
    </xf>
    <xf numFmtId="0" fontId="8" fillId="0" borderId="5" xfId="0" applyFont="1" applyFill="1" applyBorder="1" applyAlignment="1" applyProtection="1">
      <alignment vertical="center"/>
      <protection locked="0"/>
    </xf>
    <xf numFmtId="0" fontId="8" fillId="0" borderId="8" xfId="0" applyFont="1" applyFill="1" applyBorder="1" applyAlignment="1" applyProtection="1">
      <alignment vertical="center"/>
      <protection locked="0"/>
    </xf>
    <xf numFmtId="0" fontId="7" fillId="0" borderId="8" xfId="0" applyFont="1" applyFill="1" applyBorder="1" applyAlignment="1" applyProtection="1">
      <alignment vertical="center"/>
      <protection locked="0"/>
    </xf>
    <xf numFmtId="9" fontId="25" fillId="14" borderId="1" xfId="0" applyNumberFormat="1" applyFont="1" applyFill="1" applyBorder="1" applyAlignment="1" applyProtection="1">
      <alignment horizontal="center" vertical="center"/>
      <protection locked="0"/>
    </xf>
    <xf numFmtId="9" fontId="8" fillId="14" borderId="1" xfId="0" applyNumberFormat="1" applyFont="1" applyFill="1" applyBorder="1" applyAlignment="1" applyProtection="1">
      <alignment horizontal="center" vertical="center"/>
      <protection locked="0"/>
    </xf>
    <xf numFmtId="0" fontId="7" fillId="14" borderId="1" xfId="0" applyFont="1" applyFill="1" applyBorder="1" applyAlignment="1" applyProtection="1">
      <alignment horizontal="left" vertical="center" indent="1"/>
      <protection locked="0"/>
    </xf>
    <xf numFmtId="9" fontId="7" fillId="14" borderId="1" xfId="2" applyFont="1" applyFill="1" applyBorder="1" applyAlignment="1" applyProtection="1">
      <alignment horizontal="center" vertical="center"/>
      <protection locked="0"/>
    </xf>
    <xf numFmtId="164" fontId="7" fillId="14" borderId="1" xfId="0" applyNumberFormat="1" applyFont="1" applyFill="1" applyBorder="1" applyAlignment="1" applyProtection="1">
      <alignment horizontal="center" vertical="center"/>
      <protection locked="0"/>
    </xf>
    <xf numFmtId="9" fontId="11" fillId="14" borderId="1" xfId="2" applyFont="1" applyFill="1" applyBorder="1" applyAlignment="1" applyProtection="1">
      <alignment horizontal="center" vertical="center"/>
      <protection locked="0"/>
    </xf>
    <xf numFmtId="164" fontId="7" fillId="14" borderId="1" xfId="0" applyNumberFormat="1" applyFont="1" applyFill="1" applyBorder="1" applyAlignment="1" applyProtection="1">
      <alignment horizontal="center" vertical="center" wrapText="1"/>
      <protection locked="0"/>
    </xf>
    <xf numFmtId="0" fontId="7" fillId="20" borderId="1" xfId="0" applyFont="1" applyFill="1" applyBorder="1" applyAlignment="1" applyProtection="1">
      <alignment horizontal="center" vertical="center"/>
      <protection locked="0"/>
    </xf>
    <xf numFmtId="164" fontId="7" fillId="20" borderId="1" xfId="0" applyNumberFormat="1" applyFont="1" applyFill="1" applyBorder="1" applyAlignment="1" applyProtection="1">
      <alignment horizontal="center" vertical="center"/>
      <protection locked="0"/>
    </xf>
    <xf numFmtId="9" fontId="8" fillId="14" borderId="5" xfId="2" applyFont="1" applyFill="1" applyBorder="1" applyAlignment="1" applyProtection="1">
      <alignment horizontal="center" vertical="center"/>
      <protection locked="0"/>
    </xf>
    <xf numFmtId="49" fontId="7" fillId="14" borderId="1" xfId="2" applyNumberFormat="1" applyFont="1" applyFill="1" applyBorder="1" applyAlignment="1" applyProtection="1">
      <alignment horizontal="center" vertical="center"/>
      <protection locked="0"/>
    </xf>
    <xf numFmtId="166" fontId="11" fillId="14" borderId="1" xfId="2" applyNumberFormat="1" applyFont="1" applyFill="1" applyBorder="1" applyAlignment="1" applyProtection="1">
      <alignment horizontal="center" vertical="center"/>
      <protection locked="0"/>
    </xf>
    <xf numFmtId="166" fontId="11" fillId="14" borderId="3" xfId="2" applyNumberFormat="1" applyFont="1" applyFill="1" applyBorder="1" applyAlignment="1" applyProtection="1">
      <alignment horizontal="center" vertical="center"/>
      <protection locked="0"/>
    </xf>
    <xf numFmtId="0" fontId="47" fillId="19" borderId="0" xfId="0" applyFont="1" applyFill="1" applyAlignment="1" applyProtection="1">
      <alignment vertical="center"/>
      <protection locked="0"/>
    </xf>
    <xf numFmtId="0" fontId="7" fillId="20" borderId="1" xfId="0" applyFont="1" applyFill="1" applyBorder="1" applyAlignment="1" applyProtection="1">
      <alignment vertical="center"/>
      <protection locked="0"/>
    </xf>
    <xf numFmtId="9" fontId="7" fillId="0" borderId="1" xfId="2" applyFont="1" applyFill="1" applyBorder="1" applyAlignment="1" applyProtection="1">
      <alignment horizontal="center" vertical="center"/>
      <protection locked="0"/>
    </xf>
    <xf numFmtId="164" fontId="54" fillId="7" borderId="1" xfId="0" applyNumberFormat="1" applyFont="1" applyFill="1" applyBorder="1" applyAlignment="1" applyProtection="1">
      <alignment horizontal="center" vertical="center"/>
      <protection locked="0"/>
    </xf>
    <xf numFmtId="0" fontId="0" fillId="19" borderId="0" xfId="0" applyFill="1" applyAlignment="1" applyProtection="1">
      <alignment vertical="center"/>
      <protection locked="0"/>
    </xf>
    <xf numFmtId="164" fontId="50" fillId="17" borderId="1" xfId="2" applyNumberFormat="1" applyFont="1" applyFill="1" applyBorder="1" applyAlignment="1" applyProtection="1">
      <alignment horizontal="center" vertical="center"/>
      <protection locked="0"/>
    </xf>
    <xf numFmtId="0" fontId="7" fillId="22" borderId="1" xfId="0" applyFont="1" applyFill="1" applyBorder="1" applyAlignment="1" applyProtection="1">
      <alignment vertical="center" wrapText="1"/>
      <protection locked="0"/>
    </xf>
    <xf numFmtId="0" fontId="7" fillId="20" borderId="1" xfId="0" applyFont="1" applyFill="1" applyBorder="1" applyAlignment="1" applyProtection="1">
      <alignment vertical="center" wrapText="1"/>
      <protection locked="0"/>
    </xf>
    <xf numFmtId="0" fontId="9" fillId="20" borderId="5" xfId="0" applyFont="1" applyFill="1" applyBorder="1" applyAlignment="1" applyProtection="1">
      <alignment horizontal="left" vertical="center"/>
      <protection locked="0"/>
    </xf>
    <xf numFmtId="0" fontId="9" fillId="20" borderId="8" xfId="0" applyFont="1" applyFill="1" applyBorder="1" applyAlignment="1" applyProtection="1">
      <alignment horizontal="center" vertical="center" wrapText="1"/>
      <protection locked="0"/>
    </xf>
    <xf numFmtId="0" fontId="9" fillId="20" borderId="4"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left" vertical="center" wrapText="1"/>
      <protection locked="0"/>
    </xf>
    <xf numFmtId="0" fontId="11" fillId="0" borderId="4" xfId="0" applyFont="1" applyFill="1" applyBorder="1" applyAlignment="1" applyProtection="1">
      <alignment vertical="center"/>
      <protection locked="0"/>
    </xf>
    <xf numFmtId="0" fontId="7" fillId="22" borderId="1" xfId="0" applyFont="1" applyFill="1" applyBorder="1" applyAlignment="1" applyProtection="1">
      <alignment horizontal="center" vertical="center"/>
      <protection locked="0"/>
    </xf>
    <xf numFmtId="164" fontId="9" fillId="20" borderId="1" xfId="0" applyNumberFormat="1" applyFont="1" applyFill="1" applyBorder="1" applyAlignment="1" applyProtection="1">
      <alignment horizontal="center" vertical="center" wrapText="1"/>
      <protection locked="0"/>
    </xf>
    <xf numFmtId="164" fontId="132" fillId="0" borderId="0" xfId="0" applyNumberFormat="1" applyFont="1" applyFill="1" applyAlignment="1">
      <alignment vertical="center"/>
    </xf>
    <xf numFmtId="164" fontId="120" fillId="0" borderId="31" xfId="0" applyNumberFormat="1" applyFont="1" applyBorder="1" applyAlignment="1">
      <alignment horizontal="left"/>
    </xf>
    <xf numFmtId="164" fontId="113" fillId="0" borderId="31" xfId="0" applyNumberFormat="1" applyFont="1" applyBorder="1" applyAlignment="1">
      <alignment horizontal="left"/>
    </xf>
    <xf numFmtId="0" fontId="10" fillId="19" borderId="0" xfId="0" applyFont="1" applyFill="1" applyAlignment="1">
      <alignment vertical="center"/>
    </xf>
    <xf numFmtId="166" fontId="8" fillId="19" borderId="1" xfId="2" applyNumberFormat="1" applyFont="1" applyFill="1" applyBorder="1" applyAlignment="1">
      <alignment horizontal="center" vertical="center"/>
    </xf>
    <xf numFmtId="0" fontId="50" fillId="19" borderId="34" xfId="0" applyFont="1" applyFill="1" applyBorder="1" applyAlignment="1">
      <alignment horizontal="center" vertical="center"/>
    </xf>
    <xf numFmtId="166" fontId="8" fillId="3" borderId="1" xfId="2" applyNumberFormat="1" applyFont="1" applyFill="1" applyBorder="1" applyAlignment="1">
      <alignment horizontal="center" vertical="center"/>
    </xf>
    <xf numFmtId="0" fontId="54" fillId="19" borderId="2" xfId="0" applyFont="1" applyFill="1" applyBorder="1" applyAlignment="1">
      <alignment vertical="center"/>
    </xf>
    <xf numFmtId="0" fontId="54" fillId="19" borderId="14" xfId="0" applyFont="1" applyFill="1" applyBorder="1" applyAlignment="1">
      <alignment vertical="center"/>
    </xf>
    <xf numFmtId="0" fontId="54" fillId="19" borderId="3" xfId="0" applyFont="1" applyFill="1" applyBorder="1" applyAlignment="1">
      <alignment vertical="center"/>
    </xf>
    <xf numFmtId="166" fontId="8" fillId="27" borderId="1" xfId="2" applyNumberFormat="1" applyFont="1" applyFill="1" applyBorder="1" applyAlignment="1">
      <alignment horizontal="center" vertical="center"/>
    </xf>
    <xf numFmtId="166" fontId="50" fillId="19" borderId="1" xfId="2" applyNumberFormat="1" applyFont="1" applyFill="1" applyBorder="1" applyAlignment="1">
      <alignment horizontal="center" vertical="center"/>
    </xf>
    <xf numFmtId="0" fontId="22" fillId="19" borderId="11" xfId="0" applyFont="1" applyFill="1" applyBorder="1" applyAlignment="1">
      <alignment horizontal="left" vertical="center"/>
    </xf>
    <xf numFmtId="0" fontId="50" fillId="21" borderId="2" xfId="0" applyFont="1" applyFill="1" applyBorder="1" applyAlignment="1">
      <alignment horizontal="center" vertical="center" wrapText="1"/>
    </xf>
    <xf numFmtId="0" fontId="50" fillId="21" borderId="1" xfId="0" applyFont="1" applyFill="1" applyBorder="1" applyAlignment="1">
      <alignment horizontal="center" vertical="center" wrapText="1"/>
    </xf>
    <xf numFmtId="0" fontId="7" fillId="28" borderId="1" xfId="0" applyFont="1" applyFill="1" applyBorder="1" applyAlignment="1">
      <alignment vertical="center"/>
    </xf>
    <xf numFmtId="164" fontId="11" fillId="28" borderId="1" xfId="0" applyNumberFormat="1" applyFont="1" applyFill="1" applyBorder="1" applyAlignment="1">
      <alignment horizontal="center" vertical="center"/>
    </xf>
    <xf numFmtId="0" fontId="50" fillId="17" borderId="2" xfId="0" applyFont="1" applyFill="1" applyBorder="1" applyAlignment="1">
      <alignment horizontal="center" vertical="center" wrapText="1"/>
    </xf>
    <xf numFmtId="0" fontId="50" fillId="17" borderId="2" xfId="0" applyFont="1" applyFill="1" applyBorder="1" applyAlignment="1">
      <alignment horizontal="center" vertical="center"/>
    </xf>
    <xf numFmtId="164" fontId="7" fillId="19" borderId="0" xfId="0" applyNumberFormat="1" applyFont="1" applyFill="1" applyAlignment="1">
      <alignment horizontal="right" vertical="center"/>
    </xf>
    <xf numFmtId="166" fontId="7" fillId="19" borderId="0" xfId="2" applyNumberFormat="1" applyFont="1" applyFill="1" applyAlignment="1">
      <alignment horizontal="center" vertical="center"/>
    </xf>
    <xf numFmtId="164" fontId="8" fillId="19" borderId="1" xfId="1" applyNumberFormat="1" applyFont="1" applyFill="1" applyBorder="1" applyAlignment="1">
      <alignment horizontal="center" vertical="center"/>
    </xf>
    <xf numFmtId="0" fontId="0" fillId="19" borderId="0" xfId="0" applyFill="1" applyAlignment="1">
      <alignment horizontal="left" vertical="center"/>
    </xf>
    <xf numFmtId="0" fontId="7" fillId="6" borderId="1" xfId="0" applyFont="1" applyFill="1" applyBorder="1" applyAlignment="1">
      <alignment horizontal="center" vertical="center"/>
    </xf>
    <xf numFmtId="0" fontId="8" fillId="0" borderId="5" xfId="0" applyFont="1" applyFill="1" applyBorder="1" applyAlignment="1">
      <alignment horizontal="center" vertical="center" wrapText="1"/>
    </xf>
    <xf numFmtId="0" fontId="8" fillId="0" borderId="4" xfId="0" applyFont="1" applyFill="1" applyBorder="1" applyAlignment="1">
      <alignment horizontal="center" vertical="center" wrapText="1"/>
    </xf>
    <xf numFmtId="164" fontId="7" fillId="30" borderId="1" xfId="0" applyNumberFormat="1" applyFont="1" applyFill="1" applyBorder="1" applyAlignment="1">
      <alignment horizontal="center" vertical="center"/>
    </xf>
    <xf numFmtId="0" fontId="7" fillId="30" borderId="1" xfId="0" applyFont="1" applyFill="1" applyBorder="1" applyAlignment="1">
      <alignment horizontal="left" vertical="center"/>
    </xf>
    <xf numFmtId="164" fontId="7" fillId="30" borderId="1" xfId="2" applyNumberFormat="1" applyFont="1" applyFill="1" applyBorder="1" applyAlignment="1">
      <alignment horizontal="center" vertical="center"/>
    </xf>
    <xf numFmtId="164" fontId="7" fillId="30" borderId="1" xfId="1" applyNumberFormat="1" applyFont="1" applyFill="1" applyBorder="1" applyAlignment="1">
      <alignment horizontal="center" vertical="center"/>
    </xf>
    <xf numFmtId="0" fontId="7" fillId="30" borderId="1" xfId="0" applyFont="1" applyFill="1" applyBorder="1" applyAlignment="1">
      <alignment horizontal="center" vertical="center"/>
    </xf>
    <xf numFmtId="0" fontId="23" fillId="0" borderId="1" xfId="0" quotePrefix="1" applyFont="1" applyFill="1" applyBorder="1" applyAlignment="1">
      <alignment vertical="center"/>
    </xf>
    <xf numFmtId="164" fontId="23" fillId="0" borderId="1" xfId="0" quotePrefix="1" applyNumberFormat="1" applyFont="1" applyFill="1" applyBorder="1" applyAlignment="1">
      <alignment horizontal="center" vertical="center"/>
    </xf>
    <xf numFmtId="164" fontId="7" fillId="0" borderId="1" xfId="1" applyNumberFormat="1" applyFont="1" applyFill="1" applyBorder="1" applyAlignment="1">
      <alignment horizontal="center" vertical="center"/>
    </xf>
    <xf numFmtId="164" fontId="1" fillId="31" borderId="1" xfId="0" applyNumberFormat="1" applyFont="1" applyFill="1" applyBorder="1" applyAlignment="1">
      <alignment horizontal="center" vertical="center"/>
    </xf>
    <xf numFmtId="0" fontId="2" fillId="31" borderId="1" xfId="0" applyFont="1" applyFill="1" applyBorder="1" applyAlignment="1">
      <alignment vertical="center"/>
    </xf>
    <xf numFmtId="0" fontId="1" fillId="31" borderId="1" xfId="0" applyFont="1" applyFill="1" applyBorder="1" applyAlignment="1">
      <alignment vertical="center"/>
    </xf>
    <xf numFmtId="164" fontId="1" fillId="31" borderId="1" xfId="1" applyNumberFormat="1" applyFont="1" applyFill="1" applyBorder="1" applyAlignment="1">
      <alignment horizontal="center" vertical="center"/>
    </xf>
    <xf numFmtId="164" fontId="0" fillId="31" borderId="1" xfId="0" applyNumberFormat="1" applyFont="1" applyFill="1" applyBorder="1" applyAlignment="1">
      <alignment horizontal="center" vertical="center"/>
    </xf>
    <xf numFmtId="0" fontId="7" fillId="0" borderId="1" xfId="0" applyFont="1" applyFill="1" applyBorder="1" applyAlignment="1">
      <alignment horizontal="left" vertical="center"/>
    </xf>
    <xf numFmtId="0" fontId="7" fillId="0" borderId="0" xfId="0" applyFont="1" applyFill="1"/>
    <xf numFmtId="0" fontId="0" fillId="0" borderId="0" xfId="0" applyFill="1" applyAlignment="1">
      <alignment vertical="center"/>
    </xf>
    <xf numFmtId="9" fontId="7" fillId="0" borderId="1" xfId="2" applyFont="1" applyFill="1" applyBorder="1" applyAlignment="1">
      <alignment horizontal="center" vertical="center"/>
    </xf>
    <xf numFmtId="164" fontId="54" fillId="0" borderId="1" xfId="0" applyNumberFormat="1" applyFont="1" applyFill="1" applyBorder="1" applyAlignment="1">
      <alignment horizontal="center" vertical="center"/>
    </xf>
    <xf numFmtId="164" fontId="0" fillId="0" borderId="0" xfId="0" applyNumberFormat="1" applyFill="1" applyAlignment="1">
      <alignment vertical="center"/>
    </xf>
    <xf numFmtId="0" fontId="1" fillId="31" borderId="1" xfId="0" applyFont="1" applyFill="1" applyBorder="1" applyAlignment="1">
      <alignment vertical="center" wrapText="1"/>
    </xf>
    <xf numFmtId="166" fontId="24" fillId="31" borderId="1" xfId="2" applyNumberFormat="1" applyFont="1" applyFill="1" applyBorder="1" applyAlignment="1">
      <alignment horizontal="center" vertical="center"/>
    </xf>
    <xf numFmtId="0" fontId="0" fillId="31" borderId="5" xfId="0" applyFont="1" applyFill="1" applyBorder="1" applyAlignment="1">
      <alignment vertical="center"/>
    </xf>
    <xf numFmtId="0" fontId="0" fillId="31" borderId="4" xfId="0" applyFont="1" applyFill="1" applyBorder="1" applyAlignment="1">
      <alignment vertical="center"/>
    </xf>
    <xf numFmtId="0" fontId="0" fillId="31" borderId="1" xfId="0" applyFont="1" applyFill="1" applyBorder="1" applyAlignment="1">
      <alignment horizontal="center" vertical="center"/>
    </xf>
    <xf numFmtId="166" fontId="11" fillId="0" borderId="1" xfId="2" applyNumberFormat="1" applyFont="1" applyFill="1" applyBorder="1" applyAlignment="1">
      <alignment horizontal="center" vertical="center"/>
    </xf>
    <xf numFmtId="9" fontId="11" fillId="0" borderId="1" xfId="2" applyNumberFormat="1" applyFont="1" applyFill="1" applyBorder="1" applyAlignment="1">
      <alignment horizontal="center" vertical="center"/>
    </xf>
    <xf numFmtId="164" fontId="11" fillId="0" borderId="1" xfId="1" applyNumberFormat="1" applyFont="1" applyFill="1" applyBorder="1" applyAlignment="1">
      <alignment horizontal="center" vertical="center"/>
    </xf>
    <xf numFmtId="49" fontId="27" fillId="0" borderId="1" xfId="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164" fontId="7" fillId="0" borderId="0" xfId="0" applyNumberFormat="1" applyFont="1" applyFill="1" applyAlignment="1">
      <alignment horizontal="center" vertical="center"/>
    </xf>
    <xf numFmtId="49" fontId="11" fillId="0" borderId="1" xfId="2" applyNumberFormat="1" applyFont="1" applyFill="1" applyBorder="1" applyAlignment="1">
      <alignment horizontal="center" vertical="center"/>
    </xf>
    <xf numFmtId="0" fontId="7" fillId="0" borderId="2" xfId="0" applyFont="1" applyFill="1" applyBorder="1" applyAlignment="1">
      <alignment vertical="center"/>
    </xf>
    <xf numFmtId="166" fontId="11" fillId="0" borderId="2" xfId="2" applyNumberFormat="1" applyFont="1" applyFill="1" applyBorder="1" applyAlignment="1">
      <alignment horizontal="center" vertical="center"/>
    </xf>
    <xf numFmtId="165" fontId="11" fillId="0" borderId="2" xfId="1" applyNumberFormat="1" applyFont="1" applyFill="1" applyBorder="1" applyAlignment="1">
      <alignment horizontal="center" vertical="center"/>
    </xf>
    <xf numFmtId="0" fontId="7" fillId="0" borderId="2" xfId="0" applyFont="1" applyFill="1" applyBorder="1" applyAlignment="1">
      <alignment horizontal="left" vertical="center"/>
    </xf>
    <xf numFmtId="0" fontId="1" fillId="29" borderId="1" xfId="0" applyFont="1" applyFill="1" applyBorder="1" applyAlignment="1">
      <alignment vertical="center"/>
    </xf>
    <xf numFmtId="0" fontId="1" fillId="20" borderId="1" xfId="0" applyFont="1" applyFill="1" applyBorder="1" applyAlignment="1">
      <alignment vertical="center"/>
    </xf>
    <xf numFmtId="166" fontId="5" fillId="20" borderId="1" xfId="2" applyNumberFormat="1" applyFont="1" applyFill="1" applyBorder="1" applyAlignment="1">
      <alignment horizontal="center" vertical="center"/>
    </xf>
    <xf numFmtId="9" fontId="5" fillId="20" borderId="1" xfId="2" applyNumberFormat="1" applyFont="1" applyFill="1" applyBorder="1" applyAlignment="1">
      <alignment horizontal="center" vertical="center"/>
    </xf>
    <xf numFmtId="164" fontId="1" fillId="20" borderId="1" xfId="0" applyNumberFormat="1" applyFont="1" applyFill="1" applyBorder="1" applyAlignment="1">
      <alignment horizontal="center" vertical="center"/>
    </xf>
    <xf numFmtId="166" fontId="64" fillId="20" borderId="1" xfId="2" applyNumberFormat="1" applyFont="1" applyFill="1" applyBorder="1" applyAlignment="1">
      <alignment horizontal="center" vertical="center"/>
    </xf>
    <xf numFmtId="0" fontId="0" fillId="20" borderId="1" xfId="0" applyFont="1" applyFill="1" applyBorder="1" applyAlignment="1">
      <alignment horizontal="center" vertical="center"/>
    </xf>
    <xf numFmtId="0" fontId="1" fillId="20" borderId="1" xfId="0" applyFont="1" applyFill="1" applyBorder="1" applyAlignment="1">
      <alignment horizontal="center" vertical="center" wrapText="1"/>
    </xf>
    <xf numFmtId="0" fontId="1" fillId="20" borderId="1" xfId="0" applyFont="1" applyFill="1" applyBorder="1" applyAlignment="1">
      <alignment vertical="center" wrapText="1"/>
    </xf>
    <xf numFmtId="0" fontId="0" fillId="20" borderId="1" xfId="0" applyFill="1" applyBorder="1" applyAlignment="1">
      <alignment vertical="center"/>
    </xf>
    <xf numFmtId="0" fontId="2" fillId="0" borderId="11" xfId="0" applyFont="1" applyFill="1" applyBorder="1" applyAlignment="1">
      <alignment horizontal="center" vertical="center"/>
    </xf>
    <xf numFmtId="0" fontId="7" fillId="0" borderId="3" xfId="0" applyFont="1" applyFill="1" applyBorder="1" applyAlignment="1">
      <alignment vertical="center"/>
    </xf>
    <xf numFmtId="165" fontId="7" fillId="0" borderId="1" xfId="0" applyNumberFormat="1" applyFont="1" applyFill="1" applyBorder="1" applyAlignment="1">
      <alignment horizontal="center" vertical="center"/>
    </xf>
    <xf numFmtId="164" fontId="1" fillId="31" borderId="1" xfId="0" applyNumberFormat="1" applyFont="1" applyFill="1" applyBorder="1" applyAlignment="1">
      <alignment horizontal="center" vertical="center" wrapText="1"/>
    </xf>
    <xf numFmtId="164" fontId="1" fillId="29" borderId="1" xfId="0" applyNumberFormat="1" applyFont="1" applyFill="1" applyBorder="1" applyAlignment="1">
      <alignment horizontal="center" vertical="center" wrapText="1"/>
    </xf>
    <xf numFmtId="0" fontId="1" fillId="31" borderId="1" xfId="0" applyFont="1" applyFill="1" applyBorder="1" applyAlignment="1">
      <alignment horizontal="left" vertical="center"/>
    </xf>
    <xf numFmtId="167" fontId="69" fillId="31" borderId="1" xfId="0" applyNumberFormat="1" applyFont="1" applyFill="1" applyBorder="1" applyAlignment="1">
      <alignment horizontal="center" vertical="center"/>
    </xf>
    <xf numFmtId="2" fontId="1" fillId="31" borderId="1" xfId="0" applyNumberFormat="1" applyFont="1" applyFill="1" applyBorder="1" applyAlignment="1">
      <alignment horizontal="center" vertical="center"/>
    </xf>
    <xf numFmtId="164" fontId="7" fillId="0" borderId="1" xfId="0" applyNumberFormat="1" applyFont="1" applyFill="1" applyBorder="1" applyAlignment="1">
      <alignment horizontal="center" vertical="center" wrapText="1"/>
    </xf>
    <xf numFmtId="167" fontId="8" fillId="0" borderId="1" xfId="0" applyNumberFormat="1" applyFont="1" applyFill="1" applyBorder="1" applyAlignment="1">
      <alignment horizontal="center" vertical="center"/>
    </xf>
    <xf numFmtId="0" fontId="8" fillId="0" borderId="1" xfId="0" applyFont="1" applyFill="1" applyBorder="1" applyAlignment="1">
      <alignment vertical="center" wrapText="1"/>
    </xf>
    <xf numFmtId="166" fontId="7" fillId="0" borderId="1" xfId="0" applyNumberFormat="1" applyFont="1" applyFill="1" applyBorder="1" applyAlignment="1">
      <alignment horizontal="center" vertical="center"/>
    </xf>
    <xf numFmtId="9" fontId="7" fillId="0" borderId="1" xfId="0" applyNumberFormat="1" applyFont="1" applyFill="1" applyBorder="1" applyAlignment="1">
      <alignment horizontal="center" vertical="center"/>
    </xf>
    <xf numFmtId="166" fontId="7" fillId="0" borderId="1" xfId="2" applyNumberFormat="1" applyFont="1" applyFill="1" applyBorder="1" applyAlignment="1">
      <alignment horizontal="center" vertical="center"/>
    </xf>
    <xf numFmtId="0" fontId="25" fillId="0" borderId="1" xfId="0" applyFont="1" applyFill="1" applyBorder="1" applyAlignment="1">
      <alignment vertical="center"/>
    </xf>
    <xf numFmtId="0" fontId="11" fillId="0" borderId="1" xfId="0" applyFont="1" applyFill="1" applyBorder="1" applyAlignment="1">
      <alignment vertical="center"/>
    </xf>
    <xf numFmtId="167" fontId="11" fillId="0" borderId="1" xfId="0" applyNumberFormat="1" applyFont="1" applyFill="1" applyBorder="1" applyAlignment="1">
      <alignment horizontal="center" vertical="center"/>
    </xf>
    <xf numFmtId="0" fontId="13" fillId="31" borderId="2" xfId="0" applyFont="1" applyFill="1" applyBorder="1" applyAlignment="1">
      <alignment horizontal="center" vertical="center" wrapText="1"/>
    </xf>
    <xf numFmtId="0" fontId="1" fillId="31" borderId="5" xfId="0" applyFont="1" applyFill="1" applyBorder="1" applyAlignment="1">
      <alignment vertical="center"/>
    </xf>
    <xf numFmtId="0" fontId="1" fillId="31" borderId="4" xfId="0" applyFont="1" applyFill="1" applyBorder="1" applyAlignment="1">
      <alignment vertical="center"/>
    </xf>
    <xf numFmtId="165" fontId="1" fillId="31" borderId="1" xfId="0" applyNumberFormat="1" applyFont="1" applyFill="1" applyBorder="1" applyAlignment="1">
      <alignment horizontal="center" vertical="center"/>
    </xf>
    <xf numFmtId="9" fontId="11" fillId="0" borderId="1" xfId="2" applyFont="1" applyFill="1" applyBorder="1" applyAlignment="1">
      <alignment horizontal="center" vertical="center"/>
    </xf>
    <xf numFmtId="0" fontId="1" fillId="20" borderId="5" xfId="0" applyFont="1" applyFill="1" applyBorder="1" applyAlignment="1">
      <alignment vertical="center"/>
    </xf>
    <xf numFmtId="0" fontId="1" fillId="20" borderId="4" xfId="0" applyFont="1" applyFill="1" applyBorder="1" applyAlignment="1">
      <alignment vertical="center"/>
    </xf>
    <xf numFmtId="0" fontId="0" fillId="20" borderId="1" xfId="0" applyFill="1" applyBorder="1" applyAlignment="1">
      <alignment vertical="center" wrapText="1"/>
    </xf>
    <xf numFmtId="0" fontId="1" fillId="31" borderId="8" xfId="0" applyFont="1" applyFill="1" applyBorder="1" applyAlignment="1">
      <alignment vertical="center"/>
    </xf>
    <xf numFmtId="0" fontId="8" fillId="20" borderId="2" xfId="0" applyFont="1" applyFill="1" applyBorder="1" applyAlignment="1">
      <alignment horizontal="center" vertical="center" wrapText="1"/>
    </xf>
    <xf numFmtId="0" fontId="8" fillId="20" borderId="1" xfId="0" applyFont="1" applyFill="1" applyBorder="1" applyAlignment="1">
      <alignment horizontal="center" vertical="center" wrapText="1"/>
    </xf>
    <xf numFmtId="0" fontId="25" fillId="20" borderId="2" xfId="0" applyFont="1" applyFill="1" applyBorder="1" applyAlignment="1">
      <alignment horizontal="center" vertical="center" wrapText="1"/>
    </xf>
    <xf numFmtId="3" fontId="7" fillId="0" borderId="1" xfId="0" applyNumberFormat="1" applyFont="1" applyFill="1" applyBorder="1" applyAlignment="1">
      <alignment horizontal="center" vertical="center"/>
    </xf>
    <xf numFmtId="49" fontId="7" fillId="0" borderId="1" xfId="2" applyNumberFormat="1" applyFont="1" applyFill="1" applyBorder="1" applyAlignment="1">
      <alignment horizontal="center" vertical="center"/>
    </xf>
    <xf numFmtId="0" fontId="13" fillId="31" borderId="1" xfId="0" applyFont="1" applyFill="1" applyBorder="1" applyAlignment="1">
      <alignment vertical="center"/>
    </xf>
    <xf numFmtId="166" fontId="13" fillId="31" borderId="1" xfId="2" applyNumberFormat="1" applyFont="1" applyFill="1" applyBorder="1" applyAlignment="1">
      <alignment horizontal="center" vertical="center"/>
    </xf>
    <xf numFmtId="164" fontId="13" fillId="31" borderId="1" xfId="2" applyNumberFormat="1" applyFont="1" applyFill="1" applyBorder="1" applyAlignment="1">
      <alignment horizontal="center" vertical="center"/>
    </xf>
    <xf numFmtId="164" fontId="11" fillId="0" borderId="1" xfId="0" applyNumberFormat="1" applyFont="1" applyFill="1" applyBorder="1" applyAlignment="1">
      <alignment horizontal="center" vertical="center"/>
    </xf>
    <xf numFmtId="164" fontId="13" fillId="31" borderId="1" xfId="0" applyNumberFormat="1" applyFont="1" applyFill="1" applyBorder="1" applyAlignment="1">
      <alignment horizontal="center" vertical="center"/>
    </xf>
    <xf numFmtId="164" fontId="13" fillId="29" borderId="1" xfId="0" applyNumberFormat="1" applyFont="1" applyFill="1" applyBorder="1" applyAlignment="1">
      <alignment horizontal="center" vertical="center"/>
    </xf>
    <xf numFmtId="164" fontId="13" fillId="20" borderId="1" xfId="0" applyNumberFormat="1" applyFont="1" applyFill="1" applyBorder="1" applyAlignment="1">
      <alignment horizontal="center" vertical="center"/>
    </xf>
    <xf numFmtId="164" fontId="13" fillId="19" borderId="1" xfId="0" applyNumberFormat="1" applyFont="1" applyFill="1" applyBorder="1" applyAlignment="1">
      <alignment horizontal="center" vertical="center"/>
    </xf>
    <xf numFmtId="0" fontId="22" fillId="31" borderId="1" xfId="0" applyFont="1" applyFill="1" applyBorder="1" applyAlignment="1">
      <alignment vertical="center"/>
    </xf>
    <xf numFmtId="164" fontId="25" fillId="0" borderId="1" xfId="2" applyNumberFormat="1" applyFont="1" applyFill="1" applyBorder="1" applyAlignment="1">
      <alignment horizontal="center" vertical="center"/>
    </xf>
    <xf numFmtId="0" fontId="22" fillId="0" borderId="8" xfId="0" applyFont="1" applyFill="1" applyBorder="1" applyAlignment="1">
      <alignment vertical="center"/>
    </xf>
    <xf numFmtId="166" fontId="22" fillId="0" borderId="8" xfId="2" applyNumberFormat="1" applyFont="1" applyFill="1" applyBorder="1" applyAlignment="1">
      <alignment horizontal="center" vertical="center"/>
    </xf>
    <xf numFmtId="0" fontId="25" fillId="20" borderId="1" xfId="0" applyFont="1" applyFill="1" applyBorder="1" applyAlignment="1">
      <alignment horizontal="center" vertical="center" wrapText="1"/>
    </xf>
    <xf numFmtId="0" fontId="13" fillId="31" borderId="5" xfId="0" applyFont="1" applyFill="1" applyBorder="1" applyAlignment="1">
      <alignment vertical="center"/>
    </xf>
    <xf numFmtId="0" fontId="13" fillId="31" borderId="4" xfId="0" applyFont="1" applyFill="1" applyBorder="1" applyAlignment="1">
      <alignment vertical="center"/>
    </xf>
    <xf numFmtId="164" fontId="1" fillId="20" borderId="1" xfId="0" applyNumberFormat="1" applyFont="1" applyFill="1" applyBorder="1" applyAlignment="1">
      <alignment horizontal="center" vertical="center" wrapText="1"/>
    </xf>
    <xf numFmtId="0" fontId="1" fillId="29" borderId="1" xfId="0" applyFont="1" applyFill="1" applyBorder="1" applyAlignment="1">
      <alignment horizontal="center" vertical="center" wrapText="1"/>
    </xf>
    <xf numFmtId="164" fontId="1" fillId="29" borderId="1" xfId="1" applyNumberFormat="1" applyFont="1" applyFill="1" applyBorder="1" applyAlignment="1">
      <alignment horizontal="center" vertical="center" wrapText="1"/>
    </xf>
    <xf numFmtId="164" fontId="8" fillId="29" borderId="1" xfId="0" applyNumberFormat="1" applyFont="1" applyFill="1" applyBorder="1" applyAlignment="1">
      <alignment horizontal="center" vertical="center"/>
    </xf>
    <xf numFmtId="0" fontId="1" fillId="31" borderId="1" xfId="0" applyFont="1" applyFill="1" applyBorder="1" applyAlignment="1">
      <alignment horizontal="left" vertical="center" wrapText="1"/>
    </xf>
    <xf numFmtId="164" fontId="1" fillId="31" borderId="1" xfId="1" applyNumberFormat="1" applyFont="1" applyFill="1" applyBorder="1" applyAlignment="1">
      <alignment horizontal="center" vertical="center" wrapText="1"/>
    </xf>
    <xf numFmtId="0" fontId="8" fillId="20" borderId="1" xfId="0" applyFont="1" applyFill="1" applyBorder="1" applyAlignment="1">
      <alignment vertical="center"/>
    </xf>
    <xf numFmtId="164" fontId="8" fillId="20" borderId="1" xfId="0" applyNumberFormat="1" applyFont="1" applyFill="1" applyBorder="1" applyAlignment="1">
      <alignment horizontal="center" vertical="center"/>
    </xf>
    <xf numFmtId="164" fontId="25" fillId="20" borderId="1" xfId="0" applyNumberFormat="1" applyFont="1" applyFill="1" applyBorder="1" applyAlignment="1">
      <alignment horizontal="center" vertical="center"/>
    </xf>
    <xf numFmtId="164" fontId="8" fillId="19" borderId="1" xfId="0" applyNumberFormat="1" applyFont="1" applyFill="1" applyBorder="1" applyAlignment="1">
      <alignment horizontal="center" vertical="center"/>
    </xf>
    <xf numFmtId="164" fontId="25" fillId="19" borderId="1" xfId="0" applyNumberFormat="1" applyFont="1" applyFill="1" applyBorder="1" applyAlignment="1">
      <alignment horizontal="center" vertical="center"/>
    </xf>
    <xf numFmtId="0" fontId="1" fillId="31" borderId="2" xfId="0" applyFont="1" applyFill="1" applyBorder="1" applyAlignment="1">
      <alignment vertical="center"/>
    </xf>
    <xf numFmtId="164" fontId="11" fillId="0" borderId="1" xfId="2" applyNumberFormat="1" applyFont="1" applyFill="1" applyBorder="1" applyAlignment="1">
      <alignment horizontal="center" vertical="center"/>
    </xf>
    <xf numFmtId="0" fontId="11" fillId="0" borderId="0" xfId="0" applyFont="1" applyFill="1" applyAlignment="1">
      <alignment vertical="center"/>
    </xf>
    <xf numFmtId="164" fontId="2" fillId="31" borderId="5" xfId="0" applyNumberFormat="1" applyFont="1" applyFill="1" applyBorder="1" applyAlignment="1">
      <alignment horizontal="left" vertical="center"/>
    </xf>
    <xf numFmtId="164" fontId="2" fillId="31" borderId="4" xfId="0" applyNumberFormat="1" applyFont="1" applyFill="1" applyBorder="1" applyAlignment="1">
      <alignment horizontal="left" vertical="center"/>
    </xf>
    <xf numFmtId="164" fontId="2" fillId="31" borderId="1" xfId="2" applyNumberFormat="1" applyFont="1" applyFill="1" applyBorder="1" applyAlignment="1">
      <alignment horizontal="center" vertical="center"/>
    </xf>
    <xf numFmtId="164" fontId="1" fillId="31" borderId="5" xfId="0" applyNumberFormat="1" applyFont="1" applyFill="1" applyBorder="1" applyAlignment="1">
      <alignment horizontal="left" vertical="center"/>
    </xf>
    <xf numFmtId="164" fontId="0" fillId="31" borderId="4" xfId="0" applyNumberFormat="1" applyFill="1" applyBorder="1" applyAlignment="1">
      <alignment horizontal="center" vertical="center"/>
    </xf>
    <xf numFmtId="164" fontId="1" fillId="31" borderId="1" xfId="2" applyNumberFormat="1" applyFont="1" applyFill="1" applyBorder="1" applyAlignment="1">
      <alignment horizontal="center" vertical="center"/>
    </xf>
    <xf numFmtId="164" fontId="2" fillId="29" borderId="1" xfId="0" applyNumberFormat="1" applyFont="1" applyFill="1" applyBorder="1" applyAlignment="1">
      <alignment horizontal="center" vertical="center"/>
    </xf>
    <xf numFmtId="166" fontId="1" fillId="31" borderId="1" xfId="2" applyNumberFormat="1" applyFont="1" applyFill="1" applyBorder="1" applyAlignment="1">
      <alignment horizontal="center" vertical="center"/>
    </xf>
    <xf numFmtId="166" fontId="2" fillId="29" borderId="1" xfId="2" applyNumberFormat="1" applyFont="1" applyFill="1" applyBorder="1" applyAlignment="1">
      <alignment horizontal="center" vertical="center"/>
    </xf>
    <xf numFmtId="0" fontId="2" fillId="31" borderId="2" xfId="0" applyFont="1" applyFill="1" applyBorder="1" applyAlignment="1">
      <alignment horizontal="left" vertical="center"/>
    </xf>
    <xf numFmtId="164" fontId="5" fillId="0" borderId="1" xfId="0" applyNumberFormat="1" applyFont="1" applyFill="1" applyBorder="1" applyAlignment="1">
      <alignment horizontal="center" vertical="center"/>
    </xf>
    <xf numFmtId="0" fontId="22" fillId="31" borderId="1" xfId="0" applyFont="1" applyFill="1" applyBorder="1" applyAlignment="1">
      <alignment horizontal="center" vertical="center" wrapText="1"/>
    </xf>
    <xf numFmtId="164" fontId="22" fillId="31" borderId="1" xfId="0" applyNumberFormat="1" applyFont="1" applyFill="1" applyBorder="1" applyAlignment="1">
      <alignment horizontal="center" vertical="center"/>
    </xf>
    <xf numFmtId="164" fontId="22" fillId="29" borderId="1" xfId="0" applyNumberFormat="1" applyFont="1" applyFill="1" applyBorder="1" applyAlignment="1">
      <alignment horizontal="center" vertical="center"/>
    </xf>
    <xf numFmtId="166" fontId="25" fillId="20" borderId="1" xfId="2" applyNumberFormat="1" applyFont="1" applyFill="1" applyBorder="1" applyAlignment="1">
      <alignment horizontal="center" vertical="center"/>
    </xf>
    <xf numFmtId="166" fontId="25" fillId="19" borderId="1" xfId="2" applyNumberFormat="1" applyFont="1" applyFill="1" applyBorder="1" applyAlignment="1">
      <alignment horizontal="center" vertical="center"/>
    </xf>
    <xf numFmtId="166" fontId="13" fillId="29" borderId="1" xfId="2" applyNumberFormat="1" applyFont="1" applyFill="1" applyBorder="1" applyAlignment="1">
      <alignment horizontal="center" vertical="center"/>
    </xf>
    <xf numFmtId="164" fontId="25" fillId="29" borderId="1" xfId="0" applyNumberFormat="1" applyFont="1" applyFill="1" applyBorder="1" applyAlignment="1">
      <alignment horizontal="center" vertical="center"/>
    </xf>
    <xf numFmtId="166" fontId="25" fillId="0" borderId="1" xfId="0" applyNumberFormat="1" applyFont="1" applyFill="1" applyBorder="1" applyAlignment="1">
      <alignment horizontal="center" vertical="center"/>
    </xf>
    <xf numFmtId="164" fontId="25" fillId="19" borderId="1" xfId="2" applyNumberFormat="1" applyFont="1" applyFill="1" applyBorder="1" applyAlignment="1">
      <alignment horizontal="center" vertical="center"/>
    </xf>
    <xf numFmtId="164" fontId="25" fillId="20" borderId="1" xfId="2" applyNumberFormat="1" applyFont="1" applyFill="1" applyBorder="1" applyAlignment="1">
      <alignment horizontal="center" vertical="center"/>
    </xf>
    <xf numFmtId="0" fontId="7" fillId="0" borderId="5" xfId="0" applyFont="1" applyFill="1" applyBorder="1" applyAlignment="1">
      <alignment vertical="center"/>
    </xf>
    <xf numFmtId="0" fontId="25" fillId="20" borderId="1" xfId="0" applyFont="1" applyFill="1" applyBorder="1" applyAlignment="1">
      <alignment vertical="center"/>
    </xf>
    <xf numFmtId="10" fontId="13" fillId="20" borderId="1" xfId="0" applyNumberFormat="1" applyFont="1" applyFill="1" applyBorder="1" applyAlignment="1">
      <alignment horizontal="center" vertical="center"/>
    </xf>
    <xf numFmtId="10" fontId="13" fillId="19" borderId="1" xfId="0" applyNumberFormat="1" applyFont="1" applyFill="1" applyBorder="1" applyAlignment="1">
      <alignment horizontal="center" vertical="center"/>
    </xf>
    <xf numFmtId="10" fontId="7" fillId="0" borderId="1" xfId="2" applyNumberFormat="1" applyFont="1" applyFill="1" applyBorder="1" applyAlignment="1">
      <alignment horizontal="center" vertical="center"/>
    </xf>
    <xf numFmtId="164" fontId="13" fillId="29" borderId="1" xfId="2" applyNumberFormat="1" applyFont="1" applyFill="1" applyBorder="1" applyAlignment="1">
      <alignment horizontal="center" vertical="center"/>
    </xf>
    <xf numFmtId="0" fontId="65" fillId="0" borderId="0" xfId="0" applyFont="1" applyAlignment="1">
      <alignment vertical="center"/>
    </xf>
    <xf numFmtId="0" fontId="140" fillId="0" borderId="0" xfId="0" applyFont="1" applyAlignment="1">
      <alignment vertical="center"/>
    </xf>
    <xf numFmtId="0" fontId="0" fillId="24" borderId="0" xfId="0" applyFont="1" applyFill="1" applyAlignment="1">
      <alignment vertical="center"/>
    </xf>
    <xf numFmtId="166" fontId="1" fillId="24" borderId="1" xfId="0" applyNumberFormat="1" applyFont="1" applyFill="1" applyBorder="1" applyAlignment="1">
      <alignment horizontal="center" vertical="center"/>
    </xf>
    <xf numFmtId="166" fontId="0" fillId="24" borderId="1" xfId="0" applyNumberFormat="1" applyFont="1" applyFill="1" applyBorder="1" applyAlignment="1">
      <alignment horizontal="center" vertical="center"/>
    </xf>
    <xf numFmtId="164" fontId="0" fillId="24" borderId="1" xfId="0" applyNumberFormat="1" applyFont="1" applyFill="1" applyBorder="1" applyAlignment="1">
      <alignment horizontal="center" vertical="center"/>
    </xf>
    <xf numFmtId="0" fontId="25" fillId="24" borderId="0" xfId="0" applyFont="1" applyFill="1" applyAlignment="1">
      <alignment vertical="center"/>
    </xf>
    <xf numFmtId="9" fontId="13" fillId="29" borderId="1" xfId="2" applyFont="1" applyFill="1" applyBorder="1" applyAlignment="1">
      <alignment horizontal="center" vertical="center"/>
    </xf>
    <xf numFmtId="9" fontId="25" fillId="31" borderId="1" xfId="2" applyFont="1" applyFill="1" applyBorder="1" applyAlignment="1">
      <alignment horizontal="center" vertical="center"/>
    </xf>
    <xf numFmtId="164" fontId="22" fillId="0" borderId="1" xfId="0" applyNumberFormat="1" applyFont="1" applyFill="1" applyBorder="1" applyAlignment="1">
      <alignment horizontal="center" vertical="center"/>
    </xf>
    <xf numFmtId="164" fontId="25" fillId="20" borderId="1" xfId="0" applyNumberFormat="1" applyFont="1" applyFill="1" applyBorder="1" applyAlignment="1">
      <alignment horizontal="left" vertical="center"/>
    </xf>
    <xf numFmtId="0" fontId="7" fillId="19" borderId="0" xfId="0" applyFont="1" applyFill="1" applyBorder="1" applyAlignment="1" applyProtection="1">
      <alignment vertical="center"/>
      <protection locked="0"/>
    </xf>
    <xf numFmtId="0" fontId="7" fillId="0" borderId="1" xfId="0" applyFont="1" applyFill="1" applyBorder="1" applyAlignment="1" applyProtection="1">
      <alignment vertical="center"/>
      <protection locked="0"/>
    </xf>
    <xf numFmtId="0" fontId="7" fillId="20" borderId="1" xfId="0" applyFont="1" applyFill="1" applyBorder="1" applyAlignment="1" applyProtection="1">
      <alignment horizontal="left" vertical="center"/>
      <protection locked="0"/>
    </xf>
    <xf numFmtId="0" fontId="7" fillId="19" borderId="11" xfId="0" applyFont="1" applyFill="1" applyBorder="1" applyAlignment="1">
      <alignment horizontal="center" vertical="center"/>
    </xf>
    <xf numFmtId="165" fontId="7" fillId="19" borderId="11" xfId="1" applyNumberFormat="1" applyFont="1" applyFill="1" applyBorder="1" applyAlignment="1">
      <alignment horizontal="center" vertical="center"/>
    </xf>
    <xf numFmtId="0" fontId="2" fillId="19" borderId="0" xfId="0" applyFont="1" applyFill="1" applyAlignment="1">
      <alignment vertical="center" wrapText="1"/>
    </xf>
    <xf numFmtId="0" fontId="50" fillId="16" borderId="1" xfId="0" applyFont="1" applyFill="1" applyBorder="1" applyAlignment="1">
      <alignment horizontal="left" vertical="center" wrapText="1"/>
    </xf>
    <xf numFmtId="0" fontId="8" fillId="19" borderId="0" xfId="0" applyFont="1" applyFill="1" applyBorder="1" applyAlignment="1">
      <alignment horizontal="right" vertical="center"/>
    </xf>
    <xf numFmtId="0" fontId="2" fillId="19" borderId="0" xfId="0" applyFont="1" applyFill="1" applyAlignment="1"/>
    <xf numFmtId="0" fontId="29" fillId="31" borderId="1" xfId="0" applyFont="1" applyFill="1" applyBorder="1" applyAlignment="1">
      <alignment horizontal="center" vertical="center" wrapText="1"/>
    </xf>
    <xf numFmtId="0" fontId="40" fillId="31" borderId="1" xfId="0" applyFont="1" applyFill="1" applyBorder="1" applyAlignment="1">
      <alignment horizontal="center" vertical="center" wrapText="1"/>
    </xf>
    <xf numFmtId="0" fontId="8" fillId="31" borderId="1" xfId="0" applyFont="1" applyFill="1" applyBorder="1" applyAlignment="1">
      <alignment horizontal="center" vertical="center"/>
    </xf>
    <xf numFmtId="0" fontId="40" fillId="31" borderId="2" xfId="0" applyFont="1" applyFill="1" applyBorder="1" applyAlignment="1">
      <alignment horizontal="center" vertical="center" wrapText="1"/>
    </xf>
    <xf numFmtId="0" fontId="12" fillId="31" borderId="1" xfId="0" applyFont="1" applyFill="1" applyBorder="1" applyAlignment="1">
      <alignment horizontal="center" vertical="center" wrapText="1"/>
    </xf>
    <xf numFmtId="0" fontId="42" fillId="31" borderId="1" xfId="0" applyFont="1" applyFill="1" applyBorder="1" applyAlignment="1">
      <alignment horizontal="center" vertical="center" wrapText="1"/>
    </xf>
    <xf numFmtId="0" fontId="2" fillId="0" borderId="0" xfId="0" applyFont="1" applyAlignment="1">
      <alignment vertical="center" wrapText="1"/>
    </xf>
    <xf numFmtId="0" fontId="7" fillId="0" borderId="1" xfId="0" applyFont="1" applyFill="1" applyBorder="1" applyAlignment="1">
      <alignment horizontal="left" vertical="center" wrapText="1"/>
    </xf>
    <xf numFmtId="0" fontId="2" fillId="0" borderId="0" xfId="0" applyFont="1" applyFill="1" applyAlignment="1">
      <alignment vertical="center" wrapText="1"/>
    </xf>
    <xf numFmtId="0" fontId="7" fillId="20" borderId="1" xfId="0" applyFont="1" applyFill="1" applyBorder="1" applyAlignment="1">
      <alignment horizontal="center" vertical="center"/>
    </xf>
    <xf numFmtId="0" fontId="9" fillId="0" borderId="1" xfId="0" applyFont="1" applyFill="1" applyBorder="1" applyAlignment="1">
      <alignment horizontal="left" vertical="center" wrapText="1"/>
    </xf>
    <xf numFmtId="165" fontId="7" fillId="20" borderId="1" xfId="0" applyNumberFormat="1" applyFont="1" applyFill="1" applyBorder="1" applyAlignment="1">
      <alignment horizontal="center" vertical="center"/>
    </xf>
    <xf numFmtId="165" fontId="8" fillId="20" borderId="1" xfId="0" applyNumberFormat="1" applyFont="1" applyFill="1" applyBorder="1" applyAlignment="1">
      <alignment horizontal="center" vertical="center"/>
    </xf>
    <xf numFmtId="0" fontId="11" fillId="0" borderId="1" xfId="0" applyFont="1" applyFill="1" applyBorder="1" applyAlignment="1">
      <alignment horizontal="left" vertical="center" wrapText="1"/>
    </xf>
    <xf numFmtId="167" fontId="7" fillId="0" borderId="1" xfId="1" applyNumberFormat="1" applyFont="1" applyFill="1" applyBorder="1" applyAlignment="1">
      <alignment horizontal="center" vertical="center"/>
    </xf>
    <xf numFmtId="0" fontId="7" fillId="0" borderId="8" xfId="0" applyFont="1" applyFill="1" applyBorder="1" applyAlignment="1">
      <alignment vertical="center"/>
    </xf>
    <xf numFmtId="0" fontId="8" fillId="0" borderId="8" xfId="0" applyFont="1" applyFill="1" applyBorder="1" applyAlignment="1">
      <alignment vertical="center"/>
    </xf>
    <xf numFmtId="0" fontId="7" fillId="0" borderId="4" xfId="0" applyFont="1" applyFill="1" applyBorder="1" applyAlignment="1">
      <alignment vertical="center"/>
    </xf>
    <xf numFmtId="167" fontId="8" fillId="0" borderId="1" xfId="1" applyNumberFormat="1" applyFont="1" applyFill="1" applyBorder="1" applyAlignment="1">
      <alignment horizontal="center" vertical="center"/>
    </xf>
    <xf numFmtId="0" fontId="0" fillId="0" borderId="0" xfId="0" applyFill="1"/>
    <xf numFmtId="0" fontId="7" fillId="0" borderId="0" xfId="0" applyFont="1" applyFill="1" applyAlignment="1">
      <alignment horizontal="left" vertical="center"/>
    </xf>
    <xf numFmtId="0" fontId="0" fillId="0" borderId="0" xfId="0" applyFill="1" applyBorder="1"/>
    <xf numFmtId="0" fontId="11" fillId="0" borderId="1" xfId="0" applyFont="1" applyFill="1" applyBorder="1" applyAlignment="1">
      <alignment horizontal="center" vertical="center" wrapText="1"/>
    </xf>
    <xf numFmtId="165" fontId="25" fillId="0" borderId="1" xfId="1" applyNumberFormat="1" applyFont="1" applyFill="1" applyBorder="1" applyAlignment="1">
      <alignment horizontal="center" vertical="center"/>
    </xf>
    <xf numFmtId="0" fontId="13" fillId="31" borderId="5" xfId="0" applyFont="1" applyFill="1" applyBorder="1" applyAlignment="1">
      <alignment horizontal="left" vertical="center"/>
    </xf>
    <xf numFmtId="0" fontId="13" fillId="31" borderId="8" xfId="0" applyFont="1" applyFill="1" applyBorder="1" applyAlignment="1">
      <alignment horizontal="center" vertical="center"/>
    </xf>
    <xf numFmtId="0" fontId="13" fillId="31" borderId="4" xfId="0" applyFont="1" applyFill="1" applyBorder="1" applyAlignment="1">
      <alignment horizontal="center" vertical="center"/>
    </xf>
    <xf numFmtId="0" fontId="7" fillId="0" borderId="5" xfId="0" applyFont="1" applyBorder="1" applyAlignment="1">
      <alignment horizontal="left" vertical="center"/>
    </xf>
    <xf numFmtId="0" fontId="1" fillId="0" borderId="8" xfId="0" applyFont="1" applyBorder="1"/>
    <xf numFmtId="0" fontId="1" fillId="0" borderId="4" xfId="0" applyFont="1" applyBorder="1"/>
    <xf numFmtId="0" fontId="0" fillId="0" borderId="8" xfId="0" applyBorder="1"/>
    <xf numFmtId="0" fontId="0" fillId="0" borderId="4" xfId="0" applyBorder="1"/>
    <xf numFmtId="0" fontId="13" fillId="31" borderId="1" xfId="0" applyFont="1" applyFill="1" applyBorder="1" applyAlignment="1">
      <alignment vertical="center" wrapText="1"/>
    </xf>
    <xf numFmtId="0" fontId="25" fillId="14" borderId="1" xfId="0" applyFont="1" applyFill="1" applyBorder="1" applyAlignment="1" applyProtection="1">
      <alignment horizontal="center" vertical="center" wrapText="1"/>
      <protection locked="0"/>
    </xf>
    <xf numFmtId="0" fontId="85" fillId="23" borderId="8" xfId="0" applyFont="1" applyFill="1" applyBorder="1" applyAlignment="1">
      <alignment vertical="center"/>
    </xf>
    <xf numFmtId="0" fontId="0" fillId="23" borderId="4" xfId="0" applyFill="1" applyBorder="1" applyAlignment="1">
      <alignment vertical="center"/>
    </xf>
    <xf numFmtId="0" fontId="0" fillId="0" borderId="4" xfId="0" applyFill="1" applyBorder="1" applyAlignment="1">
      <alignment vertical="center"/>
    </xf>
    <xf numFmtId="0" fontId="7" fillId="31" borderId="1" xfId="0" applyFont="1" applyFill="1" applyBorder="1" applyAlignment="1">
      <alignment vertical="center"/>
    </xf>
    <xf numFmtId="0" fontId="29" fillId="0" borderId="1" xfId="0" applyFont="1" applyFill="1" applyBorder="1" applyAlignment="1">
      <alignment horizontal="center" vertical="center" wrapText="1"/>
    </xf>
    <xf numFmtId="0" fontId="8" fillId="0" borderId="5" xfId="0" applyFont="1" applyFill="1" applyBorder="1" applyAlignment="1">
      <alignment horizontal="left" vertical="center"/>
    </xf>
    <xf numFmtId="0" fontId="8" fillId="0" borderId="8" xfId="0" applyFont="1" applyFill="1" applyBorder="1" applyAlignment="1">
      <alignment horizontal="left" vertical="center"/>
    </xf>
    <xf numFmtId="0" fontId="7" fillId="0" borderId="8" xfId="0" applyFont="1" applyFill="1" applyBorder="1" applyAlignment="1">
      <alignment horizontal="left" vertical="center"/>
    </xf>
    <xf numFmtId="0" fontId="37" fillId="0" borderId="1" xfId="0" applyFont="1" applyFill="1" applyBorder="1" applyAlignment="1">
      <alignment vertical="center"/>
    </xf>
    <xf numFmtId="0" fontId="0" fillId="31" borderId="1" xfId="0" applyFont="1" applyFill="1" applyBorder="1" applyAlignment="1">
      <alignment vertical="center"/>
    </xf>
    <xf numFmtId="0" fontId="0" fillId="0" borderId="1" xfId="0" applyFill="1" applyBorder="1" applyAlignment="1">
      <alignment vertical="center"/>
    </xf>
    <xf numFmtId="0" fontId="9" fillId="0" borderId="1" xfId="0" applyFont="1" applyFill="1" applyBorder="1" applyAlignment="1">
      <alignment vertical="center" wrapText="1"/>
    </xf>
    <xf numFmtId="0" fontId="143" fillId="31" borderId="2" xfId="0" applyFont="1" applyFill="1" applyBorder="1" applyAlignment="1">
      <alignment horizontal="center" vertical="center" wrapText="1"/>
    </xf>
    <xf numFmtId="166" fontId="8" fillId="0" borderId="1" xfId="2" applyNumberFormat="1" applyFont="1" applyFill="1" applyBorder="1" applyAlignment="1" applyProtection="1">
      <alignment horizontal="center" vertical="center"/>
      <protection locked="0"/>
    </xf>
    <xf numFmtId="167" fontId="25" fillId="0" borderId="1" xfId="0" applyNumberFormat="1" applyFont="1" applyFill="1" applyBorder="1" applyAlignment="1" applyProtection="1">
      <alignment horizontal="center" vertical="center"/>
      <protection locked="0"/>
    </xf>
    <xf numFmtId="164" fontId="13" fillId="0" borderId="1" xfId="0" applyNumberFormat="1" applyFont="1" applyFill="1" applyBorder="1" applyAlignment="1" applyProtection="1">
      <alignment horizontal="center" vertical="center"/>
      <protection locked="0"/>
    </xf>
    <xf numFmtId="0" fontId="1" fillId="14" borderId="1" xfId="0" applyFont="1" applyFill="1" applyBorder="1" applyAlignment="1">
      <alignment horizontal="center"/>
    </xf>
    <xf numFmtId="0" fontId="1" fillId="32" borderId="1" xfId="0" applyFont="1" applyFill="1" applyBorder="1" applyAlignment="1">
      <alignment horizontal="center"/>
    </xf>
    <xf numFmtId="0" fontId="0" fillId="19" borderId="5" xfId="0" applyFill="1" applyBorder="1" applyAlignment="1">
      <alignment vertical="center"/>
    </xf>
    <xf numFmtId="164" fontId="9" fillId="20" borderId="2" xfId="0" applyNumberFormat="1" applyFont="1" applyFill="1" applyBorder="1" applyAlignment="1" applyProtection="1">
      <alignment horizontal="center" vertical="center" wrapText="1"/>
      <protection locked="0"/>
    </xf>
    <xf numFmtId="0" fontId="0" fillId="19" borderId="1" xfId="0" applyFill="1" applyBorder="1" applyAlignment="1">
      <alignment vertical="center"/>
    </xf>
    <xf numFmtId="0" fontId="92" fillId="14" borderId="1" xfId="0" applyFont="1" applyFill="1" applyBorder="1" applyAlignment="1" applyProtection="1">
      <alignment horizontal="left" vertical="center"/>
      <protection locked="0"/>
    </xf>
    <xf numFmtId="0" fontId="13" fillId="29" borderId="1" xfId="0" applyFont="1" applyFill="1" applyBorder="1" applyAlignment="1">
      <alignment horizontal="center" vertical="center" wrapText="1"/>
    </xf>
    <xf numFmtId="0" fontId="5" fillId="0" borderId="1" xfId="0" applyFont="1" applyFill="1" applyBorder="1" applyAlignment="1">
      <alignment vertical="center"/>
    </xf>
    <xf numFmtId="166" fontId="41" fillId="0" borderId="0" xfId="2" applyNumberFormat="1" applyFont="1" applyBorder="1" applyAlignment="1">
      <alignment horizontal="center" vertical="center"/>
    </xf>
    <xf numFmtId="9" fontId="23" fillId="0" borderId="1" xfId="2" applyFont="1" applyBorder="1" applyAlignment="1">
      <alignment horizontal="center" vertical="center"/>
    </xf>
    <xf numFmtId="0" fontId="145" fillId="17" borderId="1" xfId="0" applyFont="1" applyFill="1" applyBorder="1" applyAlignment="1">
      <alignment vertical="center"/>
    </xf>
    <xf numFmtId="0" fontId="8" fillId="0" borderId="15" xfId="0" applyFont="1" applyBorder="1" applyAlignment="1">
      <alignment horizontal="center" vertical="center"/>
    </xf>
    <xf numFmtId="0" fontId="1" fillId="0" borderId="15" xfId="0" applyFont="1" applyBorder="1" applyAlignment="1">
      <alignment horizontal="center" vertical="center"/>
    </xf>
    <xf numFmtId="0" fontId="146" fillId="16" borderId="1" xfId="0" applyFont="1" applyFill="1" applyBorder="1" applyAlignment="1">
      <alignment vertical="center"/>
    </xf>
    <xf numFmtId="0" fontId="147" fillId="16" borderId="1" xfId="0" applyFont="1" applyFill="1" applyBorder="1" applyAlignment="1">
      <alignment vertical="center"/>
    </xf>
    <xf numFmtId="9" fontId="145" fillId="21" borderId="1" xfId="0" applyNumberFormat="1" applyFont="1" applyFill="1" applyBorder="1" applyAlignment="1">
      <alignment horizontal="center" vertical="center"/>
    </xf>
    <xf numFmtId="164" fontId="55" fillId="21" borderId="1" xfId="0" applyNumberFormat="1" applyFont="1" applyFill="1" applyBorder="1" applyAlignment="1">
      <alignment horizontal="center" vertical="center"/>
    </xf>
    <xf numFmtId="0" fontId="145" fillId="16" borderId="1" xfId="0" applyFont="1" applyFill="1" applyBorder="1" applyAlignment="1">
      <alignment horizontal="center" vertical="center"/>
    </xf>
    <xf numFmtId="164" fontId="2" fillId="25" borderId="1" xfId="0" applyNumberFormat="1" applyFont="1" applyFill="1" applyBorder="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166" fontId="55" fillId="21" borderId="1" xfId="2" applyNumberFormat="1" applyFont="1" applyFill="1" applyBorder="1" applyAlignment="1">
      <alignment horizontal="center" vertical="center"/>
    </xf>
    <xf numFmtId="9" fontId="5" fillId="0" borderId="0" xfId="2" applyFont="1" applyAlignment="1">
      <alignment horizontal="center" vertical="center"/>
    </xf>
    <xf numFmtId="164" fontId="43" fillId="0" borderId="0" xfId="2" applyNumberFormat="1" applyFont="1" applyFill="1" applyBorder="1" applyAlignment="1">
      <alignment horizontal="center" vertical="center"/>
    </xf>
    <xf numFmtId="164" fontId="1" fillId="0" borderId="0" xfId="2" applyNumberFormat="1" applyFont="1" applyFill="1" applyAlignment="1">
      <alignment horizontal="center" vertical="center"/>
    </xf>
    <xf numFmtId="166" fontId="43" fillId="7" borderId="0" xfId="2" applyNumberFormat="1" applyFont="1" applyFill="1" applyBorder="1" applyAlignment="1">
      <alignment horizontal="center" vertical="center"/>
    </xf>
    <xf numFmtId="166" fontId="43" fillId="0" borderId="0" xfId="2" applyNumberFormat="1" applyFont="1" applyFill="1" applyBorder="1" applyAlignment="1">
      <alignment horizontal="center" vertical="center"/>
    </xf>
    <xf numFmtId="166" fontId="1" fillId="0" borderId="0" xfId="2" applyNumberFormat="1" applyFont="1" applyFill="1" applyAlignment="1">
      <alignment horizontal="center" vertical="center"/>
    </xf>
    <xf numFmtId="0" fontId="7" fillId="20" borderId="1" xfId="0" quotePrefix="1" applyFont="1" applyFill="1" applyBorder="1" applyAlignment="1" applyProtection="1">
      <alignment vertical="center" wrapText="1"/>
      <protection locked="0"/>
    </xf>
    <xf numFmtId="9" fontId="145" fillId="23" borderId="8" xfId="0" applyNumberFormat="1" applyFont="1" applyFill="1" applyBorder="1" applyAlignment="1">
      <alignment horizontal="center" vertical="center"/>
    </xf>
    <xf numFmtId="9" fontId="145" fillId="23" borderId="4" xfId="0" applyNumberFormat="1" applyFont="1" applyFill="1" applyBorder="1" applyAlignment="1">
      <alignment horizontal="center" vertical="center"/>
    </xf>
    <xf numFmtId="0" fontId="147" fillId="16" borderId="5" xfId="0" applyFont="1" applyFill="1" applyBorder="1" applyAlignment="1">
      <alignment vertical="center"/>
    </xf>
    <xf numFmtId="164" fontId="55" fillId="21" borderId="8" xfId="0" applyNumberFormat="1" applyFont="1" applyFill="1" applyBorder="1" applyAlignment="1">
      <alignment horizontal="center" vertical="center"/>
    </xf>
    <xf numFmtId="166" fontId="55" fillId="21" borderId="4" xfId="2" applyNumberFormat="1" applyFont="1" applyFill="1" applyBorder="1" applyAlignment="1">
      <alignment horizontal="center" vertical="center"/>
    </xf>
    <xf numFmtId="164" fontId="55" fillId="21" borderId="4" xfId="0" applyNumberFormat="1" applyFont="1" applyFill="1" applyBorder="1" applyAlignment="1">
      <alignment horizontal="center" vertical="center"/>
    </xf>
    <xf numFmtId="164" fontId="8" fillId="24" borderId="0" xfId="0" applyNumberFormat="1" applyFont="1" applyFill="1" applyBorder="1" applyAlignment="1">
      <alignment horizontal="center" vertical="center"/>
    </xf>
    <xf numFmtId="164" fontId="7" fillId="0" borderId="0" xfId="0" applyNumberFormat="1" applyFont="1" applyBorder="1" applyAlignment="1">
      <alignment horizontal="center" vertical="center" wrapText="1"/>
    </xf>
    <xf numFmtId="164" fontId="43" fillId="16" borderId="1" xfId="0" applyNumberFormat="1" applyFont="1" applyFill="1" applyBorder="1" applyAlignment="1">
      <alignment horizontal="center" vertical="center"/>
    </xf>
    <xf numFmtId="164" fontId="2" fillId="12" borderId="27" xfId="0" applyNumberFormat="1" applyFont="1" applyFill="1" applyBorder="1" applyAlignment="1">
      <alignment horizontal="center" vertical="center"/>
    </xf>
    <xf numFmtId="166" fontId="55" fillId="21" borderId="27" xfId="0" applyNumberFormat="1" applyFont="1" applyFill="1" applyBorder="1" applyAlignment="1">
      <alignment horizontal="center" vertical="center"/>
    </xf>
    <xf numFmtId="166" fontId="2" fillId="12" borderId="27" xfId="0" applyNumberFormat="1" applyFont="1" applyFill="1" applyBorder="1" applyAlignment="1">
      <alignment horizontal="center" vertical="center"/>
    </xf>
    <xf numFmtId="166" fontId="55" fillId="8" borderId="27" xfId="0" applyNumberFormat="1" applyFont="1" applyFill="1" applyBorder="1" applyAlignment="1">
      <alignment horizontal="center" vertical="center"/>
    </xf>
    <xf numFmtId="166" fontId="55" fillId="7" borderId="27" xfId="0" applyNumberFormat="1" applyFont="1" applyFill="1" applyBorder="1" applyAlignment="1">
      <alignment horizontal="center" vertical="center"/>
    </xf>
    <xf numFmtId="0" fontId="55" fillId="16" borderId="27" xfId="0" applyFont="1" applyFill="1" applyBorder="1" applyAlignment="1">
      <alignment horizontal="left" vertical="center" indent="1"/>
    </xf>
    <xf numFmtId="0" fontId="55" fillId="21" borderId="27" xfId="0" applyFont="1" applyFill="1" applyBorder="1" applyAlignment="1">
      <alignment horizontal="left" vertical="center" indent="1"/>
    </xf>
    <xf numFmtId="0" fontId="55" fillId="8" borderId="27" xfId="0" applyFont="1" applyFill="1" applyBorder="1" applyAlignment="1">
      <alignment horizontal="left" vertical="center" indent="1"/>
    </xf>
    <xf numFmtId="0" fontId="55" fillId="7" borderId="27" xfId="0" applyFont="1" applyFill="1" applyBorder="1" applyAlignment="1">
      <alignment horizontal="left" vertical="center" indent="1"/>
    </xf>
    <xf numFmtId="0" fontId="55" fillId="17" borderId="27" xfId="0" applyFont="1" applyFill="1" applyBorder="1" applyAlignment="1">
      <alignment horizontal="center" vertical="center"/>
    </xf>
    <xf numFmtId="0" fontId="2" fillId="19" borderId="27" xfId="0" applyFont="1" applyFill="1" applyBorder="1" applyAlignment="1">
      <alignment vertical="center"/>
    </xf>
    <xf numFmtId="9" fontId="55" fillId="12" borderId="27" xfId="2" applyFont="1" applyFill="1" applyBorder="1" applyAlignment="1">
      <alignment horizontal="center" vertical="center"/>
    </xf>
    <xf numFmtId="0" fontId="55" fillId="12" borderId="27" xfId="0" applyFont="1" applyFill="1" applyBorder="1" applyAlignment="1">
      <alignment horizontal="center" vertical="center"/>
    </xf>
    <xf numFmtId="0" fontId="22" fillId="12" borderId="27" xfId="0" applyFont="1" applyFill="1" applyBorder="1" applyAlignment="1">
      <alignment horizontal="center" vertical="center"/>
    </xf>
    <xf numFmtId="0" fontId="55" fillId="16" borderId="27" xfId="0" applyFont="1" applyFill="1" applyBorder="1" applyAlignment="1">
      <alignment vertical="center"/>
    </xf>
    <xf numFmtId="0" fontId="55" fillId="8" borderId="27" xfId="0" applyFont="1" applyFill="1" applyBorder="1" applyAlignment="1">
      <alignment vertical="center"/>
    </xf>
    <xf numFmtId="0" fontId="55" fillId="7" borderId="27" xfId="0" applyFont="1" applyFill="1" applyBorder="1" applyAlignment="1">
      <alignment vertical="center"/>
    </xf>
    <xf numFmtId="164" fontId="1" fillId="19" borderId="2" xfId="0" applyNumberFormat="1" applyFont="1" applyFill="1" applyBorder="1" applyAlignment="1">
      <alignment vertical="center" wrapText="1"/>
    </xf>
    <xf numFmtId="164" fontId="1" fillId="19" borderId="14" xfId="0" applyNumberFormat="1" applyFont="1" applyFill="1" applyBorder="1" applyAlignment="1">
      <alignment vertical="center" wrapText="1"/>
    </xf>
    <xf numFmtId="164" fontId="43" fillId="16" borderId="2" xfId="0" applyNumberFormat="1" applyFont="1" applyFill="1" applyBorder="1" applyAlignment="1">
      <alignment vertical="center"/>
    </xf>
    <xf numFmtId="164" fontId="43" fillId="16" borderId="14" xfId="0" applyNumberFormat="1" applyFont="1" applyFill="1" applyBorder="1" applyAlignment="1">
      <alignment vertical="center"/>
    </xf>
    <xf numFmtId="164" fontId="43" fillId="8" borderId="21" xfId="2" applyNumberFormat="1" applyFont="1" applyFill="1" applyBorder="1" applyAlignment="1">
      <alignment vertical="center"/>
    </xf>
    <xf numFmtId="164" fontId="43" fillId="8" borderId="22" xfId="2" applyNumberFormat="1" applyFont="1" applyFill="1" applyBorder="1" applyAlignment="1">
      <alignment vertical="center"/>
    </xf>
    <xf numFmtId="166" fontId="43" fillId="21" borderId="2" xfId="2" applyNumberFormat="1" applyFont="1" applyFill="1" applyBorder="1" applyAlignment="1">
      <alignment vertical="center"/>
    </xf>
    <xf numFmtId="166" fontId="43" fillId="21" borderId="14" xfId="2" applyNumberFormat="1" applyFont="1" applyFill="1" applyBorder="1" applyAlignment="1">
      <alignment vertical="center"/>
    </xf>
    <xf numFmtId="166" fontId="43" fillId="8" borderId="21" xfId="2" applyNumberFormat="1" applyFont="1" applyFill="1" applyBorder="1" applyAlignment="1">
      <alignment vertical="center"/>
    </xf>
    <xf numFmtId="166" fontId="43" fillId="8" borderId="22" xfId="2" applyNumberFormat="1" applyFont="1" applyFill="1" applyBorder="1" applyAlignment="1">
      <alignment vertical="center"/>
    </xf>
    <xf numFmtId="166" fontId="43" fillId="16" borderId="2" xfId="2" applyNumberFormat="1" applyFont="1" applyFill="1" applyBorder="1" applyAlignment="1">
      <alignment vertical="center"/>
    </xf>
    <xf numFmtId="166" fontId="43" fillId="16" borderId="14" xfId="2" applyNumberFormat="1" applyFont="1" applyFill="1" applyBorder="1" applyAlignment="1">
      <alignment vertical="center"/>
    </xf>
    <xf numFmtId="9" fontId="43" fillId="16" borderId="1" xfId="2" applyFont="1" applyFill="1" applyBorder="1" applyAlignment="1">
      <alignment horizontal="center" vertical="center"/>
    </xf>
    <xf numFmtId="0" fontId="145" fillId="23" borderId="1" xfId="0" applyFont="1" applyFill="1" applyBorder="1" applyAlignment="1">
      <alignment vertical="center"/>
    </xf>
    <xf numFmtId="0" fontId="146" fillId="21" borderId="1" xfId="0" applyFont="1" applyFill="1" applyBorder="1" applyAlignment="1">
      <alignment vertical="center"/>
    </xf>
    <xf numFmtId="166" fontId="13" fillId="0" borderId="0" xfId="2" applyNumberFormat="1" applyFont="1" applyFill="1" applyAlignment="1">
      <alignment horizontal="center" vertical="center"/>
    </xf>
    <xf numFmtId="166" fontId="77" fillId="0" borderId="0" xfId="0" applyNumberFormat="1" applyFont="1" applyFill="1" applyAlignment="1">
      <alignment horizontal="center" vertical="center"/>
    </xf>
    <xf numFmtId="166" fontId="7" fillId="0" borderId="0" xfId="0" applyNumberFormat="1" applyFont="1" applyAlignment="1">
      <alignment horizontal="center" vertical="center"/>
    </xf>
    <xf numFmtId="166" fontId="25" fillId="14" borderId="1" xfId="2" applyNumberFormat="1" applyFont="1" applyFill="1" applyBorder="1" applyAlignment="1" applyProtection="1">
      <alignment horizontal="center" vertical="center"/>
      <protection locked="0"/>
    </xf>
    <xf numFmtId="0" fontId="79" fillId="19" borderId="0" xfId="0" applyFont="1" applyFill="1" applyBorder="1" applyAlignment="1">
      <alignment horizontal="left" vertical="center" indent="1"/>
    </xf>
    <xf numFmtId="0" fontId="43" fillId="23" borderId="1" xfId="0" applyFont="1" applyFill="1" applyBorder="1" applyAlignment="1">
      <alignment vertical="center"/>
    </xf>
    <xf numFmtId="164" fontId="43" fillId="23" borderId="1" xfId="0" applyNumberFormat="1" applyFont="1" applyFill="1" applyBorder="1" applyAlignment="1">
      <alignment horizontal="center" vertical="center"/>
    </xf>
    <xf numFmtId="0" fontId="54" fillId="23" borderId="1" xfId="0" applyFont="1" applyFill="1" applyBorder="1" applyAlignment="1">
      <alignment vertical="center"/>
    </xf>
    <xf numFmtId="166" fontId="25" fillId="27" borderId="1" xfId="2" applyNumberFormat="1" applyFont="1" applyFill="1" applyBorder="1" applyAlignment="1">
      <alignment horizontal="center" vertical="center"/>
    </xf>
    <xf numFmtId="0" fontId="27" fillId="19" borderId="9" xfId="0" applyFont="1" applyFill="1" applyBorder="1" applyAlignment="1">
      <alignment vertical="center" wrapText="1"/>
    </xf>
    <xf numFmtId="0" fontId="27" fillId="19" borderId="0" xfId="0" applyFont="1" applyFill="1" applyBorder="1" applyAlignment="1">
      <alignment vertical="center" wrapText="1"/>
    </xf>
    <xf numFmtId="0" fontId="27" fillId="19" borderId="15" xfId="0" applyFont="1" applyFill="1" applyBorder="1" applyAlignment="1">
      <alignment vertical="center" wrapText="1"/>
    </xf>
    <xf numFmtId="0" fontId="10" fillId="19" borderId="9" xfId="0" applyFont="1" applyFill="1" applyBorder="1" applyAlignment="1">
      <alignment vertical="center"/>
    </xf>
    <xf numFmtId="0" fontId="37" fillId="19" borderId="0" xfId="0" applyFont="1" applyFill="1" applyAlignment="1">
      <alignment horizontal="left" vertical="center" indent="1"/>
    </xf>
    <xf numFmtId="9" fontId="7" fillId="27" borderId="1" xfId="2" applyFont="1" applyFill="1" applyBorder="1" applyAlignment="1" applyProtection="1">
      <alignment horizontal="center" vertical="center"/>
      <protection locked="0"/>
    </xf>
    <xf numFmtId="164" fontId="7" fillId="27" borderId="5" xfId="2" applyNumberFormat="1" applyFont="1" applyFill="1" applyBorder="1" applyAlignment="1" applyProtection="1">
      <alignment horizontal="center" vertical="center"/>
      <protection locked="0"/>
    </xf>
    <xf numFmtId="164" fontId="7" fillId="0" borderId="0" xfId="0" applyNumberFormat="1" applyFont="1"/>
    <xf numFmtId="10" fontId="54" fillId="17" borderId="1" xfId="2" applyNumberFormat="1" applyFont="1" applyFill="1" applyBorder="1" applyAlignment="1">
      <alignment horizontal="center" vertical="center"/>
    </xf>
    <xf numFmtId="9" fontId="145" fillId="21" borderId="1" xfId="0" applyNumberFormat="1" applyFont="1" applyFill="1" applyBorder="1" applyAlignment="1">
      <alignment horizontal="center" vertical="center" wrapText="1"/>
    </xf>
    <xf numFmtId="166" fontId="55" fillId="8" borderId="1" xfId="2" applyNumberFormat="1" applyFont="1" applyFill="1" applyBorder="1" applyAlignment="1">
      <alignment horizontal="center" vertical="center"/>
    </xf>
    <xf numFmtId="166" fontId="55" fillId="7" borderId="1" xfId="2" applyNumberFormat="1" applyFont="1" applyFill="1" applyBorder="1" applyAlignment="1">
      <alignment horizontal="center" vertical="center"/>
    </xf>
    <xf numFmtId="0" fontId="152" fillId="8" borderId="1" xfId="0" applyFont="1" applyFill="1" applyBorder="1" applyAlignment="1">
      <alignment horizontal="center" vertical="center"/>
    </xf>
    <xf numFmtId="166" fontId="74" fillId="8" borderId="1" xfId="2" applyNumberFormat="1" applyFont="1" applyFill="1" applyBorder="1" applyAlignment="1">
      <alignment horizontal="center" vertical="center"/>
    </xf>
    <xf numFmtId="0" fontId="22" fillId="0" borderId="0" xfId="0" applyFont="1" applyFill="1" applyBorder="1" applyAlignment="1">
      <alignment horizontal="center" vertical="center"/>
    </xf>
    <xf numFmtId="0" fontId="153" fillId="7" borderId="5" xfId="0" applyFont="1" applyFill="1" applyBorder="1" applyAlignment="1">
      <alignment vertical="center"/>
    </xf>
    <xf numFmtId="164" fontId="74" fillId="7" borderId="8" xfId="0" applyNumberFormat="1" applyFont="1" applyFill="1" applyBorder="1" applyAlignment="1">
      <alignment horizontal="center" vertical="center"/>
    </xf>
    <xf numFmtId="164" fontId="74" fillId="7" borderId="4" xfId="0" applyNumberFormat="1" applyFont="1" applyFill="1" applyBorder="1" applyAlignment="1">
      <alignment horizontal="center" vertical="center"/>
    </xf>
    <xf numFmtId="164" fontId="1" fillId="0" borderId="1" xfId="1" applyNumberFormat="1" applyFont="1" applyBorder="1" applyAlignment="1">
      <alignment horizontal="center" vertical="center"/>
    </xf>
    <xf numFmtId="0" fontId="145" fillId="17" borderId="9" xfId="0" applyFont="1" applyFill="1" applyBorder="1" applyAlignment="1">
      <alignment vertical="center"/>
    </xf>
    <xf numFmtId="164" fontId="55" fillId="8" borderId="1" xfId="0" applyNumberFormat="1" applyFont="1" applyFill="1" applyBorder="1" applyAlignment="1">
      <alignment horizontal="center" vertical="center"/>
    </xf>
    <xf numFmtId="164" fontId="131" fillId="17" borderId="0" xfId="0" applyNumberFormat="1" applyFont="1" applyFill="1" applyAlignment="1">
      <alignment horizontal="left"/>
    </xf>
    <xf numFmtId="0" fontId="78" fillId="17" borderId="0" xfId="0" applyFont="1" applyFill="1" applyAlignment="1">
      <alignment horizontal="left" indent="2"/>
    </xf>
    <xf numFmtId="0" fontId="89" fillId="17" borderId="0" xfId="0" applyFont="1" applyFill="1" applyAlignment="1">
      <alignment horizontal="left" vertical="top" indent="3"/>
    </xf>
    <xf numFmtId="0" fontId="131" fillId="17" borderId="0" xfId="0" applyFont="1" applyFill="1" applyAlignment="1">
      <alignment horizontal="left" indent="3"/>
    </xf>
    <xf numFmtId="166" fontId="43" fillId="26" borderId="42" xfId="2" applyNumberFormat="1" applyFont="1" applyFill="1" applyBorder="1" applyAlignment="1">
      <alignment horizontal="center" vertical="center"/>
    </xf>
    <xf numFmtId="166" fontId="43" fillId="16" borderId="43" xfId="2" applyNumberFormat="1" applyFont="1" applyFill="1" applyBorder="1" applyAlignment="1">
      <alignment horizontal="center" vertical="center" wrapText="1"/>
    </xf>
    <xf numFmtId="164" fontId="43" fillId="26" borderId="42" xfId="2" applyNumberFormat="1" applyFont="1" applyFill="1" applyBorder="1" applyAlignment="1">
      <alignment horizontal="center" vertical="center"/>
    </xf>
    <xf numFmtId="164" fontId="43" fillId="16" borderId="43" xfId="0" applyNumberFormat="1" applyFont="1" applyFill="1" applyBorder="1" applyAlignment="1">
      <alignment horizontal="center" vertical="center" wrapText="1"/>
    </xf>
    <xf numFmtId="164" fontId="43" fillId="34" borderId="50" xfId="2" applyNumberFormat="1" applyFont="1" applyFill="1" applyBorder="1" applyAlignment="1">
      <alignment horizontal="center" vertical="center"/>
    </xf>
    <xf numFmtId="164" fontId="43" fillId="33" borderId="35" xfId="2" applyNumberFormat="1" applyFont="1" applyFill="1" applyBorder="1" applyAlignment="1">
      <alignment horizontal="center" vertical="center"/>
    </xf>
    <xf numFmtId="166" fontId="43" fillId="33" borderId="35" xfId="2" applyNumberFormat="1" applyFont="1" applyFill="1" applyBorder="1" applyAlignment="1">
      <alignment horizontal="center" vertical="center"/>
    </xf>
    <xf numFmtId="9" fontId="1" fillId="0" borderId="0" xfId="2" applyFont="1" applyAlignment="1">
      <alignment horizontal="center" vertical="center"/>
    </xf>
    <xf numFmtId="10" fontId="1" fillId="0" borderId="0" xfId="2" applyNumberFormat="1" applyFont="1" applyAlignment="1">
      <alignment horizontal="center" vertical="center"/>
    </xf>
    <xf numFmtId="10" fontId="43" fillId="7" borderId="0" xfId="2" applyNumberFormat="1" applyFont="1" applyFill="1" applyBorder="1" applyAlignment="1">
      <alignment horizontal="center" vertical="center"/>
    </xf>
    <xf numFmtId="10" fontId="43" fillId="0" borderId="0" xfId="2" applyNumberFormat="1" applyFont="1" applyFill="1" applyBorder="1" applyAlignment="1">
      <alignment horizontal="center" vertical="center"/>
    </xf>
    <xf numFmtId="164" fontId="43" fillId="34" borderId="0" xfId="2" applyNumberFormat="1" applyFont="1" applyFill="1" applyBorder="1" applyAlignment="1">
      <alignment horizontal="center" vertical="center"/>
    </xf>
    <xf numFmtId="0" fontId="131" fillId="17" borderId="0" xfId="0" applyFont="1" applyFill="1"/>
    <xf numFmtId="164" fontId="50" fillId="26" borderId="1" xfId="0" applyNumberFormat="1" applyFont="1" applyFill="1" applyBorder="1" applyAlignment="1">
      <alignment horizontal="center" vertical="center"/>
    </xf>
    <xf numFmtId="164" fontId="50" fillId="33" borderId="1" xfId="0" applyNumberFormat="1" applyFont="1" applyFill="1" applyBorder="1" applyAlignment="1">
      <alignment horizontal="center" vertical="center"/>
    </xf>
    <xf numFmtId="164" fontId="154" fillId="0" borderId="0" xfId="0" applyNumberFormat="1" applyFont="1" applyFill="1" applyAlignment="1">
      <alignment horizontal="center" vertical="center"/>
    </xf>
    <xf numFmtId="164" fontId="155" fillId="0" borderId="0" xfId="0" applyNumberFormat="1" applyFont="1" applyFill="1" applyAlignment="1">
      <alignment horizontal="center" vertical="center"/>
    </xf>
    <xf numFmtId="164" fontId="154" fillId="0" borderId="0" xfId="2" applyNumberFormat="1" applyFont="1" applyFill="1" applyAlignment="1">
      <alignment horizontal="center" vertical="center"/>
    </xf>
    <xf numFmtId="164" fontId="154" fillId="0" borderId="0" xfId="2" applyNumberFormat="1" applyFont="1" applyFill="1" applyAlignment="1">
      <alignment vertical="center"/>
    </xf>
    <xf numFmtId="164" fontId="154" fillId="0" borderId="0" xfId="2" applyNumberFormat="1" applyFont="1" applyAlignment="1">
      <alignment horizontal="center" vertical="center"/>
    </xf>
    <xf numFmtId="166" fontId="154" fillId="0" borderId="0" xfId="2" applyNumberFormat="1" applyFont="1" applyFill="1" applyAlignment="1">
      <alignment horizontal="left" vertical="center"/>
    </xf>
    <xf numFmtId="166" fontId="99" fillId="0" borderId="0" xfId="2" applyNumberFormat="1" applyFont="1" applyAlignment="1">
      <alignment horizontal="left" vertical="center"/>
    </xf>
    <xf numFmtId="166" fontId="99" fillId="0" borderId="0" xfId="2" applyNumberFormat="1" applyFont="1" applyAlignment="1">
      <alignment horizontal="center" vertical="center"/>
    </xf>
    <xf numFmtId="164" fontId="99" fillId="0" borderId="0" xfId="2" applyNumberFormat="1" applyFont="1" applyAlignment="1">
      <alignment horizontal="center" vertical="center"/>
    </xf>
    <xf numFmtId="164" fontId="50" fillId="33" borderId="35" xfId="0" applyNumberFormat="1" applyFont="1" applyFill="1" applyBorder="1" applyAlignment="1">
      <alignment horizontal="center" vertical="center"/>
    </xf>
    <xf numFmtId="164" fontId="50" fillId="26" borderId="42" xfId="0" applyNumberFormat="1" applyFont="1" applyFill="1" applyBorder="1" applyAlignment="1">
      <alignment horizontal="center" vertical="center"/>
    </xf>
    <xf numFmtId="10" fontId="43" fillId="33" borderId="35" xfId="2" applyNumberFormat="1" applyFont="1" applyFill="1" applyBorder="1" applyAlignment="1">
      <alignment horizontal="center" vertical="center"/>
    </xf>
    <xf numFmtId="10" fontId="43" fillId="26" borderId="42" xfId="2" applyNumberFormat="1" applyFont="1" applyFill="1" applyBorder="1" applyAlignment="1">
      <alignment horizontal="center" vertical="center"/>
    </xf>
    <xf numFmtId="9" fontId="154" fillId="0" borderId="0" xfId="2" applyFont="1" applyFill="1" applyAlignment="1">
      <alignment horizontal="center" vertical="center"/>
    </xf>
    <xf numFmtId="166" fontId="154" fillId="0" borderId="0" xfId="2" applyNumberFormat="1" applyFont="1" applyFill="1" applyAlignment="1">
      <alignment horizontal="center" vertical="center"/>
    </xf>
    <xf numFmtId="166" fontId="154" fillId="0" borderId="0" xfId="2" applyNumberFormat="1" applyFont="1" applyFill="1" applyAlignment="1">
      <alignment vertical="center"/>
    </xf>
    <xf numFmtId="166" fontId="154" fillId="0" borderId="0" xfId="2" applyNumberFormat="1" applyFont="1" applyAlignment="1">
      <alignment horizontal="center" vertical="center"/>
    </xf>
    <xf numFmtId="166" fontId="99" fillId="0" borderId="1" xfId="2" applyNumberFormat="1" applyFont="1" applyBorder="1" applyAlignment="1">
      <alignment horizontal="center" vertical="center"/>
    </xf>
    <xf numFmtId="0" fontId="0" fillId="17" borderId="0" xfId="0" applyFill="1" applyProtection="1"/>
    <xf numFmtId="164" fontId="7" fillId="0" borderId="0" xfId="0" applyNumberFormat="1" applyFont="1" applyAlignment="1" applyProtection="1">
      <alignment vertical="center"/>
      <protection locked="0"/>
    </xf>
    <xf numFmtId="164" fontId="7" fillId="0" borderId="1" xfId="0" applyNumberFormat="1"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109" fillId="17" borderId="23" xfId="0" applyFont="1" applyFill="1" applyBorder="1" applyAlignment="1">
      <alignment vertical="top" wrapText="1"/>
    </xf>
    <xf numFmtId="0" fontId="50" fillId="21" borderId="5" xfId="0" applyFont="1" applyFill="1" applyBorder="1" applyAlignment="1">
      <alignment horizontal="center" vertical="center"/>
    </xf>
    <xf numFmtId="10" fontId="50" fillId="21" borderId="1" xfId="0" applyNumberFormat="1" applyFont="1" applyFill="1" applyBorder="1" applyAlignment="1" applyProtection="1">
      <alignment horizontal="center" vertical="center"/>
      <protection locked="0"/>
    </xf>
    <xf numFmtId="0" fontId="7" fillId="31" borderId="1" xfId="0" applyFont="1" applyFill="1" applyBorder="1" applyAlignment="1" applyProtection="1">
      <alignment horizontal="center" vertical="center"/>
      <protection locked="0"/>
    </xf>
    <xf numFmtId="3" fontId="7" fillId="31" borderId="1" xfId="0" applyNumberFormat="1" applyFont="1" applyFill="1" applyBorder="1" applyAlignment="1" applyProtection="1">
      <alignment horizontal="center" vertical="center"/>
      <protection locked="0"/>
    </xf>
    <xf numFmtId="164" fontId="7" fillId="31" borderId="1" xfId="0" applyNumberFormat="1" applyFont="1" applyFill="1" applyBorder="1" applyAlignment="1" applyProtection="1">
      <alignment horizontal="center" vertical="center"/>
      <protection locked="0"/>
    </xf>
    <xf numFmtId="0" fontId="7" fillId="31" borderId="5" xfId="0" applyFont="1" applyFill="1" applyBorder="1" applyAlignment="1" applyProtection="1">
      <alignment vertical="center"/>
      <protection locked="0"/>
    </xf>
    <xf numFmtId="0" fontId="7" fillId="31" borderId="8" xfId="0" applyFont="1" applyFill="1" applyBorder="1" applyAlignment="1" applyProtection="1">
      <alignment vertical="center"/>
      <protection locked="0"/>
    </xf>
    <xf numFmtId="0" fontId="7" fillId="31" borderId="4" xfId="0" applyFont="1" applyFill="1" applyBorder="1" applyAlignment="1" applyProtection="1">
      <alignment horizontal="left" vertical="center"/>
      <protection locked="0"/>
    </xf>
    <xf numFmtId="0" fontId="7" fillId="31" borderId="4" xfId="0" applyFont="1" applyFill="1" applyBorder="1" applyAlignment="1" applyProtection="1">
      <alignment vertical="center"/>
      <protection locked="0"/>
    </xf>
    <xf numFmtId="0" fontId="7" fillId="31" borderId="1" xfId="0" applyFont="1" applyFill="1" applyBorder="1" applyAlignment="1" applyProtection="1">
      <alignment vertical="center"/>
      <protection locked="0"/>
    </xf>
    <xf numFmtId="0" fontId="7" fillId="31" borderId="8" xfId="0" applyFont="1" applyFill="1" applyBorder="1" applyAlignment="1" applyProtection="1">
      <alignment vertical="center" wrapText="1"/>
      <protection locked="0"/>
    </xf>
    <xf numFmtId="0" fontId="0" fillId="31" borderId="8" xfId="0" applyFill="1" applyBorder="1" applyAlignment="1" applyProtection="1">
      <alignment vertical="center"/>
      <protection locked="0"/>
    </xf>
    <xf numFmtId="0" fontId="0" fillId="31" borderId="4" xfId="0" applyFill="1" applyBorder="1" applyAlignment="1">
      <alignment vertical="center"/>
    </xf>
    <xf numFmtId="0" fontId="150" fillId="19" borderId="9" xfId="0" applyFont="1" applyFill="1" applyBorder="1" applyAlignment="1">
      <alignment vertical="top" wrapText="1"/>
    </xf>
    <xf numFmtId="0" fontId="150" fillId="19" borderId="15" xfId="0" applyFont="1" applyFill="1" applyBorder="1" applyAlignment="1">
      <alignment vertical="top" wrapText="1"/>
    </xf>
    <xf numFmtId="0" fontId="151" fillId="19" borderId="9" xfId="0" applyFont="1" applyFill="1" applyBorder="1" applyAlignment="1">
      <alignment vertical="top" wrapText="1"/>
    </xf>
    <xf numFmtId="0" fontId="151" fillId="19" borderId="0" xfId="0" applyFont="1" applyFill="1" applyBorder="1" applyAlignment="1">
      <alignment vertical="top" wrapText="1"/>
    </xf>
    <xf numFmtId="0" fontId="151" fillId="19" borderId="15" xfId="0" applyFont="1" applyFill="1" applyBorder="1" applyAlignment="1">
      <alignment vertical="top" wrapText="1"/>
    </xf>
    <xf numFmtId="0" fontId="50" fillId="35" borderId="4" xfId="0" applyFont="1" applyFill="1" applyBorder="1" applyAlignment="1">
      <alignment vertical="center"/>
    </xf>
    <xf numFmtId="165" fontId="8" fillId="35" borderId="1" xfId="0" applyNumberFormat="1" applyFont="1" applyFill="1" applyBorder="1" applyAlignment="1">
      <alignment horizontal="center" vertical="center"/>
    </xf>
    <xf numFmtId="0" fontId="50" fillId="35" borderId="1" xfId="0" applyFont="1" applyFill="1" applyBorder="1" applyAlignment="1">
      <alignment vertical="center"/>
    </xf>
    <xf numFmtId="164" fontId="11" fillId="0" borderId="0" xfId="0" applyNumberFormat="1" applyFont="1" applyAlignment="1">
      <alignment vertical="center"/>
    </xf>
    <xf numFmtId="0" fontId="11" fillId="0" borderId="0" xfId="0" applyFont="1" applyAlignment="1">
      <alignment horizontal="center" vertical="center"/>
    </xf>
    <xf numFmtId="0" fontId="54" fillId="0" borderId="0" xfId="0" applyFont="1" applyAlignment="1">
      <alignment horizontal="center" vertical="center"/>
    </xf>
    <xf numFmtId="0" fontId="157" fillId="0" borderId="0" xfId="0" applyFont="1" applyFill="1" applyAlignment="1">
      <alignment vertical="center"/>
    </xf>
    <xf numFmtId="0" fontId="158" fillId="0" borderId="0" xfId="0" applyFont="1" applyAlignment="1">
      <alignment vertical="center"/>
    </xf>
    <xf numFmtId="0" fontId="159" fillId="0" borderId="0" xfId="0" applyFont="1" applyAlignment="1">
      <alignment vertical="center"/>
    </xf>
    <xf numFmtId="0" fontId="31" fillId="0" borderId="0" xfId="0" applyFont="1" applyAlignment="1">
      <alignment horizontal="center" vertical="center"/>
    </xf>
    <xf numFmtId="0" fontId="23" fillId="0" borderId="0" xfId="0" applyFont="1"/>
    <xf numFmtId="0" fontId="23" fillId="0" borderId="0" xfId="0" applyFont="1" applyAlignment="1">
      <alignment horizontal="center" vertical="center"/>
    </xf>
    <xf numFmtId="0" fontId="41" fillId="0" borderId="0" xfId="0" applyFont="1"/>
    <xf numFmtId="164" fontId="11" fillId="36" borderId="1" xfId="0" applyNumberFormat="1" applyFont="1" applyFill="1" applyBorder="1" applyAlignment="1">
      <alignment horizontal="center" vertical="center"/>
    </xf>
    <xf numFmtId="168" fontId="11" fillId="0" borderId="0" xfId="1" applyNumberFormat="1" applyFont="1" applyAlignment="1">
      <alignment horizontal="center" vertical="center"/>
    </xf>
    <xf numFmtId="168" fontId="11" fillId="0" borderId="0" xfId="1" applyNumberFormat="1" applyFont="1" applyAlignment="1">
      <alignment vertical="center"/>
    </xf>
    <xf numFmtId="168" fontId="7" fillId="0" borderId="0" xfId="1" applyNumberFormat="1" applyFont="1"/>
    <xf numFmtId="164" fontId="11" fillId="0" borderId="0" xfId="0" applyNumberFormat="1" applyFont="1" applyAlignment="1">
      <alignment horizontal="center" vertical="center"/>
    </xf>
    <xf numFmtId="164" fontId="11" fillId="0" borderId="11" xfId="0" applyNumberFormat="1" applyFont="1" applyFill="1" applyBorder="1" applyAlignment="1">
      <alignment horizontal="center" vertical="center" wrapText="1"/>
    </xf>
    <xf numFmtId="164" fontId="0" fillId="19" borderId="0" xfId="0" applyNumberFormat="1" applyFill="1" applyAlignment="1">
      <alignment vertical="center"/>
    </xf>
    <xf numFmtId="166" fontId="0" fillId="19" borderId="0" xfId="2" applyNumberFormat="1" applyFont="1" applyFill="1" applyAlignment="1">
      <alignment horizontal="center" vertical="center"/>
    </xf>
    <xf numFmtId="164" fontId="0" fillId="0" borderId="0" xfId="0" applyNumberFormat="1" applyAlignment="1">
      <alignment horizontal="center" vertical="center"/>
    </xf>
    <xf numFmtId="9" fontId="7" fillId="0" borderId="0" xfId="2" applyFont="1" applyAlignment="1">
      <alignment horizontal="center"/>
    </xf>
    <xf numFmtId="164" fontId="22" fillId="14" borderId="1" xfId="0" applyNumberFormat="1" applyFont="1" applyFill="1" applyBorder="1" applyAlignment="1">
      <alignment horizontal="center" vertical="center"/>
    </xf>
    <xf numFmtId="166" fontId="22" fillId="14" borderId="1" xfId="2" applyNumberFormat="1" applyFont="1" applyFill="1" applyBorder="1" applyAlignment="1">
      <alignment horizontal="center" vertical="center"/>
    </xf>
    <xf numFmtId="164" fontId="2" fillId="14" borderId="1" xfId="0" applyNumberFormat="1" applyFont="1" applyFill="1" applyBorder="1" applyAlignment="1">
      <alignment horizontal="center" vertical="center"/>
    </xf>
    <xf numFmtId="166" fontId="8" fillId="0" borderId="0" xfId="0" applyNumberFormat="1" applyFont="1" applyAlignment="1">
      <alignment vertical="center"/>
    </xf>
    <xf numFmtId="166" fontId="2" fillId="14" borderId="1" xfId="2" applyNumberFormat="1" applyFont="1" applyFill="1" applyBorder="1" applyAlignment="1">
      <alignment horizontal="center" vertical="center"/>
    </xf>
    <xf numFmtId="164" fontId="25" fillId="37" borderId="1" xfId="2" applyNumberFormat="1" applyFont="1" applyFill="1" applyBorder="1" applyAlignment="1">
      <alignment horizontal="center" vertical="center"/>
    </xf>
    <xf numFmtId="9" fontId="0" fillId="0" borderId="0" xfId="2" applyFont="1" applyAlignment="1">
      <alignment horizontal="center" vertical="center"/>
    </xf>
    <xf numFmtId="0" fontId="7" fillId="0" borderId="5" xfId="0" applyFont="1" applyFill="1" applyBorder="1" applyAlignment="1" applyProtection="1">
      <alignment vertical="center"/>
      <protection locked="0"/>
    </xf>
    <xf numFmtId="165" fontId="7" fillId="14" borderId="1" xfId="0" applyNumberFormat="1" applyFont="1" applyFill="1" applyBorder="1" applyAlignment="1" applyProtection="1">
      <alignment horizontal="center" vertical="center"/>
      <protection locked="0"/>
    </xf>
    <xf numFmtId="9" fontId="23" fillId="0" borderId="0" xfId="2" applyFont="1" applyAlignment="1">
      <alignment horizontal="center" vertical="center"/>
    </xf>
    <xf numFmtId="164" fontId="0" fillId="0" borderId="0" xfId="0" applyNumberFormat="1" applyFont="1" applyFill="1" applyAlignment="1">
      <alignment vertical="center"/>
    </xf>
    <xf numFmtId="0" fontId="5" fillId="29" borderId="1" xfId="0" applyFont="1" applyFill="1" applyBorder="1" applyAlignment="1">
      <alignment vertical="center"/>
    </xf>
    <xf numFmtId="165" fontId="8" fillId="0" borderId="2" xfId="0" applyNumberFormat="1" applyFont="1" applyFill="1" applyBorder="1" applyAlignment="1">
      <alignment horizontal="center" vertical="center" wrapText="1"/>
    </xf>
    <xf numFmtId="10" fontId="8" fillId="0" borderId="2" xfId="0" applyNumberFormat="1" applyFont="1" applyFill="1" applyBorder="1" applyAlignment="1">
      <alignment horizontal="center" vertical="center" wrapText="1"/>
    </xf>
    <xf numFmtId="0" fontId="1" fillId="0" borderId="0" xfId="0" applyFont="1" applyAlignment="1">
      <alignment horizontal="right" vertical="center"/>
    </xf>
    <xf numFmtId="166" fontId="43" fillId="8" borderId="1" xfId="2" applyNumberFormat="1" applyFont="1" applyFill="1" applyBorder="1" applyAlignment="1">
      <alignment horizontal="center" vertical="center"/>
    </xf>
    <xf numFmtId="164" fontId="8" fillId="0" borderId="8" xfId="0" applyNumberFormat="1" applyFont="1" applyFill="1" applyBorder="1" applyAlignment="1">
      <alignment vertical="center" wrapText="1"/>
    </xf>
    <xf numFmtId="0" fontId="8" fillId="0" borderId="8" xfId="0" applyFont="1" applyFill="1" applyBorder="1" applyAlignment="1">
      <alignment vertical="center" wrapText="1"/>
    </xf>
    <xf numFmtId="167" fontId="8" fillId="21" borderId="1" xfId="2" applyNumberFormat="1" applyFont="1" applyFill="1" applyBorder="1" applyAlignment="1">
      <alignment horizontal="center" vertical="center"/>
    </xf>
    <xf numFmtId="165" fontId="8" fillId="14" borderId="1" xfId="0" applyNumberFormat="1" applyFont="1" applyFill="1" applyBorder="1" applyAlignment="1" applyProtection="1">
      <alignment horizontal="center" vertical="center"/>
      <protection locked="0"/>
    </xf>
    <xf numFmtId="165" fontId="25" fillId="0" borderId="1" xfId="0" applyNumberFormat="1" applyFont="1" applyFill="1" applyBorder="1" applyAlignment="1" applyProtection="1">
      <alignment horizontal="center" vertical="center"/>
      <protection locked="0"/>
    </xf>
    <xf numFmtId="165" fontId="8" fillId="21" borderId="1" xfId="2" applyNumberFormat="1" applyFont="1" applyFill="1" applyBorder="1" applyAlignment="1">
      <alignment horizontal="center" vertical="center"/>
    </xf>
    <xf numFmtId="166" fontId="7" fillId="14" borderId="1" xfId="2" applyNumberFormat="1" applyFont="1" applyFill="1" applyBorder="1" applyAlignment="1" applyProtection="1">
      <alignment horizontal="center" vertical="center"/>
      <protection locked="0"/>
    </xf>
    <xf numFmtId="164" fontId="7" fillId="31" borderId="1" xfId="2" applyNumberFormat="1" applyFont="1" applyFill="1" applyBorder="1" applyAlignment="1" applyProtection="1">
      <alignment horizontal="center" vertical="center"/>
      <protection locked="0"/>
    </xf>
    <xf numFmtId="0" fontId="13" fillId="37" borderId="2" xfId="0" applyFont="1" applyFill="1" applyBorder="1" applyAlignment="1">
      <alignment horizontal="center" vertical="center" wrapText="1"/>
    </xf>
    <xf numFmtId="164" fontId="13" fillId="37" borderId="1" xfId="2" applyNumberFormat="1" applyFont="1" applyFill="1" applyBorder="1" applyAlignment="1">
      <alignment horizontal="center" vertical="center"/>
    </xf>
    <xf numFmtId="166" fontId="25" fillId="3" borderId="1" xfId="2" applyNumberFormat="1" applyFont="1" applyFill="1" applyBorder="1" applyAlignment="1">
      <alignment horizontal="center" vertical="center"/>
    </xf>
    <xf numFmtId="9" fontId="2" fillId="14" borderId="1" xfId="2" applyFont="1" applyFill="1" applyBorder="1" applyAlignment="1">
      <alignment horizontal="center" vertical="center"/>
    </xf>
    <xf numFmtId="9" fontId="55" fillId="21" borderId="1" xfId="2" applyFont="1" applyFill="1" applyBorder="1" applyAlignment="1">
      <alignment horizontal="center" vertical="center"/>
    </xf>
    <xf numFmtId="0" fontId="8" fillId="0" borderId="1" xfId="0" applyFont="1" applyBorder="1" applyAlignment="1">
      <alignment horizontal="center" vertical="center"/>
    </xf>
    <xf numFmtId="170" fontId="8" fillId="0" borderId="0" xfId="0" applyNumberFormat="1" applyFont="1" applyBorder="1" applyAlignment="1">
      <alignment vertical="center"/>
    </xf>
    <xf numFmtId="166" fontId="2" fillId="14" borderId="1" xfId="2" applyNumberFormat="1" applyFont="1" applyFill="1" applyBorder="1" applyAlignment="1">
      <alignment horizontal="center" vertical="center" wrapText="1"/>
    </xf>
    <xf numFmtId="0" fontId="2" fillId="0" borderId="15" xfId="0" applyFont="1" applyBorder="1" applyAlignment="1">
      <alignment horizontal="center" vertical="center"/>
    </xf>
    <xf numFmtId="164" fontId="2" fillId="0" borderId="0" xfId="0" applyNumberFormat="1" applyFont="1" applyAlignment="1">
      <alignment vertical="center"/>
    </xf>
    <xf numFmtId="164" fontId="147" fillId="16" borderId="1" xfId="0" applyNumberFormat="1" applyFont="1" applyFill="1" applyBorder="1" applyAlignment="1">
      <alignment horizontal="center" vertical="center"/>
    </xf>
    <xf numFmtId="9" fontId="22" fillId="0" borderId="1" xfId="2" applyFont="1" applyFill="1" applyBorder="1" applyAlignment="1">
      <alignment horizontal="center" vertical="center"/>
    </xf>
    <xf numFmtId="0" fontId="145" fillId="16" borderId="1" xfId="0" applyFont="1" applyFill="1" applyBorder="1" applyAlignment="1">
      <alignment horizontal="center" vertical="center" wrapText="1"/>
    </xf>
    <xf numFmtId="9" fontId="22" fillId="14" borderId="1" xfId="2" applyFont="1" applyFill="1" applyBorder="1" applyAlignment="1">
      <alignment horizontal="center" vertical="center"/>
    </xf>
    <xf numFmtId="0" fontId="2" fillId="0" borderId="1" xfId="0" applyFont="1" applyBorder="1" applyAlignment="1">
      <alignment horizontal="center" vertical="center"/>
    </xf>
    <xf numFmtId="164" fontId="43" fillId="21" borderId="5" xfId="0" applyNumberFormat="1" applyFont="1" applyFill="1" applyBorder="1" applyAlignment="1">
      <alignment horizontal="left" vertical="center"/>
    </xf>
    <xf numFmtId="0" fontId="43" fillId="21" borderId="8" xfId="0" applyFont="1" applyFill="1" applyBorder="1" applyAlignment="1">
      <alignment horizontal="center" vertical="center"/>
    </xf>
    <xf numFmtId="164" fontId="43" fillId="21" borderId="4" xfId="0" applyNumberFormat="1" applyFont="1" applyFill="1" applyBorder="1" applyAlignment="1">
      <alignment horizontal="center" vertical="center"/>
    </xf>
    <xf numFmtId="0" fontId="1" fillId="0" borderId="0" xfId="0" quotePrefix="1" applyFont="1" applyAlignment="1">
      <alignment vertical="center"/>
    </xf>
    <xf numFmtId="164" fontId="1" fillId="0" borderId="0" xfId="1" applyNumberFormat="1" applyFont="1" applyAlignment="1">
      <alignment horizontal="center" vertical="center"/>
    </xf>
    <xf numFmtId="165" fontId="1" fillId="0" borderId="0" xfId="0" applyNumberFormat="1" applyFont="1" applyAlignment="1">
      <alignment horizontal="center" vertical="center"/>
    </xf>
    <xf numFmtId="0" fontId="2" fillId="0" borderId="14" xfId="0" applyFont="1" applyBorder="1" applyAlignment="1">
      <alignment horizontal="center" vertical="center"/>
    </xf>
    <xf numFmtId="0" fontId="55" fillId="7" borderId="1" xfId="0" applyFont="1" applyFill="1" applyBorder="1" applyAlignment="1">
      <alignment vertical="center"/>
    </xf>
    <xf numFmtId="9" fontId="2" fillId="0" borderId="1" xfId="2" applyFont="1" applyBorder="1" applyAlignment="1">
      <alignment horizontal="center" vertical="center"/>
    </xf>
    <xf numFmtId="2" fontId="2" fillId="0" borderId="0" xfId="0" applyNumberFormat="1" applyFont="1" applyBorder="1" applyAlignment="1">
      <alignment vertical="center"/>
    </xf>
    <xf numFmtId="166" fontId="2" fillId="0" borderId="0" xfId="0" applyNumberFormat="1" applyFont="1" applyAlignment="1">
      <alignment horizontal="center" vertical="center"/>
    </xf>
    <xf numFmtId="0" fontId="2" fillId="0" borderId="0" xfId="0" quotePrefix="1" applyFont="1" applyAlignment="1">
      <alignment vertical="center"/>
    </xf>
    <xf numFmtId="166" fontId="2" fillId="0" borderId="0" xfId="2" applyNumberFormat="1" applyFont="1" applyAlignment="1">
      <alignment horizontal="center" vertical="center"/>
    </xf>
    <xf numFmtId="164" fontId="2" fillId="0" borderId="0" xfId="1" applyNumberFormat="1" applyFont="1" applyAlignment="1">
      <alignment horizontal="center" vertical="center"/>
    </xf>
    <xf numFmtId="164" fontId="2" fillId="0" borderId="0" xfId="0" applyNumberFormat="1" applyFont="1" applyAlignment="1">
      <alignment horizontal="center" vertical="center"/>
    </xf>
    <xf numFmtId="0" fontId="55" fillId="39" borderId="1" xfId="0" applyFont="1" applyFill="1" applyBorder="1" applyAlignment="1">
      <alignment horizontal="center" vertical="center"/>
    </xf>
    <xf numFmtId="0" fontId="55" fillId="40" borderId="1" xfId="0" applyFont="1" applyFill="1" applyBorder="1" applyAlignment="1">
      <alignment horizontal="center" vertical="center" wrapText="1"/>
    </xf>
    <xf numFmtId="0" fontId="55" fillId="38" borderId="1" xfId="0" applyFont="1" applyFill="1" applyBorder="1" applyAlignment="1">
      <alignment horizontal="center" vertical="center"/>
    </xf>
    <xf numFmtId="0" fontId="55" fillId="41" borderId="1" xfId="0" applyFont="1" applyFill="1" applyBorder="1" applyAlignment="1">
      <alignment horizontal="center" vertical="center"/>
    </xf>
    <xf numFmtId="0" fontId="55" fillId="42" borderId="1" xfId="0" applyFont="1" applyFill="1" applyBorder="1" applyAlignment="1">
      <alignment horizontal="center" vertical="center"/>
    </xf>
    <xf numFmtId="0" fontId="55" fillId="43" borderId="1" xfId="0" applyFont="1" applyFill="1" applyBorder="1" applyAlignment="1">
      <alignment horizontal="center" vertical="center"/>
    </xf>
    <xf numFmtId="9" fontId="2" fillId="0" borderId="1" xfId="0" applyNumberFormat="1" applyFont="1" applyBorder="1" applyAlignment="1">
      <alignment horizontal="center" vertical="center"/>
    </xf>
    <xf numFmtId="0" fontId="55" fillId="8" borderId="1" xfId="0" applyFont="1" applyFill="1" applyBorder="1" applyAlignment="1">
      <alignment vertical="center"/>
    </xf>
    <xf numFmtId="9" fontId="55" fillId="8" borderId="1" xfId="0" applyNumberFormat="1" applyFont="1" applyFill="1" applyBorder="1" applyAlignment="1">
      <alignment horizontal="center" vertical="center"/>
    </xf>
    <xf numFmtId="9" fontId="55" fillId="7" borderId="1" xfId="0" applyNumberFormat="1" applyFont="1" applyFill="1" applyBorder="1" applyAlignment="1">
      <alignment horizontal="center" vertical="center"/>
    </xf>
    <xf numFmtId="164" fontId="22" fillId="44" borderId="1" xfId="0" applyNumberFormat="1" applyFont="1" applyFill="1" applyBorder="1" applyAlignment="1" applyProtection="1">
      <alignment horizontal="center" vertical="center"/>
      <protection locked="0"/>
    </xf>
    <xf numFmtId="0" fontId="2" fillId="44" borderId="1" xfId="0" applyFont="1" applyFill="1" applyBorder="1" applyAlignment="1" applyProtection="1">
      <alignment horizontal="center" vertical="center"/>
      <protection locked="0"/>
    </xf>
    <xf numFmtId="0" fontId="8" fillId="0" borderId="0" xfId="0" applyFont="1" applyAlignment="1">
      <alignment horizontal="left" vertical="center" indent="1"/>
    </xf>
    <xf numFmtId="0" fontId="1" fillId="0" borderId="0" xfId="0" applyFont="1" applyAlignment="1">
      <alignment horizontal="left" vertical="center" indent="1"/>
    </xf>
    <xf numFmtId="0" fontId="163" fillId="19" borderId="0" xfId="0" applyFont="1" applyFill="1" applyAlignment="1">
      <alignment horizontal="left" vertical="center" indent="1"/>
    </xf>
    <xf numFmtId="0" fontId="164" fillId="19" borderId="0" xfId="0" applyFont="1" applyFill="1" applyAlignment="1">
      <alignment horizontal="left" vertical="center" indent="1"/>
    </xf>
    <xf numFmtId="0" fontId="13" fillId="19" borderId="0" xfId="0" applyFont="1" applyFill="1" applyAlignment="1">
      <alignment horizontal="center" vertical="center"/>
    </xf>
    <xf numFmtId="0" fontId="43" fillId="23" borderId="1" xfId="0" applyFont="1" applyFill="1" applyBorder="1" applyAlignment="1">
      <alignment horizontal="center" vertical="center" wrapText="1"/>
    </xf>
    <xf numFmtId="166" fontId="55" fillId="23" borderId="1" xfId="2" applyNumberFormat="1" applyFont="1" applyFill="1" applyBorder="1" applyAlignment="1">
      <alignment horizontal="center" vertical="center"/>
    </xf>
    <xf numFmtId="9" fontId="43" fillId="16" borderId="1" xfId="2" applyNumberFormat="1" applyFont="1" applyFill="1" applyBorder="1" applyAlignment="1">
      <alignment horizontal="center" vertical="center"/>
    </xf>
    <xf numFmtId="0" fontId="85" fillId="17" borderId="0" xfId="0" applyFont="1" applyFill="1" applyAlignment="1" applyProtection="1">
      <alignment vertical="center"/>
    </xf>
    <xf numFmtId="0" fontId="131" fillId="17" borderId="0" xfId="0" applyFont="1" applyFill="1" applyAlignment="1" applyProtection="1">
      <alignment horizontal="left"/>
    </xf>
    <xf numFmtId="0" fontId="88" fillId="17" borderId="0" xfId="0" applyFont="1" applyFill="1" applyAlignment="1" applyProtection="1">
      <alignment vertical="center"/>
    </xf>
    <xf numFmtId="0" fontId="85" fillId="17" borderId="23" xfId="0" applyFont="1" applyFill="1" applyBorder="1" applyAlignment="1" applyProtection="1">
      <alignment vertical="center"/>
    </xf>
    <xf numFmtId="0" fontId="89" fillId="17" borderId="23" xfId="0" applyFont="1" applyFill="1" applyBorder="1" applyAlignment="1" applyProtection="1">
      <alignment vertical="top"/>
    </xf>
    <xf numFmtId="0" fontId="90" fillId="17" borderId="23" xfId="0" applyFont="1" applyFill="1" applyBorder="1" applyAlignment="1" applyProtection="1"/>
    <xf numFmtId="0" fontId="0" fillId="19" borderId="0" xfId="0" applyFill="1" applyAlignment="1" applyProtection="1">
      <alignment vertical="center"/>
    </xf>
    <xf numFmtId="0" fontId="99" fillId="19" borderId="0" xfId="0" applyFont="1" applyFill="1" applyBorder="1" applyAlignment="1" applyProtection="1">
      <alignment vertical="center"/>
    </xf>
    <xf numFmtId="0" fontId="28" fillId="19" borderId="0" xfId="0" applyFont="1" applyFill="1" applyBorder="1" applyAlignment="1" applyProtection="1">
      <alignment vertical="center"/>
    </xf>
    <xf numFmtId="0" fontId="6" fillId="19" borderId="0" xfId="0" applyFont="1" applyFill="1" applyAlignment="1" applyProtection="1">
      <alignment vertical="center"/>
    </xf>
    <xf numFmtId="0" fontId="95" fillId="19" borderId="0" xfId="0" applyFont="1" applyFill="1" applyAlignment="1" applyProtection="1">
      <alignment vertical="center"/>
    </xf>
    <xf numFmtId="0" fontId="95" fillId="19" borderId="0" xfId="0" applyFont="1" applyFill="1" applyAlignment="1" applyProtection="1">
      <alignment horizontal="right" vertical="center"/>
    </xf>
    <xf numFmtId="0" fontId="43" fillId="16" borderId="1" xfId="0" applyFont="1" applyFill="1" applyBorder="1" applyAlignment="1" applyProtection="1">
      <alignment horizontal="center" vertical="center" wrapText="1"/>
    </xf>
    <xf numFmtId="0" fontId="43" fillId="16" borderId="1" xfId="0" applyFont="1" applyFill="1" applyBorder="1" applyAlignment="1" applyProtection="1">
      <alignment horizontal="left" vertical="center"/>
    </xf>
    <xf numFmtId="0" fontId="65" fillId="19" borderId="5" xfId="0" applyFont="1" applyFill="1" applyBorder="1" applyAlignment="1" applyProtection="1">
      <alignment horizontal="center" vertical="center" wrapText="1"/>
    </xf>
    <xf numFmtId="0" fontId="65" fillId="19" borderId="11" xfId="0" applyFont="1" applyFill="1" applyBorder="1" applyAlignment="1" applyProtection="1">
      <alignment horizontal="center" vertical="center" wrapText="1"/>
    </xf>
    <xf numFmtId="0" fontId="65" fillId="19" borderId="8" xfId="0" applyFont="1" applyFill="1" applyBorder="1" applyAlignment="1" applyProtection="1">
      <alignment horizontal="center" vertical="center" wrapText="1"/>
    </xf>
    <xf numFmtId="0" fontId="0" fillId="19" borderId="0" xfId="0" applyFill="1" applyBorder="1" applyAlignment="1" applyProtection="1">
      <alignment vertical="center"/>
    </xf>
    <xf numFmtId="0" fontId="0" fillId="19" borderId="8" xfId="0" applyFill="1" applyBorder="1" applyAlignment="1" applyProtection="1">
      <alignment vertical="center"/>
    </xf>
    <xf numFmtId="0" fontId="7" fillId="19" borderId="8" xfId="0" applyFont="1" applyFill="1" applyBorder="1" applyAlignment="1" applyProtection="1">
      <alignment horizontal="center" vertical="center"/>
    </xf>
    <xf numFmtId="164" fontId="7" fillId="19" borderId="8" xfId="2" applyNumberFormat="1" applyFont="1" applyFill="1" applyBorder="1" applyAlignment="1" applyProtection="1">
      <alignment horizontal="center" vertical="center"/>
    </xf>
    <xf numFmtId="164" fontId="7" fillId="19" borderId="8" xfId="0" applyNumberFormat="1" applyFont="1" applyFill="1" applyBorder="1" applyAlignment="1" applyProtection="1">
      <alignment horizontal="center" vertical="center"/>
    </xf>
    <xf numFmtId="0" fontId="139" fillId="0" borderId="1" xfId="0" applyFont="1" applyBorder="1" applyAlignment="1" applyProtection="1">
      <alignment vertical="center"/>
    </xf>
    <xf numFmtId="164" fontId="7" fillId="14" borderId="1" xfId="1" applyNumberFormat="1" applyFont="1" applyFill="1" applyBorder="1" applyAlignment="1" applyProtection="1">
      <alignment horizontal="center" vertical="center"/>
    </xf>
    <xf numFmtId="164" fontId="7" fillId="14" borderId="1" xfId="2" applyNumberFormat="1" applyFont="1" applyFill="1" applyBorder="1" applyAlignment="1" applyProtection="1">
      <alignment horizontal="center" vertical="center"/>
    </xf>
    <xf numFmtId="164" fontId="7" fillId="14" borderId="1" xfId="0" applyNumberFormat="1" applyFont="1" applyFill="1" applyBorder="1" applyAlignment="1" applyProtection="1">
      <alignment horizontal="center" vertical="center"/>
    </xf>
    <xf numFmtId="164" fontId="54" fillId="16" borderId="1" xfId="2" applyNumberFormat="1" applyFont="1" applyFill="1" applyBorder="1" applyAlignment="1" applyProtection="1">
      <alignment horizontal="center" vertical="center"/>
    </xf>
    <xf numFmtId="0" fontId="7" fillId="19" borderId="0" xfId="0" applyFont="1" applyFill="1" applyAlignment="1" applyProtection="1">
      <alignment vertical="center"/>
    </xf>
    <xf numFmtId="0" fontId="7" fillId="31" borderId="1" xfId="0" applyFont="1" applyFill="1" applyBorder="1" applyAlignment="1" applyProtection="1">
      <alignment vertical="center"/>
    </xf>
    <xf numFmtId="0" fontId="7" fillId="31" borderId="1" xfId="0" applyFont="1" applyFill="1" applyBorder="1" applyAlignment="1" applyProtection="1">
      <alignment horizontal="center" vertical="center"/>
    </xf>
    <xf numFmtId="164" fontId="7" fillId="31" borderId="1" xfId="0" applyNumberFormat="1" applyFont="1" applyFill="1" applyBorder="1" applyAlignment="1" applyProtection="1">
      <alignment horizontal="center" vertical="center"/>
    </xf>
    <xf numFmtId="9" fontId="7" fillId="0" borderId="1" xfId="2" applyFont="1" applyFill="1" applyBorder="1" applyAlignment="1" applyProtection="1">
      <alignment horizontal="center" vertical="center"/>
    </xf>
    <xf numFmtId="9" fontId="50" fillId="16" borderId="1" xfId="2" applyFont="1" applyFill="1" applyBorder="1" applyAlignment="1" applyProtection="1">
      <alignment horizontal="center" vertical="center"/>
    </xf>
    <xf numFmtId="164" fontId="54" fillId="7" borderId="1" xfId="0" applyNumberFormat="1" applyFont="1" applyFill="1" applyBorder="1" applyAlignment="1" applyProtection="1">
      <alignment horizontal="center" vertical="center"/>
    </xf>
    <xf numFmtId="164" fontId="50" fillId="17" borderId="1" xfId="2" applyNumberFormat="1" applyFont="1" applyFill="1" applyBorder="1" applyAlignment="1" applyProtection="1">
      <alignment horizontal="center" vertical="center"/>
    </xf>
    <xf numFmtId="0" fontId="43" fillId="17" borderId="1" xfId="0" applyFont="1" applyFill="1" applyBorder="1" applyAlignment="1" applyProtection="1">
      <alignment vertical="center"/>
    </xf>
    <xf numFmtId="164" fontId="43" fillId="16" borderId="1" xfId="0" applyNumberFormat="1" applyFont="1" applyFill="1" applyBorder="1" applyAlignment="1" applyProtection="1">
      <alignment horizontal="center" vertical="center"/>
    </xf>
    <xf numFmtId="0" fontId="1" fillId="19" borderId="0" xfId="0" applyFont="1" applyFill="1" applyAlignment="1" applyProtection="1">
      <alignment horizontal="right" vertical="center"/>
    </xf>
    <xf numFmtId="168" fontId="1" fillId="19" borderId="0" xfId="1" applyNumberFormat="1" applyFont="1" applyFill="1" applyAlignment="1" applyProtection="1">
      <alignment horizontal="center" vertical="center"/>
    </xf>
    <xf numFmtId="0" fontId="1" fillId="19" borderId="0" xfId="0" applyFont="1" applyFill="1" applyAlignment="1" applyProtection="1">
      <alignment vertical="center"/>
    </xf>
    <xf numFmtId="0" fontId="1" fillId="19" borderId="0" xfId="0" applyFont="1" applyFill="1" applyBorder="1" applyAlignment="1" applyProtection="1">
      <alignment vertical="center"/>
    </xf>
    <xf numFmtId="0" fontId="54" fillId="17" borderId="1" xfId="0" applyFont="1" applyFill="1" applyBorder="1" applyAlignment="1" applyProtection="1">
      <alignment vertical="center"/>
    </xf>
    <xf numFmtId="164" fontId="54" fillId="16" borderId="1" xfId="0" applyNumberFormat="1" applyFont="1" applyFill="1" applyBorder="1" applyAlignment="1" applyProtection="1">
      <alignment horizontal="center" vertical="center"/>
    </xf>
    <xf numFmtId="0" fontId="7" fillId="19" borderId="0" xfId="0" applyFont="1" applyFill="1" applyAlignment="1" applyProtection="1">
      <alignment horizontal="right" vertical="center"/>
    </xf>
    <xf numFmtId="168" fontId="7" fillId="19" borderId="0" xfId="1" applyNumberFormat="1" applyFont="1" applyFill="1" applyAlignment="1" applyProtection="1">
      <alignment horizontal="center" vertical="center"/>
    </xf>
    <xf numFmtId="0" fontId="7" fillId="19" borderId="0" xfId="0" applyFont="1" applyFill="1" applyBorder="1" applyAlignment="1" applyProtection="1">
      <alignment vertical="center"/>
    </xf>
    <xf numFmtId="0" fontId="54" fillId="0" borderId="1" xfId="0" applyFont="1" applyBorder="1" applyAlignment="1" applyProtection="1">
      <alignment horizontal="center" vertical="center"/>
    </xf>
    <xf numFmtId="0" fontId="67" fillId="19" borderId="0" xfId="0" applyFont="1" applyFill="1" applyAlignment="1" applyProtection="1">
      <alignment vertical="center"/>
    </xf>
    <xf numFmtId="166" fontId="7" fillId="19" borderId="0" xfId="2" applyNumberFormat="1" applyFont="1" applyFill="1" applyAlignment="1" applyProtection="1">
      <alignment horizontal="center" vertical="center"/>
    </xf>
    <xf numFmtId="164" fontId="7" fillId="19" borderId="0" xfId="0" applyNumberFormat="1" applyFont="1" applyFill="1" applyAlignment="1" applyProtection="1">
      <alignment horizontal="center" vertical="center"/>
    </xf>
    <xf numFmtId="164" fontId="7" fillId="19" borderId="0" xfId="0" applyNumberFormat="1" applyFont="1" applyFill="1" applyAlignment="1" applyProtection="1">
      <alignment horizontal="right" vertical="center"/>
    </xf>
    <xf numFmtId="0" fontId="50" fillId="0" borderId="1" xfId="0" applyFont="1" applyBorder="1" applyAlignment="1" applyProtection="1">
      <alignment horizontal="center" vertical="center"/>
    </xf>
    <xf numFmtId="0" fontId="7" fillId="14" borderId="1" xfId="0" applyFont="1" applyFill="1" applyBorder="1" applyAlignment="1" applyProtection="1">
      <alignment vertical="center"/>
    </xf>
    <xf numFmtId="0" fontId="7" fillId="14" borderId="1" xfId="0" applyFont="1" applyFill="1" applyBorder="1" applyAlignment="1" applyProtection="1">
      <alignment horizontal="left" vertical="center"/>
    </xf>
    <xf numFmtId="164" fontId="54" fillId="19" borderId="1" xfId="0" applyNumberFormat="1" applyFont="1" applyFill="1" applyBorder="1" applyAlignment="1" applyProtection="1">
      <alignment horizontal="center" vertical="center"/>
    </xf>
    <xf numFmtId="0" fontId="164" fillId="19" borderId="0" xfId="0" applyFont="1" applyFill="1" applyAlignment="1" applyProtection="1">
      <alignment vertical="center"/>
    </xf>
    <xf numFmtId="0" fontId="89" fillId="17" borderId="23" xfId="0" applyFont="1" applyFill="1" applyBorder="1" applyAlignment="1">
      <alignment horizontal="left" vertical="top" wrapText="1"/>
    </xf>
    <xf numFmtId="0" fontId="75" fillId="17" borderId="0" xfId="0" applyFont="1" applyFill="1" applyAlignment="1">
      <alignment horizontal="center" vertical="center"/>
    </xf>
    <xf numFmtId="9" fontId="22" fillId="12" borderId="27" xfId="0" applyNumberFormat="1" applyFont="1" applyFill="1" applyBorder="1" applyAlignment="1">
      <alignment horizontal="center" vertical="center"/>
    </xf>
    <xf numFmtId="9" fontId="55" fillId="12" borderId="27" xfId="0" applyNumberFormat="1" applyFont="1" applyFill="1" applyBorder="1" applyAlignment="1">
      <alignment horizontal="center" vertical="center"/>
    </xf>
    <xf numFmtId="164" fontId="1" fillId="19" borderId="1" xfId="0" applyNumberFormat="1" applyFont="1" applyFill="1" applyBorder="1" applyAlignment="1">
      <alignment horizontal="center" vertical="center" wrapText="1"/>
    </xf>
    <xf numFmtId="0" fontId="8" fillId="25" borderId="1" xfId="0" applyFont="1" applyFill="1" applyBorder="1" applyAlignment="1">
      <alignment horizontal="center" vertical="center"/>
    </xf>
    <xf numFmtId="9" fontId="100" fillId="16" borderId="1" xfId="0" applyNumberFormat="1" applyFont="1" applyFill="1" applyBorder="1" applyAlignment="1">
      <alignment horizontal="center" vertical="center"/>
    </xf>
    <xf numFmtId="9" fontId="8" fillId="24" borderId="1" xfId="2" applyFont="1" applyFill="1" applyBorder="1" applyAlignment="1">
      <alignment horizontal="center" vertical="center"/>
    </xf>
    <xf numFmtId="9" fontId="8" fillId="25" borderId="1" xfId="0" applyNumberFormat="1" applyFont="1" applyFill="1" applyBorder="1" applyAlignment="1">
      <alignment horizontal="center" vertical="center"/>
    </xf>
    <xf numFmtId="9" fontId="94" fillId="16" borderId="1" xfId="2" applyFont="1" applyFill="1" applyBorder="1" applyAlignment="1">
      <alignment horizontal="center" vertical="center"/>
    </xf>
    <xf numFmtId="0" fontId="1" fillId="0" borderId="0" xfId="0" applyFont="1" applyBorder="1" applyAlignment="1">
      <alignment horizontal="center" vertical="center" wrapText="1"/>
    </xf>
    <xf numFmtId="9" fontId="8" fillId="0" borderId="1" xfId="0" applyNumberFormat="1" applyFont="1" applyBorder="1" applyAlignment="1">
      <alignment horizontal="center" vertical="center"/>
    </xf>
    <xf numFmtId="9" fontId="8" fillId="0" borderId="1" xfId="2" applyFont="1" applyFill="1" applyBorder="1" applyAlignment="1">
      <alignment horizontal="center" vertical="center"/>
    </xf>
    <xf numFmtId="9" fontId="1" fillId="0" borderId="1" xfId="2" applyFont="1" applyBorder="1" applyAlignment="1">
      <alignment horizontal="center" vertical="center"/>
    </xf>
    <xf numFmtId="0" fontId="109" fillId="17" borderId="23" xfId="0" applyFont="1" applyFill="1" applyBorder="1" applyAlignment="1">
      <alignment horizontal="left" vertical="top" wrapText="1"/>
    </xf>
    <xf numFmtId="0" fontId="145" fillId="17" borderId="1" xfId="0" applyFont="1" applyFill="1" applyBorder="1" applyAlignment="1">
      <alignment horizontal="center" vertical="center"/>
    </xf>
    <xf numFmtId="0" fontId="43" fillId="17" borderId="0" xfId="0" applyFont="1" applyFill="1" applyAlignment="1">
      <alignment horizontal="left" vertical="top" wrapText="1" indent="1"/>
    </xf>
    <xf numFmtId="0" fontId="50" fillId="17" borderId="1" xfId="0" applyFont="1" applyFill="1" applyBorder="1" applyAlignment="1">
      <alignment horizontal="center" vertical="center" wrapText="1"/>
    </xf>
    <xf numFmtId="0" fontId="43" fillId="17" borderId="1" xfId="0" applyFont="1" applyFill="1" applyBorder="1" applyAlignment="1">
      <alignment horizontal="center" vertical="center"/>
    </xf>
    <xf numFmtId="0" fontId="43" fillId="17" borderId="2" xfId="0" applyFont="1" applyFill="1" applyBorder="1" applyAlignment="1">
      <alignment horizontal="center" vertical="center"/>
    </xf>
    <xf numFmtId="0" fontId="50" fillId="17" borderId="8" xfId="0" applyFont="1" applyFill="1" applyBorder="1" applyAlignment="1">
      <alignment horizontal="center" vertical="center"/>
    </xf>
    <xf numFmtId="0" fontId="50" fillId="16" borderId="4" xfId="0" applyFont="1" applyFill="1" applyBorder="1" applyAlignment="1">
      <alignment horizontal="center" vertical="center"/>
    </xf>
    <xf numFmtId="0" fontId="50" fillId="16" borderId="2" xfId="0" applyFont="1" applyFill="1" applyBorder="1" applyAlignment="1">
      <alignment horizontal="center" vertical="center" wrapText="1"/>
    </xf>
    <xf numFmtId="0" fontId="50" fillId="16" borderId="1" xfId="0" applyFont="1" applyFill="1" applyBorder="1" applyAlignment="1">
      <alignment horizontal="center" vertical="center"/>
    </xf>
    <xf numFmtId="0" fontId="43" fillId="17" borderId="8" xfId="0" applyFont="1" applyFill="1" applyBorder="1" applyAlignment="1">
      <alignment horizontal="center" vertical="center"/>
    </xf>
    <xf numFmtId="0" fontId="43" fillId="17" borderId="4" xfId="0" applyFont="1" applyFill="1" applyBorder="1" applyAlignment="1">
      <alignment horizontal="center" vertical="center"/>
    </xf>
    <xf numFmtId="0" fontId="7" fillId="14" borderId="1" xfId="0" applyFont="1" applyFill="1" applyBorder="1" applyAlignment="1" applyProtection="1">
      <alignment horizontal="center" vertical="center"/>
      <protection locked="0"/>
    </xf>
    <xf numFmtId="0" fontId="1" fillId="19" borderId="8" xfId="0" applyFont="1" applyFill="1" applyBorder="1" applyAlignment="1">
      <alignment horizontal="center" vertical="center" wrapText="1"/>
    </xf>
    <xf numFmtId="0" fontId="43" fillId="17" borderId="1" xfId="0" applyFont="1" applyFill="1" applyBorder="1" applyAlignment="1">
      <alignment horizontal="center" vertical="center" wrapText="1"/>
    </xf>
    <xf numFmtId="0" fontId="7" fillId="19" borderId="8" xfId="0" applyFont="1" applyFill="1" applyBorder="1" applyAlignment="1">
      <alignment horizontal="center" vertical="center"/>
    </xf>
    <xf numFmtId="0" fontId="7" fillId="19" borderId="13" xfId="0" applyFont="1" applyFill="1" applyBorder="1" applyAlignment="1">
      <alignment horizontal="center" vertical="center"/>
    </xf>
    <xf numFmtId="0" fontId="43" fillId="16" borderId="1" xfId="0" applyFont="1" applyFill="1" applyBorder="1" applyAlignment="1">
      <alignment horizontal="center" vertical="center" wrapText="1"/>
    </xf>
    <xf numFmtId="0" fontId="43" fillId="16" borderId="1" xfId="0" applyFont="1" applyFill="1" applyBorder="1" applyAlignment="1">
      <alignment horizontal="center" vertical="center"/>
    </xf>
    <xf numFmtId="0" fontId="1" fillId="19" borderId="1" xfId="0" applyFont="1" applyFill="1" applyBorder="1" applyAlignment="1">
      <alignment horizontal="center" vertical="center"/>
    </xf>
    <xf numFmtId="164" fontId="7" fillId="31" borderId="5" xfId="0" applyNumberFormat="1" applyFont="1" applyFill="1" applyBorder="1" applyAlignment="1" applyProtection="1">
      <alignment horizontal="center" vertical="center"/>
      <protection locked="0"/>
    </xf>
    <xf numFmtId="164" fontId="7" fillId="31" borderId="4" xfId="0" applyNumberFormat="1" applyFont="1" applyFill="1" applyBorder="1" applyAlignment="1" applyProtection="1">
      <alignment horizontal="center" vertical="center"/>
      <protection locked="0"/>
    </xf>
    <xf numFmtId="0" fontId="43" fillId="17" borderId="2" xfId="0" applyFont="1" applyFill="1" applyBorder="1" applyAlignment="1">
      <alignment horizontal="center" vertical="center" wrapText="1"/>
    </xf>
    <xf numFmtId="0" fontId="43" fillId="17" borderId="1" xfId="0" applyFont="1" applyFill="1" applyBorder="1" applyAlignment="1" applyProtection="1">
      <alignment horizontal="center" vertical="center" wrapText="1"/>
    </xf>
    <xf numFmtId="0" fontId="43" fillId="16" borderId="1" xfId="0" applyFont="1" applyFill="1" applyBorder="1" applyAlignment="1" applyProtection="1">
      <alignment horizontal="center" vertical="center"/>
    </xf>
    <xf numFmtId="0" fontId="7" fillId="20" borderId="1" xfId="0" applyFont="1" applyFill="1" applyBorder="1" applyAlignment="1" applyProtection="1">
      <alignment horizontal="left" vertical="center" wrapText="1"/>
      <protection locked="0"/>
    </xf>
    <xf numFmtId="0" fontId="50" fillId="17" borderId="1" xfId="0" applyFont="1" applyFill="1" applyBorder="1" applyAlignment="1">
      <alignment horizontal="center" vertical="center"/>
    </xf>
    <xf numFmtId="0" fontId="89" fillId="17" borderId="23" xfId="0" applyFont="1" applyFill="1" applyBorder="1" applyAlignment="1">
      <alignment horizontal="left" vertical="top"/>
    </xf>
    <xf numFmtId="0" fontId="1" fillId="31" borderId="8" xfId="0" applyFont="1" applyFill="1" applyBorder="1" applyAlignment="1">
      <alignment horizontal="left" vertical="center"/>
    </xf>
    <xf numFmtId="0" fontId="1" fillId="31" borderId="4" xfId="0" applyFont="1" applyFill="1" applyBorder="1" applyAlignment="1">
      <alignment horizontal="left" vertical="center"/>
    </xf>
    <xf numFmtId="164" fontId="13" fillId="0" borderId="1" xfId="0" applyNumberFormat="1" applyFont="1" applyBorder="1" applyAlignment="1">
      <alignment horizontal="center" vertical="center"/>
    </xf>
    <xf numFmtId="0" fontId="1" fillId="31" borderId="2" xfId="0" applyFont="1" applyFill="1" applyBorder="1" applyAlignment="1">
      <alignment horizontal="center" vertical="center" wrapText="1"/>
    </xf>
    <xf numFmtId="0" fontId="22" fillId="29" borderId="1" xfId="0" applyFont="1" applyFill="1" applyBorder="1" applyAlignment="1">
      <alignment horizontal="center" vertical="center"/>
    </xf>
    <xf numFmtId="0" fontId="1" fillId="31" borderId="1" xfId="0" applyFont="1" applyFill="1" applyBorder="1" applyAlignment="1">
      <alignment horizontal="center" vertical="center"/>
    </xf>
    <xf numFmtId="0" fontId="13" fillId="31" borderId="1" xfId="0" applyFont="1" applyFill="1" applyBorder="1" applyAlignment="1">
      <alignment horizontal="center" vertical="center"/>
    </xf>
    <xf numFmtId="0" fontId="22" fillId="31" borderId="1" xfId="0" applyFont="1" applyFill="1" applyBorder="1" applyAlignment="1">
      <alignment horizontal="center" vertical="center"/>
    </xf>
    <xf numFmtId="0" fontId="2" fillId="31" borderId="1" xfId="0" applyFont="1" applyFill="1" applyBorder="1" applyAlignment="1">
      <alignment horizontal="center" vertical="center"/>
    </xf>
    <xf numFmtId="0" fontId="2" fillId="29" borderId="1" xfId="0" applyFont="1" applyFill="1" applyBorder="1" applyAlignment="1">
      <alignment horizontal="center" vertical="center"/>
    </xf>
    <xf numFmtId="0" fontId="13" fillId="29" borderId="1" xfId="0" applyFont="1" applyFill="1" applyBorder="1" applyAlignment="1">
      <alignment horizontal="center" vertical="center"/>
    </xf>
    <xf numFmtId="166" fontId="22" fillId="31" borderId="1" xfId="2" applyNumberFormat="1" applyFont="1" applyFill="1" applyBorder="1" applyAlignment="1">
      <alignment horizontal="center" vertical="center"/>
    </xf>
    <xf numFmtId="0" fontId="7" fillId="0" borderId="1" xfId="0" applyFont="1" applyFill="1" applyBorder="1" applyAlignment="1">
      <alignment horizontal="center" vertical="center"/>
    </xf>
    <xf numFmtId="0" fontId="1" fillId="31" borderId="1" xfId="0" applyFont="1" applyFill="1" applyBorder="1" applyAlignment="1">
      <alignment horizontal="center" vertical="center" wrapText="1"/>
    </xf>
    <xf numFmtId="0" fontId="7" fillId="0" borderId="5" xfId="0" applyFont="1" applyFill="1" applyBorder="1" applyAlignment="1">
      <alignment horizontal="left" vertical="center"/>
    </xf>
    <xf numFmtId="0" fontId="13" fillId="31"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3" fillId="20" borderId="1" xfId="0" applyFont="1" applyFill="1" applyBorder="1" applyAlignment="1">
      <alignment horizontal="center" vertical="center" wrapText="1"/>
    </xf>
    <xf numFmtId="0" fontId="8" fillId="20" borderId="5" xfId="0" applyFont="1" applyFill="1" applyBorder="1" applyAlignment="1">
      <alignment horizontal="center" vertical="center" wrapText="1"/>
    </xf>
    <xf numFmtId="0" fontId="8" fillId="20" borderId="4" xfId="0"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0" fontId="54"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7" fillId="0" borderId="1" xfId="0" applyFont="1" applyBorder="1" applyAlignment="1">
      <alignment horizontal="center" vertical="center"/>
    </xf>
    <xf numFmtId="164" fontId="7" fillId="0" borderId="1" xfId="0" applyNumberFormat="1" applyFont="1" applyFill="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8" fillId="31" borderId="1" xfId="0" applyFont="1" applyFill="1" applyBorder="1" applyAlignment="1">
      <alignment horizontal="center" vertical="center" wrapText="1"/>
    </xf>
    <xf numFmtId="0" fontId="156" fillId="26" borderId="0" xfId="3" applyFont="1" applyFill="1" applyAlignment="1">
      <alignment horizontal="center" vertical="center"/>
    </xf>
    <xf numFmtId="0" fontId="89" fillId="17" borderId="23" xfId="0" applyFont="1" applyFill="1" applyBorder="1" applyAlignment="1">
      <alignment horizontal="left" vertical="top" wrapText="1"/>
    </xf>
    <xf numFmtId="9" fontId="55" fillId="12" borderId="32" xfId="0" applyNumberFormat="1" applyFont="1" applyFill="1" applyBorder="1" applyAlignment="1">
      <alignment horizontal="center" vertical="center"/>
    </xf>
    <xf numFmtId="9" fontId="55" fillId="12" borderId="33" xfId="0" applyNumberFormat="1" applyFont="1" applyFill="1" applyBorder="1" applyAlignment="1">
      <alignment horizontal="center" vertical="center"/>
    </xf>
    <xf numFmtId="9" fontId="22" fillId="12" borderId="32" xfId="0" applyNumberFormat="1" applyFont="1" applyFill="1" applyBorder="1" applyAlignment="1">
      <alignment horizontal="center" vertical="center"/>
    </xf>
    <xf numFmtId="9" fontId="22" fillId="12" borderId="33" xfId="0" applyNumberFormat="1" applyFont="1" applyFill="1" applyBorder="1" applyAlignment="1">
      <alignment horizontal="center" vertical="center"/>
    </xf>
    <xf numFmtId="0" fontId="141" fillId="19" borderId="0" xfId="0" applyFont="1" applyFill="1" applyAlignment="1">
      <alignment horizontal="center"/>
    </xf>
    <xf numFmtId="0" fontId="142" fillId="19" borderId="0" xfId="0" applyFont="1" applyFill="1" applyAlignment="1">
      <alignment horizontal="center" vertical="center"/>
    </xf>
    <xf numFmtId="0" fontId="75" fillId="23" borderId="0" xfId="0" applyFont="1" applyFill="1" applyAlignment="1">
      <alignment horizontal="center" vertical="center"/>
    </xf>
    <xf numFmtId="0" fontId="75" fillId="17" borderId="0" xfId="0" applyFont="1" applyFill="1" applyAlignment="1">
      <alignment horizontal="center" vertical="center"/>
    </xf>
    <xf numFmtId="0" fontId="109" fillId="17" borderId="0" xfId="0" applyFont="1" applyFill="1" applyAlignment="1">
      <alignment horizontal="left" vertical="top" wrapText="1"/>
    </xf>
    <xf numFmtId="0" fontId="118" fillId="17" borderId="1" xfId="0" applyFont="1" applyFill="1" applyBorder="1" applyAlignment="1">
      <alignment horizontal="center" vertical="center"/>
    </xf>
    <xf numFmtId="9" fontId="22" fillId="12" borderId="27" xfId="0" applyNumberFormat="1" applyFont="1" applyFill="1" applyBorder="1" applyAlignment="1">
      <alignment horizontal="center" vertical="center"/>
    </xf>
    <xf numFmtId="9" fontId="55" fillId="12" borderId="27" xfId="0" applyNumberFormat="1" applyFont="1" applyFill="1" applyBorder="1" applyAlignment="1">
      <alignment horizontal="center" vertical="center"/>
    </xf>
    <xf numFmtId="0" fontId="75" fillId="17" borderId="1" xfId="0" applyFont="1" applyFill="1" applyBorder="1" applyAlignment="1">
      <alignment horizontal="center" vertical="center"/>
    </xf>
    <xf numFmtId="164" fontId="89" fillId="17" borderId="23" xfId="0" applyNumberFormat="1" applyFont="1" applyFill="1" applyBorder="1" applyAlignment="1">
      <alignment horizontal="left" vertical="top" wrapText="1"/>
    </xf>
    <xf numFmtId="164" fontId="43" fillId="17" borderId="5" xfId="0" applyNumberFormat="1" applyFont="1" applyFill="1" applyBorder="1" applyAlignment="1">
      <alignment horizontal="center" vertical="center" wrapText="1"/>
    </xf>
    <xf numFmtId="164" fontId="43" fillId="17" borderId="8" xfId="0" applyNumberFormat="1" applyFont="1" applyFill="1" applyBorder="1" applyAlignment="1">
      <alignment horizontal="center" vertical="center" wrapText="1"/>
    </xf>
    <xf numFmtId="164" fontId="43" fillId="17" borderId="4" xfId="0" applyNumberFormat="1" applyFont="1" applyFill="1" applyBorder="1" applyAlignment="1">
      <alignment horizontal="center" vertical="center" wrapText="1"/>
    </xf>
    <xf numFmtId="164" fontId="43" fillId="16" borderId="47" xfId="0" applyNumberFormat="1" applyFont="1" applyFill="1" applyBorder="1" applyAlignment="1">
      <alignment horizontal="center" vertical="center"/>
    </xf>
    <xf numFmtId="164" fontId="43" fillId="16" borderId="48" xfId="0" applyNumberFormat="1" applyFont="1" applyFill="1" applyBorder="1" applyAlignment="1">
      <alignment horizontal="center" vertical="center"/>
    </xf>
    <xf numFmtId="164" fontId="43" fillId="16" borderId="49" xfId="0" applyNumberFormat="1" applyFont="1" applyFill="1" applyBorder="1" applyAlignment="1">
      <alignment horizontal="center" vertical="center"/>
    </xf>
    <xf numFmtId="164" fontId="1" fillId="19" borderId="1" xfId="0" applyNumberFormat="1" applyFont="1" applyFill="1" applyBorder="1" applyAlignment="1">
      <alignment horizontal="center" vertical="center" wrapText="1"/>
    </xf>
    <xf numFmtId="164" fontId="43" fillId="16" borderId="44" xfId="0" applyNumberFormat="1" applyFont="1" applyFill="1" applyBorder="1" applyAlignment="1">
      <alignment horizontal="center" vertical="center"/>
    </xf>
    <xf numFmtId="164" fontId="43" fillId="16" borderId="45" xfId="0" applyNumberFormat="1" applyFont="1" applyFill="1" applyBorder="1" applyAlignment="1">
      <alignment horizontal="center" vertical="center"/>
    </xf>
    <xf numFmtId="164" fontId="43" fillId="16" borderId="56" xfId="0" applyNumberFormat="1" applyFont="1" applyFill="1" applyBorder="1" applyAlignment="1">
      <alignment horizontal="center" vertical="center"/>
    </xf>
    <xf numFmtId="164" fontId="43" fillId="16" borderId="46" xfId="0" applyNumberFormat="1" applyFont="1" applyFill="1" applyBorder="1" applyAlignment="1">
      <alignment horizontal="center" vertical="center"/>
    </xf>
    <xf numFmtId="164" fontId="43" fillId="33" borderId="36" xfId="2" applyNumberFormat="1" applyFont="1" applyFill="1" applyBorder="1" applyAlignment="1">
      <alignment horizontal="center" vertical="center"/>
    </xf>
    <xf numFmtId="164" fontId="43" fillId="33" borderId="37" xfId="2" applyNumberFormat="1" applyFont="1" applyFill="1" applyBorder="1" applyAlignment="1">
      <alignment horizontal="center" vertical="center"/>
    </xf>
    <xf numFmtId="164" fontId="43" fillId="33" borderId="38" xfId="2" applyNumberFormat="1" applyFont="1" applyFill="1" applyBorder="1" applyAlignment="1">
      <alignment horizontal="center" vertical="center"/>
    </xf>
    <xf numFmtId="164" fontId="43" fillId="33" borderId="39" xfId="2" applyNumberFormat="1" applyFont="1" applyFill="1" applyBorder="1" applyAlignment="1">
      <alignment horizontal="center" vertical="center"/>
    </xf>
    <xf numFmtId="164" fontId="43" fillId="33" borderId="40" xfId="2" applyNumberFormat="1" applyFont="1" applyFill="1" applyBorder="1" applyAlignment="1">
      <alignment horizontal="center" vertical="center"/>
    </xf>
    <xf numFmtId="164" fontId="43" fillId="33" borderId="41" xfId="2" applyNumberFormat="1" applyFont="1" applyFill="1" applyBorder="1" applyAlignment="1">
      <alignment horizontal="center" vertical="center"/>
    </xf>
    <xf numFmtId="164" fontId="1" fillId="19" borderId="2" xfId="0" applyNumberFormat="1" applyFont="1" applyFill="1" applyBorder="1" applyAlignment="1">
      <alignment horizontal="center" vertical="center" wrapText="1"/>
    </xf>
    <xf numFmtId="164" fontId="1" fillId="19" borderId="14" xfId="0" applyNumberFormat="1" applyFont="1" applyFill="1" applyBorder="1" applyAlignment="1">
      <alignment horizontal="center" vertical="center" wrapText="1"/>
    </xf>
    <xf numFmtId="164" fontId="1" fillId="19" borderId="3" xfId="0" applyNumberFormat="1" applyFont="1" applyFill="1" applyBorder="1" applyAlignment="1">
      <alignment horizontal="center" vertical="center" wrapText="1"/>
    </xf>
    <xf numFmtId="164" fontId="43" fillId="33" borderId="55" xfId="2" applyNumberFormat="1" applyFont="1" applyFill="1" applyBorder="1" applyAlignment="1">
      <alignment horizontal="center" vertical="center"/>
    </xf>
    <xf numFmtId="164" fontId="75" fillId="33" borderId="36" xfId="0" applyNumberFormat="1" applyFont="1" applyFill="1" applyBorder="1" applyAlignment="1">
      <alignment horizontal="center" vertical="center" textRotation="90"/>
    </xf>
    <xf numFmtId="164" fontId="75" fillId="33" borderId="37" xfId="0" applyNumberFormat="1" applyFont="1" applyFill="1" applyBorder="1" applyAlignment="1">
      <alignment horizontal="center" vertical="center" textRotation="90"/>
    </xf>
    <xf numFmtId="164" fontId="75" fillId="33" borderId="38" xfId="0" applyNumberFormat="1" applyFont="1" applyFill="1" applyBorder="1" applyAlignment="1">
      <alignment horizontal="center" vertical="center" textRotation="90"/>
    </xf>
    <xf numFmtId="9" fontId="43" fillId="16" borderId="2" xfId="2" applyFont="1" applyFill="1" applyBorder="1" applyAlignment="1">
      <alignment horizontal="center" vertical="center"/>
    </xf>
    <xf numFmtId="9" fontId="43" fillId="16" borderId="14" xfId="2" applyFont="1" applyFill="1" applyBorder="1" applyAlignment="1">
      <alignment horizontal="center" vertical="center"/>
    </xf>
    <xf numFmtId="9" fontId="43" fillId="16" borderId="3" xfId="2" applyFont="1" applyFill="1" applyBorder="1" applyAlignment="1">
      <alignment horizontal="center" vertical="center"/>
    </xf>
    <xf numFmtId="166" fontId="43" fillId="16" borderId="44" xfId="2" applyNumberFormat="1" applyFont="1" applyFill="1" applyBorder="1" applyAlignment="1">
      <alignment horizontal="center" vertical="center"/>
    </xf>
    <xf numFmtId="166" fontId="43" fillId="16" borderId="45" xfId="2" applyNumberFormat="1" applyFont="1" applyFill="1" applyBorder="1" applyAlignment="1">
      <alignment horizontal="center" vertical="center"/>
    </xf>
    <xf numFmtId="166" fontId="43" fillId="16" borderId="46" xfId="2" applyNumberFormat="1" applyFont="1" applyFill="1" applyBorder="1" applyAlignment="1">
      <alignment horizontal="center" vertical="center"/>
    </xf>
    <xf numFmtId="166" fontId="43" fillId="33" borderId="36" xfId="2" applyNumberFormat="1" applyFont="1" applyFill="1" applyBorder="1" applyAlignment="1">
      <alignment horizontal="center" vertical="center"/>
    </xf>
    <xf numFmtId="166" fontId="43" fillId="33" borderId="37" xfId="2" applyNumberFormat="1" applyFont="1" applyFill="1" applyBorder="1" applyAlignment="1">
      <alignment horizontal="center" vertical="center"/>
    </xf>
    <xf numFmtId="166" fontId="43" fillId="33" borderId="38" xfId="2" applyNumberFormat="1" applyFont="1" applyFill="1" applyBorder="1" applyAlignment="1">
      <alignment horizontal="center" vertical="center"/>
    </xf>
    <xf numFmtId="166" fontId="43" fillId="33" borderId="39" xfId="2" applyNumberFormat="1" applyFont="1" applyFill="1" applyBorder="1" applyAlignment="1">
      <alignment horizontal="center" vertical="center"/>
    </xf>
    <xf numFmtId="166" fontId="43" fillId="33" borderId="40" xfId="2" applyNumberFormat="1" applyFont="1" applyFill="1" applyBorder="1" applyAlignment="1">
      <alignment horizontal="center" vertical="center"/>
    </xf>
    <xf numFmtId="166" fontId="43" fillId="33" borderId="41" xfId="2" applyNumberFormat="1" applyFont="1" applyFill="1" applyBorder="1" applyAlignment="1">
      <alignment horizontal="center" vertical="center"/>
    </xf>
    <xf numFmtId="166" fontId="74" fillId="33" borderId="36" xfId="2" applyNumberFormat="1" applyFont="1" applyFill="1" applyBorder="1" applyAlignment="1">
      <alignment horizontal="center" vertical="center" textRotation="90"/>
    </xf>
    <xf numFmtId="166" fontId="74" fillId="33" borderId="37" xfId="2" applyNumberFormat="1" applyFont="1" applyFill="1" applyBorder="1" applyAlignment="1">
      <alignment horizontal="center" vertical="center" textRotation="90"/>
    </xf>
    <xf numFmtId="166" fontId="74" fillId="33" borderId="38" xfId="2" applyNumberFormat="1" applyFont="1" applyFill="1" applyBorder="1" applyAlignment="1">
      <alignment horizontal="center" vertical="center" textRotation="90"/>
    </xf>
    <xf numFmtId="166" fontId="74" fillId="26" borderId="51" xfId="2" applyNumberFormat="1" applyFont="1" applyFill="1" applyBorder="1" applyAlignment="1">
      <alignment horizontal="center" vertical="center"/>
    </xf>
    <xf numFmtId="166" fontId="74" fillId="26" borderId="52" xfId="2" applyNumberFormat="1" applyFont="1" applyFill="1" applyBorder="1" applyAlignment="1">
      <alignment horizontal="center" vertical="center"/>
    </xf>
    <xf numFmtId="166" fontId="74" fillId="26" borderId="53" xfId="2" applyNumberFormat="1" applyFont="1" applyFill="1" applyBorder="1" applyAlignment="1">
      <alignment horizontal="center" vertical="center"/>
    </xf>
    <xf numFmtId="164" fontId="55" fillId="21" borderId="0" xfId="0" applyNumberFormat="1" applyFont="1" applyFill="1" applyAlignment="1">
      <alignment horizontal="left" vertical="center" wrapText="1"/>
    </xf>
    <xf numFmtId="164" fontId="8" fillId="24" borderId="2" xfId="0" applyNumberFormat="1" applyFont="1" applyFill="1" applyBorder="1" applyAlignment="1">
      <alignment horizontal="center" vertical="center"/>
    </xf>
    <xf numFmtId="164" fontId="8" fillId="24" borderId="14" xfId="0" applyNumberFormat="1" applyFont="1" applyFill="1" applyBorder="1" applyAlignment="1">
      <alignment horizontal="center" vertical="center"/>
    </xf>
    <xf numFmtId="164" fontId="8" fillId="24" borderId="3" xfId="0" applyNumberFormat="1" applyFont="1" applyFill="1" applyBorder="1" applyAlignment="1">
      <alignment horizontal="center" vertical="center"/>
    </xf>
    <xf numFmtId="166" fontId="43" fillId="33" borderId="55" xfId="2" applyNumberFormat="1" applyFont="1" applyFill="1" applyBorder="1" applyAlignment="1">
      <alignment horizontal="center" vertical="center"/>
    </xf>
    <xf numFmtId="166" fontId="43" fillId="16" borderId="47" xfId="2" applyNumberFormat="1" applyFont="1" applyFill="1" applyBorder="1" applyAlignment="1">
      <alignment horizontal="center" vertical="center"/>
    </xf>
    <xf numFmtId="166" fontId="43" fillId="16" borderId="48" xfId="2" applyNumberFormat="1" applyFont="1" applyFill="1" applyBorder="1" applyAlignment="1">
      <alignment horizontal="center" vertical="center"/>
    </xf>
    <xf numFmtId="166" fontId="43" fillId="16" borderId="49" xfId="2" applyNumberFormat="1" applyFont="1" applyFill="1" applyBorder="1" applyAlignment="1">
      <alignment horizontal="center" vertical="center"/>
    </xf>
    <xf numFmtId="164" fontId="74" fillId="26" borderId="51" xfId="2" applyNumberFormat="1" applyFont="1" applyFill="1" applyBorder="1" applyAlignment="1">
      <alignment horizontal="center" vertical="center"/>
    </xf>
    <xf numFmtId="164" fontId="74" fillId="26" borderId="52" xfId="2" applyNumberFormat="1" applyFont="1" applyFill="1" applyBorder="1" applyAlignment="1">
      <alignment horizontal="center" vertical="center"/>
    </xf>
    <xf numFmtId="164" fontId="74" fillId="26" borderId="53" xfId="2" applyNumberFormat="1" applyFont="1" applyFill="1" applyBorder="1" applyAlignment="1">
      <alignment horizontal="center" vertical="center"/>
    </xf>
    <xf numFmtId="10" fontId="43" fillId="33" borderId="39" xfId="2" applyNumberFormat="1" applyFont="1" applyFill="1" applyBorder="1" applyAlignment="1">
      <alignment horizontal="center" vertical="center"/>
    </xf>
    <xf numFmtId="10" fontId="43" fillId="33" borderId="40" xfId="2" applyNumberFormat="1" applyFont="1" applyFill="1" applyBorder="1" applyAlignment="1">
      <alignment horizontal="center" vertical="center"/>
    </xf>
    <xf numFmtId="10" fontId="43" fillId="33" borderId="55" xfId="2" applyNumberFormat="1" applyFont="1" applyFill="1" applyBorder="1" applyAlignment="1">
      <alignment horizontal="center" vertical="center"/>
    </xf>
    <xf numFmtId="10" fontId="43" fillId="33" borderId="41" xfId="2" applyNumberFormat="1" applyFont="1" applyFill="1" applyBorder="1" applyAlignment="1">
      <alignment horizontal="center" vertical="center"/>
    </xf>
    <xf numFmtId="10" fontId="43" fillId="33" borderId="36" xfId="2" applyNumberFormat="1" applyFont="1" applyFill="1" applyBorder="1" applyAlignment="1">
      <alignment horizontal="center" vertical="center"/>
    </xf>
    <xf numFmtId="10" fontId="43" fillId="33" borderId="37" xfId="2" applyNumberFormat="1" applyFont="1" applyFill="1" applyBorder="1" applyAlignment="1">
      <alignment horizontal="center" vertical="center"/>
    </xf>
    <xf numFmtId="10" fontId="43" fillId="33" borderId="38" xfId="2" applyNumberFormat="1" applyFont="1" applyFill="1" applyBorder="1" applyAlignment="1">
      <alignment horizontal="center" vertical="center"/>
    </xf>
    <xf numFmtId="164" fontId="75" fillId="33" borderId="0" xfId="0" applyNumberFormat="1" applyFont="1" applyFill="1" applyAlignment="1">
      <alignment horizontal="center" vertical="center" textRotation="90"/>
    </xf>
    <xf numFmtId="166" fontId="43" fillId="8" borderId="17" xfId="2" applyNumberFormat="1" applyFont="1" applyFill="1" applyBorder="1" applyAlignment="1">
      <alignment horizontal="center" vertical="center"/>
    </xf>
    <xf numFmtId="166" fontId="43" fillId="8" borderId="18" xfId="2" applyNumberFormat="1" applyFont="1" applyFill="1" applyBorder="1" applyAlignment="1">
      <alignment horizontal="center" vertical="center"/>
    </xf>
    <xf numFmtId="166" fontId="43" fillId="8" borderId="19" xfId="2" applyNumberFormat="1" applyFont="1" applyFill="1" applyBorder="1" applyAlignment="1">
      <alignment horizontal="center" vertical="center"/>
    </xf>
    <xf numFmtId="164" fontId="43" fillId="16" borderId="2" xfId="0" applyNumberFormat="1" applyFont="1" applyFill="1" applyBorder="1" applyAlignment="1">
      <alignment horizontal="center" vertical="center"/>
    </xf>
    <xf numFmtId="164" fontId="43" fillId="16" borderId="14" xfId="0" applyNumberFormat="1" applyFont="1" applyFill="1" applyBorder="1" applyAlignment="1">
      <alignment horizontal="center" vertical="center"/>
    </xf>
    <xf numFmtId="164" fontId="43" fillId="16" borderId="3" xfId="0" applyNumberFormat="1" applyFont="1" applyFill="1" applyBorder="1" applyAlignment="1">
      <alignment horizontal="center" vertical="center"/>
    </xf>
    <xf numFmtId="164" fontId="43" fillId="8" borderId="17" xfId="2" applyNumberFormat="1" applyFont="1" applyFill="1" applyBorder="1" applyAlignment="1">
      <alignment horizontal="center" vertical="center"/>
    </xf>
    <xf numFmtId="164" fontId="43" fillId="8" borderId="18" xfId="2" applyNumberFormat="1" applyFont="1" applyFill="1" applyBorder="1" applyAlignment="1">
      <alignment horizontal="center" vertical="center"/>
    </xf>
    <xf numFmtId="164" fontId="43" fillId="8" borderId="19" xfId="2" applyNumberFormat="1" applyFont="1" applyFill="1" applyBorder="1" applyAlignment="1">
      <alignment horizontal="center" vertical="center"/>
    </xf>
    <xf numFmtId="164" fontId="43" fillId="33" borderId="54" xfId="2" applyNumberFormat="1" applyFont="1" applyFill="1" applyBorder="1" applyAlignment="1">
      <alignment horizontal="center" vertical="center"/>
    </xf>
    <xf numFmtId="9" fontId="94" fillId="16" borderId="1" xfId="2" applyFont="1" applyFill="1" applyBorder="1" applyAlignment="1">
      <alignment horizontal="center" vertical="center"/>
    </xf>
    <xf numFmtId="0" fontId="134" fillId="0" borderId="0" xfId="0" applyFont="1" applyAlignment="1">
      <alignment horizontal="center" vertical="center"/>
    </xf>
    <xf numFmtId="9" fontId="8" fillId="24" borderId="1" xfId="2" applyFont="1" applyFill="1" applyBorder="1" applyAlignment="1">
      <alignment horizontal="center" vertical="center"/>
    </xf>
    <xf numFmtId="0" fontId="1" fillId="14" borderId="0" xfId="0" applyFont="1" applyFill="1" applyBorder="1" applyAlignment="1">
      <alignment horizontal="center" vertical="center" wrapText="1"/>
    </xf>
    <xf numFmtId="0" fontId="1" fillId="0" borderId="0" xfId="0" applyFont="1" applyBorder="1" applyAlignment="1">
      <alignment horizontal="center" vertical="center" wrapText="1"/>
    </xf>
    <xf numFmtId="9" fontId="8" fillId="25" borderId="1" xfId="0" applyNumberFormat="1" applyFont="1" applyFill="1" applyBorder="1" applyAlignment="1">
      <alignment horizontal="center" vertical="center"/>
    </xf>
    <xf numFmtId="0" fontId="8" fillId="25" borderId="1" xfId="0" applyFont="1" applyFill="1" applyBorder="1" applyAlignment="1">
      <alignment horizontal="center" vertical="center"/>
    </xf>
    <xf numFmtId="9" fontId="8" fillId="0" borderId="1" xfId="0" applyNumberFormat="1" applyFont="1" applyBorder="1" applyAlignment="1">
      <alignment horizontal="center" vertical="center"/>
    </xf>
    <xf numFmtId="9" fontId="100" fillId="16" borderId="1" xfId="0" applyNumberFormat="1" applyFont="1" applyFill="1" applyBorder="1" applyAlignment="1">
      <alignment horizontal="center" vertical="center"/>
    </xf>
    <xf numFmtId="9" fontId="8" fillId="0" borderId="1" xfId="2" applyFont="1" applyFill="1" applyBorder="1" applyAlignment="1">
      <alignment horizontal="center" vertical="center"/>
    </xf>
    <xf numFmtId="9" fontId="1" fillId="0" borderId="1" xfId="2" applyFont="1" applyBorder="1" applyAlignment="1">
      <alignment horizontal="center" vertical="center"/>
    </xf>
    <xf numFmtId="0" fontId="74" fillId="23" borderId="1" xfId="0" applyFont="1" applyFill="1" applyBorder="1" applyAlignment="1">
      <alignment horizontal="center" vertical="center"/>
    </xf>
    <xf numFmtId="164" fontId="22" fillId="14" borderId="2" xfId="0" applyNumberFormat="1" applyFont="1" applyFill="1" applyBorder="1" applyAlignment="1">
      <alignment horizontal="center" vertical="center" wrapText="1"/>
    </xf>
    <xf numFmtId="164" fontId="22" fillId="14" borderId="14" xfId="0" applyNumberFormat="1" applyFont="1" applyFill="1" applyBorder="1" applyAlignment="1">
      <alignment horizontal="center" vertical="center" wrapText="1"/>
    </xf>
    <xf numFmtId="164" fontId="22" fillId="14" borderId="3" xfId="0" applyNumberFormat="1" applyFont="1" applyFill="1" applyBorder="1" applyAlignment="1">
      <alignment horizontal="center" vertical="center" wrapText="1"/>
    </xf>
    <xf numFmtId="164" fontId="2" fillId="14" borderId="2" xfId="0" applyNumberFormat="1" applyFont="1" applyFill="1" applyBorder="1" applyAlignment="1">
      <alignment horizontal="center" vertical="center"/>
    </xf>
    <xf numFmtId="164" fontId="2" fillId="14" borderId="14" xfId="0" applyNumberFormat="1" applyFont="1" applyFill="1" applyBorder="1" applyAlignment="1">
      <alignment horizontal="center" vertical="center"/>
    </xf>
    <xf numFmtId="164" fontId="2" fillId="14" borderId="3" xfId="0" applyNumberFormat="1" applyFont="1" applyFill="1" applyBorder="1" applyAlignment="1">
      <alignment horizontal="center" vertical="center"/>
    </xf>
    <xf numFmtId="0" fontId="109" fillId="17" borderId="23" xfId="0" applyFont="1" applyFill="1" applyBorder="1" applyAlignment="1">
      <alignment horizontal="left" vertical="top" wrapText="1"/>
    </xf>
    <xf numFmtId="0" fontId="145" fillId="17" borderId="1" xfId="0" applyFont="1" applyFill="1" applyBorder="1" applyAlignment="1">
      <alignment horizontal="center" vertical="center"/>
    </xf>
    <xf numFmtId="0" fontId="145" fillId="17" borderId="5" xfId="0" applyFont="1" applyFill="1" applyBorder="1" applyAlignment="1">
      <alignment horizontal="center" vertical="center"/>
    </xf>
    <xf numFmtId="0" fontId="145" fillId="17" borderId="8" xfId="0" applyFont="1" applyFill="1" applyBorder="1" applyAlignment="1">
      <alignment horizontal="center" vertical="center"/>
    </xf>
    <xf numFmtId="0" fontId="145" fillId="17" borderId="4" xfId="0" applyFont="1" applyFill="1" applyBorder="1" applyAlignment="1">
      <alignment horizontal="center" vertical="center"/>
    </xf>
    <xf numFmtId="0" fontId="145" fillId="23" borderId="1" xfId="0" applyFont="1" applyFill="1" applyBorder="1" applyAlignment="1">
      <alignment horizontal="center" vertical="center"/>
    </xf>
    <xf numFmtId="0" fontId="2" fillId="14" borderId="1" xfId="0" applyFont="1" applyFill="1" applyBorder="1" applyAlignment="1">
      <alignment horizontal="center" vertical="center" wrapText="1"/>
    </xf>
    <xf numFmtId="0" fontId="2" fillId="14" borderId="5" xfId="0" applyFont="1" applyFill="1" applyBorder="1" applyAlignment="1">
      <alignment horizontal="center" vertical="center" wrapText="1"/>
    </xf>
    <xf numFmtId="9" fontId="145" fillId="21" borderId="5" xfId="0" applyNumberFormat="1" applyFont="1" applyFill="1" applyBorder="1" applyAlignment="1">
      <alignment horizontal="center" vertical="center"/>
    </xf>
    <xf numFmtId="9" fontId="145" fillId="21" borderId="4" xfId="0" applyNumberFormat="1" applyFont="1" applyFill="1" applyBorder="1" applyAlignment="1">
      <alignment horizontal="center" vertical="center"/>
    </xf>
    <xf numFmtId="164" fontId="22" fillId="14" borderId="12" xfId="0" applyNumberFormat="1" applyFont="1" applyFill="1" applyBorder="1" applyAlignment="1">
      <alignment horizontal="center" vertical="center" wrapText="1"/>
    </xf>
    <xf numFmtId="164" fontId="22" fillId="14" borderId="6" xfId="0" applyNumberFormat="1" applyFont="1" applyFill="1" applyBorder="1" applyAlignment="1">
      <alignment horizontal="center" vertical="center" wrapText="1"/>
    </xf>
    <xf numFmtId="164" fontId="22" fillId="14" borderId="9" xfId="0" applyNumberFormat="1" applyFont="1" applyFill="1" applyBorder="1" applyAlignment="1">
      <alignment horizontal="center" vertical="center" wrapText="1"/>
    </xf>
    <xf numFmtId="164" fontId="22" fillId="14" borderId="15" xfId="0" applyNumberFormat="1" applyFont="1" applyFill="1" applyBorder="1" applyAlignment="1">
      <alignment horizontal="center" vertical="center" wrapText="1"/>
    </xf>
    <xf numFmtId="164" fontId="22" fillId="14" borderId="10" xfId="0" applyNumberFormat="1" applyFont="1" applyFill="1" applyBorder="1" applyAlignment="1">
      <alignment horizontal="center" vertical="center" wrapText="1"/>
    </xf>
    <xf numFmtId="164" fontId="22" fillId="14" borderId="7" xfId="0" applyNumberFormat="1" applyFont="1" applyFill="1" applyBorder="1" applyAlignment="1">
      <alignment horizontal="center" vertical="center" wrapText="1"/>
    </xf>
    <xf numFmtId="0" fontId="1" fillId="14" borderId="13" xfId="0" applyFont="1" applyFill="1" applyBorder="1" applyAlignment="1">
      <alignment horizontal="left" vertical="center" wrapText="1" indent="2"/>
    </xf>
    <xf numFmtId="0" fontId="1" fillId="14" borderId="6" xfId="0" applyFont="1" applyFill="1" applyBorder="1" applyAlignment="1">
      <alignment horizontal="left" vertical="center" wrapText="1" indent="2"/>
    </xf>
    <xf numFmtId="0" fontId="1" fillId="14" borderId="0" xfId="0" applyFont="1" applyFill="1" applyAlignment="1">
      <alignment horizontal="left" vertical="center" wrapText="1" indent="2"/>
    </xf>
    <xf numFmtId="0" fontId="1" fillId="14" borderId="15" xfId="0" applyFont="1" applyFill="1" applyBorder="1" applyAlignment="1">
      <alignment horizontal="left" vertical="center" wrapText="1" indent="2"/>
    </xf>
    <xf numFmtId="0" fontId="1" fillId="14" borderId="11" xfId="0" applyFont="1" applyFill="1" applyBorder="1" applyAlignment="1">
      <alignment horizontal="left" vertical="center" wrapText="1" indent="2"/>
    </xf>
    <xf numFmtId="0" fontId="1" fillId="14" borderId="7" xfId="0" applyFont="1" applyFill="1" applyBorder="1" applyAlignment="1">
      <alignment horizontal="left" vertical="center" wrapText="1" indent="2"/>
    </xf>
    <xf numFmtId="0" fontId="145" fillId="17" borderId="9" xfId="0" applyFont="1" applyFill="1" applyBorder="1" applyAlignment="1">
      <alignment horizontal="center" vertical="center"/>
    </xf>
    <xf numFmtId="0" fontId="145" fillId="17" borderId="0" xfId="0" applyFont="1" applyFill="1" applyBorder="1" applyAlignment="1">
      <alignment horizontal="center" vertical="center"/>
    </xf>
    <xf numFmtId="0" fontId="55" fillId="23" borderId="5" xfId="0" applyFont="1" applyFill="1" applyBorder="1" applyAlignment="1">
      <alignment horizontal="center" vertical="center"/>
    </xf>
    <xf numFmtId="0" fontId="55" fillId="23" borderId="8" xfId="0" applyFont="1" applyFill="1" applyBorder="1" applyAlignment="1">
      <alignment horizontal="center" vertical="center"/>
    </xf>
    <xf numFmtId="0" fontId="55" fillId="23" borderId="4" xfId="0" applyFont="1" applyFill="1" applyBorder="1" applyAlignment="1">
      <alignment horizontal="center" vertical="center"/>
    </xf>
    <xf numFmtId="0" fontId="55" fillId="23" borderId="1" xfId="0" applyFont="1" applyFill="1" applyBorder="1" applyAlignment="1">
      <alignment horizontal="center" vertical="center"/>
    </xf>
    <xf numFmtId="0" fontId="43" fillId="17" borderId="0" xfId="0" applyFont="1" applyFill="1" applyAlignment="1">
      <alignment horizontal="left" vertical="top" wrapText="1" indent="1"/>
    </xf>
    <xf numFmtId="0" fontId="50" fillId="16" borderId="2" xfId="0" applyFont="1" applyFill="1" applyBorder="1" applyAlignment="1">
      <alignment horizontal="center" vertical="center"/>
    </xf>
    <xf numFmtId="0" fontId="50" fillId="16" borderId="14" xfId="0" applyFont="1" applyFill="1" applyBorder="1" applyAlignment="1">
      <alignment horizontal="center" vertical="center"/>
    </xf>
    <xf numFmtId="0" fontId="50" fillId="16" borderId="3" xfId="0" applyFont="1" applyFill="1" applyBorder="1" applyAlignment="1">
      <alignment horizontal="center" vertical="center"/>
    </xf>
    <xf numFmtId="0" fontId="150" fillId="19" borderId="9" xfId="0" applyFont="1" applyFill="1" applyBorder="1" applyAlignment="1">
      <alignment horizontal="left" vertical="center" wrapText="1" indent="1"/>
    </xf>
    <xf numFmtId="0" fontId="150" fillId="19" borderId="0" xfId="0" applyFont="1" applyFill="1" applyBorder="1" applyAlignment="1">
      <alignment horizontal="left" vertical="center" wrapText="1" indent="1"/>
    </xf>
    <xf numFmtId="0" fontId="150" fillId="19" borderId="15" xfId="0" applyFont="1" applyFill="1" applyBorder="1" applyAlignment="1">
      <alignment horizontal="left" vertical="center" wrapText="1" indent="1"/>
    </xf>
    <xf numFmtId="0" fontId="50" fillId="16" borderId="1" xfId="0" applyFont="1" applyFill="1" applyBorder="1" applyAlignment="1">
      <alignment horizontal="center" vertical="center"/>
    </xf>
    <xf numFmtId="0" fontId="50" fillId="17" borderId="1" xfId="0" applyFont="1" applyFill="1" applyBorder="1" applyAlignment="1">
      <alignment horizontal="center" vertical="center" wrapText="1"/>
    </xf>
    <xf numFmtId="0" fontId="43" fillId="17" borderId="1" xfId="0" applyFont="1" applyFill="1" applyBorder="1" applyAlignment="1">
      <alignment horizontal="center" vertical="center"/>
    </xf>
    <xf numFmtId="0" fontId="43" fillId="17" borderId="2" xfId="0" applyFont="1" applyFill="1" applyBorder="1" applyAlignment="1">
      <alignment horizontal="center" vertical="center"/>
    </xf>
    <xf numFmtId="0" fontId="50" fillId="17" borderId="5" xfId="0" applyFont="1" applyFill="1" applyBorder="1" applyAlignment="1">
      <alignment horizontal="center" vertical="center"/>
    </xf>
    <xf numFmtId="0" fontId="50" fillId="17" borderId="8" xfId="0" applyFont="1" applyFill="1" applyBorder="1" applyAlignment="1">
      <alignment horizontal="center" vertical="center"/>
    </xf>
    <xf numFmtId="0" fontId="50" fillId="17" borderId="4" xfId="0" applyFont="1" applyFill="1" applyBorder="1" applyAlignment="1">
      <alignment horizontal="center" vertical="center"/>
    </xf>
    <xf numFmtId="0" fontId="50" fillId="16" borderId="5" xfId="0" applyFont="1" applyFill="1" applyBorder="1" applyAlignment="1">
      <alignment horizontal="center" vertical="center"/>
    </xf>
    <xf numFmtId="0" fontId="50" fillId="16" borderId="8" xfId="0" applyFont="1" applyFill="1" applyBorder="1" applyAlignment="1">
      <alignment horizontal="center" vertical="center"/>
    </xf>
    <xf numFmtId="0" fontId="50" fillId="16" borderId="4" xfId="0" applyFont="1" applyFill="1" applyBorder="1" applyAlignment="1">
      <alignment horizontal="center" vertical="center"/>
    </xf>
    <xf numFmtId="0" fontId="50" fillId="16" borderId="7" xfId="0" applyFont="1" applyFill="1" applyBorder="1" applyAlignment="1">
      <alignment horizontal="center" vertical="center"/>
    </xf>
    <xf numFmtId="0" fontId="50" fillId="23" borderId="5" xfId="0" applyFont="1" applyFill="1" applyBorder="1" applyAlignment="1">
      <alignment horizontal="center" vertical="center"/>
    </xf>
    <xf numFmtId="0" fontId="50" fillId="23" borderId="4" xfId="0" applyFont="1" applyFill="1" applyBorder="1" applyAlignment="1">
      <alignment horizontal="center" vertical="center"/>
    </xf>
    <xf numFmtId="0" fontId="50" fillId="23" borderId="8" xfId="0" applyFont="1" applyFill="1" applyBorder="1" applyAlignment="1">
      <alignment horizontal="center" vertical="center"/>
    </xf>
    <xf numFmtId="0" fontId="50" fillId="21" borderId="2" xfId="0" applyFont="1" applyFill="1" applyBorder="1" applyAlignment="1">
      <alignment horizontal="center" vertical="center"/>
    </xf>
    <xf numFmtId="0" fontId="50" fillId="21" borderId="3" xfId="0" applyFont="1" applyFill="1" applyBorder="1" applyAlignment="1">
      <alignment horizontal="center" vertical="center"/>
    </xf>
    <xf numFmtId="0" fontId="50" fillId="23" borderId="1" xfId="0" applyFont="1" applyFill="1" applyBorder="1" applyAlignment="1">
      <alignment horizontal="center" vertical="center"/>
    </xf>
    <xf numFmtId="0" fontId="50" fillId="16" borderId="2" xfId="0" applyFont="1" applyFill="1" applyBorder="1" applyAlignment="1">
      <alignment horizontal="center" vertical="center" wrapText="1"/>
    </xf>
    <xf numFmtId="0" fontId="50" fillId="16" borderId="14" xfId="0" applyFont="1" applyFill="1" applyBorder="1" applyAlignment="1">
      <alignment horizontal="center" vertical="center" wrapText="1"/>
    </xf>
    <xf numFmtId="0" fontId="50" fillId="16" borderId="3" xfId="0" applyFont="1" applyFill="1" applyBorder="1" applyAlignment="1">
      <alignment horizontal="center" vertical="center" wrapText="1"/>
    </xf>
    <xf numFmtId="0" fontId="151" fillId="19" borderId="9" xfId="0" applyFont="1" applyFill="1" applyBorder="1" applyAlignment="1">
      <alignment horizontal="left" vertical="center" wrapText="1" indent="1"/>
    </xf>
    <xf numFmtId="0" fontId="151" fillId="19" borderId="0" xfId="0" applyFont="1" applyFill="1" applyBorder="1" applyAlignment="1">
      <alignment horizontal="left" vertical="center" wrapText="1" indent="1"/>
    </xf>
    <xf numFmtId="0" fontId="151" fillId="19" borderId="15" xfId="0" applyFont="1" applyFill="1" applyBorder="1" applyAlignment="1">
      <alignment horizontal="left" vertical="center" wrapText="1" indent="1"/>
    </xf>
    <xf numFmtId="0" fontId="50" fillId="17" borderId="6" xfId="0" applyFont="1" applyFill="1" applyBorder="1" applyAlignment="1">
      <alignment horizontal="center" vertical="center" wrapText="1"/>
    </xf>
    <xf numFmtId="0" fontId="50" fillId="17" borderId="15" xfId="0" applyFont="1" applyFill="1" applyBorder="1" applyAlignment="1">
      <alignment horizontal="center" vertical="center" wrapText="1"/>
    </xf>
    <xf numFmtId="0" fontId="50" fillId="17" borderId="7" xfId="0" applyFont="1" applyFill="1" applyBorder="1" applyAlignment="1">
      <alignment horizontal="center" vertical="center" wrapText="1"/>
    </xf>
    <xf numFmtId="0" fontId="1" fillId="19" borderId="1" xfId="0" applyFont="1" applyFill="1" applyBorder="1" applyAlignment="1">
      <alignment horizontal="center" vertical="center"/>
    </xf>
    <xf numFmtId="0" fontId="0" fillId="19" borderId="13" xfId="0" applyFill="1" applyBorder="1" applyAlignment="1">
      <alignment horizontal="center" vertical="center"/>
    </xf>
    <xf numFmtId="0" fontId="43" fillId="16" borderId="5" xfId="0" applyFont="1" applyFill="1" applyBorder="1" applyAlignment="1">
      <alignment horizontal="center" vertical="center"/>
    </xf>
    <xf numFmtId="0" fontId="43" fillId="16" borderId="8" xfId="0" applyFont="1" applyFill="1" applyBorder="1" applyAlignment="1">
      <alignment horizontal="center" vertical="center"/>
    </xf>
    <xf numFmtId="0" fontId="43" fillId="16" borderId="4" xfId="0" applyFont="1" applyFill="1" applyBorder="1" applyAlignment="1">
      <alignment horizontal="center" vertical="center"/>
    </xf>
    <xf numFmtId="0" fontId="43" fillId="17" borderId="5" xfId="0" applyFont="1" applyFill="1" applyBorder="1" applyAlignment="1">
      <alignment horizontal="center" vertical="center"/>
    </xf>
    <xf numFmtId="0" fontId="43" fillId="17" borderId="8" xfId="0" applyFont="1" applyFill="1" applyBorder="1" applyAlignment="1">
      <alignment horizontal="center" vertical="center"/>
    </xf>
    <xf numFmtId="0" fontId="43" fillId="17" borderId="4" xfId="0" applyFont="1" applyFill="1" applyBorder="1" applyAlignment="1">
      <alignment horizontal="center" vertical="center"/>
    </xf>
    <xf numFmtId="0" fontId="7" fillId="14" borderId="1" xfId="0" applyFont="1" applyFill="1" applyBorder="1" applyAlignment="1" applyProtection="1">
      <alignment horizontal="center" vertical="center"/>
      <protection locked="0"/>
    </xf>
    <xf numFmtId="0" fontId="7" fillId="14" borderId="5" xfId="0" applyFont="1" applyFill="1" applyBorder="1" applyAlignment="1" applyProtection="1">
      <alignment horizontal="center" vertical="center"/>
      <protection locked="0"/>
    </xf>
    <xf numFmtId="0" fontId="7" fillId="14" borderId="4" xfId="0" applyFont="1" applyFill="1" applyBorder="1" applyAlignment="1" applyProtection="1">
      <alignment horizontal="center" vertical="center"/>
      <protection locked="0"/>
    </xf>
    <xf numFmtId="0" fontId="7" fillId="14" borderId="1" xfId="0" applyFont="1" applyFill="1" applyBorder="1" applyAlignment="1">
      <alignment horizontal="center" vertical="center"/>
    </xf>
    <xf numFmtId="0" fontId="43" fillId="16" borderId="12" xfId="0" applyFont="1" applyFill="1" applyBorder="1" applyAlignment="1">
      <alignment horizontal="center" vertical="center" wrapText="1"/>
    </xf>
    <xf numFmtId="0" fontId="43" fillId="16" borderId="6" xfId="0" applyFont="1" applyFill="1" applyBorder="1" applyAlignment="1">
      <alignment horizontal="center" vertical="center" wrapText="1"/>
    </xf>
    <xf numFmtId="0" fontId="1" fillId="19" borderId="8" xfId="0" applyFont="1" applyFill="1" applyBorder="1" applyAlignment="1">
      <alignment horizontal="center" vertical="center" wrapText="1"/>
    </xf>
    <xf numFmtId="0" fontId="8" fillId="19" borderId="8" xfId="0" applyFont="1" applyFill="1" applyBorder="1" applyAlignment="1">
      <alignment horizontal="center" vertical="center" wrapText="1"/>
    </xf>
    <xf numFmtId="0" fontId="8" fillId="19" borderId="4" xfId="0" applyFont="1" applyFill="1" applyBorder="1" applyAlignment="1">
      <alignment horizontal="center" vertical="center" wrapText="1"/>
    </xf>
    <xf numFmtId="0" fontId="43" fillId="16" borderId="1" xfId="0" applyFont="1" applyFill="1" applyBorder="1" applyAlignment="1">
      <alignment horizontal="center" vertical="center"/>
    </xf>
    <xf numFmtId="0" fontId="43" fillId="17" borderId="5" xfId="0" applyFont="1" applyFill="1" applyBorder="1" applyAlignment="1">
      <alignment horizontal="center" vertical="center" wrapText="1"/>
    </xf>
    <xf numFmtId="0" fontId="43" fillId="17" borderId="4" xfId="0" applyFont="1" applyFill="1" applyBorder="1" applyAlignment="1">
      <alignment horizontal="center" vertical="center" wrapText="1"/>
    </xf>
    <xf numFmtId="0" fontId="7" fillId="14" borderId="10" xfId="0" applyFont="1" applyFill="1" applyBorder="1" applyAlignment="1" applyProtection="1">
      <alignment horizontal="center" vertical="center"/>
      <protection locked="0"/>
    </xf>
    <xf numFmtId="0" fontId="7" fillId="14" borderId="7" xfId="0" applyFont="1" applyFill="1" applyBorder="1" applyAlignment="1" applyProtection="1">
      <alignment horizontal="center" vertical="center"/>
      <protection locked="0"/>
    </xf>
    <xf numFmtId="165" fontId="7" fillId="14" borderId="10" xfId="0" applyNumberFormat="1" applyFont="1" applyFill="1" applyBorder="1" applyAlignment="1" applyProtection="1">
      <alignment horizontal="center" vertical="center"/>
      <protection locked="0"/>
    </xf>
    <xf numFmtId="165" fontId="7" fillId="14" borderId="7" xfId="0" applyNumberFormat="1" applyFont="1" applyFill="1" applyBorder="1" applyAlignment="1" applyProtection="1">
      <alignment horizontal="center" vertical="center"/>
      <protection locked="0"/>
    </xf>
    <xf numFmtId="165" fontId="7" fillId="14" borderId="5" xfId="0" applyNumberFormat="1" applyFont="1" applyFill="1" applyBorder="1" applyAlignment="1" applyProtection="1">
      <alignment horizontal="center" vertical="center"/>
      <protection locked="0"/>
    </xf>
    <xf numFmtId="165" fontId="7" fillId="14" borderId="4" xfId="0" applyNumberFormat="1" applyFont="1" applyFill="1" applyBorder="1" applyAlignment="1" applyProtection="1">
      <alignment horizontal="center" vertical="center"/>
      <protection locked="0"/>
    </xf>
    <xf numFmtId="0" fontId="7" fillId="19" borderId="8" xfId="0" applyFont="1" applyFill="1" applyBorder="1" applyAlignment="1">
      <alignment horizontal="center" vertical="center"/>
    </xf>
    <xf numFmtId="0" fontId="7" fillId="19" borderId="13" xfId="0" applyFont="1" applyFill="1" applyBorder="1" applyAlignment="1">
      <alignment horizontal="center" vertical="center"/>
    </xf>
    <xf numFmtId="0" fontId="43" fillId="16" borderId="1" xfId="0" applyFont="1" applyFill="1" applyBorder="1" applyAlignment="1">
      <alignment horizontal="center" vertical="center" wrapText="1"/>
    </xf>
    <xf numFmtId="0" fontId="1" fillId="19" borderId="5" xfId="0" applyFont="1" applyFill="1" applyBorder="1" applyAlignment="1">
      <alignment horizontal="center" vertical="center"/>
    </xf>
    <xf numFmtId="0" fontId="1" fillId="19" borderId="8" xfId="0" applyFont="1" applyFill="1" applyBorder="1" applyAlignment="1">
      <alignment horizontal="center" vertical="center"/>
    </xf>
    <xf numFmtId="0" fontId="1" fillId="19" borderId="4" xfId="0" applyFont="1" applyFill="1" applyBorder="1" applyAlignment="1">
      <alignment horizontal="center" vertical="center"/>
    </xf>
    <xf numFmtId="0" fontId="43" fillId="17" borderId="1" xfId="0" applyFont="1" applyFill="1" applyBorder="1" applyAlignment="1">
      <alignment horizontal="center" vertical="center" wrapText="1"/>
    </xf>
    <xf numFmtId="0" fontId="54" fillId="21" borderId="1" xfId="0" applyFont="1" applyFill="1" applyBorder="1" applyAlignment="1">
      <alignment horizontal="center" vertical="center"/>
    </xf>
    <xf numFmtId="9" fontId="7" fillId="14" borderId="5" xfId="2" applyFont="1" applyFill="1" applyBorder="1" applyAlignment="1" applyProtection="1">
      <alignment horizontal="center" vertical="center"/>
      <protection locked="0"/>
    </xf>
    <xf numFmtId="9" fontId="7" fillId="14" borderId="4" xfId="2" applyFont="1" applyFill="1" applyBorder="1" applyAlignment="1" applyProtection="1">
      <alignment horizontal="center" vertical="center"/>
      <protection locked="0"/>
    </xf>
    <xf numFmtId="0" fontId="43" fillId="16" borderId="5" xfId="0" applyFont="1" applyFill="1" applyBorder="1" applyAlignment="1">
      <alignment horizontal="center" vertical="center" wrapText="1"/>
    </xf>
    <xf numFmtId="0" fontId="43" fillId="16" borderId="8" xfId="0" applyFont="1" applyFill="1" applyBorder="1" applyAlignment="1">
      <alignment horizontal="center" vertical="center" wrapText="1"/>
    </xf>
    <xf numFmtId="0" fontId="43" fillId="16" borderId="4" xfId="0" applyFont="1" applyFill="1" applyBorder="1" applyAlignment="1">
      <alignment horizontal="center" vertical="center" wrapText="1"/>
    </xf>
    <xf numFmtId="0" fontId="43" fillId="17" borderId="12" xfId="0" applyFont="1" applyFill="1" applyBorder="1" applyAlignment="1">
      <alignment horizontal="center" vertical="center" wrapText="1"/>
    </xf>
    <xf numFmtId="0" fontId="43" fillId="17" borderId="6" xfId="0" applyFont="1" applyFill="1" applyBorder="1" applyAlignment="1">
      <alignment horizontal="center" vertical="center" wrapText="1"/>
    </xf>
    <xf numFmtId="0" fontId="43" fillId="17" borderId="2" xfId="0" applyFont="1" applyFill="1" applyBorder="1" applyAlignment="1">
      <alignment horizontal="center" vertical="center" wrapText="1"/>
    </xf>
    <xf numFmtId="0" fontId="43" fillId="17" borderId="3" xfId="0" applyFont="1" applyFill="1" applyBorder="1" applyAlignment="1">
      <alignment horizontal="center" vertical="center" wrapText="1"/>
    </xf>
    <xf numFmtId="0" fontId="43" fillId="17" borderId="10" xfId="0" applyFont="1" applyFill="1" applyBorder="1" applyAlignment="1">
      <alignment horizontal="center" vertical="center" wrapText="1"/>
    </xf>
    <xf numFmtId="0" fontId="43" fillId="17" borderId="7" xfId="0" applyFont="1" applyFill="1" applyBorder="1" applyAlignment="1">
      <alignment horizontal="center" vertical="center" wrapText="1"/>
    </xf>
    <xf numFmtId="164" fontId="7" fillId="31" borderId="5" xfId="0" applyNumberFormat="1" applyFont="1" applyFill="1" applyBorder="1" applyAlignment="1" applyProtection="1">
      <alignment horizontal="center" vertical="center"/>
      <protection locked="0"/>
    </xf>
    <xf numFmtId="164" fontId="7" fillId="31" borderId="4" xfId="0" applyNumberFormat="1" applyFont="1" applyFill="1" applyBorder="1" applyAlignment="1" applyProtection="1">
      <alignment horizontal="center" vertical="center"/>
      <protection locked="0"/>
    </xf>
    <xf numFmtId="0" fontId="43" fillId="17" borderId="1" xfId="0" applyFont="1" applyFill="1" applyBorder="1" applyAlignment="1" applyProtection="1">
      <alignment horizontal="center" vertical="center" wrapText="1"/>
    </xf>
    <xf numFmtId="0" fontId="43" fillId="17" borderId="2" xfId="0" applyFont="1" applyFill="1" applyBorder="1" applyAlignment="1" applyProtection="1">
      <alignment horizontal="center" vertical="center" wrapText="1"/>
    </xf>
    <xf numFmtId="0" fontId="43" fillId="17" borderId="3" xfId="0" applyFont="1" applyFill="1" applyBorder="1" applyAlignment="1" applyProtection="1">
      <alignment horizontal="center" vertical="center" wrapText="1"/>
    </xf>
    <xf numFmtId="0" fontId="43" fillId="17" borderId="12" xfId="0" applyFont="1" applyFill="1" applyBorder="1" applyAlignment="1" applyProtection="1">
      <alignment horizontal="center" vertical="center" wrapText="1"/>
    </xf>
    <xf numFmtId="0" fontId="43" fillId="17" borderId="6" xfId="0" applyFont="1" applyFill="1" applyBorder="1" applyAlignment="1" applyProtection="1">
      <alignment horizontal="center" vertical="center" wrapText="1"/>
    </xf>
    <xf numFmtId="0" fontId="43" fillId="17" borderId="10" xfId="0" applyFont="1" applyFill="1" applyBorder="1" applyAlignment="1" applyProtection="1">
      <alignment horizontal="center" vertical="center" wrapText="1"/>
    </xf>
    <xf numFmtId="0" fontId="43" fillId="17" borderId="7" xfId="0" applyFont="1" applyFill="1" applyBorder="1" applyAlignment="1" applyProtection="1">
      <alignment horizontal="center" vertical="center" wrapText="1"/>
    </xf>
    <xf numFmtId="0" fontId="43" fillId="16" borderId="1" xfId="0" applyFont="1" applyFill="1" applyBorder="1" applyAlignment="1" applyProtection="1">
      <alignment horizontal="center" vertical="center"/>
    </xf>
    <xf numFmtId="0" fontId="43" fillId="17" borderId="1" xfId="0" applyFont="1" applyFill="1" applyBorder="1" applyAlignment="1" applyProtection="1">
      <alignment horizontal="center" vertical="center"/>
    </xf>
    <xf numFmtId="164" fontId="7" fillId="14" borderId="5" xfId="0" applyNumberFormat="1" applyFont="1" applyFill="1" applyBorder="1" applyAlignment="1" applyProtection="1">
      <alignment horizontal="center" vertical="center"/>
    </xf>
    <xf numFmtId="164" fontId="7" fillId="14" borderId="4" xfId="0" applyNumberFormat="1" applyFont="1" applyFill="1" applyBorder="1" applyAlignment="1" applyProtection="1">
      <alignment horizontal="center" vertical="center"/>
    </xf>
    <xf numFmtId="0" fontId="7" fillId="20" borderId="1" xfId="0" applyFont="1" applyFill="1" applyBorder="1" applyAlignment="1" applyProtection="1">
      <alignment horizontal="left" vertical="center" wrapText="1"/>
      <protection locked="0"/>
    </xf>
    <xf numFmtId="0" fontId="50" fillId="17" borderId="1" xfId="0" applyFont="1" applyFill="1" applyBorder="1" applyAlignment="1">
      <alignment horizontal="center" vertical="center"/>
    </xf>
    <xf numFmtId="0" fontId="43" fillId="23" borderId="1" xfId="0" applyFont="1" applyFill="1" applyBorder="1" applyAlignment="1">
      <alignment horizontal="center" vertical="center"/>
    </xf>
    <xf numFmtId="0" fontId="89" fillId="17" borderId="23" xfId="0" applyFont="1" applyFill="1" applyBorder="1" applyAlignment="1">
      <alignment horizontal="left" vertical="top"/>
    </xf>
    <xf numFmtId="0" fontId="43" fillId="17" borderId="3" xfId="0" applyFont="1" applyFill="1" applyBorder="1" applyAlignment="1">
      <alignment horizontal="center" vertical="center"/>
    </xf>
    <xf numFmtId="0" fontId="9" fillId="0" borderId="5" xfId="0" applyFont="1" applyFill="1" applyBorder="1" applyAlignment="1">
      <alignment horizontal="left" vertical="center"/>
    </xf>
    <xf numFmtId="0" fontId="9" fillId="0" borderId="8" xfId="0" applyFont="1" applyFill="1" applyBorder="1" applyAlignment="1">
      <alignment horizontal="left" vertical="center"/>
    </xf>
    <xf numFmtId="0" fontId="9" fillId="0" borderId="4" xfId="0" applyFont="1" applyFill="1" applyBorder="1" applyAlignment="1">
      <alignment horizontal="left" vertical="center"/>
    </xf>
    <xf numFmtId="0" fontId="1" fillId="31" borderId="5" xfId="0" applyFont="1" applyFill="1" applyBorder="1" applyAlignment="1">
      <alignment horizontal="left" vertical="center"/>
    </xf>
    <xf numFmtId="0" fontId="1" fillId="31" borderId="8" xfId="0" applyFont="1" applyFill="1" applyBorder="1" applyAlignment="1">
      <alignment horizontal="left" vertical="center"/>
    </xf>
    <xf numFmtId="0" fontId="1" fillId="31" borderId="4" xfId="0" applyFont="1" applyFill="1" applyBorder="1" applyAlignment="1">
      <alignment horizontal="left" vertical="center"/>
    </xf>
    <xf numFmtId="0" fontId="1" fillId="29" borderId="2" xfId="0" applyFont="1" applyFill="1" applyBorder="1" applyAlignment="1">
      <alignment horizontal="center" vertical="center" wrapText="1"/>
    </xf>
    <xf numFmtId="0" fontId="1" fillId="29" borderId="14" xfId="0" applyFont="1" applyFill="1" applyBorder="1" applyAlignment="1">
      <alignment horizontal="center" vertical="center" wrapText="1"/>
    </xf>
    <xf numFmtId="0" fontId="1" fillId="29" borderId="3" xfId="0" applyFont="1" applyFill="1" applyBorder="1" applyAlignment="1">
      <alignment horizontal="center" vertical="center" wrapText="1"/>
    </xf>
    <xf numFmtId="0" fontId="1" fillId="31" borderId="2" xfId="0" applyFont="1" applyFill="1" applyBorder="1" applyAlignment="1">
      <alignment horizontal="center" vertical="center" wrapText="1"/>
    </xf>
    <xf numFmtId="0" fontId="1" fillId="31" borderId="14" xfId="0" applyFont="1" applyFill="1" applyBorder="1" applyAlignment="1">
      <alignment horizontal="center" vertical="center" wrapText="1"/>
    </xf>
    <xf numFmtId="0" fontId="1" fillId="31" borderId="3" xfId="0" applyFont="1" applyFill="1" applyBorder="1" applyAlignment="1">
      <alignment horizontal="center" vertical="center" wrapText="1"/>
    </xf>
    <xf numFmtId="0" fontId="8" fillId="24" borderId="2" xfId="0" applyFont="1" applyFill="1" applyBorder="1" applyAlignment="1">
      <alignment horizontal="center" vertical="center" wrapText="1"/>
    </xf>
    <xf numFmtId="0" fontId="8" fillId="24" borderId="3" xfId="0" applyFont="1" applyFill="1" applyBorder="1" applyAlignment="1">
      <alignment horizontal="center" vertical="center" wrapText="1"/>
    </xf>
    <xf numFmtId="9" fontId="13" fillId="0" borderId="1" xfId="2" applyFont="1" applyBorder="1" applyAlignment="1">
      <alignment horizontal="center" vertical="center"/>
    </xf>
    <xf numFmtId="164" fontId="8" fillId="31" borderId="2" xfId="0" applyNumberFormat="1" applyFont="1" applyFill="1" applyBorder="1" applyAlignment="1">
      <alignment horizontal="center" vertical="center" wrapText="1"/>
    </xf>
    <xf numFmtId="164" fontId="8" fillId="31" borderId="3" xfId="0" applyNumberFormat="1" applyFont="1" applyFill="1" applyBorder="1" applyAlignment="1">
      <alignment horizontal="center" vertical="center" wrapText="1"/>
    </xf>
    <xf numFmtId="0" fontId="8" fillId="31" borderId="2" xfId="0" applyFont="1" applyFill="1" applyBorder="1" applyAlignment="1">
      <alignment horizontal="center" vertical="center" wrapText="1"/>
    </xf>
    <xf numFmtId="0" fontId="8" fillId="31" borderId="3"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22" fillId="31" borderId="1" xfId="0" applyFont="1" applyFill="1" applyBorder="1" applyAlignment="1">
      <alignment horizontal="center" vertical="center"/>
    </xf>
    <xf numFmtId="0" fontId="2" fillId="31" borderId="1" xfId="0" applyFont="1" applyFill="1" applyBorder="1" applyAlignment="1">
      <alignment horizontal="center" vertical="center"/>
    </xf>
    <xf numFmtId="0" fontId="22" fillId="29" borderId="1" xfId="0" applyFont="1" applyFill="1" applyBorder="1" applyAlignment="1">
      <alignment horizontal="center" vertical="center"/>
    </xf>
    <xf numFmtId="0" fontId="2" fillId="29" borderId="1" xfId="0" applyFont="1" applyFill="1" applyBorder="1" applyAlignment="1">
      <alignment horizontal="center" vertical="center"/>
    </xf>
    <xf numFmtId="0" fontId="13" fillId="31" borderId="1" xfId="0" applyFont="1" applyFill="1" applyBorder="1" applyAlignment="1">
      <alignment horizontal="center" vertical="center"/>
    </xf>
    <xf numFmtId="166" fontId="1" fillId="31" borderId="5" xfId="2" applyNumberFormat="1" applyFont="1" applyFill="1" applyBorder="1" applyAlignment="1">
      <alignment horizontal="center" vertical="center"/>
    </xf>
    <xf numFmtId="166" fontId="1" fillId="31" borderId="8" xfId="2" applyNumberFormat="1" applyFont="1" applyFill="1" applyBorder="1" applyAlignment="1">
      <alignment horizontal="center" vertical="center"/>
    </xf>
    <xf numFmtId="166" fontId="1" fillId="31" borderId="4" xfId="2" applyNumberFormat="1" applyFont="1" applyFill="1" applyBorder="1" applyAlignment="1">
      <alignment horizontal="center" vertical="center"/>
    </xf>
    <xf numFmtId="0" fontId="1" fillId="31" borderId="1" xfId="0" applyFont="1" applyFill="1" applyBorder="1" applyAlignment="1">
      <alignment horizontal="center" vertical="center"/>
    </xf>
    <xf numFmtId="0" fontId="13" fillId="29" borderId="1" xfId="0" applyFont="1" applyFill="1" applyBorder="1" applyAlignment="1">
      <alignment horizontal="center" vertical="center"/>
    </xf>
    <xf numFmtId="166" fontId="1" fillId="29" borderId="5" xfId="2" applyNumberFormat="1" applyFont="1" applyFill="1" applyBorder="1" applyAlignment="1">
      <alignment horizontal="center" vertical="center"/>
    </xf>
    <xf numFmtId="166" fontId="1" fillId="29" borderId="8" xfId="2" applyNumberFormat="1" applyFont="1" applyFill="1" applyBorder="1" applyAlignment="1">
      <alignment horizontal="center" vertical="center"/>
    </xf>
    <xf numFmtId="166" fontId="1" fillId="29" borderId="4" xfId="2" applyNumberFormat="1" applyFont="1" applyFill="1" applyBorder="1" applyAlignment="1">
      <alignment horizontal="center" vertical="center"/>
    </xf>
    <xf numFmtId="0" fontId="1" fillId="29" borderId="1" xfId="0" applyFont="1" applyFill="1" applyBorder="1" applyAlignment="1">
      <alignment horizontal="center" vertical="center"/>
    </xf>
    <xf numFmtId="0" fontId="22" fillId="31" borderId="2" xfId="0" applyFont="1" applyFill="1" applyBorder="1" applyAlignment="1">
      <alignment horizontal="center" vertical="center"/>
    </xf>
    <xf numFmtId="0" fontId="22" fillId="29" borderId="2" xfId="0" applyFont="1" applyFill="1" applyBorder="1" applyAlignment="1">
      <alignment horizontal="center" vertical="center"/>
    </xf>
    <xf numFmtId="0" fontId="13" fillId="31" borderId="3" xfId="0" applyFont="1" applyFill="1" applyBorder="1" applyAlignment="1">
      <alignment horizontal="center" vertical="center" wrapText="1"/>
    </xf>
    <xf numFmtId="0" fontId="13" fillId="29" borderId="3" xfId="0" applyFont="1" applyFill="1" applyBorder="1" applyAlignment="1">
      <alignment horizontal="center" vertical="center" wrapText="1"/>
    </xf>
    <xf numFmtId="166" fontId="1" fillId="29" borderId="1" xfId="2" applyNumberFormat="1" applyFont="1" applyFill="1" applyBorder="1" applyAlignment="1">
      <alignment horizontal="center" vertical="center"/>
    </xf>
    <xf numFmtId="0" fontId="7" fillId="0" borderId="5" xfId="0" applyFont="1" applyFill="1" applyBorder="1" applyAlignment="1">
      <alignment horizontal="left" vertical="center"/>
    </xf>
    <xf numFmtId="0" fontId="7" fillId="0" borderId="4" xfId="0" applyFont="1" applyFill="1" applyBorder="1" applyAlignment="1">
      <alignment horizontal="left" vertical="center"/>
    </xf>
    <xf numFmtId="0" fontId="1" fillId="31" borderId="5" xfId="0" applyFont="1" applyFill="1" applyBorder="1" applyAlignment="1">
      <alignment horizontal="center" vertical="center"/>
    </xf>
    <xf numFmtId="0" fontId="1" fillId="31" borderId="4" xfId="0" applyFont="1" applyFill="1" applyBorder="1" applyAlignment="1">
      <alignment horizontal="center" vertical="center"/>
    </xf>
    <xf numFmtId="0" fontId="0" fillId="31" borderId="5" xfId="0" applyFont="1" applyFill="1" applyBorder="1" applyAlignment="1">
      <alignment horizontal="center" vertical="center"/>
    </xf>
    <xf numFmtId="0" fontId="0" fillId="31"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20" borderId="5" xfId="0" applyFont="1" applyFill="1" applyBorder="1" applyAlignment="1">
      <alignment horizontal="center" vertical="center" wrapText="1"/>
    </xf>
    <xf numFmtId="0" fontId="25" fillId="20" borderId="4" xfId="0" applyFont="1" applyFill="1" applyBorder="1" applyAlignment="1">
      <alignment horizontal="center" vertical="center" wrapText="1"/>
    </xf>
    <xf numFmtId="0" fontId="1" fillId="31" borderId="8"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4" xfId="0" applyFont="1" applyFill="1" applyBorder="1" applyAlignment="1">
      <alignment horizontal="center" vertical="center"/>
    </xf>
    <xf numFmtId="0" fontId="1" fillId="31" borderId="1" xfId="0" applyFont="1" applyFill="1" applyBorder="1" applyAlignment="1">
      <alignment horizontal="center" vertical="center" wrapText="1"/>
    </xf>
    <xf numFmtId="0" fontId="13" fillId="31"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3" fillId="20" borderId="1" xfId="0" applyFont="1" applyFill="1" applyBorder="1" applyAlignment="1">
      <alignment horizontal="center" vertical="center" wrapText="1"/>
    </xf>
    <xf numFmtId="0" fontId="7" fillId="0" borderId="8" xfId="0" applyFont="1" applyFill="1" applyBorder="1" applyAlignment="1">
      <alignment horizontal="center" vertical="center"/>
    </xf>
    <xf numFmtId="166" fontId="22" fillId="31" borderId="1" xfId="2" applyNumberFormat="1" applyFont="1" applyFill="1" applyBorder="1" applyAlignment="1">
      <alignment horizontal="center" vertical="center"/>
    </xf>
    <xf numFmtId="0" fontId="1" fillId="31" borderId="5" xfId="0" applyFont="1" applyFill="1" applyBorder="1" applyAlignment="1">
      <alignment horizontal="center" vertical="center" wrapText="1"/>
    </xf>
    <xf numFmtId="0" fontId="1" fillId="31" borderId="8" xfId="0" applyFont="1" applyFill="1" applyBorder="1" applyAlignment="1">
      <alignment horizontal="center" vertical="center" wrapText="1"/>
    </xf>
    <xf numFmtId="0" fontId="1" fillId="31" borderId="4"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31" borderId="5" xfId="0" applyFont="1" applyFill="1" applyBorder="1" applyAlignment="1">
      <alignment horizontal="center" vertical="center"/>
    </xf>
    <xf numFmtId="0" fontId="2" fillId="31" borderId="8" xfId="0" applyFont="1" applyFill="1" applyBorder="1" applyAlignment="1">
      <alignment horizontal="center" vertical="center"/>
    </xf>
    <xf numFmtId="0" fontId="2" fillId="31" borderId="4" xfId="0"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8" fillId="0" borderId="1" xfId="0" applyNumberFormat="1" applyFont="1" applyFill="1" applyBorder="1" applyAlignment="1">
      <alignment horizontal="center" vertical="center"/>
    </xf>
    <xf numFmtId="0" fontId="54" fillId="0" borderId="1" xfId="0" applyFont="1" applyBorder="1" applyAlignment="1">
      <alignment horizontal="center" vertical="center"/>
    </xf>
    <xf numFmtId="0" fontId="0" fillId="20" borderId="5" xfId="0" applyFont="1" applyFill="1" applyBorder="1" applyAlignment="1">
      <alignment horizontal="center" vertical="center"/>
    </xf>
    <xf numFmtId="0" fontId="0" fillId="20" borderId="4" xfId="0" applyFont="1" applyFill="1" applyBorder="1" applyAlignment="1">
      <alignment horizontal="center" vertical="center"/>
    </xf>
    <xf numFmtId="0" fontId="62" fillId="0" borderId="5" xfId="0" applyFont="1" applyFill="1" applyBorder="1" applyAlignment="1">
      <alignment horizontal="center" vertical="center" wrapText="1"/>
    </xf>
    <xf numFmtId="0" fontId="62" fillId="0" borderId="4" xfId="0" applyFont="1" applyFill="1" applyBorder="1" applyAlignment="1">
      <alignment horizontal="center" vertical="center" wrapText="1"/>
    </xf>
    <xf numFmtId="0" fontId="8" fillId="20" borderId="5" xfId="0" applyFont="1" applyFill="1" applyBorder="1" applyAlignment="1">
      <alignment horizontal="center" vertical="center" wrapText="1"/>
    </xf>
    <xf numFmtId="0" fontId="8" fillId="20" borderId="4" xfId="0" applyFont="1" applyFill="1" applyBorder="1" applyAlignment="1">
      <alignment horizontal="center" vertical="center" wrapText="1"/>
    </xf>
    <xf numFmtId="49" fontId="7" fillId="0" borderId="5" xfId="0" applyNumberFormat="1" applyFont="1" applyFill="1" applyBorder="1" applyAlignment="1">
      <alignment horizontal="center" vertical="center"/>
    </xf>
    <xf numFmtId="49" fontId="7" fillId="0" borderId="4" xfId="0" applyNumberFormat="1" applyFont="1" applyFill="1" applyBorder="1" applyAlignment="1">
      <alignment horizontal="center" vertical="center"/>
    </xf>
    <xf numFmtId="0" fontId="1" fillId="20" borderId="5" xfId="0" applyFont="1" applyFill="1" applyBorder="1" applyAlignment="1">
      <alignment horizontal="center" vertical="center" wrapText="1"/>
    </xf>
    <xf numFmtId="0" fontId="1" fillId="20" borderId="4" xfId="0" applyFont="1" applyFill="1" applyBorder="1" applyAlignment="1">
      <alignment horizontal="center" vertical="center" wrapText="1"/>
    </xf>
    <xf numFmtId="0" fontId="2" fillId="31" borderId="2" xfId="0" applyFont="1" applyFill="1" applyBorder="1" applyAlignment="1">
      <alignment horizontal="center" vertical="center" wrapText="1"/>
    </xf>
    <xf numFmtId="0" fontId="2" fillId="31" borderId="3" xfId="0" applyFont="1" applyFill="1" applyBorder="1" applyAlignment="1">
      <alignment horizontal="center" vertical="center" wrapText="1"/>
    </xf>
    <xf numFmtId="0" fontId="1" fillId="31" borderId="12" xfId="0" applyFont="1" applyFill="1" applyBorder="1" applyAlignment="1">
      <alignment horizontal="center" vertical="center" wrapText="1"/>
    </xf>
    <xf numFmtId="0" fontId="1" fillId="31" borderId="6" xfId="0" applyFont="1" applyFill="1" applyBorder="1" applyAlignment="1">
      <alignment horizontal="center" vertical="center" wrapText="1"/>
    </xf>
    <xf numFmtId="0" fontId="1" fillId="31" borderId="10" xfId="0" applyFont="1" applyFill="1" applyBorder="1" applyAlignment="1">
      <alignment horizontal="center" vertical="center" wrapText="1"/>
    </xf>
    <xf numFmtId="0" fontId="1" fillId="31" borderId="7" xfId="0" applyFont="1" applyFill="1" applyBorder="1" applyAlignment="1">
      <alignment horizontal="center" vertical="center" wrapText="1"/>
    </xf>
    <xf numFmtId="164" fontId="7" fillId="6" borderId="5" xfId="0" applyNumberFormat="1" applyFont="1" applyFill="1" applyBorder="1" applyAlignment="1">
      <alignment horizontal="center" vertical="center"/>
    </xf>
    <xf numFmtId="164" fontId="7" fillId="6" borderId="4" xfId="0" applyNumberFormat="1" applyFont="1" applyFill="1" applyBorder="1" applyAlignment="1">
      <alignment horizontal="center" vertical="center"/>
    </xf>
    <xf numFmtId="164" fontId="7" fillId="5" borderId="5" xfId="0" applyNumberFormat="1" applyFont="1" applyFill="1" applyBorder="1" applyAlignment="1">
      <alignment horizontal="center" vertical="center"/>
    </xf>
    <xf numFmtId="164" fontId="7" fillId="5" borderId="4" xfId="0" applyNumberFormat="1" applyFont="1" applyFill="1" applyBorder="1" applyAlignment="1">
      <alignment horizontal="center" vertical="center"/>
    </xf>
    <xf numFmtId="164" fontId="1" fillId="31" borderId="5" xfId="0" applyNumberFormat="1" applyFont="1" applyFill="1" applyBorder="1" applyAlignment="1">
      <alignment horizontal="center" vertical="center"/>
    </xf>
    <xf numFmtId="164" fontId="1" fillId="31" borderId="4" xfId="0" applyNumberFormat="1" applyFont="1" applyFill="1" applyBorder="1" applyAlignment="1">
      <alignment horizontal="center" vertical="center"/>
    </xf>
    <xf numFmtId="164" fontId="7" fillId="0" borderId="1" xfId="0" applyNumberFormat="1" applyFont="1" applyBorder="1" applyAlignment="1">
      <alignment horizontal="center" vertical="center"/>
    </xf>
    <xf numFmtId="0" fontId="7" fillId="0" borderId="1" xfId="0" applyFont="1" applyBorder="1" applyAlignment="1">
      <alignment horizontal="center" vertical="center"/>
    </xf>
    <xf numFmtId="164" fontId="7" fillId="0" borderId="1" xfId="0" applyNumberFormat="1" applyFont="1" applyFill="1" applyBorder="1" applyAlignment="1">
      <alignment horizontal="center" vertical="center"/>
    </xf>
    <xf numFmtId="164" fontId="7" fillId="30" borderId="5" xfId="0" applyNumberFormat="1" applyFont="1" applyFill="1" applyBorder="1" applyAlignment="1">
      <alignment horizontal="center" vertical="center"/>
    </xf>
    <xf numFmtId="164" fontId="7" fillId="30" borderId="4" xfId="0" applyNumberFormat="1" applyFont="1" applyFill="1" applyBorder="1" applyAlignment="1">
      <alignment horizontal="center" vertical="center"/>
    </xf>
    <xf numFmtId="0" fontId="1" fillId="31" borderId="2" xfId="0" applyFont="1" applyFill="1" applyBorder="1" applyAlignment="1">
      <alignment horizontal="center" vertical="center"/>
    </xf>
    <xf numFmtId="0" fontId="1" fillId="31" borderId="3" xfId="0" applyFont="1" applyFill="1" applyBorder="1" applyAlignment="1">
      <alignment horizontal="center" vertical="center"/>
    </xf>
    <xf numFmtId="164" fontId="1" fillId="0" borderId="1" xfId="0" applyNumberFormat="1" applyFont="1" applyBorder="1" applyAlignment="1">
      <alignment horizontal="center" vertical="center"/>
    </xf>
    <xf numFmtId="0" fontId="1" fillId="0" borderId="1" xfId="0" applyFont="1" applyBorder="1" applyAlignment="1">
      <alignment horizontal="center" vertical="center"/>
    </xf>
    <xf numFmtId="164" fontId="8" fillId="31" borderId="1" xfId="0" applyNumberFormat="1" applyFont="1" applyFill="1" applyBorder="1" applyAlignment="1">
      <alignment horizontal="center" vertical="center" wrapText="1"/>
    </xf>
    <xf numFmtId="0" fontId="8" fillId="31" borderId="1" xfId="0" applyFont="1" applyFill="1" applyBorder="1" applyAlignment="1">
      <alignment horizontal="center" vertical="center" wrapText="1"/>
    </xf>
    <xf numFmtId="164" fontId="7" fillId="0" borderId="5" xfId="0" applyNumberFormat="1" applyFont="1" applyFill="1" applyBorder="1" applyAlignment="1">
      <alignment horizontal="center" vertical="center"/>
    </xf>
    <xf numFmtId="164" fontId="7" fillId="0" borderId="4" xfId="0" applyNumberFormat="1" applyFont="1" applyFill="1" applyBorder="1" applyAlignment="1">
      <alignment horizontal="center" vertical="center"/>
    </xf>
  </cellXfs>
  <cellStyles count="4">
    <cellStyle name="Comma" xfId="1" builtinId="3"/>
    <cellStyle name="Hyperlink" xfId="3" builtinId="8"/>
    <cellStyle name="Normal" xfId="0" builtinId="0"/>
    <cellStyle name="Percent" xfId="2" builtinId="5"/>
  </cellStyles>
  <dxfs count="931">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patternType="none">
          <bgColor auto="1"/>
        </patternFill>
      </fill>
    </dxf>
    <dxf>
      <fill>
        <patternFill>
          <bgColor rgb="FF008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3F4C"/>
        </patternFill>
      </fill>
    </dxf>
    <dxf>
      <fill>
        <patternFill>
          <bgColor rgb="FF003F4C"/>
        </patternFill>
      </fill>
    </dxf>
    <dxf>
      <fill>
        <patternFill>
          <bgColor rgb="FF003F4C"/>
        </patternFill>
      </fill>
    </dxf>
    <dxf>
      <fill>
        <patternFill>
          <bgColor rgb="FF003F4C"/>
        </patternFill>
      </fill>
    </dxf>
    <dxf>
      <fill>
        <patternFill>
          <bgColor rgb="FF003F4C"/>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C0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rgb="FF007E97"/>
        </patternFill>
      </fill>
    </dxf>
    <dxf>
      <fill>
        <patternFill>
          <bgColor theme="4"/>
        </patternFill>
      </fill>
    </dxf>
    <dxf>
      <fill>
        <patternFill>
          <bgColor theme="4"/>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rgb="FF007E97"/>
        </patternFill>
      </fill>
    </dxf>
    <dxf>
      <fill>
        <patternFill>
          <bgColor theme="4"/>
        </patternFill>
      </fill>
    </dxf>
    <dxf>
      <fill>
        <patternFill>
          <bgColor theme="4"/>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008000"/>
        </patternFill>
      </fill>
    </dxf>
    <dxf>
      <fill>
        <patternFill>
          <bgColor rgb="FFFF0000"/>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ill>
        <patternFill>
          <bgColor rgb="FF008000"/>
        </patternFill>
      </fill>
    </dxf>
    <dxf>
      <fill>
        <patternFill>
          <bgColor rgb="FFFF0000"/>
        </patternFill>
      </fill>
    </dxf>
    <dxf>
      <fill>
        <patternFill>
          <bgColor rgb="FFFF0000"/>
        </patternFill>
      </fill>
    </dxf>
    <dxf>
      <fill>
        <patternFill>
          <bgColor rgb="FFFF0000"/>
        </patternFill>
      </fill>
    </dxf>
    <dxf>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ill>
        <patternFill>
          <bgColor rgb="FF039579"/>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ont>
        <color auto="1"/>
      </font>
      <fill>
        <patternFill patternType="none">
          <bgColor auto="1"/>
        </patternFill>
      </fill>
    </dxf>
    <dxf>
      <fill>
        <patternFill>
          <bgColor rgb="FF008000"/>
        </patternFill>
      </fill>
    </dxf>
    <dxf>
      <fill>
        <patternFill>
          <bgColor rgb="FF008000"/>
        </patternFill>
      </fill>
    </dxf>
    <dxf>
      <fill>
        <patternFill>
          <bgColor rgb="FF008000"/>
        </patternFill>
      </fill>
    </dxf>
    <dxf>
      <fill>
        <patternFill>
          <bgColor rgb="FF008000"/>
        </patternFill>
      </fill>
    </dxf>
    <dxf>
      <fill>
        <patternFill>
          <bgColor rgb="FF008000"/>
        </patternFill>
      </fill>
    </dxf>
    <dxf>
      <fill>
        <patternFill>
          <bgColor rgb="FF008000"/>
        </patternFill>
      </fill>
    </dxf>
    <dxf>
      <fill>
        <patternFill>
          <bgColor rgb="FF008000"/>
        </patternFill>
      </fill>
    </dxf>
    <dxf>
      <fill>
        <patternFill patternType="solid">
          <bgColor theme="2"/>
        </patternFill>
      </fill>
    </dxf>
    <dxf>
      <fill>
        <patternFill>
          <bgColor rgb="FFFF0000"/>
        </patternFill>
      </fill>
    </dxf>
    <dxf>
      <fill>
        <patternFill>
          <bgColor rgb="FFFFC000"/>
        </patternFill>
      </fill>
    </dxf>
    <dxf>
      <fill>
        <patternFill>
          <bgColor rgb="FF4CE43C"/>
        </patternFill>
      </fill>
    </dxf>
    <dxf>
      <fill>
        <patternFill>
          <bgColor rgb="FF008000"/>
        </patternFill>
      </fill>
    </dxf>
    <dxf>
      <fill>
        <patternFill>
          <bgColor rgb="FFFFC000"/>
        </patternFill>
      </fill>
    </dxf>
    <dxf>
      <fill>
        <patternFill>
          <bgColor rgb="FFFF0000"/>
        </patternFill>
      </fill>
    </dxf>
    <dxf>
      <font>
        <color auto="1"/>
      </font>
      <fill>
        <patternFill patternType="solid">
          <bgColor theme="2"/>
        </patternFill>
      </fill>
    </dxf>
    <dxf>
      <fill>
        <patternFill>
          <bgColor rgb="FFFF0000"/>
        </patternFill>
      </fill>
    </dxf>
    <dxf>
      <fill>
        <patternFill>
          <bgColor rgb="FFFFC000"/>
        </patternFill>
      </fill>
    </dxf>
    <dxf>
      <fill>
        <patternFill>
          <bgColor rgb="FF4CE43C"/>
        </patternFill>
      </fill>
    </dxf>
    <dxf>
      <font>
        <color theme="0"/>
      </font>
      <fill>
        <patternFill>
          <bgColor rgb="FF008000"/>
        </patternFill>
      </fill>
    </dxf>
    <dxf>
      <font>
        <color theme="0"/>
      </font>
      <fill>
        <patternFill>
          <bgColor rgb="FFFFC000"/>
        </patternFill>
      </fill>
    </dxf>
    <dxf>
      <font>
        <color theme="0"/>
      </font>
      <fill>
        <patternFill>
          <bgColor rgb="FFFF0000"/>
        </patternFill>
      </fill>
    </dxf>
  </dxfs>
  <tableStyles count="0" defaultTableStyle="TableStyleMedium2" defaultPivotStyle="PivotStyleLight16"/>
  <colors>
    <mruColors>
      <color rgb="FFE62733"/>
      <color rgb="FF003F4C"/>
      <color rgb="FF99FF99"/>
      <color rgb="FFCAE1E8"/>
      <color rgb="FF006174"/>
      <color rgb="FF007E97"/>
      <color rgb="FF008000"/>
      <color rgb="FF7EB6C7"/>
      <color rgb="FF339966"/>
      <color rgb="FF49AE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257765244822266"/>
          <c:y val="5.662293536365174E-2"/>
          <c:w val="0.86872669177222406"/>
          <c:h val="0.8653843759172456"/>
        </c:manualLayout>
      </c:layout>
      <c:barChart>
        <c:barDir val="col"/>
        <c:grouping val="stacked"/>
        <c:varyColors val="0"/>
        <c:ser>
          <c:idx val="0"/>
          <c:order val="0"/>
          <c:tx>
            <c:strRef>
              <c:f>Overview_ALL!$I$5</c:f>
              <c:strCache>
                <c:ptCount val="1"/>
                <c:pt idx="0">
                  <c:v>SAFE </c:v>
                </c:pt>
              </c:strCache>
            </c:strRef>
          </c:tx>
          <c:spPr>
            <a:solidFill>
              <a:srgbClr val="1B951E"/>
            </a:solidFill>
          </c:spPr>
          <c:invertIfNegative val="0"/>
          <c:dPt>
            <c:idx val="0"/>
            <c:invertIfNegative val="0"/>
            <c:bubble3D val="0"/>
            <c:spPr>
              <a:solidFill>
                <a:schemeClr val="bg2">
                  <a:lumMod val="50000"/>
                </a:schemeClr>
              </a:solidFill>
            </c:spPr>
            <c:extLst>
              <c:ext xmlns:c16="http://schemas.microsoft.com/office/drawing/2014/chart" uri="{C3380CC4-5D6E-409C-BE32-E72D297353CC}">
                <c16:uniqueId val="{00000001-37C6-40BD-9CBA-237D4DE1F3E7}"/>
              </c:ext>
            </c:extLst>
          </c:dPt>
          <c:dLbls>
            <c:spPr>
              <a:noFill/>
              <a:ln>
                <a:noFill/>
              </a:ln>
              <a:effectLst/>
            </c:spPr>
            <c:txPr>
              <a:bodyPr/>
              <a:lstStyle/>
              <a:p>
                <a:pPr>
                  <a:defRPr sz="1200"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Overview_ALL!$H$6:$H$13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Overview_ALL!$I$6:$I$13</c:f>
              <c:numCache>
                <c:formatCode>#,##0_ ;\-#,##0\ </c:formatCode>
                <c:ptCount val="8"/>
                <c:pt idx="0">
                  <c:v>34911075</c:v>
                </c:pt>
                <c:pt idx="1">
                  <c:v>34891050</c:v>
                </c:pt>
                <c:pt idx="2">
                  <c:v>32696725</c:v>
                </c:pt>
                <c:pt idx="3">
                  <c:v>31837750</c:v>
                </c:pt>
                <c:pt idx="4">
                  <c:v>29136675</c:v>
                </c:pt>
                <c:pt idx="5">
                  <c:v>9274136.25</c:v>
                </c:pt>
                <c:pt idx="6">
                  <c:v>9274136.25</c:v>
                </c:pt>
                <c:pt idx="7">
                  <c:v>0</c:v>
                </c:pt>
              </c:numCache>
            </c:numRef>
          </c:val>
          <c:extLst>
            <c:ext xmlns:c16="http://schemas.microsoft.com/office/drawing/2014/chart" uri="{C3380CC4-5D6E-409C-BE32-E72D297353CC}">
              <c16:uniqueId val="{00000000-3751-4AE2-ABB6-344D74C89534}"/>
            </c:ext>
          </c:extLst>
        </c:ser>
        <c:ser>
          <c:idx val="1"/>
          <c:order val="1"/>
          <c:tx>
            <c:strRef>
              <c:f>Overview_ALL!$J$5</c:f>
              <c:strCache>
                <c:ptCount val="1"/>
                <c:pt idx="0">
                  <c:v>UNSAFE</c:v>
                </c:pt>
              </c:strCache>
            </c:strRef>
          </c:tx>
          <c:spPr>
            <a:solidFill>
              <a:srgbClr val="FF0000"/>
            </a:solidFill>
          </c:spPr>
          <c:invertIfNegative val="0"/>
          <c:dLbls>
            <c:dLbl>
              <c:idx val="2"/>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D24-451D-B843-AD7824D6F782}"/>
                </c:ext>
              </c:extLst>
            </c:dLbl>
            <c:spPr>
              <a:noFill/>
              <a:ln>
                <a:noFill/>
              </a:ln>
              <a:effectLst/>
            </c:spPr>
            <c:txPr>
              <a:bodyPr/>
              <a:lstStyle/>
              <a:p>
                <a:pPr>
                  <a:defRPr sz="1200"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Overview_ALL!$H$6:$H$13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Overview_ALL!$J$6:$J$13</c:f>
              <c:numCache>
                <c:formatCode>#,##0_ ;\-#,##0\ </c:formatCode>
                <c:ptCount val="8"/>
                <c:pt idx="0">
                  <c:v>0</c:v>
                </c:pt>
                <c:pt idx="1">
                  <c:v>20025</c:v>
                </c:pt>
                <c:pt idx="2">
                  <c:v>2194325</c:v>
                </c:pt>
                <c:pt idx="3">
                  <c:v>858975</c:v>
                </c:pt>
                <c:pt idx="4">
                  <c:v>2701075</c:v>
                </c:pt>
                <c:pt idx="5">
                  <c:v>19862538.75</c:v>
                </c:pt>
                <c:pt idx="6">
                  <c:v>19862538.75</c:v>
                </c:pt>
                <c:pt idx="7">
                  <c:v>0</c:v>
                </c:pt>
              </c:numCache>
            </c:numRef>
          </c:val>
          <c:extLst>
            <c:ext xmlns:c16="http://schemas.microsoft.com/office/drawing/2014/chart" uri="{C3380CC4-5D6E-409C-BE32-E72D297353CC}">
              <c16:uniqueId val="{00000001-3751-4AE2-ABB6-344D74C89534}"/>
            </c:ext>
          </c:extLst>
        </c:ser>
        <c:dLbls>
          <c:showLegendKey val="0"/>
          <c:showVal val="0"/>
          <c:showCatName val="0"/>
          <c:showSerName val="0"/>
          <c:showPercent val="0"/>
          <c:showBubbleSize val="0"/>
        </c:dLbls>
        <c:gapWidth val="150"/>
        <c:overlap val="100"/>
        <c:axId val="90597632"/>
        <c:axId val="90615808"/>
      </c:barChart>
      <c:catAx>
        <c:axId val="90597632"/>
        <c:scaling>
          <c:orientation val="minMax"/>
        </c:scaling>
        <c:delete val="0"/>
        <c:axPos val="b"/>
        <c:numFmt formatCode="General" sourceLinked="0"/>
        <c:majorTickMark val="none"/>
        <c:minorTickMark val="none"/>
        <c:tickLblPos val="nextTo"/>
        <c:spPr>
          <a:ln w="6350" cap="sq">
            <a:solidFill>
              <a:schemeClr val="tx1">
                <a:lumMod val="50000"/>
                <a:lumOff val="50000"/>
              </a:schemeClr>
            </a:solidFill>
            <a:miter lim="800000"/>
          </a:ln>
        </c:spPr>
        <c:txPr>
          <a:bodyPr/>
          <a:lstStyle/>
          <a:p>
            <a:pPr>
              <a:defRPr sz="1100" b="1"/>
            </a:pPr>
            <a:endParaRPr lang="en-US"/>
          </a:p>
        </c:txPr>
        <c:crossAx val="90615808"/>
        <c:crosses val="autoZero"/>
        <c:auto val="1"/>
        <c:lblAlgn val="ctr"/>
        <c:lblOffset val="100"/>
        <c:noMultiLvlLbl val="0"/>
      </c:catAx>
      <c:valAx>
        <c:axId val="90615808"/>
        <c:scaling>
          <c:orientation val="minMax"/>
        </c:scaling>
        <c:delete val="0"/>
        <c:axPos val="l"/>
        <c:majorGridlines>
          <c:spPr>
            <a:ln w="6350" cap="sq">
              <a:solidFill>
                <a:schemeClr val="tx1">
                  <a:lumMod val="50000"/>
                  <a:lumOff val="50000"/>
                </a:schemeClr>
              </a:solidFill>
              <a:miter lim="800000"/>
            </a:ln>
          </c:spPr>
        </c:majorGridlines>
        <c:title>
          <c:tx>
            <c:rich>
              <a:bodyPr/>
              <a:lstStyle/>
              <a:p>
                <a:pPr>
                  <a:defRPr sz="1100"/>
                </a:pPr>
                <a:r>
                  <a:rPr lang="en-GB" sz="1100"/>
                  <a:t>Faecal</a:t>
                </a:r>
                <a:r>
                  <a:rPr lang="en-GB" sz="1100" baseline="0"/>
                  <a:t> waste in </a:t>
                </a:r>
                <a:r>
                  <a:rPr lang="en-GB" sz="1100"/>
                  <a:t>m3/year</a:t>
                </a:r>
              </a:p>
            </c:rich>
          </c:tx>
          <c:layout>
            <c:manualLayout>
              <c:xMode val="edge"/>
              <c:yMode val="edge"/>
              <c:x val="1.2957908986524061E-2"/>
              <c:y val="0.34987425378357551"/>
            </c:manualLayout>
          </c:layout>
          <c:overlay val="0"/>
        </c:title>
        <c:numFmt formatCode="#,##0_ ;\-#,##0\ " sourceLinked="1"/>
        <c:majorTickMark val="out"/>
        <c:minorTickMark val="none"/>
        <c:tickLblPos val="nextTo"/>
        <c:spPr>
          <a:ln w="6350" cap="sq">
            <a:solidFill>
              <a:schemeClr val="tx1">
                <a:lumMod val="50000"/>
                <a:lumOff val="50000"/>
              </a:schemeClr>
            </a:solidFill>
            <a:miter lim="800000"/>
          </a:ln>
        </c:spPr>
        <c:crossAx val="90597632"/>
        <c:crosses val="autoZero"/>
        <c:crossBetween val="between"/>
      </c:valAx>
      <c:spPr>
        <a:ln w="6350" cap="sq">
          <a:solidFill>
            <a:schemeClr val="tx1">
              <a:lumMod val="50000"/>
              <a:lumOff val="50000"/>
            </a:schemeClr>
          </a:solidFill>
          <a:miter lim="800000"/>
        </a:ln>
      </c:spPr>
    </c:plotArea>
    <c:legend>
      <c:legendPos val="r"/>
      <c:layout>
        <c:manualLayout>
          <c:xMode val="edge"/>
          <c:yMode val="edge"/>
          <c:x val="0.70007952293964615"/>
          <c:y val="2.3797407409664625E-2"/>
          <c:w val="0.2802490813648294"/>
          <c:h val="0.14804051608413463"/>
        </c:manualLayout>
      </c:layout>
      <c:overlay val="0"/>
      <c:txPr>
        <a:bodyPr/>
        <a:lstStyle/>
        <a:p>
          <a:pPr>
            <a:defRPr sz="1200" b="1"/>
          </a:pPr>
          <a:endParaRPr lang="en-US"/>
        </a:p>
      </c:txPr>
    </c:legend>
    <c:plotVisOnly val="0"/>
    <c:dispBlanksAs val="gap"/>
    <c:showDLblsOverMax val="0"/>
  </c:chart>
  <c:spPr>
    <a:ln w="3175" cap="sq">
      <a:solidFill>
        <a:srgbClr val="003F4C"/>
      </a:solidFill>
      <a:miter lim="800000"/>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293849138422911E-2"/>
          <c:y val="5.568844368493784E-2"/>
          <c:w val="0.90570615086157713"/>
          <c:h val="0.85285301900685284"/>
        </c:manualLayout>
      </c:layout>
      <c:barChart>
        <c:barDir val="col"/>
        <c:grouping val="stacked"/>
        <c:varyColors val="0"/>
        <c:ser>
          <c:idx val="1"/>
          <c:order val="0"/>
          <c:tx>
            <c:strRef>
              <c:f>Overview_ALL!$S$5</c:f>
              <c:strCache>
                <c:ptCount val="1"/>
                <c:pt idx="0">
                  <c:v>SAFE </c:v>
                </c:pt>
              </c:strCache>
            </c:strRef>
          </c:tx>
          <c:spPr>
            <a:solidFill>
              <a:srgbClr val="008000"/>
            </a:solidFill>
          </c:spPr>
          <c:invertIfNegative val="0"/>
          <c:dPt>
            <c:idx val="0"/>
            <c:invertIfNegative val="0"/>
            <c:bubble3D val="0"/>
            <c:spPr>
              <a:solidFill>
                <a:schemeClr val="bg2">
                  <a:lumMod val="50000"/>
                </a:schemeClr>
              </a:solidFill>
            </c:spPr>
            <c:extLst>
              <c:ext xmlns:c16="http://schemas.microsoft.com/office/drawing/2014/chart" uri="{C3380CC4-5D6E-409C-BE32-E72D297353CC}">
                <c16:uniqueId val="{00000001-52A7-4540-9D96-2397F1E0A041}"/>
              </c:ext>
            </c:extLst>
          </c:dPt>
          <c:dLbls>
            <c:dLbl>
              <c:idx val="5"/>
              <c:delete val="1"/>
              <c:extLst>
                <c:ext xmlns:c15="http://schemas.microsoft.com/office/drawing/2012/chart" uri="{CE6537A1-D6FC-4f65-9D91-7224C49458BB}"/>
                <c:ext xmlns:c16="http://schemas.microsoft.com/office/drawing/2014/chart" uri="{C3380CC4-5D6E-409C-BE32-E72D297353CC}">
                  <c16:uniqueId val="{00000002-DA75-4CA6-8B38-9D0538420B8F}"/>
                </c:ext>
              </c:extLst>
            </c:dLbl>
            <c:dLbl>
              <c:idx val="6"/>
              <c:delete val="1"/>
              <c:extLst>
                <c:ext xmlns:c15="http://schemas.microsoft.com/office/drawing/2012/chart" uri="{CE6537A1-D6FC-4f65-9D91-7224C49458BB}"/>
                <c:ext xmlns:c16="http://schemas.microsoft.com/office/drawing/2014/chart" uri="{C3380CC4-5D6E-409C-BE32-E72D297353CC}">
                  <c16:uniqueId val="{00000003-DA75-4CA6-8B38-9D0538420B8F}"/>
                </c:ext>
              </c:extLst>
            </c:dLbl>
            <c:numFmt formatCode="0%" sourceLinked="0"/>
            <c:spPr>
              <a:noFill/>
              <a:ln>
                <a:noFill/>
              </a:ln>
              <a:effectLst/>
            </c:spPr>
            <c:txPr>
              <a:bodyPr/>
              <a:lstStyle/>
              <a:p>
                <a:pPr>
                  <a:defRPr sz="1200" b="1" baseline="0">
                    <a:solidFill>
                      <a:sysClr val="windowText" lastClr="000000"/>
                    </a:solidFill>
                  </a:defRPr>
                </a:pPr>
                <a:endParaRPr lang="en-US"/>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Overview_ALL!$R$6:$R$13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Overview_ALL!$S$6:$S$13</c:f>
              <c:numCache>
                <c:formatCode>0.00%</c:formatCode>
                <c:ptCount val="8"/>
                <c:pt idx="0">
                  <c:v>1</c:v>
                </c:pt>
                <c:pt idx="1">
                  <c:v>0.99942639978860581</c:v>
                </c:pt>
                <c:pt idx="2">
                  <c:v>0.93657170396500256</c:v>
                </c:pt>
                <c:pt idx="3">
                  <c:v>0.91196704770620796</c:v>
                </c:pt>
                <c:pt idx="4">
                  <c:v>0.8345969008402061</c:v>
                </c:pt>
                <c:pt idx="5">
                  <c:v>0.26565026284638898</c:v>
                </c:pt>
                <c:pt idx="6">
                  <c:v>0.26565026284638898</c:v>
                </c:pt>
                <c:pt idx="7">
                  <c:v>0</c:v>
                </c:pt>
              </c:numCache>
            </c:numRef>
          </c:val>
          <c:extLst>
            <c:ext xmlns:c16="http://schemas.microsoft.com/office/drawing/2014/chart" uri="{C3380CC4-5D6E-409C-BE32-E72D297353CC}">
              <c16:uniqueId val="{00000000-B623-4FBA-BBD1-5D9F2CBEA7FB}"/>
            </c:ext>
          </c:extLst>
        </c:ser>
        <c:ser>
          <c:idx val="2"/>
          <c:order val="1"/>
          <c:tx>
            <c:strRef>
              <c:f>Overview_ALL!$T$5</c:f>
              <c:strCache>
                <c:ptCount val="1"/>
                <c:pt idx="0">
                  <c:v>UNSAFE</c:v>
                </c:pt>
              </c:strCache>
            </c:strRef>
          </c:tx>
          <c:spPr>
            <a:solidFill>
              <a:srgbClr val="FF0000"/>
            </a:solidFill>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01-B623-4FBA-BBD1-5D9F2CBEA7FB}"/>
                </c:ext>
              </c:extLst>
            </c:dLbl>
            <c:dLbl>
              <c:idx val="1"/>
              <c:numFmt formatCode="0.00%" sourceLinked="0"/>
              <c:spPr>
                <a:noFill/>
                <a:ln>
                  <a:noFill/>
                </a:ln>
                <a:effectLst/>
              </c:spPr>
              <c:txPr>
                <a:bodyPr/>
                <a:lstStyle/>
                <a:p>
                  <a:pPr>
                    <a:defRPr sz="1200" b="1" baseline="0">
                      <a:solidFill>
                        <a:sysClr val="windowText" lastClr="000000"/>
                      </a:solidFill>
                    </a:defRPr>
                  </a:pPr>
                  <a:endParaRPr lang="en-US"/>
                </a:p>
              </c:txPr>
              <c:dLblPos val="inBase"/>
              <c:showLegendKey val="0"/>
              <c:showVal val="1"/>
              <c:showCatName val="0"/>
              <c:showSerName val="0"/>
              <c:showPercent val="0"/>
              <c:showBubbleSize val="0"/>
              <c:extLst>
                <c:ext xmlns:c16="http://schemas.microsoft.com/office/drawing/2014/chart" uri="{C3380CC4-5D6E-409C-BE32-E72D297353CC}">
                  <c16:uniqueId val="{00000002-55F7-4632-AEEB-86AF0B66B0D1}"/>
                </c:ext>
              </c:extLst>
            </c:dLbl>
            <c:dLbl>
              <c:idx val="2"/>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75-4CA6-8B38-9D0538420B8F}"/>
                </c:ext>
              </c:extLst>
            </c:dLbl>
            <c:numFmt formatCode="0%" sourceLinked="0"/>
            <c:spPr>
              <a:noFill/>
              <a:ln>
                <a:noFill/>
              </a:ln>
              <a:effectLst/>
            </c:spPr>
            <c:txPr>
              <a:bodyPr/>
              <a:lstStyle/>
              <a:p>
                <a:pPr>
                  <a:defRPr sz="1200" b="1" baseline="0">
                    <a:solidFill>
                      <a:sysClr val="windowText" lastClr="000000"/>
                    </a:solidFill>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Overview_ALL!$R$6:$R$13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Overview_ALL!$T$6:$T$13</c:f>
              <c:numCache>
                <c:formatCode>0.00%</c:formatCode>
                <c:ptCount val="8"/>
                <c:pt idx="0">
                  <c:v>0</c:v>
                </c:pt>
                <c:pt idx="1">
                  <c:v>5.7360021139423519E-4</c:v>
                </c:pt>
                <c:pt idx="2">
                  <c:v>6.2854695823603257E-2</c:v>
                </c:pt>
                <c:pt idx="3">
                  <c:v>2.4604656258794665E-2</c:v>
                </c:pt>
                <c:pt idx="4">
                  <c:v>7.7370146866001688E-2</c:v>
                </c:pt>
                <c:pt idx="5">
                  <c:v>0.56894663799381706</c:v>
                </c:pt>
                <c:pt idx="6">
                  <c:v>0.56894663799381706</c:v>
                </c:pt>
                <c:pt idx="7">
                  <c:v>0</c:v>
                </c:pt>
              </c:numCache>
            </c:numRef>
          </c:val>
          <c:extLst>
            <c:ext xmlns:c16="http://schemas.microsoft.com/office/drawing/2014/chart" uri="{C3380CC4-5D6E-409C-BE32-E72D297353CC}">
              <c16:uniqueId val="{00000002-B623-4FBA-BBD1-5D9F2CBEA7FB}"/>
            </c:ext>
          </c:extLst>
        </c:ser>
        <c:dLbls>
          <c:showLegendKey val="0"/>
          <c:showVal val="0"/>
          <c:showCatName val="0"/>
          <c:showSerName val="0"/>
          <c:showPercent val="0"/>
          <c:showBubbleSize val="0"/>
        </c:dLbls>
        <c:gapWidth val="150"/>
        <c:overlap val="100"/>
        <c:axId val="115840128"/>
        <c:axId val="115841664"/>
      </c:barChart>
      <c:catAx>
        <c:axId val="115840128"/>
        <c:scaling>
          <c:orientation val="minMax"/>
        </c:scaling>
        <c:delete val="0"/>
        <c:axPos val="b"/>
        <c:numFmt formatCode="General" sourceLinked="0"/>
        <c:majorTickMark val="out"/>
        <c:minorTickMark val="none"/>
        <c:tickLblPos val="nextTo"/>
        <c:txPr>
          <a:bodyPr/>
          <a:lstStyle/>
          <a:p>
            <a:pPr>
              <a:defRPr sz="1100" b="1" baseline="0"/>
            </a:pPr>
            <a:endParaRPr lang="en-US"/>
          </a:p>
        </c:txPr>
        <c:crossAx val="115841664"/>
        <c:crossesAt val="0"/>
        <c:auto val="1"/>
        <c:lblAlgn val="ctr"/>
        <c:lblOffset val="100"/>
        <c:noMultiLvlLbl val="0"/>
      </c:catAx>
      <c:valAx>
        <c:axId val="115841664"/>
        <c:scaling>
          <c:orientation val="minMax"/>
          <c:max val="1"/>
        </c:scaling>
        <c:delete val="0"/>
        <c:axPos val="l"/>
        <c:majorGridlines/>
        <c:title>
          <c:tx>
            <c:rich>
              <a:bodyPr rot="-5400000" vert="horz"/>
              <a:lstStyle/>
              <a:p>
                <a:pPr>
                  <a:defRPr sz="1100"/>
                </a:pPr>
                <a:r>
                  <a:rPr lang="en-US" sz="1100"/>
                  <a:t>Safe (green) and unsafe (red) faecal waste flows in percentages</a:t>
                </a:r>
              </a:p>
            </c:rich>
          </c:tx>
          <c:layout>
            <c:manualLayout>
              <c:xMode val="edge"/>
              <c:yMode val="edge"/>
              <c:x val="1.9560766860664155E-2"/>
              <c:y val="0.13356412089428968"/>
            </c:manualLayout>
          </c:layout>
          <c:overlay val="0"/>
        </c:title>
        <c:numFmt formatCode="0%" sourceLinked="0"/>
        <c:majorTickMark val="out"/>
        <c:minorTickMark val="none"/>
        <c:tickLblPos val="nextTo"/>
        <c:txPr>
          <a:bodyPr/>
          <a:lstStyle/>
          <a:p>
            <a:pPr>
              <a:defRPr sz="1000" baseline="0"/>
            </a:pPr>
            <a:endParaRPr lang="en-US"/>
          </a:p>
        </c:txPr>
        <c:crossAx val="115840128"/>
        <c:crosses val="autoZero"/>
        <c:crossBetween val="between"/>
      </c:valAx>
    </c:plotArea>
    <c:legend>
      <c:legendPos val="b"/>
      <c:layout>
        <c:manualLayout>
          <c:xMode val="edge"/>
          <c:yMode val="edge"/>
          <c:x val="0.76609463705260916"/>
          <c:y val="9.0274304490512464E-2"/>
          <c:w val="0.18526924305679074"/>
          <c:h val="5.024222465420182E-2"/>
        </c:manualLayout>
      </c:layout>
      <c:overlay val="0"/>
      <c:txPr>
        <a:bodyPr/>
        <a:lstStyle/>
        <a:p>
          <a:pPr>
            <a:defRPr sz="1200"/>
          </a:pPr>
          <a:endParaRPr lang="en-US"/>
        </a:p>
      </c:txPr>
    </c:legend>
    <c:plotVisOnly val="0"/>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257765244822266"/>
          <c:y val="5.662293536365174E-2"/>
          <c:w val="0.87017596713454282"/>
          <c:h val="0.8653843759172456"/>
        </c:manualLayout>
      </c:layout>
      <c:barChart>
        <c:barDir val="col"/>
        <c:grouping val="stacked"/>
        <c:varyColors val="0"/>
        <c:ser>
          <c:idx val="0"/>
          <c:order val="0"/>
          <c:tx>
            <c:strRef>
              <c:f>Overview_SLUDGE!$I$5</c:f>
              <c:strCache>
                <c:ptCount val="1"/>
                <c:pt idx="0">
                  <c:v>SAFE </c:v>
                </c:pt>
              </c:strCache>
            </c:strRef>
          </c:tx>
          <c:spPr>
            <a:solidFill>
              <a:srgbClr val="1B951E"/>
            </a:solidFill>
          </c:spPr>
          <c:invertIfNegative val="0"/>
          <c:dPt>
            <c:idx val="0"/>
            <c:invertIfNegative val="0"/>
            <c:bubble3D val="0"/>
            <c:spPr>
              <a:solidFill>
                <a:schemeClr val="bg2">
                  <a:lumMod val="50000"/>
                </a:schemeClr>
              </a:solidFill>
            </c:spPr>
            <c:extLst>
              <c:ext xmlns:c16="http://schemas.microsoft.com/office/drawing/2014/chart" uri="{C3380CC4-5D6E-409C-BE32-E72D297353CC}">
                <c16:uniqueId val="{00000001-37C6-40BD-9CBA-237D4DE1F3E7}"/>
              </c:ext>
            </c:extLst>
          </c:dPt>
          <c:dLbls>
            <c:spPr>
              <a:noFill/>
              <a:ln>
                <a:noFill/>
              </a:ln>
              <a:effectLst/>
            </c:spPr>
            <c:txPr>
              <a:bodyPr/>
              <a:lstStyle/>
              <a:p>
                <a:pPr>
                  <a:defRPr sz="1200" b="1"/>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Overview_SLUDGE!$H$6:$H$13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Overview_SLUDGE!$I$6:$I$13</c:f>
              <c:numCache>
                <c:formatCode>#,##0_ ;\-#,##0\ </c:formatCode>
                <c:ptCount val="8"/>
                <c:pt idx="0">
                  <c:v>206200</c:v>
                </c:pt>
                <c:pt idx="1">
                  <c:v>186175</c:v>
                </c:pt>
                <c:pt idx="2">
                  <c:v>183925</c:v>
                </c:pt>
                <c:pt idx="3">
                  <c:v>183925</c:v>
                </c:pt>
                <c:pt idx="4">
                  <c:v>32600</c:v>
                </c:pt>
                <c:pt idx="5">
                  <c:v>11410</c:v>
                </c:pt>
                <c:pt idx="6">
                  <c:v>11410</c:v>
                </c:pt>
                <c:pt idx="7">
                  <c:v>0</c:v>
                </c:pt>
              </c:numCache>
            </c:numRef>
          </c:val>
          <c:extLst>
            <c:ext xmlns:c16="http://schemas.microsoft.com/office/drawing/2014/chart" uri="{C3380CC4-5D6E-409C-BE32-E72D297353CC}">
              <c16:uniqueId val="{00000000-3751-4AE2-ABB6-344D74C89534}"/>
            </c:ext>
          </c:extLst>
        </c:ser>
        <c:ser>
          <c:idx val="1"/>
          <c:order val="1"/>
          <c:tx>
            <c:strRef>
              <c:f>Overview_SLUDGE!$J$5</c:f>
              <c:strCache>
                <c:ptCount val="1"/>
                <c:pt idx="0">
                  <c:v>UNSAFE</c:v>
                </c:pt>
              </c:strCache>
            </c:strRef>
          </c:tx>
          <c:spPr>
            <a:solidFill>
              <a:srgbClr val="FF0000"/>
            </a:solidFill>
          </c:spPr>
          <c:invertIfNegative val="0"/>
          <c:dLbls>
            <c:spPr>
              <a:noFill/>
              <a:ln>
                <a:noFill/>
              </a:ln>
              <a:effectLst/>
            </c:spPr>
            <c:txPr>
              <a:bodyPr/>
              <a:lstStyle/>
              <a:p>
                <a:pPr>
                  <a:defRPr sz="1200" b="1"/>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Overview_SLUDGE!$H$6:$H$13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Overview_SLUDGE!$J$6:$J$13</c:f>
              <c:numCache>
                <c:formatCode>#,##0_ ;\-#,##0\ </c:formatCode>
                <c:ptCount val="8"/>
                <c:pt idx="0">
                  <c:v>0</c:v>
                </c:pt>
                <c:pt idx="1">
                  <c:v>20025</c:v>
                </c:pt>
                <c:pt idx="2">
                  <c:v>2250</c:v>
                </c:pt>
                <c:pt idx="3">
                  <c:v>0</c:v>
                </c:pt>
                <c:pt idx="4">
                  <c:v>151525</c:v>
                </c:pt>
                <c:pt idx="5">
                  <c:v>21190</c:v>
                </c:pt>
                <c:pt idx="6">
                  <c:v>21190</c:v>
                </c:pt>
                <c:pt idx="7">
                  <c:v>0</c:v>
                </c:pt>
              </c:numCache>
            </c:numRef>
          </c:val>
          <c:extLst>
            <c:ext xmlns:c16="http://schemas.microsoft.com/office/drawing/2014/chart" uri="{C3380CC4-5D6E-409C-BE32-E72D297353CC}">
              <c16:uniqueId val="{00000001-3751-4AE2-ABB6-344D74C89534}"/>
            </c:ext>
          </c:extLst>
        </c:ser>
        <c:dLbls>
          <c:showLegendKey val="0"/>
          <c:showVal val="0"/>
          <c:showCatName val="0"/>
          <c:showSerName val="0"/>
          <c:showPercent val="0"/>
          <c:showBubbleSize val="0"/>
        </c:dLbls>
        <c:gapWidth val="150"/>
        <c:overlap val="100"/>
        <c:axId val="115864704"/>
        <c:axId val="115866240"/>
      </c:barChart>
      <c:catAx>
        <c:axId val="115864704"/>
        <c:scaling>
          <c:orientation val="minMax"/>
        </c:scaling>
        <c:delete val="0"/>
        <c:axPos val="b"/>
        <c:numFmt formatCode="General" sourceLinked="0"/>
        <c:majorTickMark val="none"/>
        <c:minorTickMark val="none"/>
        <c:tickLblPos val="nextTo"/>
        <c:spPr>
          <a:ln w="6350" cap="sq">
            <a:solidFill>
              <a:schemeClr val="tx1">
                <a:lumMod val="50000"/>
                <a:lumOff val="50000"/>
              </a:schemeClr>
            </a:solidFill>
            <a:miter lim="800000"/>
          </a:ln>
        </c:spPr>
        <c:txPr>
          <a:bodyPr/>
          <a:lstStyle/>
          <a:p>
            <a:pPr>
              <a:defRPr sz="1100" b="1"/>
            </a:pPr>
            <a:endParaRPr lang="en-US"/>
          </a:p>
        </c:txPr>
        <c:crossAx val="115866240"/>
        <c:crosses val="autoZero"/>
        <c:auto val="1"/>
        <c:lblAlgn val="ctr"/>
        <c:lblOffset val="100"/>
        <c:noMultiLvlLbl val="0"/>
      </c:catAx>
      <c:valAx>
        <c:axId val="115866240"/>
        <c:scaling>
          <c:orientation val="minMax"/>
        </c:scaling>
        <c:delete val="0"/>
        <c:axPos val="l"/>
        <c:majorGridlines>
          <c:spPr>
            <a:ln w="6350" cap="sq">
              <a:solidFill>
                <a:schemeClr val="tx1">
                  <a:lumMod val="50000"/>
                  <a:lumOff val="50000"/>
                </a:schemeClr>
              </a:solidFill>
              <a:miter lim="800000"/>
            </a:ln>
          </c:spPr>
        </c:majorGridlines>
        <c:title>
          <c:tx>
            <c:rich>
              <a:bodyPr/>
              <a:lstStyle/>
              <a:p>
                <a:pPr>
                  <a:defRPr sz="1100"/>
                </a:pPr>
                <a:r>
                  <a:rPr lang="en-GB" sz="1100"/>
                  <a:t>Faecal</a:t>
                </a:r>
                <a:r>
                  <a:rPr lang="en-GB" sz="1100" baseline="0"/>
                  <a:t> sludge in </a:t>
                </a:r>
                <a:r>
                  <a:rPr lang="en-GB" sz="1100"/>
                  <a:t>m3/year</a:t>
                </a:r>
              </a:p>
            </c:rich>
          </c:tx>
          <c:layout>
            <c:manualLayout>
              <c:xMode val="edge"/>
              <c:yMode val="edge"/>
              <c:x val="1.2957908986524061E-2"/>
              <c:y val="0.34987425378357551"/>
            </c:manualLayout>
          </c:layout>
          <c:overlay val="0"/>
        </c:title>
        <c:numFmt formatCode="#,##0_ ;\-#,##0\ " sourceLinked="1"/>
        <c:majorTickMark val="out"/>
        <c:minorTickMark val="none"/>
        <c:tickLblPos val="nextTo"/>
        <c:spPr>
          <a:ln w="6350" cap="sq">
            <a:solidFill>
              <a:schemeClr val="tx1">
                <a:lumMod val="50000"/>
                <a:lumOff val="50000"/>
              </a:schemeClr>
            </a:solidFill>
            <a:miter lim="800000"/>
          </a:ln>
        </c:spPr>
        <c:crossAx val="115864704"/>
        <c:crosses val="autoZero"/>
        <c:crossBetween val="between"/>
      </c:valAx>
      <c:spPr>
        <a:ln w="6350" cap="sq">
          <a:solidFill>
            <a:schemeClr val="tx1">
              <a:lumMod val="50000"/>
              <a:lumOff val="50000"/>
            </a:schemeClr>
          </a:solidFill>
          <a:miter lim="800000"/>
        </a:ln>
      </c:spPr>
    </c:plotArea>
    <c:legend>
      <c:legendPos val="r"/>
      <c:layout>
        <c:manualLayout>
          <c:xMode val="edge"/>
          <c:yMode val="edge"/>
          <c:x val="0.70007952293964615"/>
          <c:y val="2.3797407409664625E-2"/>
          <c:w val="0.2802490813648294"/>
          <c:h val="0.14804051608413463"/>
        </c:manualLayout>
      </c:layout>
      <c:overlay val="0"/>
      <c:txPr>
        <a:bodyPr/>
        <a:lstStyle/>
        <a:p>
          <a:pPr>
            <a:defRPr sz="1200" b="1"/>
          </a:pPr>
          <a:endParaRPr lang="en-US"/>
        </a:p>
      </c:txPr>
    </c:legend>
    <c:plotVisOnly val="0"/>
    <c:dispBlanksAs val="gap"/>
    <c:showDLblsOverMax val="0"/>
  </c:chart>
  <c:spPr>
    <a:ln w="3175" cap="sq">
      <a:solidFill>
        <a:srgbClr val="003F4C"/>
      </a:solidFill>
      <a:miter lim="800000"/>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293849138422911E-2"/>
          <c:y val="5.568844368493784E-2"/>
          <c:w val="0.90570615086157713"/>
          <c:h val="0.85285301900685284"/>
        </c:manualLayout>
      </c:layout>
      <c:barChart>
        <c:barDir val="col"/>
        <c:grouping val="stacked"/>
        <c:varyColors val="0"/>
        <c:ser>
          <c:idx val="1"/>
          <c:order val="0"/>
          <c:tx>
            <c:strRef>
              <c:f>Overview_SLUDGE!$S$5</c:f>
              <c:strCache>
                <c:ptCount val="1"/>
                <c:pt idx="0">
                  <c:v>SAFE </c:v>
                </c:pt>
              </c:strCache>
            </c:strRef>
          </c:tx>
          <c:spPr>
            <a:solidFill>
              <a:srgbClr val="008000"/>
            </a:solidFill>
          </c:spPr>
          <c:invertIfNegative val="0"/>
          <c:dPt>
            <c:idx val="0"/>
            <c:invertIfNegative val="0"/>
            <c:bubble3D val="0"/>
            <c:spPr>
              <a:solidFill>
                <a:schemeClr val="bg2">
                  <a:lumMod val="50000"/>
                </a:schemeClr>
              </a:solidFill>
            </c:spPr>
            <c:extLst>
              <c:ext xmlns:c16="http://schemas.microsoft.com/office/drawing/2014/chart" uri="{C3380CC4-5D6E-409C-BE32-E72D297353CC}">
                <c16:uniqueId val="{00000001-52A7-4540-9D96-2397F1E0A041}"/>
              </c:ext>
            </c:extLst>
          </c:dPt>
          <c:dLbls>
            <c:dLbl>
              <c:idx val="5"/>
              <c:delete val="1"/>
              <c:extLst>
                <c:ext xmlns:c15="http://schemas.microsoft.com/office/drawing/2012/chart" uri="{CE6537A1-D6FC-4f65-9D91-7224C49458BB}"/>
                <c:ext xmlns:c16="http://schemas.microsoft.com/office/drawing/2014/chart" uri="{C3380CC4-5D6E-409C-BE32-E72D297353CC}">
                  <c16:uniqueId val="{00000002-B92A-4967-B262-F1449C592A65}"/>
                </c:ext>
              </c:extLst>
            </c:dLbl>
            <c:dLbl>
              <c:idx val="6"/>
              <c:delete val="1"/>
              <c:extLst>
                <c:ext xmlns:c15="http://schemas.microsoft.com/office/drawing/2012/chart" uri="{CE6537A1-D6FC-4f65-9D91-7224C49458BB}"/>
                <c:ext xmlns:c16="http://schemas.microsoft.com/office/drawing/2014/chart" uri="{C3380CC4-5D6E-409C-BE32-E72D297353CC}">
                  <c16:uniqueId val="{00000003-B92A-4967-B262-F1449C592A65}"/>
                </c:ext>
              </c:extLst>
            </c:dLbl>
            <c:numFmt formatCode="0%" sourceLinked="0"/>
            <c:spPr>
              <a:noFill/>
              <a:ln>
                <a:noFill/>
              </a:ln>
              <a:effectLst/>
            </c:spPr>
            <c:txPr>
              <a:bodyPr/>
              <a:lstStyle/>
              <a:p>
                <a:pPr>
                  <a:defRPr sz="1200" b="1" baseline="0">
                    <a:solidFill>
                      <a:sysClr val="windowText" lastClr="000000"/>
                    </a:solidFill>
                  </a:defRPr>
                </a:pPr>
                <a:endParaRPr lang="en-US"/>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Overview_SLUDGE!$R$6:$R$13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Overview_SLUDGE!$S$6:$S$13</c:f>
              <c:numCache>
                <c:formatCode>0.00%</c:formatCode>
                <c:ptCount val="8"/>
                <c:pt idx="0">
                  <c:v>1</c:v>
                </c:pt>
                <c:pt idx="1">
                  <c:v>0.90288554801163923</c:v>
                </c:pt>
                <c:pt idx="2">
                  <c:v>0.8919738118331717</c:v>
                </c:pt>
                <c:pt idx="3">
                  <c:v>0.8919738118331717</c:v>
                </c:pt>
                <c:pt idx="4">
                  <c:v>0.15809893307468476</c:v>
                </c:pt>
                <c:pt idx="5">
                  <c:v>5.5334626576139669E-2</c:v>
                </c:pt>
                <c:pt idx="6">
                  <c:v>5.5334626576139669E-2</c:v>
                </c:pt>
                <c:pt idx="7">
                  <c:v>0</c:v>
                </c:pt>
              </c:numCache>
            </c:numRef>
          </c:val>
          <c:extLst>
            <c:ext xmlns:c16="http://schemas.microsoft.com/office/drawing/2014/chart" uri="{C3380CC4-5D6E-409C-BE32-E72D297353CC}">
              <c16:uniqueId val="{00000000-B623-4FBA-BBD1-5D9F2CBEA7FB}"/>
            </c:ext>
          </c:extLst>
        </c:ser>
        <c:ser>
          <c:idx val="2"/>
          <c:order val="1"/>
          <c:tx>
            <c:strRef>
              <c:f>Overview_SLUDGE!$T$5</c:f>
              <c:strCache>
                <c:ptCount val="1"/>
                <c:pt idx="0">
                  <c:v>UNSAFE</c:v>
                </c:pt>
              </c:strCache>
            </c:strRef>
          </c:tx>
          <c:spPr>
            <a:solidFill>
              <a:srgbClr val="FF0000"/>
            </a:solidFill>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01-B623-4FBA-BBD1-5D9F2CBEA7FB}"/>
                </c:ext>
              </c:extLst>
            </c:dLbl>
            <c:dLbl>
              <c:idx val="1"/>
              <c:numFmt formatCode="0.00%" sourceLinked="0"/>
              <c:spPr>
                <a:noFill/>
                <a:ln>
                  <a:noFill/>
                </a:ln>
                <a:effectLst/>
              </c:spPr>
              <c:txPr>
                <a:bodyPr/>
                <a:lstStyle/>
                <a:p>
                  <a:pPr>
                    <a:defRPr sz="1200" b="1" baseline="0">
                      <a:solidFill>
                        <a:sysClr val="windowText" lastClr="000000"/>
                      </a:solidFill>
                    </a:defRPr>
                  </a:pPr>
                  <a:endParaRPr lang="en-US"/>
                </a:p>
              </c:txPr>
              <c:dLblPos val="inBase"/>
              <c:showLegendKey val="0"/>
              <c:showVal val="1"/>
              <c:showCatName val="0"/>
              <c:showSerName val="0"/>
              <c:showPercent val="0"/>
              <c:showBubbleSize val="0"/>
              <c:extLst>
                <c:ext xmlns:c16="http://schemas.microsoft.com/office/drawing/2014/chart" uri="{C3380CC4-5D6E-409C-BE32-E72D297353CC}">
                  <c16:uniqueId val="{00000002-DB5F-4BB9-AFF9-0BD0D36B10C6}"/>
                </c:ext>
              </c:extLst>
            </c:dLbl>
            <c:dLbl>
              <c:idx val="2"/>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92A-4967-B262-F1449C592A65}"/>
                </c:ext>
              </c:extLst>
            </c:dLbl>
            <c:numFmt formatCode="0%" sourceLinked="0"/>
            <c:spPr>
              <a:noFill/>
              <a:ln>
                <a:noFill/>
              </a:ln>
              <a:effectLst/>
            </c:spPr>
            <c:txPr>
              <a:bodyPr/>
              <a:lstStyle/>
              <a:p>
                <a:pPr>
                  <a:defRPr sz="1200" b="1" baseline="0">
                    <a:solidFill>
                      <a:sysClr val="windowText" lastClr="000000"/>
                    </a:solidFill>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Overview_SLUDGE!$R$6:$R$13</c:f>
              <c:strCache>
                <c:ptCount val="8"/>
                <c:pt idx="0">
                  <c:v>Produced</c:v>
                </c:pt>
                <c:pt idx="1">
                  <c:v>Capture</c:v>
                </c:pt>
                <c:pt idx="2">
                  <c:v>Containment</c:v>
                </c:pt>
                <c:pt idx="3">
                  <c:v>Emptying</c:v>
                </c:pt>
                <c:pt idx="4">
                  <c:v>Transport</c:v>
                </c:pt>
                <c:pt idx="5">
                  <c:v>Treatment</c:v>
                </c:pt>
                <c:pt idx="6">
                  <c:v>Disposal</c:v>
                </c:pt>
                <c:pt idx="7">
                  <c:v>Reuse</c:v>
                </c:pt>
              </c:strCache>
            </c:strRef>
          </c:cat>
          <c:val>
            <c:numRef>
              <c:f>Overview_SLUDGE!$T$6:$T$13</c:f>
              <c:numCache>
                <c:formatCode>0.00%</c:formatCode>
                <c:ptCount val="8"/>
                <c:pt idx="0">
                  <c:v>0</c:v>
                </c:pt>
                <c:pt idx="1">
                  <c:v>9.7114451988360814E-2</c:v>
                </c:pt>
                <c:pt idx="2">
                  <c:v>1.0911736178467508E-2</c:v>
                </c:pt>
                <c:pt idx="3">
                  <c:v>0</c:v>
                </c:pt>
                <c:pt idx="4">
                  <c:v>0.73484481086323961</c:v>
                </c:pt>
                <c:pt idx="5">
                  <c:v>0.10276430649854511</c:v>
                </c:pt>
                <c:pt idx="6">
                  <c:v>0.10276430649854511</c:v>
                </c:pt>
                <c:pt idx="7">
                  <c:v>0</c:v>
                </c:pt>
              </c:numCache>
            </c:numRef>
          </c:val>
          <c:extLst>
            <c:ext xmlns:c16="http://schemas.microsoft.com/office/drawing/2014/chart" uri="{C3380CC4-5D6E-409C-BE32-E72D297353CC}">
              <c16:uniqueId val="{00000002-B623-4FBA-BBD1-5D9F2CBEA7FB}"/>
            </c:ext>
          </c:extLst>
        </c:ser>
        <c:dLbls>
          <c:showLegendKey val="0"/>
          <c:showVal val="0"/>
          <c:showCatName val="0"/>
          <c:showSerName val="0"/>
          <c:showPercent val="0"/>
          <c:showBubbleSize val="0"/>
        </c:dLbls>
        <c:gapWidth val="150"/>
        <c:overlap val="100"/>
        <c:axId val="40624512"/>
        <c:axId val="40626048"/>
      </c:barChart>
      <c:catAx>
        <c:axId val="40624512"/>
        <c:scaling>
          <c:orientation val="minMax"/>
        </c:scaling>
        <c:delete val="0"/>
        <c:axPos val="b"/>
        <c:numFmt formatCode="General" sourceLinked="0"/>
        <c:majorTickMark val="out"/>
        <c:minorTickMark val="none"/>
        <c:tickLblPos val="nextTo"/>
        <c:txPr>
          <a:bodyPr/>
          <a:lstStyle/>
          <a:p>
            <a:pPr>
              <a:defRPr sz="1100" b="1" baseline="0"/>
            </a:pPr>
            <a:endParaRPr lang="en-US"/>
          </a:p>
        </c:txPr>
        <c:crossAx val="40626048"/>
        <c:crossesAt val="0"/>
        <c:auto val="1"/>
        <c:lblAlgn val="ctr"/>
        <c:lblOffset val="100"/>
        <c:noMultiLvlLbl val="0"/>
      </c:catAx>
      <c:valAx>
        <c:axId val="40626048"/>
        <c:scaling>
          <c:orientation val="minMax"/>
          <c:max val="1"/>
        </c:scaling>
        <c:delete val="0"/>
        <c:axPos val="l"/>
        <c:majorGridlines/>
        <c:title>
          <c:tx>
            <c:rich>
              <a:bodyPr rot="-5400000" vert="horz"/>
              <a:lstStyle/>
              <a:p>
                <a:pPr>
                  <a:defRPr sz="1100"/>
                </a:pPr>
                <a:r>
                  <a:rPr lang="en-US" sz="1100"/>
                  <a:t>Safe (green) and unsafe (red) faecal waste flows in percentages</a:t>
                </a:r>
              </a:p>
            </c:rich>
          </c:tx>
          <c:layout>
            <c:manualLayout>
              <c:xMode val="edge"/>
              <c:yMode val="edge"/>
              <c:x val="1.9560766860664155E-2"/>
              <c:y val="0.13356412089428968"/>
            </c:manualLayout>
          </c:layout>
          <c:overlay val="0"/>
        </c:title>
        <c:numFmt formatCode="0%" sourceLinked="0"/>
        <c:majorTickMark val="out"/>
        <c:minorTickMark val="none"/>
        <c:tickLblPos val="nextTo"/>
        <c:txPr>
          <a:bodyPr/>
          <a:lstStyle/>
          <a:p>
            <a:pPr>
              <a:defRPr sz="1000" baseline="0"/>
            </a:pPr>
            <a:endParaRPr lang="en-US"/>
          </a:p>
        </c:txPr>
        <c:crossAx val="40624512"/>
        <c:crosses val="autoZero"/>
        <c:crossBetween val="between"/>
      </c:valAx>
    </c:plotArea>
    <c:legend>
      <c:legendPos val="b"/>
      <c:layout>
        <c:manualLayout>
          <c:xMode val="edge"/>
          <c:yMode val="edge"/>
          <c:x val="0.76609463705260916"/>
          <c:y val="9.0274304490512464E-2"/>
          <c:w val="0.18526924305679074"/>
          <c:h val="5.024222465420182E-2"/>
        </c:manualLayout>
      </c:layout>
      <c:overlay val="0"/>
      <c:txPr>
        <a:bodyPr/>
        <a:lstStyle/>
        <a:p>
          <a:pPr>
            <a:defRPr sz="1200"/>
          </a:pPr>
          <a:endParaRPr lang="en-US"/>
        </a:p>
      </c:txPr>
    </c:legend>
    <c:plotVisOnly val="0"/>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5.png"/><Relationship Id="rId2" Type="http://schemas.openxmlformats.org/officeDocument/2006/relationships/hyperlink" Target="#'Results menu'!A4"/><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hyperlink" Target="#'Input menu'!A4"/></Relationships>
</file>

<file path=xl/drawings/_rels/drawing2.xml.rels><?xml version="1.0" encoding="UTF-8" standalone="yes"?>
<Relationships xmlns="http://schemas.openxmlformats.org/package/2006/relationships"><Relationship Id="rId8" Type="http://schemas.openxmlformats.org/officeDocument/2006/relationships/hyperlink" Target="#Overview_ALL!A3"/><Relationship Id="rId13" Type="http://schemas.openxmlformats.org/officeDocument/2006/relationships/hyperlink" Target="#'FWF Diagram ALL'!A4"/><Relationship Id="rId18" Type="http://schemas.openxmlformats.org/officeDocument/2006/relationships/hyperlink" Target="#Facilities!A5"/><Relationship Id="rId3" Type="http://schemas.openxmlformats.org/officeDocument/2006/relationships/hyperlink" Target="#'Input menu'!A4"/><Relationship Id="rId7" Type="http://schemas.openxmlformats.org/officeDocument/2006/relationships/hyperlink" Target="#Overview_SLUDGE!A3"/><Relationship Id="rId12" Type="http://schemas.openxmlformats.org/officeDocument/2006/relationships/hyperlink" Target="#'FWF Diagram SLUDGE'!A4"/><Relationship Id="rId17" Type="http://schemas.openxmlformats.org/officeDocument/2006/relationships/hyperlink" Target="#'FW Flows_ALL'!A3"/><Relationship Id="rId2" Type="http://schemas.openxmlformats.org/officeDocument/2006/relationships/image" Target="../media/image6.png"/><Relationship Id="rId16" Type="http://schemas.openxmlformats.org/officeDocument/2006/relationships/hyperlink" Target="#'FW Flows_SLUDGE'!A3"/><Relationship Id="rId20" Type="http://schemas.openxmlformats.org/officeDocument/2006/relationships/hyperlink" Target="#'Faecal waste flow summary'!A5"/><Relationship Id="rId1" Type="http://schemas.openxmlformats.org/officeDocument/2006/relationships/hyperlink" Target="#Home!A4"/><Relationship Id="rId6" Type="http://schemas.openxmlformats.org/officeDocument/2006/relationships/hyperlink" Target="#'Flow diagram ALL'!A4"/><Relationship Id="rId11" Type="http://schemas.openxmlformats.org/officeDocument/2006/relationships/image" Target="../media/image4.png"/><Relationship Id="rId5" Type="http://schemas.openxmlformats.org/officeDocument/2006/relationships/hyperlink" Target="#'Flow diagram SLUDGE'!A4"/><Relationship Id="rId15" Type="http://schemas.openxmlformats.org/officeDocument/2006/relationships/hyperlink" Target="#'SUM for FWF Diagram_ALL'!A20"/><Relationship Id="rId10" Type="http://schemas.openxmlformats.org/officeDocument/2006/relationships/image" Target="../media/image7.png"/><Relationship Id="rId19" Type="http://schemas.openxmlformats.org/officeDocument/2006/relationships/hyperlink" Target="#Population!A5"/><Relationship Id="rId4" Type="http://schemas.openxmlformats.org/officeDocument/2006/relationships/image" Target="../media/image3.png"/><Relationship Id="rId9" Type="http://schemas.openxmlformats.org/officeDocument/2006/relationships/hyperlink" Target="#'Scorecard Overview'!A5"/><Relationship Id="rId14" Type="http://schemas.openxmlformats.org/officeDocument/2006/relationships/hyperlink" Target="#'SUM for FWF Diagram_SLUDGE'!A20"/></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image" Target="../media/image10.png"/><Relationship Id="rId4" Type="http://schemas.openxmlformats.org/officeDocument/2006/relationships/hyperlink" Target="#'Results menu'!A4"/></Relationships>
</file>

<file path=xl/drawings/_rels/drawing9.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chart" Target="../charts/chart4.xml"/><Relationship Id="rId1" Type="http://schemas.openxmlformats.org/officeDocument/2006/relationships/chart" Target="../charts/chart3.xml"/><Relationship Id="rId5" Type="http://schemas.openxmlformats.org/officeDocument/2006/relationships/image" Target="../media/image10.png"/><Relationship Id="rId4" Type="http://schemas.openxmlformats.org/officeDocument/2006/relationships/hyperlink" Target="#'Results menu'!A4"/></Relationships>
</file>

<file path=xl/drawings/_rels/drawing11.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G14"/><Relationship Id="rId1" Type="http://schemas.openxmlformats.org/officeDocument/2006/relationships/image" Target="../media/image9.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Results menu'!A4"/></Relationships>
</file>

<file path=xl/drawings/_rels/drawing1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Results menu'!A4"/><Relationship Id="rId1" Type="http://schemas.openxmlformats.org/officeDocument/2006/relationships/image" Target="../media/image9.png"/></Relationships>
</file>

<file path=xl/drawings/_rels/drawing1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Results menu'!A4"/></Relationships>
</file>

<file path=xl/drawings/_rels/drawing2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hyperlink" Target="#'Results menu'!A4"/></Relationships>
</file>

<file path=xl/drawings/_rels/drawing21.xml.rels><?xml version="1.0" encoding="UTF-8" standalone="yes"?>
<Relationships xmlns="http://schemas.openxmlformats.org/package/2006/relationships"><Relationship Id="rId8" Type="http://schemas.openxmlformats.org/officeDocument/2006/relationships/hyperlink" Target="#Interface_Treatment!A5"/><Relationship Id="rId13" Type="http://schemas.openxmlformats.org/officeDocument/2006/relationships/image" Target="../media/image11.png"/><Relationship Id="rId3" Type="http://schemas.openxmlformats.org/officeDocument/2006/relationships/hyperlink" Target="#'Results menu'!A4"/><Relationship Id="rId7" Type="http://schemas.openxmlformats.org/officeDocument/2006/relationships/hyperlink" Target="#'Interface_Emptying &amp; Transport'!A5"/><Relationship Id="rId12" Type="http://schemas.openxmlformats.org/officeDocument/2006/relationships/hyperlink" Target="#Interface_Environment!A5"/><Relationship Id="rId2" Type="http://schemas.openxmlformats.org/officeDocument/2006/relationships/image" Target="../media/image6.png"/><Relationship Id="rId1" Type="http://schemas.openxmlformats.org/officeDocument/2006/relationships/hyperlink" Target="#Home!A4"/><Relationship Id="rId6" Type="http://schemas.openxmlformats.org/officeDocument/2006/relationships/hyperlink" Target="#'User interface_Non-RES'!A6"/><Relationship Id="rId11" Type="http://schemas.openxmlformats.org/officeDocument/2006/relationships/hyperlink" Target="#'Interface_Permits &amp; standards'!A5"/><Relationship Id="rId5" Type="http://schemas.openxmlformats.org/officeDocument/2006/relationships/hyperlink" Target="#'User interface_RES'!A6"/><Relationship Id="rId10" Type="http://schemas.openxmlformats.org/officeDocument/2006/relationships/hyperlink" Target="#Interface_Budgets!A5"/><Relationship Id="rId4" Type="http://schemas.openxmlformats.org/officeDocument/2006/relationships/image" Target="../media/image2.png"/><Relationship Id="rId9" Type="http://schemas.openxmlformats.org/officeDocument/2006/relationships/hyperlink" Target="#'Interface_City issues'!A5"/><Relationship Id="rId1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2.png"/><Relationship Id="rId5" Type="http://schemas.openxmlformats.org/officeDocument/2006/relationships/image" Target="../media/image13.png"/><Relationship Id="rId4" Type="http://schemas.openxmlformats.org/officeDocument/2006/relationships/hyperlink" Target="#'User interface_Non-RES'!A6"/></Relationships>
</file>

<file path=xl/drawings/_rels/drawing23.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2.png"/><Relationship Id="rId5" Type="http://schemas.openxmlformats.org/officeDocument/2006/relationships/image" Target="../media/image13.png"/><Relationship Id="rId4" Type="http://schemas.openxmlformats.org/officeDocument/2006/relationships/hyperlink" Target="#'Interface_Emptying &amp; Transport'!A5"/></Relationships>
</file>

<file path=xl/drawings/_rels/drawing24.xml.rels><?xml version="1.0" encoding="UTF-8" standalone="yes"?>
<Relationships xmlns="http://schemas.openxmlformats.org/package/2006/relationships"><Relationship Id="rId3" Type="http://schemas.openxmlformats.org/officeDocument/2006/relationships/image" Target="../media/image14.png"/><Relationship Id="rId7" Type="http://schemas.openxmlformats.org/officeDocument/2006/relationships/image" Target="../media/image13.png"/><Relationship Id="rId2" Type="http://schemas.openxmlformats.org/officeDocument/2006/relationships/hyperlink" Target="#'Interface_Emptying &amp; Transport'!A5"/><Relationship Id="rId1" Type="http://schemas.openxmlformats.org/officeDocument/2006/relationships/hyperlink" Target="#'Interface_Emptying &amp; Transport'!AA21"/><Relationship Id="rId6" Type="http://schemas.openxmlformats.org/officeDocument/2006/relationships/hyperlink" Target="#Interface_Treatment!A5"/><Relationship Id="rId5" Type="http://schemas.openxmlformats.org/officeDocument/2006/relationships/image" Target="../media/image10.png"/><Relationship Id="rId4" Type="http://schemas.openxmlformats.org/officeDocument/2006/relationships/hyperlink" Target="#'Input menu'!A4"/></Relationships>
</file>

<file path=xl/drawings/_rels/drawing25.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hyperlink" Target="#Interface_Treatment!T49"/><Relationship Id="rId7" Type="http://schemas.openxmlformats.org/officeDocument/2006/relationships/hyperlink" Target="#'Input menu'!A4"/><Relationship Id="rId2" Type="http://schemas.openxmlformats.org/officeDocument/2006/relationships/hyperlink" Target="#Interface_Treatment!T32"/><Relationship Id="rId1" Type="http://schemas.openxmlformats.org/officeDocument/2006/relationships/hyperlink" Target="#Interface_Treatment!T15"/><Relationship Id="rId6" Type="http://schemas.openxmlformats.org/officeDocument/2006/relationships/image" Target="../media/image15.png"/><Relationship Id="rId5" Type="http://schemas.openxmlformats.org/officeDocument/2006/relationships/hyperlink" Target="#Interface_Treatment!A5"/><Relationship Id="rId10" Type="http://schemas.openxmlformats.org/officeDocument/2006/relationships/image" Target="../media/image13.png"/><Relationship Id="rId4" Type="http://schemas.openxmlformats.org/officeDocument/2006/relationships/hyperlink" Target="#Interface_Treatment!T66"/><Relationship Id="rId9" Type="http://schemas.openxmlformats.org/officeDocument/2006/relationships/hyperlink" Target="#'Interface_Treatment Sludge'!A5"/></Relationships>
</file>

<file path=xl/drawings/_rels/drawing26.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hyperlink" Target="#Interface_Treatment!T49"/><Relationship Id="rId7" Type="http://schemas.openxmlformats.org/officeDocument/2006/relationships/hyperlink" Target="#'Input menu'!A4"/><Relationship Id="rId2" Type="http://schemas.openxmlformats.org/officeDocument/2006/relationships/hyperlink" Target="#Interface_Treatment!T32"/><Relationship Id="rId1" Type="http://schemas.openxmlformats.org/officeDocument/2006/relationships/hyperlink" Target="#Interface_Treatment!T15"/><Relationship Id="rId6" Type="http://schemas.openxmlformats.org/officeDocument/2006/relationships/image" Target="../media/image15.png"/><Relationship Id="rId5" Type="http://schemas.openxmlformats.org/officeDocument/2006/relationships/hyperlink" Target="#Interface_Treatment!A5"/><Relationship Id="rId10" Type="http://schemas.openxmlformats.org/officeDocument/2006/relationships/image" Target="../media/image13.png"/><Relationship Id="rId4" Type="http://schemas.openxmlformats.org/officeDocument/2006/relationships/hyperlink" Target="#Interface_Treatment!T66"/><Relationship Id="rId9" Type="http://schemas.openxmlformats.org/officeDocument/2006/relationships/hyperlink" Target="#'Interface_City issues'!A5"/></Relationships>
</file>

<file path=xl/drawings/_rels/drawing27.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6.png"/><Relationship Id="rId5" Type="http://schemas.openxmlformats.org/officeDocument/2006/relationships/image" Target="../media/image13.png"/><Relationship Id="rId4" Type="http://schemas.openxmlformats.org/officeDocument/2006/relationships/hyperlink" Target="#Interface_Budgets!A5"/></Relationships>
</file>

<file path=xl/drawings/_rels/drawing2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7.png"/><Relationship Id="rId5" Type="http://schemas.openxmlformats.org/officeDocument/2006/relationships/image" Target="../media/image13.png"/><Relationship Id="rId4" Type="http://schemas.openxmlformats.org/officeDocument/2006/relationships/hyperlink" Target="#'Interface_Permits &amp; standards'!A5"/></Relationships>
</file>

<file path=xl/drawings/_rels/drawing29.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8.png"/><Relationship Id="rId5" Type="http://schemas.openxmlformats.org/officeDocument/2006/relationships/image" Target="../media/image13.png"/><Relationship Id="rId4" Type="http://schemas.openxmlformats.org/officeDocument/2006/relationships/hyperlink" Target="#Interface_Environment!A5"/></Relationships>
</file>

<file path=xl/drawings/_rels/drawing30.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Input menu'!A4"/><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absolute">
    <xdr:from>
      <xdr:col>1</xdr:col>
      <xdr:colOff>164305</xdr:colOff>
      <xdr:row>11</xdr:row>
      <xdr:rowOff>170885</xdr:rowOff>
    </xdr:from>
    <xdr:to>
      <xdr:col>17</xdr:col>
      <xdr:colOff>469105</xdr:colOff>
      <xdr:row>38</xdr:row>
      <xdr:rowOff>39556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3905" y="2783116"/>
          <a:ext cx="10058400" cy="5012171"/>
        </a:xfrm>
        <a:prstGeom prst="rect">
          <a:avLst/>
        </a:prstGeom>
      </xdr:spPr>
    </xdr:pic>
    <xdr:clientData/>
  </xdr:twoCellAnchor>
  <xdr:twoCellAnchor>
    <xdr:from>
      <xdr:col>8</xdr:col>
      <xdr:colOff>295275</xdr:colOff>
      <xdr:row>1</xdr:row>
      <xdr:rowOff>209550</xdr:rowOff>
    </xdr:from>
    <xdr:to>
      <xdr:col>11</xdr:col>
      <xdr:colOff>180975</xdr:colOff>
      <xdr:row>1</xdr:row>
      <xdr:rowOff>628650</xdr:rowOff>
    </xdr:to>
    <xdr:sp macro="" textlink="">
      <xdr:nvSpPr>
        <xdr:cNvPr id="4" name="Rounded Rectangle 3">
          <a:extLst>
            <a:ext uri="{FF2B5EF4-FFF2-40B4-BE49-F238E27FC236}">
              <a16:creationId xmlns:a16="http://schemas.microsoft.com/office/drawing/2014/main" id="{00000000-0008-0000-0000-000004000000}"/>
            </a:ext>
          </a:extLst>
        </xdr:cNvPr>
        <xdr:cNvSpPr/>
      </xdr:nvSpPr>
      <xdr:spPr>
        <a:xfrm>
          <a:off x="5172075" y="400050"/>
          <a:ext cx="1714500" cy="419100"/>
        </a:xfrm>
        <a:prstGeom prst="roundRect">
          <a:avLst>
            <a:gd name="adj" fmla="val 50000"/>
          </a:avLst>
        </a:prstGeom>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p>
      </xdr:txBody>
    </xdr:sp>
    <xdr:clientData/>
  </xdr:twoCellAnchor>
  <xdr:twoCellAnchor>
    <xdr:from>
      <xdr:col>11</xdr:col>
      <xdr:colOff>400050</xdr:colOff>
      <xdr:row>1</xdr:row>
      <xdr:rowOff>209550</xdr:rowOff>
    </xdr:from>
    <xdr:to>
      <xdr:col>14</xdr:col>
      <xdr:colOff>285750</xdr:colOff>
      <xdr:row>1</xdr:row>
      <xdr:rowOff>628650</xdr:rowOff>
    </xdr:to>
    <xdr:sp macro="" textlink="">
      <xdr:nvSpPr>
        <xdr:cNvPr id="7" name="Rounded Rectangle 6">
          <a:extLst>
            <a:ext uri="{FF2B5EF4-FFF2-40B4-BE49-F238E27FC236}">
              <a16:creationId xmlns:a16="http://schemas.microsoft.com/office/drawing/2014/main" id="{00000000-0008-0000-0000-000007000000}"/>
            </a:ext>
          </a:extLst>
        </xdr:cNvPr>
        <xdr:cNvSpPr/>
      </xdr:nvSpPr>
      <xdr:spPr>
        <a:xfrm>
          <a:off x="7105650" y="400050"/>
          <a:ext cx="1714500" cy="419100"/>
        </a:xfrm>
        <a:prstGeom prst="roundRect">
          <a:avLst>
            <a:gd name="adj" fmla="val 50000"/>
          </a:avLst>
        </a:prstGeom>
        <a:solidFill>
          <a:schemeClr val="accent2"/>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solidFill>
              <a:schemeClr val="bg1"/>
            </a:solidFill>
          </a:endParaRPr>
        </a:p>
      </xdr:txBody>
    </xdr:sp>
    <xdr:clientData/>
  </xdr:twoCellAnchor>
  <xdr:twoCellAnchor editAs="oneCell">
    <xdr:from>
      <xdr:col>11</xdr:col>
      <xdr:colOff>400050</xdr:colOff>
      <xdr:row>1</xdr:row>
      <xdr:rowOff>209550</xdr:rowOff>
    </xdr:from>
    <xdr:to>
      <xdr:col>14</xdr:col>
      <xdr:colOff>284229</xdr:colOff>
      <xdr:row>1</xdr:row>
      <xdr:rowOff>627127</xdr:rowOff>
    </xdr:to>
    <xdr:pic>
      <xdr:nvPicPr>
        <xdr:cNvPr id="5" name="Picture 4">
          <a:hlinkClick xmlns:r="http://schemas.openxmlformats.org/officeDocument/2006/relationships" r:id="rId2"/>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05650" y="400050"/>
          <a:ext cx="1712979" cy="417577"/>
        </a:xfrm>
        <a:prstGeom prst="rect">
          <a:avLst/>
        </a:prstGeom>
      </xdr:spPr>
    </xdr:pic>
    <xdr:clientData/>
  </xdr:twoCellAnchor>
  <xdr:twoCellAnchor editAs="oneCell">
    <xdr:from>
      <xdr:col>8</xdr:col>
      <xdr:colOff>296796</xdr:colOff>
      <xdr:row>1</xdr:row>
      <xdr:rowOff>211073</xdr:rowOff>
    </xdr:from>
    <xdr:to>
      <xdr:col>11</xdr:col>
      <xdr:colOff>180975</xdr:colOff>
      <xdr:row>1</xdr:row>
      <xdr:rowOff>628650</xdr:rowOff>
    </xdr:to>
    <xdr:pic>
      <xdr:nvPicPr>
        <xdr:cNvPr id="9" name="Picture 8">
          <a:hlinkClick xmlns:r="http://schemas.openxmlformats.org/officeDocument/2006/relationships" r:id="rId4"/>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173596" y="401573"/>
          <a:ext cx="1712979" cy="417577"/>
        </a:xfrm>
        <a:prstGeom prst="rect">
          <a:avLst/>
        </a:prstGeom>
      </xdr:spPr>
    </xdr:pic>
    <xdr:clientData/>
  </xdr:twoCellAnchor>
  <xdr:twoCellAnchor editAs="absolute">
    <xdr:from>
      <xdr:col>0</xdr:col>
      <xdr:colOff>447677</xdr:colOff>
      <xdr:row>1</xdr:row>
      <xdr:rowOff>79905</xdr:rowOff>
    </xdr:from>
    <xdr:to>
      <xdr:col>5</xdr:col>
      <xdr:colOff>74477</xdr:colOff>
      <xdr:row>1</xdr:row>
      <xdr:rowOff>739870</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47677" y="270405"/>
          <a:ext cx="2662894" cy="659965"/>
        </a:xfrm>
        <a:prstGeom prst="rect">
          <a:avLst/>
        </a:prstGeom>
      </xdr:spPr>
    </xdr:pic>
    <xdr:clientData/>
  </xdr:twoCellAnchor>
  <xdr:twoCellAnchor editAs="absolute">
    <xdr:from>
      <xdr:col>3</xdr:col>
      <xdr:colOff>507204</xdr:colOff>
      <xdr:row>6</xdr:row>
      <xdr:rowOff>144926</xdr:rowOff>
    </xdr:from>
    <xdr:to>
      <xdr:col>15</xdr:col>
      <xdr:colOff>82404</xdr:colOff>
      <xdr:row>11</xdr:row>
      <xdr:rowOff>101320</xdr:rowOff>
    </xdr:to>
    <xdr:pic>
      <xdr:nvPicPr>
        <xdr:cNvPr id="17" name="Picture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328860" y="1811801"/>
          <a:ext cx="6861825" cy="908894"/>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295275</xdr:colOff>
      <xdr:row>1</xdr:row>
      <xdr:rowOff>209550</xdr:rowOff>
    </xdr:from>
    <xdr:to>
      <xdr:col>11</xdr:col>
      <xdr:colOff>180975</xdr:colOff>
      <xdr:row>1</xdr:row>
      <xdr:rowOff>628650</xdr:rowOff>
    </xdr:to>
    <xdr:sp macro="" textlink="">
      <xdr:nvSpPr>
        <xdr:cNvPr id="6" name="Rounded Rectangle 5">
          <a:extLst>
            <a:ext uri="{FF2B5EF4-FFF2-40B4-BE49-F238E27FC236}">
              <a16:creationId xmlns:a16="http://schemas.microsoft.com/office/drawing/2014/main" id="{00000000-0008-0000-0100-000006000000}"/>
            </a:ext>
          </a:extLst>
        </xdr:cNvPr>
        <xdr:cNvSpPr/>
      </xdr:nvSpPr>
      <xdr:spPr>
        <a:xfrm>
          <a:off x="5172075" y="400050"/>
          <a:ext cx="1714500" cy="419100"/>
        </a:xfrm>
        <a:prstGeom prst="roundRect">
          <a:avLst>
            <a:gd name="adj" fmla="val 50000"/>
          </a:avLst>
        </a:prstGeom>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p>
      </xdr:txBody>
    </xdr:sp>
    <xdr:clientData/>
  </xdr:twoCellAnchor>
  <xdr:twoCellAnchor>
    <xdr:from>
      <xdr:col>11</xdr:col>
      <xdr:colOff>400050</xdr:colOff>
      <xdr:row>1</xdr:row>
      <xdr:rowOff>209550</xdr:rowOff>
    </xdr:from>
    <xdr:to>
      <xdr:col>14</xdr:col>
      <xdr:colOff>285750</xdr:colOff>
      <xdr:row>1</xdr:row>
      <xdr:rowOff>628650</xdr:rowOff>
    </xdr:to>
    <xdr:sp macro="" textlink="">
      <xdr:nvSpPr>
        <xdr:cNvPr id="7" name="Rounded Rectangle 6">
          <a:extLst>
            <a:ext uri="{FF2B5EF4-FFF2-40B4-BE49-F238E27FC236}">
              <a16:creationId xmlns:a16="http://schemas.microsoft.com/office/drawing/2014/main" id="{00000000-0008-0000-0100-000007000000}"/>
            </a:ext>
          </a:extLst>
        </xdr:cNvPr>
        <xdr:cNvSpPr/>
      </xdr:nvSpPr>
      <xdr:spPr>
        <a:xfrm>
          <a:off x="7105650" y="400050"/>
          <a:ext cx="1714500" cy="419100"/>
        </a:xfrm>
        <a:prstGeom prst="roundRect">
          <a:avLst>
            <a:gd name="adj" fmla="val 50000"/>
          </a:avLst>
        </a:prstGeom>
        <a:solidFill>
          <a:schemeClr val="accent2"/>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p>
      </xdr:txBody>
    </xdr:sp>
    <xdr:clientData/>
  </xdr:twoCellAnchor>
  <xdr:twoCellAnchor>
    <xdr:from>
      <xdr:col>2</xdr:col>
      <xdr:colOff>278610</xdr:colOff>
      <xdr:row>13</xdr:row>
      <xdr:rowOff>47625</xdr:rowOff>
    </xdr:from>
    <xdr:to>
      <xdr:col>8</xdr:col>
      <xdr:colOff>202410</xdr:colOff>
      <xdr:row>15</xdr:row>
      <xdr:rowOff>85725</xdr:rowOff>
    </xdr:to>
    <xdr:sp macro="" textlink="">
      <xdr:nvSpPr>
        <xdr:cNvPr id="8" name="Rounded Rectangle 7">
          <a:extLst>
            <a:ext uri="{FF2B5EF4-FFF2-40B4-BE49-F238E27FC236}">
              <a16:creationId xmlns:a16="http://schemas.microsoft.com/office/drawing/2014/main" id="{00000000-0008-0000-0100-000008000000}"/>
            </a:ext>
          </a:extLst>
        </xdr:cNvPr>
        <xdr:cNvSpPr/>
      </xdr:nvSpPr>
      <xdr:spPr>
        <a:xfrm>
          <a:off x="1493048" y="3036094"/>
          <a:ext cx="3567112" cy="419100"/>
        </a:xfrm>
        <a:prstGeom prst="roundRect">
          <a:avLst>
            <a:gd name="adj" fmla="val 50000"/>
          </a:avLst>
        </a:prstGeom>
        <a:solidFill>
          <a:schemeClr val="accent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bg1"/>
              </a:solidFill>
            </a:rPr>
            <a:t>SLUDGE</a:t>
          </a:r>
        </a:p>
      </xdr:txBody>
    </xdr:sp>
    <xdr:clientData/>
  </xdr:twoCellAnchor>
  <xdr:twoCellAnchor>
    <xdr:from>
      <xdr:col>2</xdr:col>
      <xdr:colOff>278610</xdr:colOff>
      <xdr:row>16</xdr:row>
      <xdr:rowOff>76200</xdr:rowOff>
    </xdr:from>
    <xdr:to>
      <xdr:col>8</xdr:col>
      <xdr:colOff>202410</xdr:colOff>
      <xdr:row>18</xdr:row>
      <xdr:rowOff>114300</xdr:rowOff>
    </xdr:to>
    <xdr:sp macro="" textlink="">
      <xdr:nvSpPr>
        <xdr:cNvPr id="9" name="Rounded Rectangle 8">
          <a:extLst>
            <a:ext uri="{FF2B5EF4-FFF2-40B4-BE49-F238E27FC236}">
              <a16:creationId xmlns:a16="http://schemas.microsoft.com/office/drawing/2014/main" id="{00000000-0008-0000-0100-000009000000}"/>
            </a:ext>
          </a:extLst>
        </xdr:cNvPr>
        <xdr:cNvSpPr/>
      </xdr:nvSpPr>
      <xdr:spPr>
        <a:xfrm>
          <a:off x="1493048" y="3648075"/>
          <a:ext cx="3567112"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FLOW DIAGRAM (TOTAL)</a:t>
          </a:r>
        </a:p>
      </xdr:txBody>
    </xdr:sp>
    <xdr:clientData/>
  </xdr:twoCellAnchor>
  <xdr:twoCellAnchor>
    <xdr:from>
      <xdr:col>2</xdr:col>
      <xdr:colOff>278610</xdr:colOff>
      <xdr:row>19</xdr:row>
      <xdr:rowOff>104775</xdr:rowOff>
    </xdr:from>
    <xdr:to>
      <xdr:col>8</xdr:col>
      <xdr:colOff>202410</xdr:colOff>
      <xdr:row>21</xdr:row>
      <xdr:rowOff>142875</xdr:rowOff>
    </xdr:to>
    <xdr:sp macro="" textlink="">
      <xdr:nvSpPr>
        <xdr:cNvPr id="10" name="Rounded Rectangle 9">
          <a:extLst>
            <a:ext uri="{FF2B5EF4-FFF2-40B4-BE49-F238E27FC236}">
              <a16:creationId xmlns:a16="http://schemas.microsoft.com/office/drawing/2014/main" id="{00000000-0008-0000-0100-00000A000000}"/>
            </a:ext>
          </a:extLst>
        </xdr:cNvPr>
        <xdr:cNvSpPr/>
      </xdr:nvSpPr>
      <xdr:spPr>
        <a:xfrm>
          <a:off x="1493048" y="4248150"/>
          <a:ext cx="3567112"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FLOW DIAGRAM (BY CATEGORY)</a:t>
          </a:r>
        </a:p>
      </xdr:txBody>
    </xdr:sp>
    <xdr:clientData/>
  </xdr:twoCellAnchor>
  <xdr:twoCellAnchor>
    <xdr:from>
      <xdr:col>2</xdr:col>
      <xdr:colOff>278610</xdr:colOff>
      <xdr:row>22</xdr:row>
      <xdr:rowOff>133350</xdr:rowOff>
    </xdr:from>
    <xdr:to>
      <xdr:col>8</xdr:col>
      <xdr:colOff>202410</xdr:colOff>
      <xdr:row>24</xdr:row>
      <xdr:rowOff>171450</xdr:rowOff>
    </xdr:to>
    <xdr:sp macro="" textlink="">
      <xdr:nvSpPr>
        <xdr:cNvPr id="11" name="Rounded Rectangle 10">
          <a:extLst>
            <a:ext uri="{FF2B5EF4-FFF2-40B4-BE49-F238E27FC236}">
              <a16:creationId xmlns:a16="http://schemas.microsoft.com/office/drawing/2014/main" id="{00000000-0008-0000-0100-00000B000000}"/>
            </a:ext>
          </a:extLst>
        </xdr:cNvPr>
        <xdr:cNvSpPr/>
      </xdr:nvSpPr>
      <xdr:spPr>
        <a:xfrm>
          <a:off x="1493048" y="4848225"/>
          <a:ext cx="3567112"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OVERVIEW</a:t>
          </a:r>
        </a:p>
      </xdr:txBody>
    </xdr:sp>
    <xdr:clientData/>
  </xdr:twoCellAnchor>
  <xdr:twoCellAnchor>
    <xdr:from>
      <xdr:col>6</xdr:col>
      <xdr:colOff>326235</xdr:colOff>
      <xdr:row>32</xdr:row>
      <xdr:rowOff>28575</xdr:rowOff>
    </xdr:from>
    <xdr:to>
      <xdr:col>12</xdr:col>
      <xdr:colOff>250035</xdr:colOff>
      <xdr:row>34</xdr:row>
      <xdr:rowOff>66675</xdr:rowOff>
    </xdr:to>
    <xdr:sp macro="" textlink="">
      <xdr:nvSpPr>
        <xdr:cNvPr id="12" name="Rounded Rectangle 11">
          <a:extLst>
            <a:ext uri="{FF2B5EF4-FFF2-40B4-BE49-F238E27FC236}">
              <a16:creationId xmlns:a16="http://schemas.microsoft.com/office/drawing/2014/main" id="{00000000-0008-0000-0100-00000C000000}"/>
            </a:ext>
          </a:extLst>
        </xdr:cNvPr>
        <xdr:cNvSpPr/>
      </xdr:nvSpPr>
      <xdr:spPr>
        <a:xfrm>
          <a:off x="3969548" y="6648450"/>
          <a:ext cx="3567112" cy="419100"/>
        </a:xfrm>
        <a:prstGeom prst="roundRect">
          <a:avLst>
            <a:gd name="adj" fmla="val 50000"/>
          </a:avLst>
        </a:prstGeom>
        <a:solidFill>
          <a:schemeClr val="bg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SCORECARD OVERVIEW</a:t>
          </a:r>
        </a:p>
      </xdr:txBody>
    </xdr:sp>
    <xdr:clientData/>
  </xdr:twoCellAnchor>
  <xdr:twoCellAnchor>
    <xdr:from>
      <xdr:col>10</xdr:col>
      <xdr:colOff>428628</xdr:colOff>
      <xdr:row>13</xdr:row>
      <xdr:rowOff>47625</xdr:rowOff>
    </xdr:from>
    <xdr:to>
      <xdr:col>16</xdr:col>
      <xdr:colOff>354810</xdr:colOff>
      <xdr:row>15</xdr:row>
      <xdr:rowOff>85725</xdr:rowOff>
    </xdr:to>
    <xdr:sp macro="" textlink="">
      <xdr:nvSpPr>
        <xdr:cNvPr id="13" name="Rounded Rectangle 12">
          <a:extLst>
            <a:ext uri="{FF2B5EF4-FFF2-40B4-BE49-F238E27FC236}">
              <a16:creationId xmlns:a16="http://schemas.microsoft.com/office/drawing/2014/main" id="{00000000-0008-0000-0100-00000D000000}"/>
            </a:ext>
          </a:extLst>
        </xdr:cNvPr>
        <xdr:cNvSpPr/>
      </xdr:nvSpPr>
      <xdr:spPr>
        <a:xfrm>
          <a:off x="6500816" y="3048000"/>
          <a:ext cx="3569494" cy="419100"/>
        </a:xfrm>
        <a:prstGeom prst="roundRect">
          <a:avLst>
            <a:gd name="adj" fmla="val 50000"/>
          </a:avLst>
        </a:prstGeom>
        <a:solidFill>
          <a:schemeClr val="accent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bg1"/>
              </a:solidFill>
            </a:rPr>
            <a:t>FAECAL WASTE AND</a:t>
          </a:r>
          <a:r>
            <a:rPr lang="en-GB" sz="1400" b="1" baseline="0">
              <a:solidFill>
                <a:schemeClr val="bg1"/>
              </a:solidFill>
            </a:rPr>
            <a:t> WASTEWATER</a:t>
          </a:r>
          <a:endParaRPr lang="en-GB" sz="1400" b="1">
            <a:solidFill>
              <a:schemeClr val="bg1"/>
            </a:solidFill>
          </a:endParaRPr>
        </a:p>
      </xdr:txBody>
    </xdr:sp>
    <xdr:clientData/>
  </xdr:twoCellAnchor>
  <xdr:twoCellAnchor>
    <xdr:from>
      <xdr:col>10</xdr:col>
      <xdr:colOff>428628</xdr:colOff>
      <xdr:row>16</xdr:row>
      <xdr:rowOff>76200</xdr:rowOff>
    </xdr:from>
    <xdr:to>
      <xdr:col>16</xdr:col>
      <xdr:colOff>354810</xdr:colOff>
      <xdr:row>18</xdr:row>
      <xdr:rowOff>114300</xdr:rowOff>
    </xdr:to>
    <xdr:sp macro="" textlink="">
      <xdr:nvSpPr>
        <xdr:cNvPr id="14" name="Rounded Rectangle 13">
          <a:extLst>
            <a:ext uri="{FF2B5EF4-FFF2-40B4-BE49-F238E27FC236}">
              <a16:creationId xmlns:a16="http://schemas.microsoft.com/office/drawing/2014/main" id="{00000000-0008-0000-0100-00000E000000}"/>
            </a:ext>
          </a:extLst>
        </xdr:cNvPr>
        <xdr:cNvSpPr/>
      </xdr:nvSpPr>
      <xdr:spPr>
        <a:xfrm>
          <a:off x="6500816" y="3648075"/>
          <a:ext cx="3569494"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FLOW DIAGRAM (TOTAL)</a:t>
          </a:r>
        </a:p>
      </xdr:txBody>
    </xdr:sp>
    <xdr:clientData/>
  </xdr:twoCellAnchor>
  <xdr:twoCellAnchor>
    <xdr:from>
      <xdr:col>10</xdr:col>
      <xdr:colOff>428628</xdr:colOff>
      <xdr:row>19</xdr:row>
      <xdr:rowOff>104775</xdr:rowOff>
    </xdr:from>
    <xdr:to>
      <xdr:col>16</xdr:col>
      <xdr:colOff>354810</xdr:colOff>
      <xdr:row>21</xdr:row>
      <xdr:rowOff>142875</xdr:rowOff>
    </xdr:to>
    <xdr:sp macro="" textlink="">
      <xdr:nvSpPr>
        <xdr:cNvPr id="15" name="Rounded Rectangle 14">
          <a:extLst>
            <a:ext uri="{FF2B5EF4-FFF2-40B4-BE49-F238E27FC236}">
              <a16:creationId xmlns:a16="http://schemas.microsoft.com/office/drawing/2014/main" id="{00000000-0008-0000-0100-00000F000000}"/>
            </a:ext>
          </a:extLst>
        </xdr:cNvPr>
        <xdr:cNvSpPr/>
      </xdr:nvSpPr>
      <xdr:spPr>
        <a:xfrm>
          <a:off x="6500816" y="4248150"/>
          <a:ext cx="3569494"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FLOW DIAGRAM (BY</a:t>
          </a:r>
          <a:r>
            <a:rPr lang="en-GB" sz="1400" b="1" baseline="0">
              <a:solidFill>
                <a:schemeClr val="tx2"/>
              </a:solidFill>
            </a:rPr>
            <a:t> CATEGORY)</a:t>
          </a:r>
          <a:endParaRPr lang="en-GB" sz="1400" b="1">
            <a:solidFill>
              <a:schemeClr val="tx2"/>
            </a:solidFill>
          </a:endParaRPr>
        </a:p>
      </xdr:txBody>
    </xdr:sp>
    <xdr:clientData/>
  </xdr:twoCellAnchor>
  <xdr:twoCellAnchor>
    <xdr:from>
      <xdr:col>10</xdr:col>
      <xdr:colOff>428628</xdr:colOff>
      <xdr:row>22</xdr:row>
      <xdr:rowOff>133350</xdr:rowOff>
    </xdr:from>
    <xdr:to>
      <xdr:col>16</xdr:col>
      <xdr:colOff>354810</xdr:colOff>
      <xdr:row>24</xdr:row>
      <xdr:rowOff>171450</xdr:rowOff>
    </xdr:to>
    <xdr:sp macro="" textlink="">
      <xdr:nvSpPr>
        <xdr:cNvPr id="16" name="Rounded Rectangle 15">
          <a:extLst>
            <a:ext uri="{FF2B5EF4-FFF2-40B4-BE49-F238E27FC236}">
              <a16:creationId xmlns:a16="http://schemas.microsoft.com/office/drawing/2014/main" id="{00000000-0008-0000-0100-000010000000}"/>
            </a:ext>
          </a:extLst>
        </xdr:cNvPr>
        <xdr:cNvSpPr/>
      </xdr:nvSpPr>
      <xdr:spPr>
        <a:xfrm>
          <a:off x="6500816" y="4848225"/>
          <a:ext cx="3569494"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OVERVIEW</a:t>
          </a:r>
        </a:p>
      </xdr:txBody>
    </xdr:sp>
    <xdr:clientData/>
  </xdr:twoCellAnchor>
  <xdr:twoCellAnchor editAs="oneCell">
    <xdr:from>
      <xdr:col>11</xdr:col>
      <xdr:colOff>400050</xdr:colOff>
      <xdr:row>1</xdr:row>
      <xdr:rowOff>211073</xdr:rowOff>
    </xdr:from>
    <xdr:to>
      <xdr:col>14</xdr:col>
      <xdr:colOff>284229</xdr:colOff>
      <xdr:row>1</xdr:row>
      <xdr:rowOff>628650</xdr:rowOff>
    </xdr:to>
    <xdr:pic>
      <xdr:nvPicPr>
        <xdr:cNvPr id="18" name="Picture 17">
          <a:hlinkClick xmlns:r="http://schemas.openxmlformats.org/officeDocument/2006/relationships" r:id="rId1"/>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05650" y="401573"/>
          <a:ext cx="1712979" cy="417577"/>
        </a:xfrm>
        <a:prstGeom prst="rect">
          <a:avLst/>
        </a:prstGeom>
      </xdr:spPr>
    </xdr:pic>
    <xdr:clientData/>
  </xdr:twoCellAnchor>
  <xdr:twoCellAnchor editAs="oneCell">
    <xdr:from>
      <xdr:col>8</xdr:col>
      <xdr:colOff>296796</xdr:colOff>
      <xdr:row>1</xdr:row>
      <xdr:rowOff>211073</xdr:rowOff>
    </xdr:from>
    <xdr:to>
      <xdr:col>11</xdr:col>
      <xdr:colOff>180975</xdr:colOff>
      <xdr:row>1</xdr:row>
      <xdr:rowOff>628650</xdr:rowOff>
    </xdr:to>
    <xdr:pic>
      <xdr:nvPicPr>
        <xdr:cNvPr id="19" name="Picture 18">
          <a:hlinkClick xmlns:r="http://schemas.openxmlformats.org/officeDocument/2006/relationships" r:id="rId3"/>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173596" y="401573"/>
          <a:ext cx="1712979" cy="417577"/>
        </a:xfrm>
        <a:prstGeom prst="rect">
          <a:avLst/>
        </a:prstGeom>
      </xdr:spPr>
    </xdr:pic>
    <xdr:clientData/>
  </xdr:twoCellAnchor>
  <xdr:twoCellAnchor>
    <xdr:from>
      <xdr:col>2</xdr:col>
      <xdr:colOff>278610</xdr:colOff>
      <xdr:row>16</xdr:row>
      <xdr:rowOff>76200</xdr:rowOff>
    </xdr:from>
    <xdr:to>
      <xdr:col>8</xdr:col>
      <xdr:colOff>173835</xdr:colOff>
      <xdr:row>18</xdr:row>
      <xdr:rowOff>112800</xdr:rowOff>
    </xdr:to>
    <xdr:sp macro="" textlink="">
      <xdr:nvSpPr>
        <xdr:cNvPr id="17" name="Rectangle 16">
          <a:hlinkClick xmlns:r="http://schemas.openxmlformats.org/officeDocument/2006/relationships" r:id="rId5"/>
          <a:extLst>
            <a:ext uri="{FF2B5EF4-FFF2-40B4-BE49-F238E27FC236}">
              <a16:creationId xmlns:a16="http://schemas.microsoft.com/office/drawing/2014/main" id="{00000000-0008-0000-0100-000011000000}"/>
            </a:ext>
          </a:extLst>
        </xdr:cNvPr>
        <xdr:cNvSpPr/>
      </xdr:nvSpPr>
      <xdr:spPr>
        <a:xfrm>
          <a:off x="1493048" y="3648075"/>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428628</xdr:colOff>
      <xdr:row>16</xdr:row>
      <xdr:rowOff>76200</xdr:rowOff>
    </xdr:from>
    <xdr:to>
      <xdr:col>16</xdr:col>
      <xdr:colOff>354810</xdr:colOff>
      <xdr:row>18</xdr:row>
      <xdr:rowOff>112800</xdr:rowOff>
    </xdr:to>
    <xdr:sp macro="" textlink="">
      <xdr:nvSpPr>
        <xdr:cNvPr id="20" name="Rectangle 19">
          <a:hlinkClick xmlns:r="http://schemas.openxmlformats.org/officeDocument/2006/relationships" r:id="rId6"/>
          <a:extLst>
            <a:ext uri="{FF2B5EF4-FFF2-40B4-BE49-F238E27FC236}">
              <a16:creationId xmlns:a16="http://schemas.microsoft.com/office/drawing/2014/main" id="{00000000-0008-0000-0100-000014000000}"/>
            </a:ext>
          </a:extLst>
        </xdr:cNvPr>
        <xdr:cNvSpPr/>
      </xdr:nvSpPr>
      <xdr:spPr>
        <a:xfrm>
          <a:off x="6500816" y="3648075"/>
          <a:ext cx="3569494"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278610</xdr:colOff>
      <xdr:row>22</xdr:row>
      <xdr:rowOff>133350</xdr:rowOff>
    </xdr:from>
    <xdr:to>
      <xdr:col>8</xdr:col>
      <xdr:colOff>173835</xdr:colOff>
      <xdr:row>24</xdr:row>
      <xdr:rowOff>169950</xdr:rowOff>
    </xdr:to>
    <xdr:sp macro="" textlink="">
      <xdr:nvSpPr>
        <xdr:cNvPr id="21" name="Rectangle 20">
          <a:hlinkClick xmlns:r="http://schemas.openxmlformats.org/officeDocument/2006/relationships" r:id="rId7"/>
          <a:extLst>
            <a:ext uri="{FF2B5EF4-FFF2-40B4-BE49-F238E27FC236}">
              <a16:creationId xmlns:a16="http://schemas.microsoft.com/office/drawing/2014/main" id="{00000000-0008-0000-0100-000015000000}"/>
            </a:ext>
          </a:extLst>
        </xdr:cNvPr>
        <xdr:cNvSpPr/>
      </xdr:nvSpPr>
      <xdr:spPr>
        <a:xfrm>
          <a:off x="1493048" y="4848225"/>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428628</xdr:colOff>
      <xdr:row>22</xdr:row>
      <xdr:rowOff>133350</xdr:rowOff>
    </xdr:from>
    <xdr:to>
      <xdr:col>16</xdr:col>
      <xdr:colOff>326235</xdr:colOff>
      <xdr:row>24</xdr:row>
      <xdr:rowOff>169950</xdr:rowOff>
    </xdr:to>
    <xdr:sp macro="" textlink="">
      <xdr:nvSpPr>
        <xdr:cNvPr id="22" name="Rectangle 21">
          <a:hlinkClick xmlns:r="http://schemas.openxmlformats.org/officeDocument/2006/relationships" r:id="rId8"/>
          <a:extLst>
            <a:ext uri="{FF2B5EF4-FFF2-40B4-BE49-F238E27FC236}">
              <a16:creationId xmlns:a16="http://schemas.microsoft.com/office/drawing/2014/main" id="{00000000-0008-0000-0100-000016000000}"/>
            </a:ext>
          </a:extLst>
        </xdr:cNvPr>
        <xdr:cNvSpPr/>
      </xdr:nvSpPr>
      <xdr:spPr>
        <a:xfrm>
          <a:off x="6500816" y="4848225"/>
          <a:ext cx="3540919"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345285</xdr:colOff>
      <xdr:row>32</xdr:row>
      <xdr:rowOff>28575</xdr:rowOff>
    </xdr:from>
    <xdr:to>
      <xdr:col>12</xdr:col>
      <xdr:colOff>240510</xdr:colOff>
      <xdr:row>34</xdr:row>
      <xdr:rowOff>65175</xdr:rowOff>
    </xdr:to>
    <xdr:sp macro="" textlink="">
      <xdr:nvSpPr>
        <xdr:cNvPr id="25" name="Rectangle 24">
          <a:hlinkClick xmlns:r="http://schemas.openxmlformats.org/officeDocument/2006/relationships" r:id="rId9"/>
          <a:extLst>
            <a:ext uri="{FF2B5EF4-FFF2-40B4-BE49-F238E27FC236}">
              <a16:creationId xmlns:a16="http://schemas.microsoft.com/office/drawing/2014/main" id="{00000000-0008-0000-0100-000019000000}"/>
            </a:ext>
          </a:extLst>
        </xdr:cNvPr>
        <xdr:cNvSpPr/>
      </xdr:nvSpPr>
      <xdr:spPr>
        <a:xfrm>
          <a:off x="3988598" y="6648450"/>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3</xdr:col>
      <xdr:colOff>495298</xdr:colOff>
      <xdr:row>6</xdr:row>
      <xdr:rowOff>144926</xdr:rowOff>
    </xdr:from>
    <xdr:to>
      <xdr:col>15</xdr:col>
      <xdr:colOff>99073</xdr:colOff>
      <xdr:row>11</xdr:row>
      <xdr:rowOff>101320</xdr:rowOff>
    </xdr:to>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316954" y="1811801"/>
          <a:ext cx="6890400" cy="908894"/>
        </a:xfrm>
        <a:prstGeom prst="rect">
          <a:avLst/>
        </a:prstGeom>
        <a:ln>
          <a:noFill/>
        </a:ln>
      </xdr:spPr>
    </xdr:pic>
    <xdr:clientData/>
  </xdr:twoCellAnchor>
  <xdr:twoCellAnchor>
    <xdr:from>
      <xdr:col>2</xdr:col>
      <xdr:colOff>278610</xdr:colOff>
      <xdr:row>29</xdr:row>
      <xdr:rowOff>0</xdr:rowOff>
    </xdr:from>
    <xdr:to>
      <xdr:col>8</xdr:col>
      <xdr:colOff>202410</xdr:colOff>
      <xdr:row>31</xdr:row>
      <xdr:rowOff>38100</xdr:rowOff>
    </xdr:to>
    <xdr:sp macro="" textlink="">
      <xdr:nvSpPr>
        <xdr:cNvPr id="33" name="Rounded Rectangle 32">
          <a:extLst>
            <a:ext uri="{FF2B5EF4-FFF2-40B4-BE49-F238E27FC236}">
              <a16:creationId xmlns:a16="http://schemas.microsoft.com/office/drawing/2014/main" id="{00000000-0008-0000-0100-000021000000}"/>
            </a:ext>
          </a:extLst>
        </xdr:cNvPr>
        <xdr:cNvSpPr/>
      </xdr:nvSpPr>
      <xdr:spPr>
        <a:xfrm>
          <a:off x="1493048" y="6048375"/>
          <a:ext cx="3567112"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SUMMARY OF FLOWS</a:t>
          </a:r>
        </a:p>
      </xdr:txBody>
    </xdr:sp>
    <xdr:clientData/>
  </xdr:twoCellAnchor>
  <xdr:twoCellAnchor>
    <xdr:from>
      <xdr:col>10</xdr:col>
      <xdr:colOff>428628</xdr:colOff>
      <xdr:row>29</xdr:row>
      <xdr:rowOff>0</xdr:rowOff>
    </xdr:from>
    <xdr:to>
      <xdr:col>16</xdr:col>
      <xdr:colOff>354810</xdr:colOff>
      <xdr:row>31</xdr:row>
      <xdr:rowOff>38100</xdr:rowOff>
    </xdr:to>
    <xdr:sp macro="" textlink="">
      <xdr:nvSpPr>
        <xdr:cNvPr id="34" name="Rounded Rectangle 33">
          <a:extLst>
            <a:ext uri="{FF2B5EF4-FFF2-40B4-BE49-F238E27FC236}">
              <a16:creationId xmlns:a16="http://schemas.microsoft.com/office/drawing/2014/main" id="{00000000-0008-0000-0100-000022000000}"/>
            </a:ext>
          </a:extLst>
        </xdr:cNvPr>
        <xdr:cNvSpPr/>
      </xdr:nvSpPr>
      <xdr:spPr>
        <a:xfrm>
          <a:off x="6500816" y="6048375"/>
          <a:ext cx="3569494"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SUMMARY OF FLOWS</a:t>
          </a:r>
        </a:p>
      </xdr:txBody>
    </xdr:sp>
    <xdr:clientData/>
  </xdr:twoCellAnchor>
  <xdr:twoCellAnchor editAs="absolute">
    <xdr:from>
      <xdr:col>0</xdr:col>
      <xdr:colOff>447677</xdr:colOff>
      <xdr:row>1</xdr:row>
      <xdr:rowOff>79905</xdr:rowOff>
    </xdr:from>
    <xdr:to>
      <xdr:col>5</xdr:col>
      <xdr:colOff>74477</xdr:colOff>
      <xdr:row>1</xdr:row>
      <xdr:rowOff>739870</xdr:rowOff>
    </xdr:to>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47677" y="270405"/>
          <a:ext cx="2662894" cy="659965"/>
        </a:xfrm>
        <a:prstGeom prst="rect">
          <a:avLst/>
        </a:prstGeom>
      </xdr:spPr>
    </xdr:pic>
    <xdr:clientData/>
  </xdr:twoCellAnchor>
  <xdr:twoCellAnchor>
    <xdr:from>
      <xdr:col>2</xdr:col>
      <xdr:colOff>278610</xdr:colOff>
      <xdr:row>25</xdr:row>
      <xdr:rowOff>161925</xdr:rowOff>
    </xdr:from>
    <xdr:to>
      <xdr:col>8</xdr:col>
      <xdr:colOff>202410</xdr:colOff>
      <xdr:row>28</xdr:row>
      <xdr:rowOff>9525</xdr:rowOff>
    </xdr:to>
    <xdr:sp macro="" textlink="">
      <xdr:nvSpPr>
        <xdr:cNvPr id="28" name="Rounded Rectangle 27">
          <a:extLst>
            <a:ext uri="{FF2B5EF4-FFF2-40B4-BE49-F238E27FC236}">
              <a16:creationId xmlns:a16="http://schemas.microsoft.com/office/drawing/2014/main" id="{00000000-0008-0000-0100-00001C000000}"/>
            </a:ext>
          </a:extLst>
        </xdr:cNvPr>
        <xdr:cNvSpPr/>
      </xdr:nvSpPr>
      <xdr:spPr>
        <a:xfrm>
          <a:off x="1493048" y="5448300"/>
          <a:ext cx="3567112"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SUMMARY OF VOLUMES</a:t>
          </a:r>
        </a:p>
      </xdr:txBody>
    </xdr:sp>
    <xdr:clientData/>
  </xdr:twoCellAnchor>
  <xdr:twoCellAnchor>
    <xdr:from>
      <xdr:col>10</xdr:col>
      <xdr:colOff>428628</xdr:colOff>
      <xdr:row>25</xdr:row>
      <xdr:rowOff>161925</xdr:rowOff>
    </xdr:from>
    <xdr:to>
      <xdr:col>16</xdr:col>
      <xdr:colOff>354810</xdr:colOff>
      <xdr:row>28</xdr:row>
      <xdr:rowOff>9525</xdr:rowOff>
    </xdr:to>
    <xdr:sp macro="" textlink="">
      <xdr:nvSpPr>
        <xdr:cNvPr id="29" name="Rounded Rectangle 28">
          <a:extLst>
            <a:ext uri="{FF2B5EF4-FFF2-40B4-BE49-F238E27FC236}">
              <a16:creationId xmlns:a16="http://schemas.microsoft.com/office/drawing/2014/main" id="{00000000-0008-0000-0100-00001D000000}"/>
            </a:ext>
          </a:extLst>
        </xdr:cNvPr>
        <xdr:cNvSpPr/>
      </xdr:nvSpPr>
      <xdr:spPr>
        <a:xfrm>
          <a:off x="6500816" y="5448300"/>
          <a:ext cx="3569494"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SUMMARY OF VOLUMES</a:t>
          </a:r>
        </a:p>
      </xdr:txBody>
    </xdr:sp>
    <xdr:clientData/>
  </xdr:twoCellAnchor>
  <xdr:twoCellAnchor>
    <xdr:from>
      <xdr:col>2</xdr:col>
      <xdr:colOff>278610</xdr:colOff>
      <xdr:row>19</xdr:row>
      <xdr:rowOff>104775</xdr:rowOff>
    </xdr:from>
    <xdr:to>
      <xdr:col>8</xdr:col>
      <xdr:colOff>173835</xdr:colOff>
      <xdr:row>21</xdr:row>
      <xdr:rowOff>141375</xdr:rowOff>
    </xdr:to>
    <xdr:sp macro="" textlink="">
      <xdr:nvSpPr>
        <xdr:cNvPr id="31" name="Rectangle 30">
          <a:hlinkClick xmlns:r="http://schemas.openxmlformats.org/officeDocument/2006/relationships" r:id="rId12"/>
          <a:extLst>
            <a:ext uri="{FF2B5EF4-FFF2-40B4-BE49-F238E27FC236}">
              <a16:creationId xmlns:a16="http://schemas.microsoft.com/office/drawing/2014/main" id="{00000000-0008-0000-0100-00001F000000}"/>
            </a:ext>
          </a:extLst>
        </xdr:cNvPr>
        <xdr:cNvSpPr/>
      </xdr:nvSpPr>
      <xdr:spPr>
        <a:xfrm>
          <a:off x="1493048" y="4248150"/>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428628</xdr:colOff>
      <xdr:row>19</xdr:row>
      <xdr:rowOff>104775</xdr:rowOff>
    </xdr:from>
    <xdr:to>
      <xdr:col>16</xdr:col>
      <xdr:colOff>354810</xdr:colOff>
      <xdr:row>21</xdr:row>
      <xdr:rowOff>141375</xdr:rowOff>
    </xdr:to>
    <xdr:sp macro="" textlink="">
      <xdr:nvSpPr>
        <xdr:cNvPr id="37" name="Rectangle 36">
          <a:hlinkClick xmlns:r="http://schemas.openxmlformats.org/officeDocument/2006/relationships" r:id="rId13"/>
          <a:extLst>
            <a:ext uri="{FF2B5EF4-FFF2-40B4-BE49-F238E27FC236}">
              <a16:creationId xmlns:a16="http://schemas.microsoft.com/office/drawing/2014/main" id="{00000000-0008-0000-0100-000025000000}"/>
            </a:ext>
          </a:extLst>
        </xdr:cNvPr>
        <xdr:cNvSpPr/>
      </xdr:nvSpPr>
      <xdr:spPr>
        <a:xfrm>
          <a:off x="6500816" y="4248150"/>
          <a:ext cx="3569494"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326235</xdr:colOff>
      <xdr:row>35</xdr:row>
      <xdr:rowOff>61912</xdr:rowOff>
    </xdr:from>
    <xdr:to>
      <xdr:col>12</xdr:col>
      <xdr:colOff>250035</xdr:colOff>
      <xdr:row>37</xdr:row>
      <xdr:rowOff>100012</xdr:rowOff>
    </xdr:to>
    <xdr:sp macro="" textlink="">
      <xdr:nvSpPr>
        <xdr:cNvPr id="38" name="Rounded Rectangle 37">
          <a:extLst>
            <a:ext uri="{FF2B5EF4-FFF2-40B4-BE49-F238E27FC236}">
              <a16:creationId xmlns:a16="http://schemas.microsoft.com/office/drawing/2014/main" id="{00000000-0008-0000-0100-000026000000}"/>
            </a:ext>
          </a:extLst>
        </xdr:cNvPr>
        <xdr:cNvSpPr/>
      </xdr:nvSpPr>
      <xdr:spPr>
        <a:xfrm>
          <a:off x="3969548" y="7253287"/>
          <a:ext cx="3567112" cy="419100"/>
        </a:xfrm>
        <a:prstGeom prst="roundRect">
          <a:avLst>
            <a:gd name="adj" fmla="val 50000"/>
          </a:avLst>
        </a:prstGeom>
        <a:solidFill>
          <a:schemeClr val="bg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 FACILITIES AND VOLUMES PRODUCED</a:t>
          </a:r>
        </a:p>
      </xdr:txBody>
    </xdr:sp>
    <xdr:clientData/>
  </xdr:twoCellAnchor>
  <xdr:twoCellAnchor>
    <xdr:from>
      <xdr:col>2</xdr:col>
      <xdr:colOff>311947</xdr:colOff>
      <xdr:row>25</xdr:row>
      <xdr:rowOff>161925</xdr:rowOff>
    </xdr:from>
    <xdr:to>
      <xdr:col>8</xdr:col>
      <xdr:colOff>207172</xdr:colOff>
      <xdr:row>28</xdr:row>
      <xdr:rowOff>8025</xdr:rowOff>
    </xdr:to>
    <xdr:sp macro="" textlink="">
      <xdr:nvSpPr>
        <xdr:cNvPr id="23" name="Rectangle 22">
          <a:hlinkClick xmlns:r="http://schemas.openxmlformats.org/officeDocument/2006/relationships" r:id="rId14"/>
          <a:extLst>
            <a:ext uri="{FF2B5EF4-FFF2-40B4-BE49-F238E27FC236}">
              <a16:creationId xmlns:a16="http://schemas.microsoft.com/office/drawing/2014/main" id="{00000000-0008-0000-0100-000017000000}"/>
            </a:ext>
          </a:extLst>
        </xdr:cNvPr>
        <xdr:cNvSpPr/>
      </xdr:nvSpPr>
      <xdr:spPr>
        <a:xfrm>
          <a:off x="1526385" y="5448300"/>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454822</xdr:colOff>
      <xdr:row>25</xdr:row>
      <xdr:rowOff>161925</xdr:rowOff>
    </xdr:from>
    <xdr:to>
      <xdr:col>16</xdr:col>
      <xdr:colOff>352429</xdr:colOff>
      <xdr:row>28</xdr:row>
      <xdr:rowOff>8025</xdr:rowOff>
    </xdr:to>
    <xdr:sp macro="" textlink="">
      <xdr:nvSpPr>
        <xdr:cNvPr id="24" name="Rectangle 23">
          <a:hlinkClick xmlns:r="http://schemas.openxmlformats.org/officeDocument/2006/relationships" r:id="rId15"/>
          <a:extLst>
            <a:ext uri="{FF2B5EF4-FFF2-40B4-BE49-F238E27FC236}">
              <a16:creationId xmlns:a16="http://schemas.microsoft.com/office/drawing/2014/main" id="{00000000-0008-0000-0100-000018000000}"/>
            </a:ext>
          </a:extLst>
        </xdr:cNvPr>
        <xdr:cNvSpPr/>
      </xdr:nvSpPr>
      <xdr:spPr>
        <a:xfrm>
          <a:off x="6527010" y="5448300"/>
          <a:ext cx="3540919"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311947</xdr:colOff>
      <xdr:row>29</xdr:row>
      <xdr:rowOff>0</xdr:rowOff>
    </xdr:from>
    <xdr:to>
      <xdr:col>8</xdr:col>
      <xdr:colOff>207172</xdr:colOff>
      <xdr:row>31</xdr:row>
      <xdr:rowOff>36600</xdr:rowOff>
    </xdr:to>
    <xdr:sp macro="" textlink="">
      <xdr:nvSpPr>
        <xdr:cNvPr id="35" name="Rectangle 34">
          <a:hlinkClick xmlns:r="http://schemas.openxmlformats.org/officeDocument/2006/relationships" r:id="rId16"/>
          <a:extLst>
            <a:ext uri="{FF2B5EF4-FFF2-40B4-BE49-F238E27FC236}">
              <a16:creationId xmlns:a16="http://schemas.microsoft.com/office/drawing/2014/main" id="{00000000-0008-0000-0100-000023000000}"/>
            </a:ext>
          </a:extLst>
        </xdr:cNvPr>
        <xdr:cNvSpPr/>
      </xdr:nvSpPr>
      <xdr:spPr>
        <a:xfrm>
          <a:off x="1526385" y="6048375"/>
          <a:ext cx="3538537"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454822</xdr:colOff>
      <xdr:row>29</xdr:row>
      <xdr:rowOff>0</xdr:rowOff>
    </xdr:from>
    <xdr:to>
      <xdr:col>16</xdr:col>
      <xdr:colOff>352429</xdr:colOff>
      <xdr:row>31</xdr:row>
      <xdr:rowOff>36600</xdr:rowOff>
    </xdr:to>
    <xdr:sp macro="" textlink="">
      <xdr:nvSpPr>
        <xdr:cNvPr id="36" name="Rectangle 35">
          <a:hlinkClick xmlns:r="http://schemas.openxmlformats.org/officeDocument/2006/relationships" r:id="rId17"/>
          <a:extLst>
            <a:ext uri="{FF2B5EF4-FFF2-40B4-BE49-F238E27FC236}">
              <a16:creationId xmlns:a16="http://schemas.microsoft.com/office/drawing/2014/main" id="{00000000-0008-0000-0100-000024000000}"/>
            </a:ext>
          </a:extLst>
        </xdr:cNvPr>
        <xdr:cNvSpPr/>
      </xdr:nvSpPr>
      <xdr:spPr>
        <a:xfrm>
          <a:off x="6527010" y="6048375"/>
          <a:ext cx="3540919"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339873</xdr:colOff>
      <xdr:row>35</xdr:row>
      <xdr:rowOff>61912</xdr:rowOff>
    </xdr:from>
    <xdr:to>
      <xdr:col>12</xdr:col>
      <xdr:colOff>235098</xdr:colOff>
      <xdr:row>37</xdr:row>
      <xdr:rowOff>98512</xdr:rowOff>
    </xdr:to>
    <xdr:sp macro="" textlink="">
      <xdr:nvSpPr>
        <xdr:cNvPr id="39" name="Rectangle 38">
          <a:hlinkClick xmlns:r="http://schemas.openxmlformats.org/officeDocument/2006/relationships" r:id="rId18"/>
          <a:extLst>
            <a:ext uri="{FF2B5EF4-FFF2-40B4-BE49-F238E27FC236}">
              <a16:creationId xmlns:a16="http://schemas.microsoft.com/office/drawing/2014/main" id="{00000000-0008-0000-0100-000027000000}"/>
            </a:ext>
          </a:extLst>
        </xdr:cNvPr>
        <xdr:cNvSpPr/>
      </xdr:nvSpPr>
      <xdr:spPr>
        <a:xfrm>
          <a:off x="3976691" y="7257617"/>
          <a:ext cx="3532043"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323854</xdr:colOff>
      <xdr:row>38</xdr:row>
      <xdr:rowOff>71437</xdr:rowOff>
    </xdr:from>
    <xdr:to>
      <xdr:col>12</xdr:col>
      <xdr:colOff>247654</xdr:colOff>
      <xdr:row>40</xdr:row>
      <xdr:rowOff>109537</xdr:rowOff>
    </xdr:to>
    <xdr:sp macro="" textlink="">
      <xdr:nvSpPr>
        <xdr:cNvPr id="40" name="Rounded Rectangle 37">
          <a:extLst>
            <a:ext uri="{FF2B5EF4-FFF2-40B4-BE49-F238E27FC236}">
              <a16:creationId xmlns:a16="http://schemas.microsoft.com/office/drawing/2014/main" id="{3498E2F0-C724-4E52-8750-E36D1420BB1C}"/>
            </a:ext>
          </a:extLst>
        </xdr:cNvPr>
        <xdr:cNvSpPr/>
      </xdr:nvSpPr>
      <xdr:spPr>
        <a:xfrm>
          <a:off x="3967167" y="7834312"/>
          <a:ext cx="3567112" cy="419100"/>
        </a:xfrm>
        <a:prstGeom prst="roundRect">
          <a:avLst>
            <a:gd name="adj" fmla="val 50000"/>
          </a:avLst>
        </a:prstGeom>
        <a:solidFill>
          <a:schemeClr val="bg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POPULATION (EXISTING</a:t>
          </a:r>
          <a:r>
            <a:rPr lang="en-GB" sz="1400" b="1" baseline="0">
              <a:solidFill>
                <a:schemeClr val="tx2"/>
              </a:solidFill>
            </a:rPr>
            <a:t> &amp; PROJECTED)</a:t>
          </a:r>
          <a:endParaRPr lang="en-GB" sz="1400" b="1">
            <a:solidFill>
              <a:schemeClr val="tx2"/>
            </a:solidFill>
          </a:endParaRPr>
        </a:p>
      </xdr:txBody>
    </xdr:sp>
    <xdr:clientData/>
  </xdr:twoCellAnchor>
  <xdr:twoCellAnchor>
    <xdr:from>
      <xdr:col>6</xdr:col>
      <xdr:colOff>337492</xdr:colOff>
      <xdr:row>38</xdr:row>
      <xdr:rowOff>71437</xdr:rowOff>
    </xdr:from>
    <xdr:to>
      <xdr:col>12</xdr:col>
      <xdr:colOff>232717</xdr:colOff>
      <xdr:row>40</xdr:row>
      <xdr:rowOff>108037</xdr:rowOff>
    </xdr:to>
    <xdr:sp macro="" textlink="">
      <xdr:nvSpPr>
        <xdr:cNvPr id="41" name="Rectangle 40">
          <a:hlinkClick xmlns:r="http://schemas.openxmlformats.org/officeDocument/2006/relationships" r:id="rId19"/>
          <a:extLst>
            <a:ext uri="{FF2B5EF4-FFF2-40B4-BE49-F238E27FC236}">
              <a16:creationId xmlns:a16="http://schemas.microsoft.com/office/drawing/2014/main" id="{4F43A352-A54F-47F2-9857-B9D72E48AF16}"/>
            </a:ext>
          </a:extLst>
        </xdr:cNvPr>
        <xdr:cNvSpPr/>
      </xdr:nvSpPr>
      <xdr:spPr>
        <a:xfrm>
          <a:off x="3995092" y="7843837"/>
          <a:ext cx="3552825"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321690</xdr:colOff>
      <xdr:row>41</xdr:row>
      <xdr:rowOff>67107</xdr:rowOff>
    </xdr:from>
    <xdr:to>
      <xdr:col>12</xdr:col>
      <xdr:colOff>245490</xdr:colOff>
      <xdr:row>43</xdr:row>
      <xdr:rowOff>105207</xdr:rowOff>
    </xdr:to>
    <xdr:sp macro="" textlink="">
      <xdr:nvSpPr>
        <xdr:cNvPr id="42" name="Rounded Rectangle 37">
          <a:extLst>
            <a:ext uri="{FF2B5EF4-FFF2-40B4-BE49-F238E27FC236}">
              <a16:creationId xmlns:a16="http://schemas.microsoft.com/office/drawing/2014/main" id="{3550BC7A-A63A-4BFB-BBFD-7A9E8BA069AF}"/>
            </a:ext>
          </a:extLst>
        </xdr:cNvPr>
        <xdr:cNvSpPr/>
      </xdr:nvSpPr>
      <xdr:spPr>
        <a:xfrm>
          <a:off x="3958508" y="8405812"/>
          <a:ext cx="3560618" cy="419100"/>
        </a:xfrm>
        <a:prstGeom prst="roundRect">
          <a:avLst>
            <a:gd name="adj" fmla="val 50000"/>
          </a:avLst>
        </a:prstGeom>
        <a:solidFill>
          <a:schemeClr val="bg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 FAECAL</a:t>
          </a:r>
          <a:r>
            <a:rPr lang="en-GB" sz="1400" b="1" baseline="0">
              <a:solidFill>
                <a:schemeClr val="tx2"/>
              </a:solidFill>
            </a:rPr>
            <a:t> WASTE FLOW SUMMARY</a:t>
          </a:r>
          <a:endParaRPr lang="en-GB" sz="1400" b="1">
            <a:solidFill>
              <a:schemeClr val="tx2"/>
            </a:solidFill>
          </a:endParaRPr>
        </a:p>
      </xdr:txBody>
    </xdr:sp>
    <xdr:clientData/>
  </xdr:twoCellAnchor>
  <xdr:twoCellAnchor>
    <xdr:from>
      <xdr:col>6</xdr:col>
      <xdr:colOff>335328</xdr:colOff>
      <xdr:row>41</xdr:row>
      <xdr:rowOff>67107</xdr:rowOff>
    </xdr:from>
    <xdr:to>
      <xdr:col>12</xdr:col>
      <xdr:colOff>230553</xdr:colOff>
      <xdr:row>43</xdr:row>
      <xdr:rowOff>103707</xdr:rowOff>
    </xdr:to>
    <xdr:sp macro="" textlink="">
      <xdr:nvSpPr>
        <xdr:cNvPr id="43" name="Rectangle 42">
          <a:hlinkClick xmlns:r="http://schemas.openxmlformats.org/officeDocument/2006/relationships" r:id="rId20"/>
          <a:extLst>
            <a:ext uri="{FF2B5EF4-FFF2-40B4-BE49-F238E27FC236}">
              <a16:creationId xmlns:a16="http://schemas.microsoft.com/office/drawing/2014/main" id="{0C1F3BCE-6338-48B6-90A2-AA44C9CE34E1}"/>
            </a:ext>
          </a:extLst>
        </xdr:cNvPr>
        <xdr:cNvSpPr/>
      </xdr:nvSpPr>
      <xdr:spPr>
        <a:xfrm>
          <a:off x="3972146" y="8405812"/>
          <a:ext cx="3532043" cy="417600"/>
        </a:xfrm>
        <a:prstGeom prst="rect">
          <a:avLst/>
        </a:prstGeom>
        <a:solidFill>
          <a:schemeClr val="accent2">
            <a:alpha val="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127000</xdr:colOff>
      <xdr:row>19</xdr:row>
      <xdr:rowOff>63500</xdr:rowOff>
    </xdr:from>
    <xdr:to>
      <xdr:col>2</xdr:col>
      <xdr:colOff>266700</xdr:colOff>
      <xdr:row>26</xdr:row>
      <xdr:rowOff>0</xdr:rowOff>
    </xdr:to>
    <xdr:sp macro="" textlink="">
      <xdr:nvSpPr>
        <xdr:cNvPr id="3" name="White Box 1" hidden="1">
          <a:extLst>
            <a:ext uri="{FF2B5EF4-FFF2-40B4-BE49-F238E27FC236}">
              <a16:creationId xmlns:a16="http://schemas.microsoft.com/office/drawing/2014/main" id="{00000000-0008-0000-0200-000003000000}"/>
            </a:ext>
          </a:extLst>
        </xdr:cNvPr>
        <xdr:cNvSpPr/>
      </xdr:nvSpPr>
      <xdr:spPr>
        <a:xfrm>
          <a:off x="127000" y="3492500"/>
          <a:ext cx="1358900" cy="1270000"/>
        </a:xfrm>
        <a:prstGeom prst="rect">
          <a:avLst/>
        </a:prstGeom>
        <a:solidFill>
          <a:schemeClr val="bg1"/>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11</xdr:col>
      <xdr:colOff>596900</xdr:colOff>
      <xdr:row>26</xdr:row>
      <xdr:rowOff>143510</xdr:rowOff>
    </xdr:from>
    <xdr:to>
      <xdr:col>13</xdr:col>
      <xdr:colOff>129314</xdr:colOff>
      <xdr:row>28</xdr:row>
      <xdr:rowOff>83352</xdr:rowOff>
    </xdr:to>
    <xdr:sp macro="" textlink="">
      <xdr:nvSpPr>
        <xdr:cNvPr id="9" name="Red TextBox 6" hidden="1">
          <a:extLst>
            <a:ext uri="{FF2B5EF4-FFF2-40B4-BE49-F238E27FC236}">
              <a16:creationId xmlns:a16="http://schemas.microsoft.com/office/drawing/2014/main" id="{00000000-0008-0000-0200-000009000000}"/>
            </a:ext>
          </a:extLst>
        </xdr:cNvPr>
        <xdr:cNvSpPr txBox="1"/>
      </xdr:nvSpPr>
      <xdr:spPr>
        <a:xfrm>
          <a:off x="6921500" y="5566410"/>
          <a:ext cx="751614"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0.0%</a:t>
          </a:r>
          <a:endParaRPr lang="en-GB" sz="1100" b="1">
            <a:ln>
              <a:noFill/>
            </a:ln>
            <a:solidFill>
              <a:srgbClr val="E62733"/>
            </a:solidFill>
          </a:endParaRPr>
        </a:p>
      </xdr:txBody>
    </xdr:sp>
    <xdr:clientData/>
  </xdr:twoCellAnchor>
  <xdr:twoCellAnchor>
    <xdr:from>
      <xdr:col>11</xdr:col>
      <xdr:colOff>606425</xdr:colOff>
      <xdr:row>25</xdr:row>
      <xdr:rowOff>28575</xdr:rowOff>
    </xdr:from>
    <xdr:to>
      <xdr:col>14</xdr:col>
      <xdr:colOff>136525</xdr:colOff>
      <xdr:row>25</xdr:row>
      <xdr:rowOff>28575</xdr:rowOff>
    </xdr:to>
    <xdr:cxnSp macro="">
      <xdr:nvCxnSpPr>
        <xdr:cNvPr id="21" name="Grn Line 6" hidden="1">
          <a:extLst>
            <a:ext uri="{FF2B5EF4-FFF2-40B4-BE49-F238E27FC236}">
              <a16:creationId xmlns:a16="http://schemas.microsoft.com/office/drawing/2014/main" id="{00000000-0008-0000-0200-000015000000}"/>
            </a:ext>
          </a:extLst>
        </xdr:cNvPr>
        <xdr:cNvCxnSpPr/>
      </xdr:nvCxnSpPr>
      <xdr:spPr>
        <a:xfrm flipV="1">
          <a:off x="69215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466725</xdr:colOff>
      <xdr:row>25</xdr:row>
      <xdr:rowOff>28575</xdr:rowOff>
    </xdr:from>
    <xdr:to>
      <xdr:col>11</xdr:col>
      <xdr:colOff>606425</xdr:colOff>
      <xdr:row>25</xdr:row>
      <xdr:rowOff>28575</xdr:rowOff>
    </xdr:to>
    <xdr:cxnSp macro="">
      <xdr:nvCxnSpPr>
        <xdr:cNvPr id="22" name="Grn Line 5" hidden="1">
          <a:extLst>
            <a:ext uri="{FF2B5EF4-FFF2-40B4-BE49-F238E27FC236}">
              <a16:creationId xmlns:a16="http://schemas.microsoft.com/office/drawing/2014/main" id="{00000000-0008-0000-0200-000016000000}"/>
            </a:ext>
          </a:extLst>
        </xdr:cNvPr>
        <xdr:cNvCxnSpPr/>
      </xdr:nvCxnSpPr>
      <xdr:spPr>
        <a:xfrm flipV="1">
          <a:off x="55626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327025</xdr:colOff>
      <xdr:row>25</xdr:row>
      <xdr:rowOff>28575</xdr:rowOff>
    </xdr:from>
    <xdr:to>
      <xdr:col>9</xdr:col>
      <xdr:colOff>466725</xdr:colOff>
      <xdr:row>25</xdr:row>
      <xdr:rowOff>28575</xdr:rowOff>
    </xdr:to>
    <xdr:cxnSp macro="">
      <xdr:nvCxnSpPr>
        <xdr:cNvPr id="23" name="Grn Line 4" hidden="1">
          <a:extLst>
            <a:ext uri="{FF2B5EF4-FFF2-40B4-BE49-F238E27FC236}">
              <a16:creationId xmlns:a16="http://schemas.microsoft.com/office/drawing/2014/main" id="{00000000-0008-0000-0200-000017000000}"/>
            </a:ext>
          </a:extLst>
        </xdr:cNvPr>
        <xdr:cNvCxnSpPr/>
      </xdr:nvCxnSpPr>
      <xdr:spPr>
        <a:xfrm flipV="1">
          <a:off x="42037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187325</xdr:colOff>
      <xdr:row>25</xdr:row>
      <xdr:rowOff>28575</xdr:rowOff>
    </xdr:from>
    <xdr:to>
      <xdr:col>7</xdr:col>
      <xdr:colOff>327025</xdr:colOff>
      <xdr:row>25</xdr:row>
      <xdr:rowOff>28575</xdr:rowOff>
    </xdr:to>
    <xdr:cxnSp macro="">
      <xdr:nvCxnSpPr>
        <xdr:cNvPr id="24" name="Grn Line 3" hidden="1">
          <a:extLst>
            <a:ext uri="{FF2B5EF4-FFF2-40B4-BE49-F238E27FC236}">
              <a16:creationId xmlns:a16="http://schemas.microsoft.com/office/drawing/2014/main" id="{00000000-0008-0000-0200-000018000000}"/>
            </a:ext>
          </a:extLst>
        </xdr:cNvPr>
        <xdr:cNvCxnSpPr/>
      </xdr:nvCxnSpPr>
      <xdr:spPr>
        <a:xfrm flipV="1">
          <a:off x="28448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47625</xdr:colOff>
      <xdr:row>25</xdr:row>
      <xdr:rowOff>28575</xdr:rowOff>
    </xdr:from>
    <xdr:to>
      <xdr:col>5</xdr:col>
      <xdr:colOff>187325</xdr:colOff>
      <xdr:row>25</xdr:row>
      <xdr:rowOff>28575</xdr:rowOff>
    </xdr:to>
    <xdr:cxnSp macro="">
      <xdr:nvCxnSpPr>
        <xdr:cNvPr id="25" name="Grn Line 2" hidden="1">
          <a:extLst>
            <a:ext uri="{FF2B5EF4-FFF2-40B4-BE49-F238E27FC236}">
              <a16:creationId xmlns:a16="http://schemas.microsoft.com/office/drawing/2014/main" id="{00000000-0008-0000-0200-000019000000}"/>
            </a:ext>
          </a:extLst>
        </xdr:cNvPr>
        <xdr:cNvCxnSpPr/>
      </xdr:nvCxnSpPr>
      <xdr:spPr>
        <a:xfrm flipV="1">
          <a:off x="14859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127000</xdr:colOff>
      <xdr:row>25</xdr:row>
      <xdr:rowOff>28575</xdr:rowOff>
    </xdr:from>
    <xdr:to>
      <xdr:col>3</xdr:col>
      <xdr:colOff>47625</xdr:colOff>
      <xdr:row>25</xdr:row>
      <xdr:rowOff>28575</xdr:rowOff>
    </xdr:to>
    <xdr:cxnSp macro="">
      <xdr:nvCxnSpPr>
        <xdr:cNvPr id="26" name="Grn Line 1" hidden="1">
          <a:extLst>
            <a:ext uri="{FF2B5EF4-FFF2-40B4-BE49-F238E27FC236}">
              <a16:creationId xmlns:a16="http://schemas.microsoft.com/office/drawing/2014/main" id="{00000000-0008-0000-0200-00001A000000}"/>
            </a:ext>
          </a:extLst>
        </xdr:cNvPr>
        <xdr:cNvCxnSpPr/>
      </xdr:nvCxnSpPr>
      <xdr:spPr>
        <a:xfrm flipV="1">
          <a:off x="1270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11</xdr:col>
      <xdr:colOff>596900</xdr:colOff>
      <xdr:row>26</xdr:row>
      <xdr:rowOff>143510</xdr:rowOff>
    </xdr:from>
    <xdr:to>
      <xdr:col>14</xdr:col>
      <xdr:colOff>127000</xdr:colOff>
      <xdr:row>32</xdr:row>
      <xdr:rowOff>139700</xdr:rowOff>
    </xdr:to>
    <xdr:sp macro="" textlink="">
      <xdr:nvSpPr>
        <xdr:cNvPr id="28" name="Red Arrow 6" hidden="1">
          <a:extLst>
            <a:ext uri="{FF2B5EF4-FFF2-40B4-BE49-F238E27FC236}">
              <a16:creationId xmlns:a16="http://schemas.microsoft.com/office/drawing/2014/main" id="{00000000-0008-0000-0200-00001C000000}"/>
            </a:ext>
          </a:extLst>
        </xdr:cNvPr>
        <xdr:cNvSpPr/>
      </xdr:nvSpPr>
      <xdr:spPr>
        <a:xfrm rot="5400000">
          <a:off x="7050405" y="5437505"/>
          <a:ext cx="1101090" cy="1358900"/>
        </a:xfrm>
        <a:prstGeom prst="bentArrow">
          <a:avLst>
            <a:gd name="adj1" fmla="val 0"/>
            <a:gd name="adj2" fmla="val 0"/>
            <a:gd name="adj3" fmla="val 11534"/>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37</xdr:row>
      <xdr:rowOff>171450</xdr:rowOff>
    </xdr:from>
    <xdr:to>
      <xdr:col>14</xdr:col>
      <xdr:colOff>189197</xdr:colOff>
      <xdr:row>39</xdr:row>
      <xdr:rowOff>101946</xdr:rowOff>
    </xdr:to>
    <xdr:sp macro="" textlink="">
      <xdr:nvSpPr>
        <xdr:cNvPr id="2" name="Text Footer">
          <a:extLst>
            <a:ext uri="{FF2B5EF4-FFF2-40B4-BE49-F238E27FC236}">
              <a16:creationId xmlns:a16="http://schemas.microsoft.com/office/drawing/2014/main" id="{00000000-0008-0000-0200-000002000000}"/>
            </a:ext>
          </a:extLst>
        </xdr:cNvPr>
        <xdr:cNvSpPr txBox="1"/>
      </xdr:nvSpPr>
      <xdr:spPr>
        <a:xfrm>
          <a:off x="127000" y="7620000"/>
          <a:ext cx="8215597" cy="298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400" b="1">
              <a:solidFill>
                <a:srgbClr val="E62733"/>
              </a:solidFill>
            </a:rPr>
            <a:t>73% of unmanaged faecal waste ends up in the environment.</a:t>
          </a:r>
        </a:p>
      </xdr:txBody>
    </xdr:sp>
    <xdr:clientData/>
  </xdr:twoCellAnchor>
  <xdr:twoCellAnchor>
    <xdr:from>
      <xdr:col>9</xdr:col>
      <xdr:colOff>457200</xdr:colOff>
      <xdr:row>31</xdr:row>
      <xdr:rowOff>133350</xdr:rowOff>
    </xdr:from>
    <xdr:to>
      <xdr:col>14</xdr:col>
      <xdr:colOff>127000</xdr:colOff>
      <xdr:row>36</xdr:row>
      <xdr:rowOff>165100</xdr:rowOff>
    </xdr:to>
    <xdr:sp macro="" textlink="">
      <xdr:nvSpPr>
        <xdr:cNvPr id="4" name="Text Label 5">
          <a:extLst>
            <a:ext uri="{FF2B5EF4-FFF2-40B4-BE49-F238E27FC236}">
              <a16:creationId xmlns:a16="http://schemas.microsoft.com/office/drawing/2014/main" id="{00000000-0008-0000-0200-000004000000}"/>
            </a:ext>
          </a:extLst>
        </xdr:cNvPr>
        <xdr:cNvSpPr txBox="1"/>
      </xdr:nvSpPr>
      <xdr:spPr>
        <a:xfrm>
          <a:off x="5562600" y="6477000"/>
          <a:ext cx="27178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No treatment and or ineffective treatment</a:t>
          </a:r>
        </a:p>
      </xdr:txBody>
    </xdr:sp>
    <xdr:clientData/>
  </xdr:twoCellAnchor>
  <xdr:twoCellAnchor>
    <xdr:from>
      <xdr:col>7</xdr:col>
      <xdr:colOff>317500</xdr:colOff>
      <xdr:row>31</xdr:row>
      <xdr:rowOff>133350</xdr:rowOff>
    </xdr:from>
    <xdr:to>
      <xdr:col>9</xdr:col>
      <xdr:colOff>457200</xdr:colOff>
      <xdr:row>36</xdr:row>
      <xdr:rowOff>165100</xdr:rowOff>
    </xdr:to>
    <xdr:sp macro="" textlink="">
      <xdr:nvSpPr>
        <xdr:cNvPr id="5" name="Text Label 4">
          <a:extLst>
            <a:ext uri="{FF2B5EF4-FFF2-40B4-BE49-F238E27FC236}">
              <a16:creationId xmlns:a16="http://schemas.microsoft.com/office/drawing/2014/main" id="{00000000-0008-0000-0200-000005000000}"/>
            </a:ext>
          </a:extLst>
        </xdr:cNvPr>
        <xdr:cNvSpPr txBox="1"/>
      </xdr:nvSpPr>
      <xdr:spPr>
        <a:xfrm>
          <a:off x="42037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Leaking sewers and illegal dumping</a:t>
          </a:r>
        </a:p>
      </xdr:txBody>
    </xdr:sp>
    <xdr:clientData/>
  </xdr:twoCellAnchor>
  <xdr:twoCellAnchor>
    <xdr:from>
      <xdr:col>5</xdr:col>
      <xdr:colOff>177800</xdr:colOff>
      <xdr:row>31</xdr:row>
      <xdr:rowOff>133350</xdr:rowOff>
    </xdr:from>
    <xdr:to>
      <xdr:col>7</xdr:col>
      <xdr:colOff>317500</xdr:colOff>
      <xdr:row>36</xdr:row>
      <xdr:rowOff>165100</xdr:rowOff>
    </xdr:to>
    <xdr:sp macro="" textlink="">
      <xdr:nvSpPr>
        <xdr:cNvPr id="6" name="Text Label 3">
          <a:extLst>
            <a:ext uri="{FF2B5EF4-FFF2-40B4-BE49-F238E27FC236}">
              <a16:creationId xmlns:a16="http://schemas.microsoft.com/office/drawing/2014/main" id="{00000000-0008-0000-0200-000006000000}"/>
            </a:ext>
          </a:extLst>
        </xdr:cNvPr>
        <xdr:cNvSpPr txBox="1"/>
      </xdr:nvSpPr>
      <xdr:spPr>
        <a:xfrm>
          <a:off x="28448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Spillage and not emptied pits or tanks</a:t>
          </a:r>
        </a:p>
      </xdr:txBody>
    </xdr:sp>
    <xdr:clientData/>
  </xdr:twoCellAnchor>
  <xdr:twoCellAnchor>
    <xdr:from>
      <xdr:col>3</xdr:col>
      <xdr:colOff>38100</xdr:colOff>
      <xdr:row>31</xdr:row>
      <xdr:rowOff>133350</xdr:rowOff>
    </xdr:from>
    <xdr:to>
      <xdr:col>5</xdr:col>
      <xdr:colOff>177800</xdr:colOff>
      <xdr:row>36</xdr:row>
      <xdr:rowOff>165100</xdr:rowOff>
    </xdr:to>
    <xdr:sp macro="" textlink="">
      <xdr:nvSpPr>
        <xdr:cNvPr id="7" name="Text Label 2">
          <a:extLst>
            <a:ext uri="{FF2B5EF4-FFF2-40B4-BE49-F238E27FC236}">
              <a16:creationId xmlns:a16="http://schemas.microsoft.com/office/drawing/2014/main" id="{00000000-0008-0000-0200-000007000000}"/>
            </a:ext>
          </a:extLst>
        </xdr:cNvPr>
        <xdr:cNvSpPr txBox="1"/>
      </xdr:nvSpPr>
      <xdr:spPr>
        <a:xfrm>
          <a:off x="14859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Seepage and discharge to environment</a:t>
          </a:r>
        </a:p>
      </xdr:txBody>
    </xdr:sp>
    <xdr:clientData/>
  </xdr:twoCellAnchor>
  <xdr:twoCellAnchor>
    <xdr:from>
      <xdr:col>0</xdr:col>
      <xdr:colOff>127000</xdr:colOff>
      <xdr:row>31</xdr:row>
      <xdr:rowOff>133350</xdr:rowOff>
    </xdr:from>
    <xdr:to>
      <xdr:col>3</xdr:col>
      <xdr:colOff>38100</xdr:colOff>
      <xdr:row>36</xdr:row>
      <xdr:rowOff>165100</xdr:rowOff>
    </xdr:to>
    <xdr:sp macro="" textlink="">
      <xdr:nvSpPr>
        <xdr:cNvPr id="8" name="Text Label 1">
          <a:extLst>
            <a:ext uri="{FF2B5EF4-FFF2-40B4-BE49-F238E27FC236}">
              <a16:creationId xmlns:a16="http://schemas.microsoft.com/office/drawing/2014/main" id="{00000000-0008-0000-0200-000008000000}"/>
            </a:ext>
          </a:extLst>
        </xdr:cNvPr>
        <xdr:cNvSpPr txBox="1"/>
      </xdr:nvSpPr>
      <xdr:spPr>
        <a:xfrm>
          <a:off x="1270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Open defecation</a:t>
          </a:r>
        </a:p>
      </xdr:txBody>
    </xdr:sp>
    <xdr:clientData/>
  </xdr:twoCellAnchor>
  <xdr:twoCellAnchor>
    <xdr:from>
      <xdr:col>9</xdr:col>
      <xdr:colOff>457200</xdr:colOff>
      <xdr:row>28</xdr:row>
      <xdr:rowOff>136525</xdr:rowOff>
    </xdr:from>
    <xdr:to>
      <xdr:col>10</xdr:col>
      <xdr:colOff>599988</xdr:colOff>
      <xdr:row>30</xdr:row>
      <xdr:rowOff>76367</xdr:rowOff>
    </xdr:to>
    <xdr:sp macro="" textlink="">
      <xdr:nvSpPr>
        <xdr:cNvPr id="10" name="Red TextBox 5">
          <a:extLst>
            <a:ext uri="{FF2B5EF4-FFF2-40B4-BE49-F238E27FC236}">
              <a16:creationId xmlns:a16="http://schemas.microsoft.com/office/drawing/2014/main" id="{00000000-0008-0000-0200-00000A000000}"/>
            </a:ext>
          </a:extLst>
        </xdr:cNvPr>
        <xdr:cNvSpPr txBox="1"/>
      </xdr:nvSpPr>
      <xdr:spPr>
        <a:xfrm>
          <a:off x="5562600" y="5927725"/>
          <a:ext cx="752388"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56.9%</a:t>
          </a:r>
          <a:endParaRPr lang="en-GB" sz="1100" b="1">
            <a:ln>
              <a:noFill/>
            </a:ln>
            <a:solidFill>
              <a:srgbClr val="E62733"/>
            </a:solidFill>
          </a:endParaRPr>
        </a:p>
      </xdr:txBody>
    </xdr:sp>
    <xdr:clientData/>
  </xdr:twoCellAnchor>
  <xdr:twoCellAnchor>
    <xdr:from>
      <xdr:col>7</xdr:col>
      <xdr:colOff>317500</xdr:colOff>
      <xdr:row>29</xdr:row>
      <xdr:rowOff>1270</xdr:rowOff>
    </xdr:from>
    <xdr:to>
      <xdr:col>8</xdr:col>
      <xdr:colOff>403275</xdr:colOff>
      <xdr:row>30</xdr:row>
      <xdr:rowOff>131612</xdr:rowOff>
    </xdr:to>
    <xdr:sp macro="" textlink="">
      <xdr:nvSpPr>
        <xdr:cNvPr id="11" name="Red TextBox 4">
          <a:extLst>
            <a:ext uri="{FF2B5EF4-FFF2-40B4-BE49-F238E27FC236}">
              <a16:creationId xmlns:a16="http://schemas.microsoft.com/office/drawing/2014/main" id="{00000000-0008-0000-0200-00000B000000}"/>
            </a:ext>
          </a:extLst>
        </xdr:cNvPr>
        <xdr:cNvSpPr txBox="1"/>
      </xdr:nvSpPr>
      <xdr:spPr>
        <a:xfrm>
          <a:off x="4203700" y="5976620"/>
          <a:ext cx="695375"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400" b="1">
              <a:ln>
                <a:noFill/>
              </a:ln>
              <a:solidFill>
                <a:srgbClr val="E62733"/>
              </a:solidFill>
            </a:rPr>
            <a:t>7.7%</a:t>
          </a:r>
          <a:endParaRPr lang="en-GB" sz="1100" b="1">
            <a:ln>
              <a:noFill/>
            </a:ln>
            <a:solidFill>
              <a:srgbClr val="E62733"/>
            </a:solidFill>
          </a:endParaRPr>
        </a:p>
      </xdr:txBody>
    </xdr:sp>
    <xdr:clientData/>
  </xdr:twoCellAnchor>
  <xdr:twoCellAnchor>
    <xdr:from>
      <xdr:col>5</xdr:col>
      <xdr:colOff>177800</xdr:colOff>
      <xdr:row>29</xdr:row>
      <xdr:rowOff>26670</xdr:rowOff>
    </xdr:from>
    <xdr:to>
      <xdr:col>6</xdr:col>
      <xdr:colOff>248850</xdr:colOff>
      <xdr:row>30</xdr:row>
      <xdr:rowOff>157012</xdr:rowOff>
    </xdr:to>
    <xdr:sp macro="" textlink="">
      <xdr:nvSpPr>
        <xdr:cNvPr id="12" name="Red TextBox 3">
          <a:extLst>
            <a:ext uri="{FF2B5EF4-FFF2-40B4-BE49-F238E27FC236}">
              <a16:creationId xmlns:a16="http://schemas.microsoft.com/office/drawing/2014/main" id="{00000000-0008-0000-0200-00000C000000}"/>
            </a:ext>
          </a:extLst>
        </xdr:cNvPr>
        <xdr:cNvSpPr txBox="1"/>
      </xdr:nvSpPr>
      <xdr:spPr>
        <a:xfrm>
          <a:off x="2844800" y="6002020"/>
          <a:ext cx="680650"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2.5%</a:t>
          </a:r>
          <a:endParaRPr lang="en-GB" sz="1100" b="1">
            <a:ln>
              <a:noFill/>
            </a:ln>
            <a:solidFill>
              <a:srgbClr val="E62733"/>
            </a:solidFill>
          </a:endParaRPr>
        </a:p>
      </xdr:txBody>
    </xdr:sp>
    <xdr:clientData/>
  </xdr:twoCellAnchor>
  <xdr:twoCellAnchor>
    <xdr:from>
      <xdr:col>3</xdr:col>
      <xdr:colOff>38100</xdr:colOff>
      <xdr:row>29</xdr:row>
      <xdr:rowOff>56515</xdr:rowOff>
    </xdr:from>
    <xdr:to>
      <xdr:col>4</xdr:col>
      <xdr:colOff>94801</xdr:colOff>
      <xdr:row>30</xdr:row>
      <xdr:rowOff>180507</xdr:rowOff>
    </xdr:to>
    <xdr:sp macro="" textlink="">
      <xdr:nvSpPr>
        <xdr:cNvPr id="13" name="Red TextBox 2">
          <a:extLst>
            <a:ext uri="{FF2B5EF4-FFF2-40B4-BE49-F238E27FC236}">
              <a16:creationId xmlns:a16="http://schemas.microsoft.com/office/drawing/2014/main" id="{00000000-0008-0000-0200-00000D000000}"/>
            </a:ext>
          </a:extLst>
        </xdr:cNvPr>
        <xdr:cNvSpPr txBox="1"/>
      </xdr:nvSpPr>
      <xdr:spPr>
        <a:xfrm>
          <a:off x="1485900" y="6031865"/>
          <a:ext cx="666301"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6.2%</a:t>
          </a:r>
          <a:endParaRPr lang="en-GB" sz="1100" b="1">
            <a:ln>
              <a:noFill/>
            </a:ln>
            <a:solidFill>
              <a:srgbClr val="E62733"/>
            </a:solidFill>
          </a:endParaRPr>
        </a:p>
      </xdr:txBody>
    </xdr:sp>
    <xdr:clientData/>
  </xdr:twoCellAnchor>
  <xdr:twoCellAnchor>
    <xdr:from>
      <xdr:col>0</xdr:col>
      <xdr:colOff>127000</xdr:colOff>
      <xdr:row>29</xdr:row>
      <xdr:rowOff>81915</xdr:rowOff>
    </xdr:from>
    <xdr:to>
      <xdr:col>2</xdr:col>
      <xdr:colOff>48322</xdr:colOff>
      <xdr:row>31</xdr:row>
      <xdr:rowOff>21757</xdr:rowOff>
    </xdr:to>
    <xdr:sp macro="" textlink="">
      <xdr:nvSpPr>
        <xdr:cNvPr id="14" name="Red TextBox 1">
          <a:extLst>
            <a:ext uri="{FF2B5EF4-FFF2-40B4-BE49-F238E27FC236}">
              <a16:creationId xmlns:a16="http://schemas.microsoft.com/office/drawing/2014/main" id="{00000000-0008-0000-0200-00000E000000}"/>
            </a:ext>
          </a:extLst>
        </xdr:cNvPr>
        <xdr:cNvSpPr txBox="1"/>
      </xdr:nvSpPr>
      <xdr:spPr>
        <a:xfrm>
          <a:off x="127000" y="6057265"/>
          <a:ext cx="759522"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0.1%</a:t>
          </a:r>
          <a:endParaRPr lang="en-GB" sz="1100" b="1">
            <a:ln>
              <a:noFill/>
            </a:ln>
            <a:solidFill>
              <a:srgbClr val="E62733"/>
            </a:solidFill>
          </a:endParaRPr>
        </a:p>
      </xdr:txBody>
    </xdr:sp>
    <xdr:clientData/>
  </xdr:twoCellAnchor>
  <xdr:twoCellAnchor>
    <xdr:from>
      <xdr:col>11</xdr:col>
      <xdr:colOff>596900</xdr:colOff>
      <xdr:row>24</xdr:row>
      <xdr:rowOff>54811</xdr:rowOff>
    </xdr:from>
    <xdr:to>
      <xdr:col>13</xdr:col>
      <xdr:colOff>127697</xdr:colOff>
      <xdr:row>25</xdr:row>
      <xdr:rowOff>158750</xdr:rowOff>
    </xdr:to>
    <xdr:sp macro="" textlink="">
      <xdr:nvSpPr>
        <xdr:cNvPr id="15" name="Grn TextBox 6">
          <a:extLst>
            <a:ext uri="{FF2B5EF4-FFF2-40B4-BE49-F238E27FC236}">
              <a16:creationId xmlns:a16="http://schemas.microsoft.com/office/drawing/2014/main" id="{00000000-0008-0000-0200-00000F000000}"/>
            </a:ext>
          </a:extLst>
        </xdr:cNvPr>
        <xdr:cNvSpPr txBox="1"/>
      </xdr:nvSpPr>
      <xdr:spPr>
        <a:xfrm>
          <a:off x="6921500" y="5109411"/>
          <a:ext cx="749997" cy="2880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26.6%</a:t>
          </a:r>
        </a:p>
      </xdr:txBody>
    </xdr:sp>
    <xdr:clientData/>
  </xdr:twoCellAnchor>
  <xdr:twoCellAnchor>
    <xdr:from>
      <xdr:col>9</xdr:col>
      <xdr:colOff>457200</xdr:colOff>
      <xdr:row>24</xdr:row>
      <xdr:rowOff>54811</xdr:rowOff>
    </xdr:from>
    <xdr:to>
      <xdr:col>10</xdr:col>
      <xdr:colOff>599988</xdr:colOff>
      <xdr:row>25</xdr:row>
      <xdr:rowOff>158750</xdr:rowOff>
    </xdr:to>
    <xdr:sp macro="" textlink="">
      <xdr:nvSpPr>
        <xdr:cNvPr id="16" name="Grn TextBox 5">
          <a:extLst>
            <a:ext uri="{FF2B5EF4-FFF2-40B4-BE49-F238E27FC236}">
              <a16:creationId xmlns:a16="http://schemas.microsoft.com/office/drawing/2014/main" id="{00000000-0008-0000-0200-000010000000}"/>
            </a:ext>
          </a:extLst>
        </xdr:cNvPr>
        <xdr:cNvSpPr txBox="1"/>
      </xdr:nvSpPr>
      <xdr:spPr>
        <a:xfrm>
          <a:off x="5562600" y="5109411"/>
          <a:ext cx="752388"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26.6%</a:t>
          </a:r>
        </a:p>
      </xdr:txBody>
    </xdr:sp>
    <xdr:clientData/>
  </xdr:twoCellAnchor>
  <xdr:twoCellAnchor>
    <xdr:from>
      <xdr:col>7</xdr:col>
      <xdr:colOff>317500</xdr:colOff>
      <xdr:row>24</xdr:row>
      <xdr:rowOff>54811</xdr:rowOff>
    </xdr:from>
    <xdr:to>
      <xdr:col>8</xdr:col>
      <xdr:colOff>403274</xdr:colOff>
      <xdr:row>25</xdr:row>
      <xdr:rowOff>158750</xdr:rowOff>
    </xdr:to>
    <xdr:sp macro="" textlink="">
      <xdr:nvSpPr>
        <xdr:cNvPr id="17" name="Grn TextBox 4">
          <a:extLst>
            <a:ext uri="{FF2B5EF4-FFF2-40B4-BE49-F238E27FC236}">
              <a16:creationId xmlns:a16="http://schemas.microsoft.com/office/drawing/2014/main" id="{00000000-0008-0000-0200-000011000000}"/>
            </a:ext>
          </a:extLst>
        </xdr:cNvPr>
        <xdr:cNvSpPr txBox="1"/>
      </xdr:nvSpPr>
      <xdr:spPr>
        <a:xfrm>
          <a:off x="4203700" y="5109411"/>
          <a:ext cx="695374"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400" b="1">
              <a:solidFill>
                <a:srgbClr val="039579"/>
              </a:solidFill>
            </a:rPr>
            <a:t>83.5%</a:t>
          </a:r>
        </a:p>
      </xdr:txBody>
    </xdr:sp>
    <xdr:clientData/>
  </xdr:twoCellAnchor>
  <xdr:twoCellAnchor>
    <xdr:from>
      <xdr:col>5</xdr:col>
      <xdr:colOff>177800</xdr:colOff>
      <xdr:row>24</xdr:row>
      <xdr:rowOff>54811</xdr:rowOff>
    </xdr:from>
    <xdr:to>
      <xdr:col>6</xdr:col>
      <xdr:colOff>248849</xdr:colOff>
      <xdr:row>25</xdr:row>
      <xdr:rowOff>158750</xdr:rowOff>
    </xdr:to>
    <xdr:sp macro="" textlink="">
      <xdr:nvSpPr>
        <xdr:cNvPr id="18" name="Grn TextBox 3">
          <a:extLst>
            <a:ext uri="{FF2B5EF4-FFF2-40B4-BE49-F238E27FC236}">
              <a16:creationId xmlns:a16="http://schemas.microsoft.com/office/drawing/2014/main" id="{00000000-0008-0000-0200-000012000000}"/>
            </a:ext>
          </a:extLst>
        </xdr:cNvPr>
        <xdr:cNvSpPr txBox="1"/>
      </xdr:nvSpPr>
      <xdr:spPr>
        <a:xfrm>
          <a:off x="2844800" y="5109411"/>
          <a:ext cx="680649"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91.2%</a:t>
          </a:r>
        </a:p>
      </xdr:txBody>
    </xdr:sp>
    <xdr:clientData/>
  </xdr:twoCellAnchor>
  <xdr:twoCellAnchor>
    <xdr:from>
      <xdr:col>3</xdr:col>
      <xdr:colOff>38100</xdr:colOff>
      <xdr:row>24</xdr:row>
      <xdr:rowOff>54811</xdr:rowOff>
    </xdr:from>
    <xdr:to>
      <xdr:col>4</xdr:col>
      <xdr:colOff>94800</xdr:colOff>
      <xdr:row>25</xdr:row>
      <xdr:rowOff>158750</xdr:rowOff>
    </xdr:to>
    <xdr:sp macro="" textlink="">
      <xdr:nvSpPr>
        <xdr:cNvPr id="19" name="Grn TextBox 2">
          <a:extLst>
            <a:ext uri="{FF2B5EF4-FFF2-40B4-BE49-F238E27FC236}">
              <a16:creationId xmlns:a16="http://schemas.microsoft.com/office/drawing/2014/main" id="{00000000-0008-0000-0200-000013000000}"/>
            </a:ext>
          </a:extLst>
        </xdr:cNvPr>
        <xdr:cNvSpPr txBox="1"/>
      </xdr:nvSpPr>
      <xdr:spPr>
        <a:xfrm>
          <a:off x="1485900" y="5109411"/>
          <a:ext cx="666300"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93.7%</a:t>
          </a:r>
        </a:p>
      </xdr:txBody>
    </xdr:sp>
    <xdr:clientData/>
  </xdr:twoCellAnchor>
  <xdr:twoCellAnchor>
    <xdr:from>
      <xdr:col>0</xdr:col>
      <xdr:colOff>127000</xdr:colOff>
      <xdr:row>24</xdr:row>
      <xdr:rowOff>54811</xdr:rowOff>
    </xdr:from>
    <xdr:to>
      <xdr:col>2</xdr:col>
      <xdr:colOff>48321</xdr:colOff>
      <xdr:row>25</xdr:row>
      <xdr:rowOff>158750</xdr:rowOff>
    </xdr:to>
    <xdr:sp macro="" textlink="">
      <xdr:nvSpPr>
        <xdr:cNvPr id="20" name="Grn TextBox 1">
          <a:extLst>
            <a:ext uri="{FF2B5EF4-FFF2-40B4-BE49-F238E27FC236}">
              <a16:creationId xmlns:a16="http://schemas.microsoft.com/office/drawing/2014/main" id="{00000000-0008-0000-0200-000014000000}"/>
            </a:ext>
          </a:extLst>
        </xdr:cNvPr>
        <xdr:cNvSpPr txBox="1"/>
      </xdr:nvSpPr>
      <xdr:spPr>
        <a:xfrm>
          <a:off x="127000" y="5109411"/>
          <a:ext cx="759521"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99.9%</a:t>
          </a:r>
        </a:p>
      </xdr:txBody>
    </xdr:sp>
    <xdr:clientData/>
  </xdr:twoCellAnchor>
  <xdr:twoCellAnchor>
    <xdr:from>
      <xdr:col>11</xdr:col>
      <xdr:colOff>596900</xdr:colOff>
      <xdr:row>25</xdr:row>
      <xdr:rowOff>158750</xdr:rowOff>
    </xdr:from>
    <xdr:to>
      <xdr:col>14</xdr:col>
      <xdr:colOff>211455</xdr:colOff>
      <xdr:row>26</xdr:row>
      <xdr:rowOff>143510</xdr:rowOff>
    </xdr:to>
    <xdr:sp macro="" textlink="">
      <xdr:nvSpPr>
        <xdr:cNvPr id="27" name="Grn Arrow 6">
          <a:extLst>
            <a:ext uri="{FF2B5EF4-FFF2-40B4-BE49-F238E27FC236}">
              <a16:creationId xmlns:a16="http://schemas.microsoft.com/office/drawing/2014/main" id="{00000000-0008-0000-0200-00001B000000}"/>
            </a:ext>
          </a:extLst>
        </xdr:cNvPr>
        <xdr:cNvSpPr/>
      </xdr:nvSpPr>
      <xdr:spPr>
        <a:xfrm>
          <a:off x="6921500" y="5397500"/>
          <a:ext cx="1443355" cy="16891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457200</xdr:colOff>
      <xdr:row>25</xdr:row>
      <xdr:rowOff>158750</xdr:rowOff>
    </xdr:from>
    <xdr:to>
      <xdr:col>12</xdr:col>
      <xdr:colOff>71755</xdr:colOff>
      <xdr:row>26</xdr:row>
      <xdr:rowOff>143510</xdr:rowOff>
    </xdr:to>
    <xdr:sp macro="" textlink="">
      <xdr:nvSpPr>
        <xdr:cNvPr id="29" name="Grn Arrow 5">
          <a:extLst>
            <a:ext uri="{FF2B5EF4-FFF2-40B4-BE49-F238E27FC236}">
              <a16:creationId xmlns:a16="http://schemas.microsoft.com/office/drawing/2014/main" id="{00000000-0008-0000-0200-00001D000000}"/>
            </a:ext>
          </a:extLst>
        </xdr:cNvPr>
        <xdr:cNvSpPr/>
      </xdr:nvSpPr>
      <xdr:spPr>
        <a:xfrm>
          <a:off x="5562600" y="5397500"/>
          <a:ext cx="1443355" cy="16891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457200</xdr:colOff>
      <xdr:row>26</xdr:row>
      <xdr:rowOff>143510</xdr:rowOff>
    </xdr:from>
    <xdr:to>
      <xdr:col>11</xdr:col>
      <xdr:colOff>596900</xdr:colOff>
      <xdr:row>32</xdr:row>
      <xdr:rowOff>139700</xdr:rowOff>
    </xdr:to>
    <xdr:sp macro="" textlink="">
      <xdr:nvSpPr>
        <xdr:cNvPr id="30" name="Red Arrow 5">
          <a:extLst>
            <a:ext uri="{FF2B5EF4-FFF2-40B4-BE49-F238E27FC236}">
              <a16:creationId xmlns:a16="http://schemas.microsoft.com/office/drawing/2014/main" id="{00000000-0008-0000-0200-00001E000000}"/>
            </a:ext>
          </a:extLst>
        </xdr:cNvPr>
        <xdr:cNvSpPr/>
      </xdr:nvSpPr>
      <xdr:spPr>
        <a:xfrm rot="5400000">
          <a:off x="5691505" y="5437505"/>
          <a:ext cx="1101090" cy="1358900"/>
        </a:xfrm>
        <a:prstGeom prst="bentArrow">
          <a:avLst>
            <a:gd name="adj1" fmla="val 32814"/>
            <a:gd name="adj2" fmla="val 26589"/>
            <a:gd name="adj3" fmla="val 11534"/>
            <a:gd name="adj4" fmla="val 35745"/>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7</xdr:col>
      <xdr:colOff>317500</xdr:colOff>
      <xdr:row>25</xdr:row>
      <xdr:rowOff>158750</xdr:rowOff>
    </xdr:from>
    <xdr:to>
      <xdr:col>10</xdr:col>
      <xdr:colOff>112713</xdr:colOff>
      <xdr:row>28</xdr:row>
      <xdr:rowOff>136525</xdr:rowOff>
    </xdr:to>
    <xdr:sp macro="" textlink="">
      <xdr:nvSpPr>
        <xdr:cNvPr id="31" name="Grn Arrow 4">
          <a:extLst>
            <a:ext uri="{FF2B5EF4-FFF2-40B4-BE49-F238E27FC236}">
              <a16:creationId xmlns:a16="http://schemas.microsoft.com/office/drawing/2014/main" id="{00000000-0008-0000-0200-00001F000000}"/>
            </a:ext>
          </a:extLst>
        </xdr:cNvPr>
        <xdr:cNvSpPr/>
      </xdr:nvSpPr>
      <xdr:spPr>
        <a:xfrm>
          <a:off x="4203700" y="5397500"/>
          <a:ext cx="1624013" cy="53022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317501</xdr:colOff>
      <xdr:row>28</xdr:row>
      <xdr:rowOff>136525</xdr:rowOff>
    </xdr:from>
    <xdr:to>
      <xdr:col>9</xdr:col>
      <xdr:colOff>457201</xdr:colOff>
      <xdr:row>32</xdr:row>
      <xdr:rowOff>139700</xdr:rowOff>
    </xdr:to>
    <xdr:sp macro="" textlink="">
      <xdr:nvSpPr>
        <xdr:cNvPr id="32" name="Red Arrow 4">
          <a:extLst>
            <a:ext uri="{FF2B5EF4-FFF2-40B4-BE49-F238E27FC236}">
              <a16:creationId xmlns:a16="http://schemas.microsoft.com/office/drawing/2014/main" id="{00000000-0008-0000-0200-000020000000}"/>
            </a:ext>
          </a:extLst>
        </xdr:cNvPr>
        <xdr:cNvSpPr/>
      </xdr:nvSpPr>
      <xdr:spPr>
        <a:xfrm rot="5400000">
          <a:off x="4513263" y="5618163"/>
          <a:ext cx="739775" cy="1358900"/>
        </a:xfrm>
        <a:prstGeom prst="bentArrow">
          <a:avLst>
            <a:gd name="adj1" fmla="val 6609"/>
            <a:gd name="adj2" fmla="val 3598"/>
            <a:gd name="adj3" fmla="val 17167"/>
            <a:gd name="adj4" fmla="val 28211"/>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177800</xdr:colOff>
      <xdr:row>25</xdr:row>
      <xdr:rowOff>158750</xdr:rowOff>
    </xdr:from>
    <xdr:to>
      <xdr:col>7</xdr:col>
      <xdr:colOff>607060</xdr:colOff>
      <xdr:row>29</xdr:row>
      <xdr:rowOff>1270</xdr:rowOff>
    </xdr:to>
    <xdr:sp macro="" textlink="">
      <xdr:nvSpPr>
        <xdr:cNvPr id="33" name="Grn Arrow 3">
          <a:extLst>
            <a:ext uri="{FF2B5EF4-FFF2-40B4-BE49-F238E27FC236}">
              <a16:creationId xmlns:a16="http://schemas.microsoft.com/office/drawing/2014/main" id="{00000000-0008-0000-0200-000021000000}"/>
            </a:ext>
          </a:extLst>
        </xdr:cNvPr>
        <xdr:cNvSpPr/>
      </xdr:nvSpPr>
      <xdr:spPr>
        <a:xfrm>
          <a:off x="2844800" y="5397500"/>
          <a:ext cx="1648460" cy="57912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177800</xdr:colOff>
      <xdr:row>29</xdr:row>
      <xdr:rowOff>1270</xdr:rowOff>
    </xdr:from>
    <xdr:to>
      <xdr:col>7</xdr:col>
      <xdr:colOff>317500</xdr:colOff>
      <xdr:row>32</xdr:row>
      <xdr:rowOff>139700</xdr:rowOff>
    </xdr:to>
    <xdr:sp macro="" textlink="">
      <xdr:nvSpPr>
        <xdr:cNvPr id="34" name="Red Arrow 3">
          <a:extLst>
            <a:ext uri="{FF2B5EF4-FFF2-40B4-BE49-F238E27FC236}">
              <a16:creationId xmlns:a16="http://schemas.microsoft.com/office/drawing/2014/main" id="{00000000-0008-0000-0200-000022000000}"/>
            </a:ext>
          </a:extLst>
        </xdr:cNvPr>
        <xdr:cNvSpPr/>
      </xdr:nvSpPr>
      <xdr:spPr>
        <a:xfrm rot="5400000">
          <a:off x="3178810" y="5642610"/>
          <a:ext cx="690880" cy="1358900"/>
        </a:xfrm>
        <a:prstGeom prst="bentArrow">
          <a:avLst>
            <a:gd name="adj1" fmla="val 3676"/>
            <a:gd name="adj2" fmla="val 1869"/>
            <a:gd name="adj3" fmla="val 18382"/>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3</xdr:col>
      <xdr:colOff>38100</xdr:colOff>
      <xdr:row>25</xdr:row>
      <xdr:rowOff>158750</xdr:rowOff>
    </xdr:from>
    <xdr:to>
      <xdr:col>5</xdr:col>
      <xdr:colOff>475298</xdr:colOff>
      <xdr:row>29</xdr:row>
      <xdr:rowOff>17145</xdr:rowOff>
    </xdr:to>
    <xdr:sp macro="" textlink="">
      <xdr:nvSpPr>
        <xdr:cNvPr id="35" name="Grn Arrow 2">
          <a:extLst>
            <a:ext uri="{FF2B5EF4-FFF2-40B4-BE49-F238E27FC236}">
              <a16:creationId xmlns:a16="http://schemas.microsoft.com/office/drawing/2014/main" id="{00000000-0008-0000-0200-000023000000}"/>
            </a:ext>
          </a:extLst>
        </xdr:cNvPr>
        <xdr:cNvSpPr/>
      </xdr:nvSpPr>
      <xdr:spPr>
        <a:xfrm>
          <a:off x="1485900" y="5397500"/>
          <a:ext cx="1656398" cy="59499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38101</xdr:colOff>
      <xdr:row>29</xdr:row>
      <xdr:rowOff>17145</xdr:rowOff>
    </xdr:from>
    <xdr:to>
      <xdr:col>5</xdr:col>
      <xdr:colOff>177801</xdr:colOff>
      <xdr:row>32</xdr:row>
      <xdr:rowOff>139700</xdr:rowOff>
    </xdr:to>
    <xdr:sp macro="" textlink="">
      <xdr:nvSpPr>
        <xdr:cNvPr id="36" name="Red Arrow 2">
          <a:extLst>
            <a:ext uri="{FF2B5EF4-FFF2-40B4-BE49-F238E27FC236}">
              <a16:creationId xmlns:a16="http://schemas.microsoft.com/office/drawing/2014/main" id="{00000000-0008-0000-0200-000024000000}"/>
            </a:ext>
          </a:extLst>
        </xdr:cNvPr>
        <xdr:cNvSpPr/>
      </xdr:nvSpPr>
      <xdr:spPr>
        <a:xfrm rot="5400000">
          <a:off x="1827848" y="5650548"/>
          <a:ext cx="675005" cy="1358900"/>
        </a:xfrm>
        <a:prstGeom prst="bentArrow">
          <a:avLst>
            <a:gd name="adj1" fmla="val 5833"/>
            <a:gd name="adj2" fmla="val 2897"/>
            <a:gd name="adj3" fmla="val 18815"/>
            <a:gd name="adj4" fmla="val 39427"/>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25</xdr:row>
      <xdr:rowOff>158750</xdr:rowOff>
    </xdr:from>
    <xdr:to>
      <xdr:col>3</xdr:col>
      <xdr:colOff>355283</xdr:colOff>
      <xdr:row>29</xdr:row>
      <xdr:rowOff>56515</xdr:rowOff>
    </xdr:to>
    <xdr:sp macro="" textlink="">
      <xdr:nvSpPr>
        <xdr:cNvPr id="37" name="Grn Arrow 1">
          <a:extLst>
            <a:ext uri="{FF2B5EF4-FFF2-40B4-BE49-F238E27FC236}">
              <a16:creationId xmlns:a16="http://schemas.microsoft.com/office/drawing/2014/main" id="{00000000-0008-0000-0200-000025000000}"/>
            </a:ext>
          </a:extLst>
        </xdr:cNvPr>
        <xdr:cNvSpPr/>
      </xdr:nvSpPr>
      <xdr:spPr>
        <a:xfrm>
          <a:off x="127000" y="5397500"/>
          <a:ext cx="1676083" cy="63436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127001</xdr:colOff>
      <xdr:row>29</xdr:row>
      <xdr:rowOff>56515</xdr:rowOff>
    </xdr:from>
    <xdr:to>
      <xdr:col>3</xdr:col>
      <xdr:colOff>38101</xdr:colOff>
      <xdr:row>32</xdr:row>
      <xdr:rowOff>139700</xdr:rowOff>
    </xdr:to>
    <xdr:sp macro="" textlink="">
      <xdr:nvSpPr>
        <xdr:cNvPr id="38" name="Red Arrow 1">
          <a:extLst>
            <a:ext uri="{FF2B5EF4-FFF2-40B4-BE49-F238E27FC236}">
              <a16:creationId xmlns:a16="http://schemas.microsoft.com/office/drawing/2014/main" id="{00000000-0008-0000-0200-000026000000}"/>
            </a:ext>
          </a:extLst>
        </xdr:cNvPr>
        <xdr:cNvSpPr/>
      </xdr:nvSpPr>
      <xdr:spPr>
        <a:xfrm rot="5400000">
          <a:off x="488633" y="5670233"/>
          <a:ext cx="635635" cy="1358900"/>
        </a:xfrm>
        <a:prstGeom prst="bentArrow">
          <a:avLst>
            <a:gd name="adj1" fmla="val 3996"/>
            <a:gd name="adj2" fmla="val 1869"/>
            <a:gd name="adj3" fmla="val 19980"/>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22</xdr:row>
      <xdr:rowOff>76200</xdr:rowOff>
    </xdr:from>
    <xdr:to>
      <xdr:col>14</xdr:col>
      <xdr:colOff>161299</xdr:colOff>
      <xdr:row>23</xdr:row>
      <xdr:rowOff>161158</xdr:rowOff>
    </xdr:to>
    <xdr:sp macro="" textlink="">
      <xdr:nvSpPr>
        <xdr:cNvPr id="39" name="Text Header">
          <a:extLst>
            <a:ext uri="{FF2B5EF4-FFF2-40B4-BE49-F238E27FC236}">
              <a16:creationId xmlns:a16="http://schemas.microsoft.com/office/drawing/2014/main" id="{00000000-0008-0000-0200-000027000000}"/>
            </a:ext>
          </a:extLst>
        </xdr:cNvPr>
        <xdr:cNvSpPr txBox="1"/>
      </xdr:nvSpPr>
      <xdr:spPr>
        <a:xfrm>
          <a:off x="127000" y="4762500"/>
          <a:ext cx="8187699" cy="2691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t">
          <a:noAutofit/>
        </a:bodyPr>
        <a:lstStyle/>
        <a:p>
          <a:pPr algn="ctr"/>
          <a:r>
            <a:rPr lang="en-GB" sz="1800" b="1"/>
            <a:t>Total</a:t>
          </a:r>
          <a:r>
            <a:rPr lang="en-GB" sz="1800" b="1" baseline="0"/>
            <a:t> f</a:t>
          </a:r>
          <a:r>
            <a:rPr lang="en-GB" sz="1800" b="1"/>
            <a:t>aecal waste flow diagram</a:t>
          </a:r>
        </a:p>
      </xdr:txBody>
    </xdr:sp>
    <xdr:clientData/>
  </xdr:twoCellAnchor>
  <xdr:twoCellAnchor>
    <xdr:from>
      <xdr:col>0</xdr:col>
      <xdr:colOff>1713</xdr:colOff>
      <xdr:row>5</xdr:row>
      <xdr:rowOff>119065</xdr:rowOff>
    </xdr:from>
    <xdr:to>
      <xdr:col>14</xdr:col>
      <xdr:colOff>353557</xdr:colOff>
      <xdr:row>20</xdr:row>
      <xdr:rowOff>109540</xdr:rowOff>
    </xdr:to>
    <xdr:pic>
      <xdr:nvPicPr>
        <xdr:cNvPr id="40" name="Service Chain Image">
          <a:extLst>
            <a:ext uri="{FF2B5EF4-FFF2-40B4-BE49-F238E27FC236}">
              <a16:creationId xmlns:a16="http://schemas.microsoft.com/office/drawing/2014/main" id="{00000000-0008-0000-0200-000028000000}"/>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78" r="-1078"/>
        <a:stretch/>
      </xdr:blipFill>
      <xdr:spPr bwMode="auto">
        <a:xfrm>
          <a:off x="1713" y="1690690"/>
          <a:ext cx="8460000" cy="2847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171686</xdr:colOff>
      <xdr:row>35</xdr:row>
      <xdr:rowOff>116679</xdr:rowOff>
    </xdr:from>
    <xdr:to>
      <xdr:col>14</xdr:col>
      <xdr:colOff>200246</xdr:colOff>
      <xdr:row>37</xdr:row>
      <xdr:rowOff>101439</xdr:rowOff>
    </xdr:to>
    <xdr:sp macro="" textlink="">
      <xdr:nvSpPr>
        <xdr:cNvPr id="41" name="Brace">
          <a:extLst>
            <a:ext uri="{FF2B5EF4-FFF2-40B4-BE49-F238E27FC236}">
              <a16:creationId xmlns:a16="http://schemas.microsoft.com/office/drawing/2014/main" id="{00000000-0008-0000-0200-000029000000}"/>
            </a:ext>
          </a:extLst>
        </xdr:cNvPr>
        <xdr:cNvSpPr/>
      </xdr:nvSpPr>
      <xdr:spPr>
        <a:xfrm rot="5400000">
          <a:off x="4098836" y="3214217"/>
          <a:ext cx="349885" cy="8204185"/>
        </a:xfrm>
        <a:prstGeom prst="rightBrace">
          <a:avLst>
            <a:gd name="adj1" fmla="val 37437"/>
            <a:gd name="adj2" fmla="val 50000"/>
          </a:avLst>
        </a:prstGeom>
        <a:ln w="28575">
          <a:solidFill>
            <a:srgbClr val="E6273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127000</xdr:colOff>
      <xdr:row>20</xdr:row>
      <xdr:rowOff>63500</xdr:rowOff>
    </xdr:from>
    <xdr:to>
      <xdr:col>2</xdr:col>
      <xdr:colOff>266700</xdr:colOff>
      <xdr:row>27</xdr:row>
      <xdr:rowOff>0</xdr:rowOff>
    </xdr:to>
    <xdr:sp macro="" textlink="">
      <xdr:nvSpPr>
        <xdr:cNvPr id="5" name="White Box 1" hidden="1">
          <a:extLst>
            <a:ext uri="{FF2B5EF4-FFF2-40B4-BE49-F238E27FC236}">
              <a16:creationId xmlns:a16="http://schemas.microsoft.com/office/drawing/2014/main" id="{00000000-0008-0000-0300-000005000000}"/>
            </a:ext>
          </a:extLst>
        </xdr:cNvPr>
        <xdr:cNvSpPr/>
      </xdr:nvSpPr>
      <xdr:spPr>
        <a:xfrm>
          <a:off x="127000" y="3492500"/>
          <a:ext cx="1358900" cy="1270000"/>
        </a:xfrm>
        <a:prstGeom prst="rect">
          <a:avLst/>
        </a:prstGeom>
        <a:solidFill>
          <a:schemeClr val="bg1"/>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11</xdr:col>
      <xdr:colOff>596900</xdr:colOff>
      <xdr:row>26</xdr:row>
      <xdr:rowOff>9525</xdr:rowOff>
    </xdr:from>
    <xdr:to>
      <xdr:col>13</xdr:col>
      <xdr:colOff>139369</xdr:colOff>
      <xdr:row>27</xdr:row>
      <xdr:rowOff>139867</xdr:rowOff>
    </xdr:to>
    <xdr:sp macro="" textlink="">
      <xdr:nvSpPr>
        <xdr:cNvPr id="9" name="Red TextBox 6" hidden="1">
          <a:extLst>
            <a:ext uri="{FF2B5EF4-FFF2-40B4-BE49-F238E27FC236}">
              <a16:creationId xmlns:a16="http://schemas.microsoft.com/office/drawing/2014/main" id="{00000000-0008-0000-0300-000009000000}"/>
            </a:ext>
          </a:extLst>
        </xdr:cNvPr>
        <xdr:cNvSpPr txBox="1"/>
      </xdr:nvSpPr>
      <xdr:spPr>
        <a:xfrm>
          <a:off x="6921500" y="5432425"/>
          <a:ext cx="761669"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0.0%</a:t>
          </a:r>
          <a:endParaRPr lang="en-GB" sz="1100" b="1">
            <a:ln>
              <a:noFill/>
            </a:ln>
            <a:solidFill>
              <a:srgbClr val="E62733"/>
            </a:solidFill>
          </a:endParaRPr>
        </a:p>
      </xdr:txBody>
    </xdr:sp>
    <xdr:clientData/>
  </xdr:twoCellAnchor>
  <xdr:twoCellAnchor editAs="absolute">
    <xdr:from>
      <xdr:col>5</xdr:col>
      <xdr:colOff>177800</xdr:colOff>
      <xdr:row>28</xdr:row>
      <xdr:rowOff>172720</xdr:rowOff>
    </xdr:from>
    <xdr:to>
      <xdr:col>6</xdr:col>
      <xdr:colOff>248377</xdr:colOff>
      <xdr:row>30</xdr:row>
      <xdr:rowOff>118912</xdr:rowOff>
    </xdr:to>
    <xdr:sp macro="" textlink="">
      <xdr:nvSpPr>
        <xdr:cNvPr id="27" name="Red TextBox 3" hidden="1">
          <a:extLst>
            <a:ext uri="{FF2B5EF4-FFF2-40B4-BE49-F238E27FC236}">
              <a16:creationId xmlns:a16="http://schemas.microsoft.com/office/drawing/2014/main" id="{00000000-0008-0000-0300-00001B000000}"/>
            </a:ext>
          </a:extLst>
        </xdr:cNvPr>
        <xdr:cNvSpPr txBox="1"/>
      </xdr:nvSpPr>
      <xdr:spPr>
        <a:xfrm>
          <a:off x="2844800" y="5963920"/>
          <a:ext cx="680177"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0.0%</a:t>
          </a:r>
          <a:endParaRPr lang="en-GB" sz="1100" b="1">
            <a:ln>
              <a:noFill/>
            </a:ln>
            <a:solidFill>
              <a:srgbClr val="E62733"/>
            </a:solidFill>
          </a:endParaRPr>
        </a:p>
      </xdr:txBody>
    </xdr:sp>
    <xdr:clientData/>
  </xdr:twoCellAnchor>
  <xdr:twoCellAnchor>
    <xdr:from>
      <xdr:col>11</xdr:col>
      <xdr:colOff>606425</xdr:colOff>
      <xdr:row>25</xdr:row>
      <xdr:rowOff>28575</xdr:rowOff>
    </xdr:from>
    <xdr:to>
      <xdr:col>14</xdr:col>
      <xdr:colOff>136525</xdr:colOff>
      <xdr:row>25</xdr:row>
      <xdr:rowOff>28575</xdr:rowOff>
    </xdr:to>
    <xdr:cxnSp macro="">
      <xdr:nvCxnSpPr>
        <xdr:cNvPr id="19" name="Grn Line 6" hidden="1">
          <a:extLst>
            <a:ext uri="{FF2B5EF4-FFF2-40B4-BE49-F238E27FC236}">
              <a16:creationId xmlns:a16="http://schemas.microsoft.com/office/drawing/2014/main" id="{00000000-0008-0000-0300-000013000000}"/>
            </a:ext>
          </a:extLst>
        </xdr:cNvPr>
        <xdr:cNvCxnSpPr/>
      </xdr:nvCxnSpPr>
      <xdr:spPr>
        <a:xfrm flipV="1">
          <a:off x="69215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466725</xdr:colOff>
      <xdr:row>25</xdr:row>
      <xdr:rowOff>28575</xdr:rowOff>
    </xdr:from>
    <xdr:to>
      <xdr:col>11</xdr:col>
      <xdr:colOff>606425</xdr:colOff>
      <xdr:row>25</xdr:row>
      <xdr:rowOff>28575</xdr:rowOff>
    </xdr:to>
    <xdr:cxnSp macro="">
      <xdr:nvCxnSpPr>
        <xdr:cNvPr id="12" name="Grn Line 5" hidden="1">
          <a:extLst>
            <a:ext uri="{FF2B5EF4-FFF2-40B4-BE49-F238E27FC236}">
              <a16:creationId xmlns:a16="http://schemas.microsoft.com/office/drawing/2014/main" id="{00000000-0008-0000-0300-00000C000000}"/>
            </a:ext>
          </a:extLst>
        </xdr:cNvPr>
        <xdr:cNvCxnSpPr/>
      </xdr:nvCxnSpPr>
      <xdr:spPr>
        <a:xfrm flipV="1">
          <a:off x="55626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327025</xdr:colOff>
      <xdr:row>25</xdr:row>
      <xdr:rowOff>28575</xdr:rowOff>
    </xdr:from>
    <xdr:to>
      <xdr:col>9</xdr:col>
      <xdr:colOff>466725</xdr:colOff>
      <xdr:row>25</xdr:row>
      <xdr:rowOff>28575</xdr:rowOff>
    </xdr:to>
    <xdr:cxnSp macro="">
      <xdr:nvCxnSpPr>
        <xdr:cNvPr id="24" name="Grn Line 4" hidden="1">
          <a:extLst>
            <a:ext uri="{FF2B5EF4-FFF2-40B4-BE49-F238E27FC236}">
              <a16:creationId xmlns:a16="http://schemas.microsoft.com/office/drawing/2014/main" id="{00000000-0008-0000-0300-000018000000}"/>
            </a:ext>
          </a:extLst>
        </xdr:cNvPr>
        <xdr:cNvCxnSpPr/>
      </xdr:nvCxnSpPr>
      <xdr:spPr>
        <a:xfrm flipV="1">
          <a:off x="42037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187325</xdr:colOff>
      <xdr:row>25</xdr:row>
      <xdr:rowOff>28575</xdr:rowOff>
    </xdr:from>
    <xdr:to>
      <xdr:col>7</xdr:col>
      <xdr:colOff>327025</xdr:colOff>
      <xdr:row>25</xdr:row>
      <xdr:rowOff>28575</xdr:rowOff>
    </xdr:to>
    <xdr:cxnSp macro="">
      <xdr:nvCxnSpPr>
        <xdr:cNvPr id="29" name="Grn Line 3" hidden="1">
          <a:extLst>
            <a:ext uri="{FF2B5EF4-FFF2-40B4-BE49-F238E27FC236}">
              <a16:creationId xmlns:a16="http://schemas.microsoft.com/office/drawing/2014/main" id="{00000000-0008-0000-0300-00001D000000}"/>
            </a:ext>
          </a:extLst>
        </xdr:cNvPr>
        <xdr:cNvCxnSpPr/>
      </xdr:nvCxnSpPr>
      <xdr:spPr>
        <a:xfrm flipV="1">
          <a:off x="28448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47625</xdr:colOff>
      <xdr:row>25</xdr:row>
      <xdr:rowOff>28575</xdr:rowOff>
    </xdr:from>
    <xdr:to>
      <xdr:col>5</xdr:col>
      <xdr:colOff>187325</xdr:colOff>
      <xdr:row>25</xdr:row>
      <xdr:rowOff>28575</xdr:rowOff>
    </xdr:to>
    <xdr:cxnSp macro="">
      <xdr:nvCxnSpPr>
        <xdr:cNvPr id="34" name="Grn Line 2" hidden="1">
          <a:extLst>
            <a:ext uri="{FF2B5EF4-FFF2-40B4-BE49-F238E27FC236}">
              <a16:creationId xmlns:a16="http://schemas.microsoft.com/office/drawing/2014/main" id="{00000000-0008-0000-0300-000022000000}"/>
            </a:ext>
          </a:extLst>
        </xdr:cNvPr>
        <xdr:cNvCxnSpPr/>
      </xdr:nvCxnSpPr>
      <xdr:spPr>
        <a:xfrm flipV="1">
          <a:off x="14859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127000</xdr:colOff>
      <xdr:row>25</xdr:row>
      <xdr:rowOff>28575</xdr:rowOff>
    </xdr:from>
    <xdr:to>
      <xdr:col>3</xdr:col>
      <xdr:colOff>47625</xdr:colOff>
      <xdr:row>25</xdr:row>
      <xdr:rowOff>28575</xdr:rowOff>
    </xdr:to>
    <xdr:cxnSp macro="">
      <xdr:nvCxnSpPr>
        <xdr:cNvPr id="39" name="Grn Line 1" hidden="1">
          <a:extLst>
            <a:ext uri="{FF2B5EF4-FFF2-40B4-BE49-F238E27FC236}">
              <a16:creationId xmlns:a16="http://schemas.microsoft.com/office/drawing/2014/main" id="{00000000-0008-0000-0300-000027000000}"/>
            </a:ext>
          </a:extLst>
        </xdr:cNvPr>
        <xdr:cNvCxnSpPr/>
      </xdr:nvCxnSpPr>
      <xdr:spPr>
        <a:xfrm flipV="1">
          <a:off x="127000" y="5410200"/>
          <a:ext cx="1358900" cy="0"/>
        </a:xfrm>
        <a:prstGeom prst="line">
          <a:avLst/>
        </a:prstGeom>
        <a:ln w="9525">
          <a:solidFill>
            <a:srgbClr val="039579"/>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11</xdr:col>
      <xdr:colOff>596901</xdr:colOff>
      <xdr:row>26</xdr:row>
      <xdr:rowOff>9525</xdr:rowOff>
    </xdr:from>
    <xdr:to>
      <xdr:col>14</xdr:col>
      <xdr:colOff>127001</xdr:colOff>
      <xdr:row>32</xdr:row>
      <xdr:rowOff>139700</xdr:rowOff>
    </xdr:to>
    <xdr:sp macro="" textlink="">
      <xdr:nvSpPr>
        <xdr:cNvPr id="2" name="Red Arrow 6" hidden="1">
          <a:extLst>
            <a:ext uri="{FF2B5EF4-FFF2-40B4-BE49-F238E27FC236}">
              <a16:creationId xmlns:a16="http://schemas.microsoft.com/office/drawing/2014/main" id="{00000000-0008-0000-0300-000002000000}"/>
            </a:ext>
          </a:extLst>
        </xdr:cNvPr>
        <xdr:cNvSpPr/>
      </xdr:nvSpPr>
      <xdr:spPr>
        <a:xfrm rot="5400000">
          <a:off x="6983413" y="5370513"/>
          <a:ext cx="1235075" cy="1358900"/>
        </a:xfrm>
        <a:prstGeom prst="bentArrow">
          <a:avLst>
            <a:gd name="adj1" fmla="val 0"/>
            <a:gd name="adj2" fmla="val 0"/>
            <a:gd name="adj3" fmla="val 10283"/>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editAs="absolute">
    <xdr:from>
      <xdr:col>5</xdr:col>
      <xdr:colOff>177800</xdr:colOff>
      <xdr:row>28</xdr:row>
      <xdr:rowOff>172720</xdr:rowOff>
    </xdr:from>
    <xdr:to>
      <xdr:col>7</xdr:col>
      <xdr:colOff>317500</xdr:colOff>
      <xdr:row>32</xdr:row>
      <xdr:rowOff>139700</xdr:rowOff>
    </xdr:to>
    <xdr:sp macro="" textlink="">
      <xdr:nvSpPr>
        <xdr:cNvPr id="31" name="Red Arrow 3" hidden="1">
          <a:extLst>
            <a:ext uri="{FF2B5EF4-FFF2-40B4-BE49-F238E27FC236}">
              <a16:creationId xmlns:a16="http://schemas.microsoft.com/office/drawing/2014/main" id="{00000000-0008-0000-0300-00001F000000}"/>
            </a:ext>
          </a:extLst>
        </xdr:cNvPr>
        <xdr:cNvSpPr/>
      </xdr:nvSpPr>
      <xdr:spPr>
        <a:xfrm rot="5400000">
          <a:off x="3172460" y="5636260"/>
          <a:ext cx="703580" cy="1358900"/>
        </a:xfrm>
        <a:prstGeom prst="bentArrow">
          <a:avLst>
            <a:gd name="adj1" fmla="val 0"/>
            <a:gd name="adj2" fmla="val 0"/>
            <a:gd name="adj3" fmla="val 18051"/>
            <a:gd name="adj4" fmla="val 3963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37</xdr:row>
      <xdr:rowOff>171450</xdr:rowOff>
    </xdr:from>
    <xdr:to>
      <xdr:col>14</xdr:col>
      <xdr:colOff>75610</xdr:colOff>
      <xdr:row>39</xdr:row>
      <xdr:rowOff>101946</xdr:rowOff>
    </xdr:to>
    <xdr:sp macro="" textlink="">
      <xdr:nvSpPr>
        <xdr:cNvPr id="47" name="Text Footer">
          <a:extLst>
            <a:ext uri="{FF2B5EF4-FFF2-40B4-BE49-F238E27FC236}">
              <a16:creationId xmlns:a16="http://schemas.microsoft.com/office/drawing/2014/main" id="{00000000-0008-0000-0300-00002F000000}"/>
            </a:ext>
          </a:extLst>
        </xdr:cNvPr>
        <xdr:cNvSpPr txBox="1"/>
      </xdr:nvSpPr>
      <xdr:spPr>
        <a:xfrm>
          <a:off x="127000" y="7620000"/>
          <a:ext cx="8102010" cy="298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400" b="1">
              <a:solidFill>
                <a:srgbClr val="E62733"/>
              </a:solidFill>
            </a:rPr>
            <a:t>95% of unmanaged faecal waste ends up in the environment.</a:t>
          </a:r>
        </a:p>
      </xdr:txBody>
    </xdr:sp>
    <xdr:clientData/>
  </xdr:twoCellAnchor>
  <xdr:twoCellAnchor>
    <xdr:from>
      <xdr:col>9</xdr:col>
      <xdr:colOff>457200</xdr:colOff>
      <xdr:row>31</xdr:row>
      <xdr:rowOff>133350</xdr:rowOff>
    </xdr:from>
    <xdr:to>
      <xdr:col>14</xdr:col>
      <xdr:colOff>127000</xdr:colOff>
      <xdr:row>36</xdr:row>
      <xdr:rowOff>165100</xdr:rowOff>
    </xdr:to>
    <xdr:sp macro="" textlink="">
      <xdr:nvSpPr>
        <xdr:cNvPr id="41" name="Text Label 5">
          <a:extLst>
            <a:ext uri="{FF2B5EF4-FFF2-40B4-BE49-F238E27FC236}">
              <a16:creationId xmlns:a16="http://schemas.microsoft.com/office/drawing/2014/main" id="{00000000-0008-0000-0300-000029000000}"/>
            </a:ext>
          </a:extLst>
        </xdr:cNvPr>
        <xdr:cNvSpPr txBox="1"/>
      </xdr:nvSpPr>
      <xdr:spPr>
        <a:xfrm>
          <a:off x="5562600" y="6477000"/>
          <a:ext cx="27178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endParaRPr lang="en-GB" sz="1200" b="1"/>
        </a:p>
      </xdr:txBody>
    </xdr:sp>
    <xdr:clientData/>
  </xdr:twoCellAnchor>
  <xdr:twoCellAnchor>
    <xdr:from>
      <xdr:col>7</xdr:col>
      <xdr:colOff>317500</xdr:colOff>
      <xdr:row>31</xdr:row>
      <xdr:rowOff>133350</xdr:rowOff>
    </xdr:from>
    <xdr:to>
      <xdr:col>9</xdr:col>
      <xdr:colOff>457200</xdr:colOff>
      <xdr:row>36</xdr:row>
      <xdr:rowOff>165100</xdr:rowOff>
    </xdr:to>
    <xdr:sp macro="" textlink="">
      <xdr:nvSpPr>
        <xdr:cNvPr id="42" name="Text Label 4">
          <a:extLst>
            <a:ext uri="{FF2B5EF4-FFF2-40B4-BE49-F238E27FC236}">
              <a16:creationId xmlns:a16="http://schemas.microsoft.com/office/drawing/2014/main" id="{00000000-0008-0000-0300-00002A000000}"/>
            </a:ext>
          </a:extLst>
        </xdr:cNvPr>
        <xdr:cNvSpPr txBox="1"/>
      </xdr:nvSpPr>
      <xdr:spPr>
        <a:xfrm>
          <a:off x="42037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Ilegal dumping</a:t>
          </a:r>
        </a:p>
      </xdr:txBody>
    </xdr:sp>
    <xdr:clientData/>
  </xdr:twoCellAnchor>
  <xdr:twoCellAnchor>
    <xdr:from>
      <xdr:col>5</xdr:col>
      <xdr:colOff>177800</xdr:colOff>
      <xdr:row>31</xdr:row>
      <xdr:rowOff>133350</xdr:rowOff>
    </xdr:from>
    <xdr:to>
      <xdr:col>7</xdr:col>
      <xdr:colOff>317500</xdr:colOff>
      <xdr:row>36</xdr:row>
      <xdr:rowOff>165100</xdr:rowOff>
    </xdr:to>
    <xdr:sp macro="" textlink="">
      <xdr:nvSpPr>
        <xdr:cNvPr id="43" name="Text Label 3">
          <a:extLst>
            <a:ext uri="{FF2B5EF4-FFF2-40B4-BE49-F238E27FC236}">
              <a16:creationId xmlns:a16="http://schemas.microsoft.com/office/drawing/2014/main" id="{00000000-0008-0000-0300-00002B000000}"/>
            </a:ext>
          </a:extLst>
        </xdr:cNvPr>
        <xdr:cNvSpPr txBox="1"/>
      </xdr:nvSpPr>
      <xdr:spPr>
        <a:xfrm>
          <a:off x="28448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Not emptied pits or tanks</a:t>
          </a:r>
        </a:p>
      </xdr:txBody>
    </xdr:sp>
    <xdr:clientData/>
  </xdr:twoCellAnchor>
  <xdr:twoCellAnchor>
    <xdr:from>
      <xdr:col>3</xdr:col>
      <xdr:colOff>38100</xdr:colOff>
      <xdr:row>31</xdr:row>
      <xdr:rowOff>133350</xdr:rowOff>
    </xdr:from>
    <xdr:to>
      <xdr:col>5</xdr:col>
      <xdr:colOff>177800</xdr:colOff>
      <xdr:row>36</xdr:row>
      <xdr:rowOff>165100</xdr:rowOff>
    </xdr:to>
    <xdr:sp macro="" textlink="">
      <xdr:nvSpPr>
        <xdr:cNvPr id="44" name="Text Label 2">
          <a:extLst>
            <a:ext uri="{FF2B5EF4-FFF2-40B4-BE49-F238E27FC236}">
              <a16:creationId xmlns:a16="http://schemas.microsoft.com/office/drawing/2014/main" id="{00000000-0008-0000-0300-00002C000000}"/>
            </a:ext>
          </a:extLst>
        </xdr:cNvPr>
        <xdr:cNvSpPr txBox="1"/>
      </xdr:nvSpPr>
      <xdr:spPr>
        <a:xfrm>
          <a:off x="14859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Seepage and discharge to environment</a:t>
          </a:r>
        </a:p>
      </xdr:txBody>
    </xdr:sp>
    <xdr:clientData/>
  </xdr:twoCellAnchor>
  <xdr:twoCellAnchor>
    <xdr:from>
      <xdr:col>0</xdr:col>
      <xdr:colOff>127000</xdr:colOff>
      <xdr:row>31</xdr:row>
      <xdr:rowOff>133350</xdr:rowOff>
    </xdr:from>
    <xdr:to>
      <xdr:col>3</xdr:col>
      <xdr:colOff>38100</xdr:colOff>
      <xdr:row>36</xdr:row>
      <xdr:rowOff>165100</xdr:rowOff>
    </xdr:to>
    <xdr:sp macro="" textlink="">
      <xdr:nvSpPr>
        <xdr:cNvPr id="45" name="Text Label 1">
          <a:extLst>
            <a:ext uri="{FF2B5EF4-FFF2-40B4-BE49-F238E27FC236}">
              <a16:creationId xmlns:a16="http://schemas.microsoft.com/office/drawing/2014/main" id="{00000000-0008-0000-0300-00002D000000}"/>
            </a:ext>
          </a:extLst>
        </xdr:cNvPr>
        <xdr:cNvSpPr txBox="1"/>
      </xdr:nvSpPr>
      <xdr:spPr>
        <a:xfrm>
          <a:off x="127000" y="6477000"/>
          <a:ext cx="1358900" cy="952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lang="en-GB" sz="1200" b="1"/>
            <a:t>Open defecation</a:t>
          </a:r>
        </a:p>
      </xdr:txBody>
    </xdr:sp>
    <xdr:clientData/>
  </xdr:twoCellAnchor>
  <xdr:twoCellAnchor>
    <xdr:from>
      <xdr:col>9</xdr:col>
      <xdr:colOff>457200</xdr:colOff>
      <xdr:row>26</xdr:row>
      <xdr:rowOff>74930</xdr:rowOff>
    </xdr:from>
    <xdr:to>
      <xdr:col>10</xdr:col>
      <xdr:colOff>590656</xdr:colOff>
      <xdr:row>28</xdr:row>
      <xdr:rowOff>14772</xdr:rowOff>
    </xdr:to>
    <xdr:sp macro="" textlink="">
      <xdr:nvSpPr>
        <xdr:cNvPr id="17" name="Red TextBox 5">
          <a:extLst>
            <a:ext uri="{FF2B5EF4-FFF2-40B4-BE49-F238E27FC236}">
              <a16:creationId xmlns:a16="http://schemas.microsoft.com/office/drawing/2014/main" id="{00000000-0008-0000-0300-000011000000}"/>
            </a:ext>
          </a:extLst>
        </xdr:cNvPr>
        <xdr:cNvSpPr txBox="1"/>
      </xdr:nvSpPr>
      <xdr:spPr>
        <a:xfrm>
          <a:off x="5562600" y="5497830"/>
          <a:ext cx="743056"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10.3%</a:t>
          </a:r>
          <a:endParaRPr lang="en-GB" sz="1100" b="1">
            <a:ln>
              <a:noFill/>
            </a:ln>
            <a:solidFill>
              <a:srgbClr val="E62733"/>
            </a:solidFill>
          </a:endParaRPr>
        </a:p>
      </xdr:txBody>
    </xdr:sp>
    <xdr:clientData/>
  </xdr:twoCellAnchor>
  <xdr:twoCellAnchor>
    <xdr:from>
      <xdr:col>7</xdr:col>
      <xdr:colOff>317500</xdr:colOff>
      <xdr:row>28</xdr:row>
      <xdr:rowOff>172720</xdr:rowOff>
    </xdr:from>
    <xdr:to>
      <xdr:col>8</xdr:col>
      <xdr:colOff>394651</xdr:colOff>
      <xdr:row>30</xdr:row>
      <xdr:rowOff>118912</xdr:rowOff>
    </xdr:to>
    <xdr:sp macro="" textlink="">
      <xdr:nvSpPr>
        <xdr:cNvPr id="22" name="Red TextBox 4">
          <a:extLst>
            <a:ext uri="{FF2B5EF4-FFF2-40B4-BE49-F238E27FC236}">
              <a16:creationId xmlns:a16="http://schemas.microsoft.com/office/drawing/2014/main" id="{00000000-0008-0000-0300-000016000000}"/>
            </a:ext>
          </a:extLst>
        </xdr:cNvPr>
        <xdr:cNvSpPr txBox="1"/>
      </xdr:nvSpPr>
      <xdr:spPr>
        <a:xfrm>
          <a:off x="4203700" y="5963920"/>
          <a:ext cx="686751"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400" b="1">
              <a:ln>
                <a:noFill/>
              </a:ln>
              <a:solidFill>
                <a:srgbClr val="E62733"/>
              </a:solidFill>
            </a:rPr>
            <a:t>73.4%</a:t>
          </a:r>
          <a:endParaRPr lang="en-GB" sz="1100" b="1">
            <a:ln>
              <a:noFill/>
            </a:ln>
            <a:solidFill>
              <a:srgbClr val="E62733"/>
            </a:solidFill>
          </a:endParaRPr>
        </a:p>
      </xdr:txBody>
    </xdr:sp>
    <xdr:clientData/>
  </xdr:twoCellAnchor>
  <xdr:twoCellAnchor>
    <xdr:from>
      <xdr:col>3</xdr:col>
      <xdr:colOff>38100</xdr:colOff>
      <xdr:row>29</xdr:row>
      <xdr:rowOff>13970</xdr:rowOff>
    </xdr:from>
    <xdr:to>
      <xdr:col>4</xdr:col>
      <xdr:colOff>86537</xdr:colOff>
      <xdr:row>30</xdr:row>
      <xdr:rowOff>144312</xdr:rowOff>
    </xdr:to>
    <xdr:sp macro="" textlink="">
      <xdr:nvSpPr>
        <xdr:cNvPr id="32" name="Red TextBox 2">
          <a:extLst>
            <a:ext uri="{FF2B5EF4-FFF2-40B4-BE49-F238E27FC236}">
              <a16:creationId xmlns:a16="http://schemas.microsoft.com/office/drawing/2014/main" id="{00000000-0008-0000-0300-000020000000}"/>
            </a:ext>
          </a:extLst>
        </xdr:cNvPr>
        <xdr:cNvSpPr txBox="1"/>
      </xdr:nvSpPr>
      <xdr:spPr>
        <a:xfrm>
          <a:off x="1485900" y="5989320"/>
          <a:ext cx="658037" cy="3144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1.1%</a:t>
          </a:r>
          <a:endParaRPr lang="en-GB" sz="1100" b="1">
            <a:ln>
              <a:noFill/>
            </a:ln>
            <a:solidFill>
              <a:srgbClr val="E62733"/>
            </a:solidFill>
          </a:endParaRPr>
        </a:p>
      </xdr:txBody>
    </xdr:sp>
    <xdr:clientData/>
  </xdr:twoCellAnchor>
  <xdr:twoCellAnchor>
    <xdr:from>
      <xdr:col>0</xdr:col>
      <xdr:colOff>127000</xdr:colOff>
      <xdr:row>29</xdr:row>
      <xdr:rowOff>57150</xdr:rowOff>
    </xdr:from>
    <xdr:to>
      <xdr:col>2</xdr:col>
      <xdr:colOff>39020</xdr:colOff>
      <xdr:row>30</xdr:row>
      <xdr:rowOff>181142</xdr:rowOff>
    </xdr:to>
    <xdr:sp macro="" textlink="">
      <xdr:nvSpPr>
        <xdr:cNvPr id="37" name="Red TextBox 1">
          <a:extLst>
            <a:ext uri="{FF2B5EF4-FFF2-40B4-BE49-F238E27FC236}">
              <a16:creationId xmlns:a16="http://schemas.microsoft.com/office/drawing/2014/main" id="{00000000-0008-0000-0300-000025000000}"/>
            </a:ext>
          </a:extLst>
        </xdr:cNvPr>
        <xdr:cNvSpPr txBox="1"/>
      </xdr:nvSpPr>
      <xdr:spPr>
        <a:xfrm>
          <a:off x="127000" y="6032500"/>
          <a:ext cx="750220" cy="3081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ln>
                <a:noFill/>
              </a:ln>
              <a:solidFill>
                <a:srgbClr val="E62733"/>
              </a:solidFill>
            </a:rPr>
            <a:t>9.7%</a:t>
          </a:r>
          <a:endParaRPr lang="en-GB" sz="1100" b="1">
            <a:ln>
              <a:noFill/>
            </a:ln>
            <a:solidFill>
              <a:srgbClr val="E62733"/>
            </a:solidFill>
          </a:endParaRPr>
        </a:p>
      </xdr:txBody>
    </xdr:sp>
    <xdr:clientData/>
  </xdr:twoCellAnchor>
  <xdr:twoCellAnchor>
    <xdr:from>
      <xdr:col>11</xdr:col>
      <xdr:colOff>596900</xdr:colOff>
      <xdr:row>24</xdr:row>
      <xdr:rowOff>54811</xdr:rowOff>
    </xdr:from>
    <xdr:to>
      <xdr:col>13</xdr:col>
      <xdr:colOff>128367</xdr:colOff>
      <xdr:row>25</xdr:row>
      <xdr:rowOff>158750</xdr:rowOff>
    </xdr:to>
    <xdr:sp macro="" textlink="">
      <xdr:nvSpPr>
        <xdr:cNvPr id="18" name="Grn TextBox 6">
          <a:extLst>
            <a:ext uri="{FF2B5EF4-FFF2-40B4-BE49-F238E27FC236}">
              <a16:creationId xmlns:a16="http://schemas.microsoft.com/office/drawing/2014/main" id="{00000000-0008-0000-0300-000012000000}"/>
            </a:ext>
          </a:extLst>
        </xdr:cNvPr>
        <xdr:cNvSpPr txBox="1"/>
      </xdr:nvSpPr>
      <xdr:spPr>
        <a:xfrm>
          <a:off x="6921500" y="5109411"/>
          <a:ext cx="750667" cy="2880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5.5%</a:t>
          </a:r>
        </a:p>
      </xdr:txBody>
    </xdr:sp>
    <xdr:clientData/>
  </xdr:twoCellAnchor>
  <xdr:twoCellAnchor>
    <xdr:from>
      <xdr:col>9</xdr:col>
      <xdr:colOff>457200</xdr:colOff>
      <xdr:row>24</xdr:row>
      <xdr:rowOff>54811</xdr:rowOff>
    </xdr:from>
    <xdr:to>
      <xdr:col>10</xdr:col>
      <xdr:colOff>590656</xdr:colOff>
      <xdr:row>25</xdr:row>
      <xdr:rowOff>158750</xdr:rowOff>
    </xdr:to>
    <xdr:sp macro="" textlink="">
      <xdr:nvSpPr>
        <xdr:cNvPr id="10" name="Grn TextBox 5">
          <a:extLst>
            <a:ext uri="{FF2B5EF4-FFF2-40B4-BE49-F238E27FC236}">
              <a16:creationId xmlns:a16="http://schemas.microsoft.com/office/drawing/2014/main" id="{00000000-0008-0000-0300-00000A000000}"/>
            </a:ext>
          </a:extLst>
        </xdr:cNvPr>
        <xdr:cNvSpPr txBox="1"/>
      </xdr:nvSpPr>
      <xdr:spPr>
        <a:xfrm>
          <a:off x="5562600" y="5109411"/>
          <a:ext cx="743056"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5.5%</a:t>
          </a:r>
        </a:p>
      </xdr:txBody>
    </xdr:sp>
    <xdr:clientData/>
  </xdr:twoCellAnchor>
  <xdr:twoCellAnchor>
    <xdr:from>
      <xdr:col>7</xdr:col>
      <xdr:colOff>317500</xdr:colOff>
      <xdr:row>24</xdr:row>
      <xdr:rowOff>54811</xdr:rowOff>
    </xdr:from>
    <xdr:to>
      <xdr:col>8</xdr:col>
      <xdr:colOff>394650</xdr:colOff>
      <xdr:row>25</xdr:row>
      <xdr:rowOff>158750</xdr:rowOff>
    </xdr:to>
    <xdr:sp macro="" textlink="">
      <xdr:nvSpPr>
        <xdr:cNvPr id="23" name="Grn TextBox 4">
          <a:extLst>
            <a:ext uri="{FF2B5EF4-FFF2-40B4-BE49-F238E27FC236}">
              <a16:creationId xmlns:a16="http://schemas.microsoft.com/office/drawing/2014/main" id="{00000000-0008-0000-0300-000017000000}"/>
            </a:ext>
          </a:extLst>
        </xdr:cNvPr>
        <xdr:cNvSpPr txBox="1"/>
      </xdr:nvSpPr>
      <xdr:spPr>
        <a:xfrm>
          <a:off x="4203700" y="5109411"/>
          <a:ext cx="686750"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400" b="1">
              <a:solidFill>
                <a:srgbClr val="039579"/>
              </a:solidFill>
            </a:rPr>
            <a:t>15.8%</a:t>
          </a:r>
        </a:p>
      </xdr:txBody>
    </xdr:sp>
    <xdr:clientData/>
  </xdr:twoCellAnchor>
  <xdr:twoCellAnchor>
    <xdr:from>
      <xdr:col>5</xdr:col>
      <xdr:colOff>177800</xdr:colOff>
      <xdr:row>24</xdr:row>
      <xdr:rowOff>54811</xdr:rowOff>
    </xdr:from>
    <xdr:to>
      <xdr:col>6</xdr:col>
      <xdr:colOff>240407</xdr:colOff>
      <xdr:row>25</xdr:row>
      <xdr:rowOff>158750</xdr:rowOff>
    </xdr:to>
    <xdr:sp macro="" textlink="">
      <xdr:nvSpPr>
        <xdr:cNvPr id="28" name="Grn TextBox 3">
          <a:extLst>
            <a:ext uri="{FF2B5EF4-FFF2-40B4-BE49-F238E27FC236}">
              <a16:creationId xmlns:a16="http://schemas.microsoft.com/office/drawing/2014/main" id="{00000000-0008-0000-0300-00001C000000}"/>
            </a:ext>
          </a:extLst>
        </xdr:cNvPr>
        <xdr:cNvSpPr txBox="1"/>
      </xdr:nvSpPr>
      <xdr:spPr>
        <a:xfrm>
          <a:off x="2844800" y="5109411"/>
          <a:ext cx="672207"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89.2%</a:t>
          </a:r>
        </a:p>
      </xdr:txBody>
    </xdr:sp>
    <xdr:clientData/>
  </xdr:twoCellAnchor>
  <xdr:twoCellAnchor>
    <xdr:from>
      <xdr:col>3</xdr:col>
      <xdr:colOff>38100</xdr:colOff>
      <xdr:row>24</xdr:row>
      <xdr:rowOff>54811</xdr:rowOff>
    </xdr:from>
    <xdr:to>
      <xdr:col>4</xdr:col>
      <xdr:colOff>86536</xdr:colOff>
      <xdr:row>25</xdr:row>
      <xdr:rowOff>158750</xdr:rowOff>
    </xdr:to>
    <xdr:sp macro="" textlink="">
      <xdr:nvSpPr>
        <xdr:cNvPr id="33" name="Grn TextBox 2">
          <a:extLst>
            <a:ext uri="{FF2B5EF4-FFF2-40B4-BE49-F238E27FC236}">
              <a16:creationId xmlns:a16="http://schemas.microsoft.com/office/drawing/2014/main" id="{00000000-0008-0000-0300-000021000000}"/>
            </a:ext>
          </a:extLst>
        </xdr:cNvPr>
        <xdr:cNvSpPr txBox="1"/>
      </xdr:nvSpPr>
      <xdr:spPr>
        <a:xfrm>
          <a:off x="1485900" y="5109411"/>
          <a:ext cx="658036"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89.2%</a:t>
          </a:r>
        </a:p>
      </xdr:txBody>
    </xdr:sp>
    <xdr:clientData/>
  </xdr:twoCellAnchor>
  <xdr:twoCellAnchor>
    <xdr:from>
      <xdr:col>0</xdr:col>
      <xdr:colOff>127000</xdr:colOff>
      <xdr:row>24</xdr:row>
      <xdr:rowOff>54811</xdr:rowOff>
    </xdr:from>
    <xdr:to>
      <xdr:col>2</xdr:col>
      <xdr:colOff>39019</xdr:colOff>
      <xdr:row>25</xdr:row>
      <xdr:rowOff>158750</xdr:rowOff>
    </xdr:to>
    <xdr:sp macro="" textlink="">
      <xdr:nvSpPr>
        <xdr:cNvPr id="38" name="Grn TextBox 1">
          <a:extLst>
            <a:ext uri="{FF2B5EF4-FFF2-40B4-BE49-F238E27FC236}">
              <a16:creationId xmlns:a16="http://schemas.microsoft.com/office/drawing/2014/main" id="{00000000-0008-0000-0300-000026000000}"/>
            </a:ext>
          </a:extLst>
        </xdr:cNvPr>
        <xdr:cNvSpPr txBox="1"/>
      </xdr:nvSpPr>
      <xdr:spPr>
        <a:xfrm>
          <a:off x="127000" y="5109411"/>
          <a:ext cx="750219" cy="28808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39579"/>
              </a:solidFill>
            </a:rPr>
            <a:t>90.3%</a:t>
          </a:r>
        </a:p>
      </xdr:txBody>
    </xdr:sp>
    <xdr:clientData/>
  </xdr:twoCellAnchor>
  <xdr:twoCellAnchor>
    <xdr:from>
      <xdr:col>11</xdr:col>
      <xdr:colOff>596900</xdr:colOff>
      <xdr:row>25</xdr:row>
      <xdr:rowOff>158750</xdr:rowOff>
    </xdr:from>
    <xdr:to>
      <xdr:col>14</xdr:col>
      <xdr:colOff>144463</xdr:colOff>
      <xdr:row>26</xdr:row>
      <xdr:rowOff>9525</xdr:rowOff>
    </xdr:to>
    <xdr:sp macro="" textlink="">
      <xdr:nvSpPr>
        <xdr:cNvPr id="20" name="Grn Arrow 6">
          <a:extLst>
            <a:ext uri="{FF2B5EF4-FFF2-40B4-BE49-F238E27FC236}">
              <a16:creationId xmlns:a16="http://schemas.microsoft.com/office/drawing/2014/main" id="{00000000-0008-0000-0300-000014000000}"/>
            </a:ext>
          </a:extLst>
        </xdr:cNvPr>
        <xdr:cNvSpPr/>
      </xdr:nvSpPr>
      <xdr:spPr>
        <a:xfrm>
          <a:off x="6921500" y="5397500"/>
          <a:ext cx="1376363" cy="3492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457200</xdr:colOff>
      <xdr:row>25</xdr:row>
      <xdr:rowOff>158750</xdr:rowOff>
    </xdr:from>
    <xdr:to>
      <xdr:col>12</xdr:col>
      <xdr:colOff>4763</xdr:colOff>
      <xdr:row>26</xdr:row>
      <xdr:rowOff>9525</xdr:rowOff>
    </xdr:to>
    <xdr:sp macro="" textlink="">
      <xdr:nvSpPr>
        <xdr:cNvPr id="25" name="Grn Arrow 5">
          <a:extLst>
            <a:ext uri="{FF2B5EF4-FFF2-40B4-BE49-F238E27FC236}">
              <a16:creationId xmlns:a16="http://schemas.microsoft.com/office/drawing/2014/main" id="{00000000-0008-0000-0300-000019000000}"/>
            </a:ext>
          </a:extLst>
        </xdr:cNvPr>
        <xdr:cNvSpPr/>
      </xdr:nvSpPr>
      <xdr:spPr>
        <a:xfrm>
          <a:off x="5562600" y="5397500"/>
          <a:ext cx="1376363" cy="3492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457201</xdr:colOff>
      <xdr:row>26</xdr:row>
      <xdr:rowOff>9525</xdr:rowOff>
    </xdr:from>
    <xdr:to>
      <xdr:col>11</xdr:col>
      <xdr:colOff>596901</xdr:colOff>
      <xdr:row>32</xdr:row>
      <xdr:rowOff>139700</xdr:rowOff>
    </xdr:to>
    <xdr:sp macro="" textlink="">
      <xdr:nvSpPr>
        <xdr:cNvPr id="26" name="Red Arrow 5">
          <a:extLst>
            <a:ext uri="{FF2B5EF4-FFF2-40B4-BE49-F238E27FC236}">
              <a16:creationId xmlns:a16="http://schemas.microsoft.com/office/drawing/2014/main" id="{00000000-0008-0000-0300-00001A000000}"/>
            </a:ext>
          </a:extLst>
        </xdr:cNvPr>
        <xdr:cNvSpPr/>
      </xdr:nvSpPr>
      <xdr:spPr>
        <a:xfrm rot="5400000">
          <a:off x="5624513" y="5370513"/>
          <a:ext cx="1235075" cy="1358900"/>
        </a:xfrm>
        <a:prstGeom prst="bentArrow">
          <a:avLst>
            <a:gd name="adj1" fmla="val 5296"/>
            <a:gd name="adj2" fmla="val 4813"/>
            <a:gd name="adj3" fmla="val 10283"/>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7</xdr:col>
      <xdr:colOff>317500</xdr:colOff>
      <xdr:row>25</xdr:row>
      <xdr:rowOff>158750</xdr:rowOff>
    </xdr:from>
    <xdr:to>
      <xdr:col>9</xdr:col>
      <xdr:colOff>507365</xdr:colOff>
      <xdr:row>26</xdr:row>
      <xdr:rowOff>74930</xdr:rowOff>
    </xdr:to>
    <xdr:sp macro="" textlink="">
      <xdr:nvSpPr>
        <xdr:cNvPr id="30" name="Grn Arrow 4">
          <a:extLst>
            <a:ext uri="{FF2B5EF4-FFF2-40B4-BE49-F238E27FC236}">
              <a16:creationId xmlns:a16="http://schemas.microsoft.com/office/drawing/2014/main" id="{00000000-0008-0000-0300-00001E000000}"/>
            </a:ext>
          </a:extLst>
        </xdr:cNvPr>
        <xdr:cNvSpPr/>
      </xdr:nvSpPr>
      <xdr:spPr>
        <a:xfrm>
          <a:off x="4203700" y="5397500"/>
          <a:ext cx="1409065" cy="10033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317500</xdr:colOff>
      <xdr:row>26</xdr:row>
      <xdr:rowOff>74930</xdr:rowOff>
    </xdr:from>
    <xdr:to>
      <xdr:col>9</xdr:col>
      <xdr:colOff>457200</xdr:colOff>
      <xdr:row>32</xdr:row>
      <xdr:rowOff>139700</xdr:rowOff>
    </xdr:to>
    <xdr:sp macro="" textlink="">
      <xdr:nvSpPr>
        <xdr:cNvPr id="21" name="Red Arrow 4">
          <a:extLst>
            <a:ext uri="{FF2B5EF4-FFF2-40B4-BE49-F238E27FC236}">
              <a16:creationId xmlns:a16="http://schemas.microsoft.com/office/drawing/2014/main" id="{00000000-0008-0000-0300-000015000000}"/>
            </a:ext>
          </a:extLst>
        </xdr:cNvPr>
        <xdr:cNvSpPr/>
      </xdr:nvSpPr>
      <xdr:spPr>
        <a:xfrm rot="5400000">
          <a:off x="4298315" y="5403215"/>
          <a:ext cx="1169670" cy="1358900"/>
        </a:xfrm>
        <a:prstGeom prst="bentArrow">
          <a:avLst>
            <a:gd name="adj1" fmla="val 39848"/>
            <a:gd name="adj2" fmla="val 34299"/>
            <a:gd name="adj3" fmla="val 10858"/>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177800</xdr:colOff>
      <xdr:row>25</xdr:row>
      <xdr:rowOff>158750</xdr:rowOff>
    </xdr:from>
    <xdr:to>
      <xdr:col>7</xdr:col>
      <xdr:colOff>600710</xdr:colOff>
      <xdr:row>28</xdr:row>
      <xdr:rowOff>172720</xdr:rowOff>
    </xdr:to>
    <xdr:sp macro="" textlink="">
      <xdr:nvSpPr>
        <xdr:cNvPr id="35" name="Grn Arrow 3">
          <a:extLst>
            <a:ext uri="{FF2B5EF4-FFF2-40B4-BE49-F238E27FC236}">
              <a16:creationId xmlns:a16="http://schemas.microsoft.com/office/drawing/2014/main" id="{00000000-0008-0000-0300-000023000000}"/>
            </a:ext>
          </a:extLst>
        </xdr:cNvPr>
        <xdr:cNvSpPr/>
      </xdr:nvSpPr>
      <xdr:spPr>
        <a:xfrm>
          <a:off x="2844800" y="5397500"/>
          <a:ext cx="1642110" cy="56642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38100</xdr:colOff>
      <xdr:row>25</xdr:row>
      <xdr:rowOff>158750</xdr:rowOff>
    </xdr:from>
    <xdr:to>
      <xdr:col>5</xdr:col>
      <xdr:colOff>461010</xdr:colOff>
      <xdr:row>28</xdr:row>
      <xdr:rowOff>172720</xdr:rowOff>
    </xdr:to>
    <xdr:sp macro="" textlink="">
      <xdr:nvSpPr>
        <xdr:cNvPr id="40" name="Grn Arrow 2">
          <a:extLst>
            <a:ext uri="{FF2B5EF4-FFF2-40B4-BE49-F238E27FC236}">
              <a16:creationId xmlns:a16="http://schemas.microsoft.com/office/drawing/2014/main" id="{00000000-0008-0000-0300-000028000000}"/>
            </a:ext>
          </a:extLst>
        </xdr:cNvPr>
        <xdr:cNvSpPr/>
      </xdr:nvSpPr>
      <xdr:spPr>
        <a:xfrm>
          <a:off x="1485900" y="5397500"/>
          <a:ext cx="1642110" cy="566420"/>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38100</xdr:colOff>
      <xdr:row>28</xdr:row>
      <xdr:rowOff>172720</xdr:rowOff>
    </xdr:from>
    <xdr:to>
      <xdr:col>5</xdr:col>
      <xdr:colOff>177800</xdr:colOff>
      <xdr:row>32</xdr:row>
      <xdr:rowOff>139700</xdr:rowOff>
    </xdr:to>
    <xdr:sp macro="" textlink="">
      <xdr:nvSpPr>
        <xdr:cNvPr id="36" name="Red Arrow 2">
          <a:extLst>
            <a:ext uri="{FF2B5EF4-FFF2-40B4-BE49-F238E27FC236}">
              <a16:creationId xmlns:a16="http://schemas.microsoft.com/office/drawing/2014/main" id="{00000000-0008-0000-0300-000024000000}"/>
            </a:ext>
          </a:extLst>
        </xdr:cNvPr>
        <xdr:cNvSpPr/>
      </xdr:nvSpPr>
      <xdr:spPr>
        <a:xfrm rot="5400000">
          <a:off x="1813560" y="5636260"/>
          <a:ext cx="703580" cy="1358900"/>
        </a:xfrm>
        <a:prstGeom prst="bentArrow">
          <a:avLst>
            <a:gd name="adj1" fmla="val 3610"/>
            <a:gd name="adj2" fmla="val 1869"/>
            <a:gd name="adj3" fmla="val 18051"/>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25</xdr:row>
      <xdr:rowOff>158750</xdr:rowOff>
    </xdr:from>
    <xdr:to>
      <xdr:col>3</xdr:col>
      <xdr:colOff>324802</xdr:colOff>
      <xdr:row>28</xdr:row>
      <xdr:rowOff>179705</xdr:rowOff>
    </xdr:to>
    <xdr:sp macro="" textlink="">
      <xdr:nvSpPr>
        <xdr:cNvPr id="3" name="Grn Arrow 1">
          <a:extLst>
            <a:ext uri="{FF2B5EF4-FFF2-40B4-BE49-F238E27FC236}">
              <a16:creationId xmlns:a16="http://schemas.microsoft.com/office/drawing/2014/main" id="{00000000-0008-0000-0300-000003000000}"/>
            </a:ext>
          </a:extLst>
        </xdr:cNvPr>
        <xdr:cNvSpPr/>
      </xdr:nvSpPr>
      <xdr:spPr>
        <a:xfrm>
          <a:off x="127000" y="5397500"/>
          <a:ext cx="1645602" cy="573405"/>
        </a:xfrm>
        <a:prstGeom prst="homePlate">
          <a:avLst>
            <a:gd name="adj" fmla="val 50000"/>
          </a:avLst>
        </a:prstGeom>
        <a:solidFill>
          <a:srgbClr val="039579"/>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127001</xdr:colOff>
      <xdr:row>28</xdr:row>
      <xdr:rowOff>179705</xdr:rowOff>
    </xdr:from>
    <xdr:to>
      <xdr:col>3</xdr:col>
      <xdr:colOff>38101</xdr:colOff>
      <xdr:row>32</xdr:row>
      <xdr:rowOff>139700</xdr:rowOff>
    </xdr:to>
    <xdr:sp macro="" textlink="">
      <xdr:nvSpPr>
        <xdr:cNvPr id="16" name="Red Arrow 1">
          <a:extLst>
            <a:ext uri="{FF2B5EF4-FFF2-40B4-BE49-F238E27FC236}">
              <a16:creationId xmlns:a16="http://schemas.microsoft.com/office/drawing/2014/main" id="{00000000-0008-0000-0300-000010000000}"/>
            </a:ext>
          </a:extLst>
        </xdr:cNvPr>
        <xdr:cNvSpPr/>
      </xdr:nvSpPr>
      <xdr:spPr>
        <a:xfrm rot="5400000">
          <a:off x="458153" y="5639753"/>
          <a:ext cx="696595" cy="1358900"/>
        </a:xfrm>
        <a:prstGeom prst="bentArrow">
          <a:avLst>
            <a:gd name="adj1" fmla="val 8842"/>
            <a:gd name="adj2" fmla="val 4533"/>
            <a:gd name="adj3" fmla="val 18232"/>
            <a:gd name="adj4" fmla="val 25000"/>
          </a:avLst>
        </a:prstGeom>
        <a:solidFill>
          <a:srgbClr val="E62733"/>
        </a:solidFill>
        <a:ln w="127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0</xdr:col>
      <xdr:colOff>127000</xdr:colOff>
      <xdr:row>22</xdr:row>
      <xdr:rowOff>76200</xdr:rowOff>
    </xdr:from>
    <xdr:to>
      <xdr:col>14</xdr:col>
      <xdr:colOff>59866</xdr:colOff>
      <xdr:row>23</xdr:row>
      <xdr:rowOff>161158</xdr:rowOff>
    </xdr:to>
    <xdr:sp macro="" textlink="">
      <xdr:nvSpPr>
        <xdr:cNvPr id="46" name="Text Header">
          <a:extLst>
            <a:ext uri="{FF2B5EF4-FFF2-40B4-BE49-F238E27FC236}">
              <a16:creationId xmlns:a16="http://schemas.microsoft.com/office/drawing/2014/main" id="{00000000-0008-0000-0300-00002E000000}"/>
            </a:ext>
          </a:extLst>
        </xdr:cNvPr>
        <xdr:cNvSpPr txBox="1"/>
      </xdr:nvSpPr>
      <xdr:spPr>
        <a:xfrm>
          <a:off x="127000" y="4762500"/>
          <a:ext cx="8086266" cy="2691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en-GB" sz="1800" b="1"/>
            <a:t>Faecal sludge</a:t>
          </a:r>
          <a:r>
            <a:rPr lang="en-GB" sz="1800" b="1" baseline="0"/>
            <a:t> flow diagram</a:t>
          </a:r>
          <a:endParaRPr lang="en-GB" sz="1800" b="1"/>
        </a:p>
      </xdr:txBody>
    </xdr:sp>
    <xdr:clientData/>
  </xdr:twoCellAnchor>
  <xdr:twoCellAnchor>
    <xdr:from>
      <xdr:col>0</xdr:col>
      <xdr:colOff>0</xdr:colOff>
      <xdr:row>5</xdr:row>
      <xdr:rowOff>119065</xdr:rowOff>
    </xdr:from>
    <xdr:to>
      <xdr:col>14</xdr:col>
      <xdr:colOff>351844</xdr:colOff>
      <xdr:row>20</xdr:row>
      <xdr:rowOff>109540</xdr:rowOff>
    </xdr:to>
    <xdr:pic>
      <xdr:nvPicPr>
        <xdr:cNvPr id="4" name="Service Chain Image">
          <a:extLst>
            <a:ext uri="{FF2B5EF4-FFF2-40B4-BE49-F238E27FC236}">
              <a16:creationId xmlns:a16="http://schemas.microsoft.com/office/drawing/2014/main" id="{00000000-0008-0000-0300-000004000000}"/>
            </a:ext>
          </a:extLst>
        </xdr:cNvPr>
        <xdr:cNvPicPr>
          <a:picLocks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78" r="-1078"/>
        <a:stretch/>
      </xdr:blipFill>
      <xdr:spPr bwMode="auto">
        <a:xfrm>
          <a:off x="0" y="1690690"/>
          <a:ext cx="8460000" cy="2847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140906</xdr:colOff>
      <xdr:row>36</xdr:row>
      <xdr:rowOff>45260</xdr:rowOff>
    </xdr:from>
    <xdr:to>
      <xdr:col>14</xdr:col>
      <xdr:colOff>56991</xdr:colOff>
      <xdr:row>38</xdr:row>
      <xdr:rowOff>30020</xdr:rowOff>
    </xdr:to>
    <xdr:sp macro="" textlink="">
      <xdr:nvSpPr>
        <xdr:cNvPr id="7" name="Brace">
          <a:extLst>
            <a:ext uri="{FF2B5EF4-FFF2-40B4-BE49-F238E27FC236}">
              <a16:creationId xmlns:a16="http://schemas.microsoft.com/office/drawing/2014/main" id="{00000000-0008-0000-0300-000007000000}"/>
            </a:ext>
          </a:extLst>
        </xdr:cNvPr>
        <xdr:cNvSpPr/>
      </xdr:nvSpPr>
      <xdr:spPr>
        <a:xfrm rot="5400000">
          <a:off x="4011818" y="3381598"/>
          <a:ext cx="349885" cy="8091710"/>
        </a:xfrm>
        <a:prstGeom prst="rightBrace">
          <a:avLst>
            <a:gd name="adj1" fmla="val 37437"/>
            <a:gd name="adj2" fmla="val 50000"/>
          </a:avLst>
        </a:prstGeom>
        <a:ln w="28575">
          <a:solidFill>
            <a:srgbClr val="E6273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127000</xdr:colOff>
      <xdr:row>0</xdr:row>
      <xdr:rowOff>127000</xdr:rowOff>
    </xdr:from>
    <xdr:to>
      <xdr:col>1</xdr:col>
      <xdr:colOff>519083</xdr:colOff>
      <xdr:row>6</xdr:row>
      <xdr:rowOff>64000</xdr:rowOff>
    </xdr:to>
    <xdr:sp macro="" textlink="">
      <xdr:nvSpPr>
        <xdr:cNvPr id="6" name="Turn Down Arrow">
          <a:extLst>
            <a:ext uri="{FF2B5EF4-FFF2-40B4-BE49-F238E27FC236}">
              <a16:creationId xmlns:a16="http://schemas.microsoft.com/office/drawing/2014/main" id="{00000000-0008-0000-0400-000006000000}"/>
            </a:ext>
          </a:extLst>
        </xdr:cNvPr>
        <xdr:cNvSpPr/>
      </xdr:nvSpPr>
      <xdr:spPr>
        <a:xfrm>
          <a:off x="127000" y="127000"/>
          <a:ext cx="1080000" cy="1080000"/>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546822" h="3810000">
              <a:moveTo>
                <a:pt x="0" y="0"/>
              </a:moveTo>
              <a:lnTo>
                <a:pt x="1273411" y="0"/>
              </a:lnTo>
              <a:cubicBezTo>
                <a:pt x="1910117" y="0"/>
                <a:pt x="2546822" y="635000"/>
                <a:pt x="2546822" y="1270000"/>
              </a:cubicBezTo>
              <a:lnTo>
                <a:pt x="2546822" y="3556000"/>
              </a:lnTo>
              <a:lnTo>
                <a:pt x="1910117" y="3810000"/>
              </a:lnTo>
              <a:lnTo>
                <a:pt x="1273411" y="3556000"/>
              </a:lnTo>
              <a:lnTo>
                <a:pt x="1273411" y="2540000"/>
              </a:lnTo>
              <a:cubicBezTo>
                <a:pt x="1273411" y="2222500"/>
                <a:pt x="955058" y="1905000"/>
                <a:pt x="636706" y="1905000"/>
              </a:cubicBezTo>
              <a:lnTo>
                <a:pt x="0" y="1905000"/>
              </a:lnTo>
              <a:lnTo>
                <a:pt x="0" y="0"/>
              </a:lnTo>
              <a:close/>
            </a:path>
          </a:pathLst>
        </a:custGeom>
        <a:solidFill>
          <a:srgbClr val="E62732"/>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r>
            <a:rPr lang="en-GB" sz="1100"/>
            <a:t>Turn Down Arrow</a:t>
          </a:r>
        </a:p>
      </xdr:txBody>
    </xdr:sp>
    <xdr:clientData/>
  </xdr:twoCellAnchor>
  <xdr:twoCellAnchor>
    <xdr:from>
      <xdr:col>2</xdr:col>
      <xdr:colOff>169335</xdr:colOff>
      <xdr:row>0</xdr:row>
      <xdr:rowOff>126999</xdr:rowOff>
    </xdr:from>
    <xdr:to>
      <xdr:col>3</xdr:col>
      <xdr:colOff>561418</xdr:colOff>
      <xdr:row>6</xdr:row>
      <xdr:rowOff>63999</xdr:rowOff>
    </xdr:to>
    <xdr:sp macro="" textlink="">
      <xdr:nvSpPr>
        <xdr:cNvPr id="7" name="Right Arrow">
          <a:extLst>
            <a:ext uri="{FF2B5EF4-FFF2-40B4-BE49-F238E27FC236}">
              <a16:creationId xmlns:a16="http://schemas.microsoft.com/office/drawing/2014/main" id="{00000000-0008-0000-0400-000007000000}"/>
            </a:ext>
          </a:extLst>
        </xdr:cNvPr>
        <xdr:cNvSpPr/>
      </xdr:nvSpPr>
      <xdr:spPr>
        <a:xfrm>
          <a:off x="1545168" y="126999"/>
          <a:ext cx="1080000" cy="10800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5898" h="3810001">
              <a:moveTo>
                <a:pt x="0" y="0"/>
              </a:moveTo>
              <a:lnTo>
                <a:pt x="2291308" y="1"/>
              </a:lnTo>
              <a:lnTo>
                <a:pt x="2545898" y="1905001"/>
              </a:lnTo>
              <a:lnTo>
                <a:pt x="2291308" y="3810001"/>
              </a:lnTo>
              <a:lnTo>
                <a:pt x="0" y="3810001"/>
              </a:lnTo>
              <a:lnTo>
                <a:pt x="0" y="1"/>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r>
            <a:rPr lang="en-GB" sz="1100"/>
            <a:t>Right Arrow</a:t>
          </a:r>
        </a:p>
      </xdr:txBody>
    </xdr:sp>
    <xdr:clientData/>
  </xdr:twoCellAnchor>
  <xdr:twoCellAnchor>
    <xdr:from>
      <xdr:col>4</xdr:col>
      <xdr:colOff>135466</xdr:colOff>
      <xdr:row>0</xdr:row>
      <xdr:rowOff>116416</xdr:rowOff>
    </xdr:from>
    <xdr:to>
      <xdr:col>5</xdr:col>
      <xdr:colOff>594783</xdr:colOff>
      <xdr:row>6</xdr:row>
      <xdr:rowOff>116416</xdr:rowOff>
    </xdr:to>
    <xdr:sp macro="" textlink="">
      <xdr:nvSpPr>
        <xdr:cNvPr id="8" name="Down Arrow">
          <a:extLst>
            <a:ext uri="{FF2B5EF4-FFF2-40B4-BE49-F238E27FC236}">
              <a16:creationId xmlns:a16="http://schemas.microsoft.com/office/drawing/2014/main" id="{00000000-0008-0000-0400-000008000000}"/>
            </a:ext>
          </a:extLst>
        </xdr:cNvPr>
        <xdr:cNvSpPr/>
      </xdr:nvSpPr>
      <xdr:spPr>
        <a:xfrm>
          <a:off x="2887133" y="116416"/>
          <a:ext cx="1147233" cy="11430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5169421 w 5169421"/>
            <a:gd name="connsiteY0" fmla="*/ 410686 h 3810001"/>
            <a:gd name="connsiteX1" fmla="*/ 2291308 w 5169421"/>
            <a:gd name="connsiteY1" fmla="*/ 1 h 3810001"/>
            <a:gd name="connsiteX2" fmla="*/ 2545898 w 5169421"/>
            <a:gd name="connsiteY2" fmla="*/ 1905001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2545898 w 5169421"/>
            <a:gd name="connsiteY2" fmla="*/ 1905001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3669589 w 5169421"/>
            <a:gd name="connsiteY2" fmla="*/ 2650826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3669589 w 5169421"/>
            <a:gd name="connsiteY2" fmla="*/ 2650826 h 3810001"/>
            <a:gd name="connsiteX3" fmla="*/ 2169757 w 5169421"/>
            <a:gd name="connsiteY3" fmla="*/ 1754770 h 3810001"/>
            <a:gd name="connsiteX4" fmla="*/ 0 w 5169421"/>
            <a:gd name="connsiteY4" fmla="*/ 3810001 h 3810001"/>
            <a:gd name="connsiteX5" fmla="*/ 0 w 5169421"/>
            <a:gd name="connsiteY5" fmla="*/ 1 h 3810001"/>
            <a:gd name="connsiteX0" fmla="*/ 5169421 w 5169421"/>
            <a:gd name="connsiteY0" fmla="*/ 410686 h 2650826"/>
            <a:gd name="connsiteX1" fmla="*/ 5169421 w 5169421"/>
            <a:gd name="connsiteY1" fmla="*/ 1754770 h 2650826"/>
            <a:gd name="connsiteX2" fmla="*/ 3669589 w 5169421"/>
            <a:gd name="connsiteY2" fmla="*/ 2650826 h 2650826"/>
            <a:gd name="connsiteX3" fmla="*/ 2169757 w 5169421"/>
            <a:gd name="connsiteY3" fmla="*/ 1754770 h 2650826"/>
            <a:gd name="connsiteX4" fmla="*/ 2169757 w 5169421"/>
            <a:gd name="connsiteY4" fmla="*/ 410686 h 2650826"/>
            <a:gd name="connsiteX5" fmla="*/ 0 w 5169421"/>
            <a:gd name="connsiteY5" fmla="*/ 1 h 2650826"/>
            <a:gd name="connsiteX0" fmla="*/ 2999664 w 2999664"/>
            <a:gd name="connsiteY0" fmla="*/ 0 h 2240140"/>
            <a:gd name="connsiteX1" fmla="*/ 2999664 w 2999664"/>
            <a:gd name="connsiteY1" fmla="*/ 1344084 h 2240140"/>
            <a:gd name="connsiteX2" fmla="*/ 1499832 w 2999664"/>
            <a:gd name="connsiteY2" fmla="*/ 2240140 h 2240140"/>
            <a:gd name="connsiteX3" fmla="*/ 0 w 2999664"/>
            <a:gd name="connsiteY3" fmla="*/ 1344084 h 2240140"/>
            <a:gd name="connsiteX4" fmla="*/ 0 w 2999664"/>
            <a:gd name="connsiteY4" fmla="*/ 0 h 2240140"/>
            <a:gd name="connsiteX5" fmla="*/ 2999664 w 2999664"/>
            <a:gd name="connsiteY5" fmla="*/ 4 h 2240140"/>
            <a:gd name="connsiteX0" fmla="*/ 5219411 w 5219411"/>
            <a:gd name="connsiteY0" fmla="*/ 293101 h 2240140"/>
            <a:gd name="connsiteX1" fmla="*/ 2999664 w 5219411"/>
            <a:gd name="connsiteY1" fmla="*/ 1344084 h 2240140"/>
            <a:gd name="connsiteX2" fmla="*/ 1499832 w 5219411"/>
            <a:gd name="connsiteY2" fmla="*/ 2240140 h 2240140"/>
            <a:gd name="connsiteX3" fmla="*/ 0 w 5219411"/>
            <a:gd name="connsiteY3" fmla="*/ 1344084 h 2240140"/>
            <a:gd name="connsiteX4" fmla="*/ 0 w 5219411"/>
            <a:gd name="connsiteY4" fmla="*/ 0 h 2240140"/>
            <a:gd name="connsiteX5" fmla="*/ 2999664 w 5219411"/>
            <a:gd name="connsiteY5" fmla="*/ 4 h 2240140"/>
            <a:gd name="connsiteX0" fmla="*/ 5219411 w 5219411"/>
            <a:gd name="connsiteY0" fmla="*/ 293101 h 2302948"/>
            <a:gd name="connsiteX1" fmla="*/ 5219409 w 5219411"/>
            <a:gd name="connsiteY1" fmla="*/ 2302948 h 2302948"/>
            <a:gd name="connsiteX2" fmla="*/ 1499832 w 5219411"/>
            <a:gd name="connsiteY2" fmla="*/ 2240140 h 2302948"/>
            <a:gd name="connsiteX3" fmla="*/ 0 w 5219411"/>
            <a:gd name="connsiteY3" fmla="*/ 1344084 h 2302948"/>
            <a:gd name="connsiteX4" fmla="*/ 0 w 5219411"/>
            <a:gd name="connsiteY4" fmla="*/ 0 h 2302948"/>
            <a:gd name="connsiteX5" fmla="*/ 2999664 w 5219411"/>
            <a:gd name="connsiteY5" fmla="*/ 4 h 2302948"/>
            <a:gd name="connsiteX0" fmla="*/ 5219411 w 5219411"/>
            <a:gd name="connsiteY0" fmla="*/ 293101 h 2805410"/>
            <a:gd name="connsiteX1" fmla="*/ 5219409 w 5219411"/>
            <a:gd name="connsiteY1" fmla="*/ 2302948 h 2805410"/>
            <a:gd name="connsiteX2" fmla="*/ 3719578 w 5219411"/>
            <a:gd name="connsiteY2" fmla="*/ 2805410 h 2805410"/>
            <a:gd name="connsiteX3" fmla="*/ 0 w 5219411"/>
            <a:gd name="connsiteY3" fmla="*/ 1344084 h 2805410"/>
            <a:gd name="connsiteX4" fmla="*/ 0 w 5219411"/>
            <a:gd name="connsiteY4" fmla="*/ 0 h 2805410"/>
            <a:gd name="connsiteX5" fmla="*/ 2999664 w 5219411"/>
            <a:gd name="connsiteY5" fmla="*/ 4 h 2805410"/>
            <a:gd name="connsiteX0" fmla="*/ 5219411 w 5219411"/>
            <a:gd name="connsiteY0" fmla="*/ 293101 h 2805410"/>
            <a:gd name="connsiteX1" fmla="*/ 5219409 w 5219411"/>
            <a:gd name="connsiteY1" fmla="*/ 2302948 h 2805410"/>
            <a:gd name="connsiteX2" fmla="*/ 3719578 w 5219411"/>
            <a:gd name="connsiteY2" fmla="*/ 2805410 h 2805410"/>
            <a:gd name="connsiteX3" fmla="*/ 2219747 w 5219411"/>
            <a:gd name="connsiteY3" fmla="*/ 2302948 h 2805410"/>
            <a:gd name="connsiteX4" fmla="*/ 0 w 5219411"/>
            <a:gd name="connsiteY4" fmla="*/ 0 h 2805410"/>
            <a:gd name="connsiteX5" fmla="*/ 2999664 w 5219411"/>
            <a:gd name="connsiteY5" fmla="*/ 4 h 2805410"/>
            <a:gd name="connsiteX0" fmla="*/ 2999664 w 2999664"/>
            <a:gd name="connsiteY0" fmla="*/ 293097 h 2805406"/>
            <a:gd name="connsiteX1" fmla="*/ 2999662 w 2999664"/>
            <a:gd name="connsiteY1" fmla="*/ 2302944 h 2805406"/>
            <a:gd name="connsiteX2" fmla="*/ 1499831 w 2999664"/>
            <a:gd name="connsiteY2" fmla="*/ 2805406 h 2805406"/>
            <a:gd name="connsiteX3" fmla="*/ 0 w 2999664"/>
            <a:gd name="connsiteY3" fmla="*/ 2302944 h 2805406"/>
            <a:gd name="connsiteX4" fmla="*/ 0 w 2999664"/>
            <a:gd name="connsiteY4" fmla="*/ 293097 h 2805406"/>
            <a:gd name="connsiteX5" fmla="*/ 779917 w 2999664"/>
            <a:gd name="connsiteY5" fmla="*/ 0 h 2805406"/>
            <a:gd name="connsiteX0" fmla="*/ 2999664 w 2999664"/>
            <a:gd name="connsiteY0" fmla="*/ 0 h 2512309"/>
            <a:gd name="connsiteX1" fmla="*/ 2999662 w 2999664"/>
            <a:gd name="connsiteY1" fmla="*/ 2009847 h 2512309"/>
            <a:gd name="connsiteX2" fmla="*/ 1499831 w 2999664"/>
            <a:gd name="connsiteY2" fmla="*/ 2512309 h 2512309"/>
            <a:gd name="connsiteX3" fmla="*/ 0 w 2999664"/>
            <a:gd name="connsiteY3" fmla="*/ 2009847 h 2512309"/>
            <a:gd name="connsiteX4" fmla="*/ 0 w 2999664"/>
            <a:gd name="connsiteY4" fmla="*/ 0 h 2512309"/>
            <a:gd name="connsiteX5" fmla="*/ 2999662 w 2999664"/>
            <a:gd name="connsiteY5" fmla="*/ 0 h 2512309"/>
            <a:gd name="connsiteX0" fmla="*/ 5011078 w 5011078"/>
            <a:gd name="connsiteY0" fmla="*/ 251231 h 2512309"/>
            <a:gd name="connsiteX1" fmla="*/ 2999662 w 5011078"/>
            <a:gd name="connsiteY1" fmla="*/ 2009847 h 2512309"/>
            <a:gd name="connsiteX2" fmla="*/ 1499831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1499831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3663475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3663475 w 5011078"/>
            <a:gd name="connsiteY2" fmla="*/ 2512309 h 2512309"/>
            <a:gd name="connsiteX3" fmla="*/ 2315875 w 5011078"/>
            <a:gd name="connsiteY3" fmla="*/ 2009847 h 2512309"/>
            <a:gd name="connsiteX4" fmla="*/ 0 w 5011078"/>
            <a:gd name="connsiteY4" fmla="*/ 0 h 2512309"/>
            <a:gd name="connsiteX5" fmla="*/ 2999662 w 5011078"/>
            <a:gd name="connsiteY5" fmla="*/ 0 h 2512309"/>
            <a:gd name="connsiteX0" fmla="*/ 2695203 w 2695203"/>
            <a:gd name="connsiteY0" fmla="*/ 251231 h 2512309"/>
            <a:gd name="connsiteX1" fmla="*/ 2695201 w 2695203"/>
            <a:gd name="connsiteY1" fmla="*/ 2009847 h 2512309"/>
            <a:gd name="connsiteX2" fmla="*/ 1347600 w 2695203"/>
            <a:gd name="connsiteY2" fmla="*/ 2512309 h 2512309"/>
            <a:gd name="connsiteX3" fmla="*/ 0 w 2695203"/>
            <a:gd name="connsiteY3" fmla="*/ 2009847 h 2512309"/>
            <a:gd name="connsiteX4" fmla="*/ 0 w 2695203"/>
            <a:gd name="connsiteY4" fmla="*/ 251231 h 2512309"/>
            <a:gd name="connsiteX5" fmla="*/ 683787 w 2695203"/>
            <a:gd name="connsiteY5" fmla="*/ 0 h 2512309"/>
            <a:gd name="connsiteX0" fmla="*/ 2695203 w 2695203"/>
            <a:gd name="connsiteY0" fmla="*/ 0 h 2261078"/>
            <a:gd name="connsiteX1" fmla="*/ 2695201 w 2695203"/>
            <a:gd name="connsiteY1" fmla="*/ 1758616 h 2261078"/>
            <a:gd name="connsiteX2" fmla="*/ 1347600 w 2695203"/>
            <a:gd name="connsiteY2" fmla="*/ 2261078 h 2261078"/>
            <a:gd name="connsiteX3" fmla="*/ 0 w 2695203"/>
            <a:gd name="connsiteY3" fmla="*/ 1758616 h 2261078"/>
            <a:gd name="connsiteX4" fmla="*/ 0 w 2695203"/>
            <a:gd name="connsiteY4" fmla="*/ 0 h 2261078"/>
            <a:gd name="connsiteX5" fmla="*/ 2695201 w 2695203"/>
            <a:gd name="connsiteY5" fmla="*/ 0 h 2261078"/>
            <a:gd name="connsiteX0" fmla="*/ 1197867 w 2695201"/>
            <a:gd name="connsiteY0" fmla="*/ 0 h 2261078"/>
            <a:gd name="connsiteX1" fmla="*/ 2695201 w 2695201"/>
            <a:gd name="connsiteY1" fmla="*/ 1758616 h 2261078"/>
            <a:gd name="connsiteX2" fmla="*/ 1347600 w 2695201"/>
            <a:gd name="connsiteY2" fmla="*/ 2261078 h 2261078"/>
            <a:gd name="connsiteX3" fmla="*/ 0 w 2695201"/>
            <a:gd name="connsiteY3" fmla="*/ 1758616 h 2261078"/>
            <a:gd name="connsiteX4" fmla="*/ 0 w 2695201"/>
            <a:gd name="connsiteY4" fmla="*/ 0 h 2261078"/>
            <a:gd name="connsiteX5" fmla="*/ 2695201 w 2695201"/>
            <a:gd name="connsiteY5" fmla="*/ 0 h 2261078"/>
            <a:gd name="connsiteX0" fmla="*/ 1197867 w 2695201"/>
            <a:gd name="connsiteY0" fmla="*/ 0 h 2261078"/>
            <a:gd name="connsiteX1" fmla="*/ 1197867 w 2695201"/>
            <a:gd name="connsiteY1" fmla="*/ 1758616 h 2261078"/>
            <a:gd name="connsiteX2" fmla="*/ 1347600 w 2695201"/>
            <a:gd name="connsiteY2" fmla="*/ 2261078 h 2261078"/>
            <a:gd name="connsiteX3" fmla="*/ 0 w 2695201"/>
            <a:gd name="connsiteY3" fmla="*/ 1758616 h 2261078"/>
            <a:gd name="connsiteX4" fmla="*/ 0 w 2695201"/>
            <a:gd name="connsiteY4" fmla="*/ 0 h 2261078"/>
            <a:gd name="connsiteX5" fmla="*/ 2695201 w 2695201"/>
            <a:gd name="connsiteY5" fmla="*/ 0 h 2261078"/>
            <a:gd name="connsiteX0" fmla="*/ 1347600 w 2844934"/>
            <a:gd name="connsiteY0" fmla="*/ 0 h 2261078"/>
            <a:gd name="connsiteX1" fmla="*/ 1347600 w 2844934"/>
            <a:gd name="connsiteY1" fmla="*/ 1758616 h 2261078"/>
            <a:gd name="connsiteX2" fmla="*/ 0 w 2844934"/>
            <a:gd name="connsiteY2" fmla="*/ 2261078 h 2261078"/>
            <a:gd name="connsiteX3" fmla="*/ 149733 w 2844934"/>
            <a:gd name="connsiteY3" fmla="*/ 1758616 h 2261078"/>
            <a:gd name="connsiteX4" fmla="*/ 149733 w 2844934"/>
            <a:gd name="connsiteY4" fmla="*/ 0 h 2261078"/>
            <a:gd name="connsiteX5" fmla="*/ 2844934 w 2844934"/>
            <a:gd name="connsiteY5" fmla="*/ 0 h 2261078"/>
            <a:gd name="connsiteX0" fmla="*/ 2695200 w 4192534"/>
            <a:gd name="connsiteY0" fmla="*/ 0 h 2261078"/>
            <a:gd name="connsiteX1" fmla="*/ 2695200 w 4192534"/>
            <a:gd name="connsiteY1" fmla="*/ 1758616 h 2261078"/>
            <a:gd name="connsiteX2" fmla="*/ 1347600 w 4192534"/>
            <a:gd name="connsiteY2" fmla="*/ 2261078 h 2261078"/>
            <a:gd name="connsiteX3" fmla="*/ 0 w 4192534"/>
            <a:gd name="connsiteY3" fmla="*/ 1758616 h 2261078"/>
            <a:gd name="connsiteX4" fmla="*/ 1497333 w 4192534"/>
            <a:gd name="connsiteY4" fmla="*/ 0 h 2261078"/>
            <a:gd name="connsiteX5" fmla="*/ 4192534 w 4192534"/>
            <a:gd name="connsiteY5" fmla="*/ 0 h 2261078"/>
            <a:gd name="connsiteX0" fmla="*/ 2695200 w 4192534"/>
            <a:gd name="connsiteY0" fmla="*/ 0 h 2261078"/>
            <a:gd name="connsiteX1" fmla="*/ 2695200 w 4192534"/>
            <a:gd name="connsiteY1" fmla="*/ 1758616 h 2261078"/>
            <a:gd name="connsiteX2" fmla="*/ 1347600 w 4192534"/>
            <a:gd name="connsiteY2" fmla="*/ 2261078 h 2261078"/>
            <a:gd name="connsiteX3" fmla="*/ 0 w 4192534"/>
            <a:gd name="connsiteY3" fmla="*/ 1758616 h 2261078"/>
            <a:gd name="connsiteX4" fmla="*/ 0 w 4192534"/>
            <a:gd name="connsiteY4" fmla="*/ 0 h 2261078"/>
            <a:gd name="connsiteX5" fmla="*/ 4192534 w 4192534"/>
            <a:gd name="connsiteY5" fmla="*/ 0 h 2261078"/>
            <a:gd name="connsiteX0" fmla="*/ 2695200 w 2695200"/>
            <a:gd name="connsiteY0" fmla="*/ 0 h 2261078"/>
            <a:gd name="connsiteX1" fmla="*/ 2695200 w 2695200"/>
            <a:gd name="connsiteY1" fmla="*/ 1758616 h 2261078"/>
            <a:gd name="connsiteX2" fmla="*/ 1347600 w 2695200"/>
            <a:gd name="connsiteY2" fmla="*/ 2261078 h 2261078"/>
            <a:gd name="connsiteX3" fmla="*/ 0 w 2695200"/>
            <a:gd name="connsiteY3" fmla="*/ 1758616 h 2261078"/>
            <a:gd name="connsiteX4" fmla="*/ 0 w 2695200"/>
            <a:gd name="connsiteY4" fmla="*/ 0 h 2261078"/>
            <a:gd name="connsiteX5" fmla="*/ 2695200 w 2695200"/>
            <a:gd name="connsiteY5" fmla="*/ 0 h 22610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95200" h="2261078">
              <a:moveTo>
                <a:pt x="2695200" y="0"/>
              </a:moveTo>
              <a:lnTo>
                <a:pt x="2695200" y="1758616"/>
              </a:lnTo>
              <a:lnTo>
                <a:pt x="1347600" y="2261078"/>
              </a:lnTo>
              <a:lnTo>
                <a:pt x="0" y="1758616"/>
              </a:lnTo>
              <a:lnTo>
                <a:pt x="0" y="0"/>
              </a:lnTo>
              <a:lnTo>
                <a:pt x="2695200" y="0"/>
              </a:lnTo>
              <a:close/>
            </a:path>
          </a:pathLst>
        </a:custGeom>
        <a:solidFill>
          <a:schemeClr val="tx2">
            <a:lumMod val="75000"/>
            <a:lumOff val="25000"/>
          </a:schemeClr>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r>
            <a:rPr lang="en-GB" sz="1100"/>
            <a:t>Down Arrow</a:t>
          </a:r>
        </a:p>
      </xdr:txBody>
    </xdr:sp>
    <xdr:clientData/>
  </xdr:twoCellAnchor>
  <xdr:twoCellAnchor>
    <xdr:from>
      <xdr:col>6</xdr:col>
      <xdr:colOff>118540</xdr:colOff>
      <xdr:row>0</xdr:row>
      <xdr:rowOff>95256</xdr:rowOff>
    </xdr:from>
    <xdr:to>
      <xdr:col>7</xdr:col>
      <xdr:colOff>577856</xdr:colOff>
      <xdr:row>6</xdr:row>
      <xdr:rowOff>95256</xdr:rowOff>
    </xdr:to>
    <xdr:sp macro="" textlink="">
      <xdr:nvSpPr>
        <xdr:cNvPr id="5" name="Up Arrow">
          <a:extLst>
            <a:ext uri="{FF2B5EF4-FFF2-40B4-BE49-F238E27FC236}">
              <a16:creationId xmlns:a16="http://schemas.microsoft.com/office/drawing/2014/main" id="{00000000-0008-0000-0400-000005000000}"/>
            </a:ext>
          </a:extLst>
        </xdr:cNvPr>
        <xdr:cNvSpPr/>
      </xdr:nvSpPr>
      <xdr:spPr>
        <a:xfrm>
          <a:off x="4246040" y="95256"/>
          <a:ext cx="1147233" cy="11430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5169421 w 5169421"/>
            <a:gd name="connsiteY0" fmla="*/ 410686 h 3810001"/>
            <a:gd name="connsiteX1" fmla="*/ 2291308 w 5169421"/>
            <a:gd name="connsiteY1" fmla="*/ 1 h 3810001"/>
            <a:gd name="connsiteX2" fmla="*/ 2545898 w 5169421"/>
            <a:gd name="connsiteY2" fmla="*/ 1905001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2545898 w 5169421"/>
            <a:gd name="connsiteY2" fmla="*/ 1905001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3669589 w 5169421"/>
            <a:gd name="connsiteY2" fmla="*/ 2650826 h 3810001"/>
            <a:gd name="connsiteX3" fmla="*/ 2291308 w 5169421"/>
            <a:gd name="connsiteY3" fmla="*/ 3810001 h 3810001"/>
            <a:gd name="connsiteX4" fmla="*/ 0 w 5169421"/>
            <a:gd name="connsiteY4" fmla="*/ 3810001 h 3810001"/>
            <a:gd name="connsiteX5" fmla="*/ 0 w 5169421"/>
            <a:gd name="connsiteY5" fmla="*/ 1 h 3810001"/>
            <a:gd name="connsiteX0" fmla="*/ 5169421 w 5169421"/>
            <a:gd name="connsiteY0" fmla="*/ 410686 h 3810001"/>
            <a:gd name="connsiteX1" fmla="*/ 5169421 w 5169421"/>
            <a:gd name="connsiteY1" fmla="*/ 1754770 h 3810001"/>
            <a:gd name="connsiteX2" fmla="*/ 3669589 w 5169421"/>
            <a:gd name="connsiteY2" fmla="*/ 2650826 h 3810001"/>
            <a:gd name="connsiteX3" fmla="*/ 2169757 w 5169421"/>
            <a:gd name="connsiteY3" fmla="*/ 1754770 h 3810001"/>
            <a:gd name="connsiteX4" fmla="*/ 0 w 5169421"/>
            <a:gd name="connsiteY4" fmla="*/ 3810001 h 3810001"/>
            <a:gd name="connsiteX5" fmla="*/ 0 w 5169421"/>
            <a:gd name="connsiteY5" fmla="*/ 1 h 3810001"/>
            <a:gd name="connsiteX0" fmla="*/ 5169421 w 5169421"/>
            <a:gd name="connsiteY0" fmla="*/ 410686 h 2650826"/>
            <a:gd name="connsiteX1" fmla="*/ 5169421 w 5169421"/>
            <a:gd name="connsiteY1" fmla="*/ 1754770 h 2650826"/>
            <a:gd name="connsiteX2" fmla="*/ 3669589 w 5169421"/>
            <a:gd name="connsiteY2" fmla="*/ 2650826 h 2650826"/>
            <a:gd name="connsiteX3" fmla="*/ 2169757 w 5169421"/>
            <a:gd name="connsiteY3" fmla="*/ 1754770 h 2650826"/>
            <a:gd name="connsiteX4" fmla="*/ 2169757 w 5169421"/>
            <a:gd name="connsiteY4" fmla="*/ 410686 h 2650826"/>
            <a:gd name="connsiteX5" fmla="*/ 0 w 5169421"/>
            <a:gd name="connsiteY5" fmla="*/ 1 h 2650826"/>
            <a:gd name="connsiteX0" fmla="*/ 2999664 w 2999664"/>
            <a:gd name="connsiteY0" fmla="*/ 0 h 2240140"/>
            <a:gd name="connsiteX1" fmla="*/ 2999664 w 2999664"/>
            <a:gd name="connsiteY1" fmla="*/ 1344084 h 2240140"/>
            <a:gd name="connsiteX2" fmla="*/ 1499832 w 2999664"/>
            <a:gd name="connsiteY2" fmla="*/ 2240140 h 2240140"/>
            <a:gd name="connsiteX3" fmla="*/ 0 w 2999664"/>
            <a:gd name="connsiteY3" fmla="*/ 1344084 h 2240140"/>
            <a:gd name="connsiteX4" fmla="*/ 0 w 2999664"/>
            <a:gd name="connsiteY4" fmla="*/ 0 h 2240140"/>
            <a:gd name="connsiteX5" fmla="*/ 2999664 w 2999664"/>
            <a:gd name="connsiteY5" fmla="*/ 4 h 2240140"/>
            <a:gd name="connsiteX0" fmla="*/ 5219411 w 5219411"/>
            <a:gd name="connsiteY0" fmla="*/ 293101 h 2240140"/>
            <a:gd name="connsiteX1" fmla="*/ 2999664 w 5219411"/>
            <a:gd name="connsiteY1" fmla="*/ 1344084 h 2240140"/>
            <a:gd name="connsiteX2" fmla="*/ 1499832 w 5219411"/>
            <a:gd name="connsiteY2" fmla="*/ 2240140 h 2240140"/>
            <a:gd name="connsiteX3" fmla="*/ 0 w 5219411"/>
            <a:gd name="connsiteY3" fmla="*/ 1344084 h 2240140"/>
            <a:gd name="connsiteX4" fmla="*/ 0 w 5219411"/>
            <a:gd name="connsiteY4" fmla="*/ 0 h 2240140"/>
            <a:gd name="connsiteX5" fmla="*/ 2999664 w 5219411"/>
            <a:gd name="connsiteY5" fmla="*/ 4 h 2240140"/>
            <a:gd name="connsiteX0" fmla="*/ 5219411 w 5219411"/>
            <a:gd name="connsiteY0" fmla="*/ 293101 h 2302948"/>
            <a:gd name="connsiteX1" fmla="*/ 5219409 w 5219411"/>
            <a:gd name="connsiteY1" fmla="*/ 2302948 h 2302948"/>
            <a:gd name="connsiteX2" fmla="*/ 1499832 w 5219411"/>
            <a:gd name="connsiteY2" fmla="*/ 2240140 h 2302948"/>
            <a:gd name="connsiteX3" fmla="*/ 0 w 5219411"/>
            <a:gd name="connsiteY3" fmla="*/ 1344084 h 2302948"/>
            <a:gd name="connsiteX4" fmla="*/ 0 w 5219411"/>
            <a:gd name="connsiteY4" fmla="*/ 0 h 2302948"/>
            <a:gd name="connsiteX5" fmla="*/ 2999664 w 5219411"/>
            <a:gd name="connsiteY5" fmla="*/ 4 h 2302948"/>
            <a:gd name="connsiteX0" fmla="*/ 5219411 w 5219411"/>
            <a:gd name="connsiteY0" fmla="*/ 293101 h 2805410"/>
            <a:gd name="connsiteX1" fmla="*/ 5219409 w 5219411"/>
            <a:gd name="connsiteY1" fmla="*/ 2302948 h 2805410"/>
            <a:gd name="connsiteX2" fmla="*/ 3719578 w 5219411"/>
            <a:gd name="connsiteY2" fmla="*/ 2805410 h 2805410"/>
            <a:gd name="connsiteX3" fmla="*/ 0 w 5219411"/>
            <a:gd name="connsiteY3" fmla="*/ 1344084 h 2805410"/>
            <a:gd name="connsiteX4" fmla="*/ 0 w 5219411"/>
            <a:gd name="connsiteY4" fmla="*/ 0 h 2805410"/>
            <a:gd name="connsiteX5" fmla="*/ 2999664 w 5219411"/>
            <a:gd name="connsiteY5" fmla="*/ 4 h 2805410"/>
            <a:gd name="connsiteX0" fmla="*/ 5219411 w 5219411"/>
            <a:gd name="connsiteY0" fmla="*/ 293101 h 2805410"/>
            <a:gd name="connsiteX1" fmla="*/ 5219409 w 5219411"/>
            <a:gd name="connsiteY1" fmla="*/ 2302948 h 2805410"/>
            <a:gd name="connsiteX2" fmla="*/ 3719578 w 5219411"/>
            <a:gd name="connsiteY2" fmla="*/ 2805410 h 2805410"/>
            <a:gd name="connsiteX3" fmla="*/ 2219747 w 5219411"/>
            <a:gd name="connsiteY3" fmla="*/ 2302948 h 2805410"/>
            <a:gd name="connsiteX4" fmla="*/ 0 w 5219411"/>
            <a:gd name="connsiteY4" fmla="*/ 0 h 2805410"/>
            <a:gd name="connsiteX5" fmla="*/ 2999664 w 5219411"/>
            <a:gd name="connsiteY5" fmla="*/ 4 h 2805410"/>
            <a:gd name="connsiteX0" fmla="*/ 2999664 w 2999664"/>
            <a:gd name="connsiteY0" fmla="*/ 293097 h 2805406"/>
            <a:gd name="connsiteX1" fmla="*/ 2999662 w 2999664"/>
            <a:gd name="connsiteY1" fmla="*/ 2302944 h 2805406"/>
            <a:gd name="connsiteX2" fmla="*/ 1499831 w 2999664"/>
            <a:gd name="connsiteY2" fmla="*/ 2805406 h 2805406"/>
            <a:gd name="connsiteX3" fmla="*/ 0 w 2999664"/>
            <a:gd name="connsiteY3" fmla="*/ 2302944 h 2805406"/>
            <a:gd name="connsiteX4" fmla="*/ 0 w 2999664"/>
            <a:gd name="connsiteY4" fmla="*/ 293097 h 2805406"/>
            <a:gd name="connsiteX5" fmla="*/ 779917 w 2999664"/>
            <a:gd name="connsiteY5" fmla="*/ 0 h 2805406"/>
            <a:gd name="connsiteX0" fmla="*/ 2999664 w 2999664"/>
            <a:gd name="connsiteY0" fmla="*/ 0 h 2512309"/>
            <a:gd name="connsiteX1" fmla="*/ 2999662 w 2999664"/>
            <a:gd name="connsiteY1" fmla="*/ 2009847 h 2512309"/>
            <a:gd name="connsiteX2" fmla="*/ 1499831 w 2999664"/>
            <a:gd name="connsiteY2" fmla="*/ 2512309 h 2512309"/>
            <a:gd name="connsiteX3" fmla="*/ 0 w 2999664"/>
            <a:gd name="connsiteY3" fmla="*/ 2009847 h 2512309"/>
            <a:gd name="connsiteX4" fmla="*/ 0 w 2999664"/>
            <a:gd name="connsiteY4" fmla="*/ 0 h 2512309"/>
            <a:gd name="connsiteX5" fmla="*/ 2999662 w 2999664"/>
            <a:gd name="connsiteY5" fmla="*/ 0 h 2512309"/>
            <a:gd name="connsiteX0" fmla="*/ 5011078 w 5011078"/>
            <a:gd name="connsiteY0" fmla="*/ 251231 h 2512309"/>
            <a:gd name="connsiteX1" fmla="*/ 2999662 w 5011078"/>
            <a:gd name="connsiteY1" fmla="*/ 2009847 h 2512309"/>
            <a:gd name="connsiteX2" fmla="*/ 1499831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1499831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3663475 w 5011078"/>
            <a:gd name="connsiteY2" fmla="*/ 2512309 h 2512309"/>
            <a:gd name="connsiteX3" fmla="*/ 0 w 5011078"/>
            <a:gd name="connsiteY3" fmla="*/ 2009847 h 2512309"/>
            <a:gd name="connsiteX4" fmla="*/ 0 w 5011078"/>
            <a:gd name="connsiteY4" fmla="*/ 0 h 2512309"/>
            <a:gd name="connsiteX5" fmla="*/ 2999662 w 5011078"/>
            <a:gd name="connsiteY5" fmla="*/ 0 h 2512309"/>
            <a:gd name="connsiteX0" fmla="*/ 5011078 w 5011078"/>
            <a:gd name="connsiteY0" fmla="*/ 251231 h 2512309"/>
            <a:gd name="connsiteX1" fmla="*/ 5011076 w 5011078"/>
            <a:gd name="connsiteY1" fmla="*/ 2009847 h 2512309"/>
            <a:gd name="connsiteX2" fmla="*/ 3663475 w 5011078"/>
            <a:gd name="connsiteY2" fmla="*/ 2512309 h 2512309"/>
            <a:gd name="connsiteX3" fmla="*/ 2315875 w 5011078"/>
            <a:gd name="connsiteY3" fmla="*/ 2009847 h 2512309"/>
            <a:gd name="connsiteX4" fmla="*/ 0 w 5011078"/>
            <a:gd name="connsiteY4" fmla="*/ 0 h 2512309"/>
            <a:gd name="connsiteX5" fmla="*/ 2999662 w 5011078"/>
            <a:gd name="connsiteY5" fmla="*/ 0 h 2512309"/>
            <a:gd name="connsiteX0" fmla="*/ 2695203 w 2695203"/>
            <a:gd name="connsiteY0" fmla="*/ 251231 h 2512309"/>
            <a:gd name="connsiteX1" fmla="*/ 2695201 w 2695203"/>
            <a:gd name="connsiteY1" fmla="*/ 2009847 h 2512309"/>
            <a:gd name="connsiteX2" fmla="*/ 1347600 w 2695203"/>
            <a:gd name="connsiteY2" fmla="*/ 2512309 h 2512309"/>
            <a:gd name="connsiteX3" fmla="*/ 0 w 2695203"/>
            <a:gd name="connsiteY3" fmla="*/ 2009847 h 2512309"/>
            <a:gd name="connsiteX4" fmla="*/ 0 w 2695203"/>
            <a:gd name="connsiteY4" fmla="*/ 251231 h 2512309"/>
            <a:gd name="connsiteX5" fmla="*/ 683787 w 2695203"/>
            <a:gd name="connsiteY5" fmla="*/ 0 h 2512309"/>
            <a:gd name="connsiteX0" fmla="*/ 2695203 w 2695203"/>
            <a:gd name="connsiteY0" fmla="*/ 0 h 2261078"/>
            <a:gd name="connsiteX1" fmla="*/ 2695201 w 2695203"/>
            <a:gd name="connsiteY1" fmla="*/ 1758616 h 2261078"/>
            <a:gd name="connsiteX2" fmla="*/ 1347600 w 2695203"/>
            <a:gd name="connsiteY2" fmla="*/ 2261078 h 2261078"/>
            <a:gd name="connsiteX3" fmla="*/ 0 w 2695203"/>
            <a:gd name="connsiteY3" fmla="*/ 1758616 h 2261078"/>
            <a:gd name="connsiteX4" fmla="*/ 0 w 2695203"/>
            <a:gd name="connsiteY4" fmla="*/ 0 h 2261078"/>
            <a:gd name="connsiteX5" fmla="*/ 2695201 w 2695203"/>
            <a:gd name="connsiteY5" fmla="*/ 0 h 2261078"/>
            <a:gd name="connsiteX0" fmla="*/ 1197867 w 2695201"/>
            <a:gd name="connsiteY0" fmla="*/ 0 h 2261078"/>
            <a:gd name="connsiteX1" fmla="*/ 2695201 w 2695201"/>
            <a:gd name="connsiteY1" fmla="*/ 1758616 h 2261078"/>
            <a:gd name="connsiteX2" fmla="*/ 1347600 w 2695201"/>
            <a:gd name="connsiteY2" fmla="*/ 2261078 h 2261078"/>
            <a:gd name="connsiteX3" fmla="*/ 0 w 2695201"/>
            <a:gd name="connsiteY3" fmla="*/ 1758616 h 2261078"/>
            <a:gd name="connsiteX4" fmla="*/ 0 w 2695201"/>
            <a:gd name="connsiteY4" fmla="*/ 0 h 2261078"/>
            <a:gd name="connsiteX5" fmla="*/ 2695201 w 2695201"/>
            <a:gd name="connsiteY5" fmla="*/ 0 h 2261078"/>
            <a:gd name="connsiteX0" fmla="*/ 1197867 w 2695201"/>
            <a:gd name="connsiteY0" fmla="*/ 0 h 2261078"/>
            <a:gd name="connsiteX1" fmla="*/ 1197867 w 2695201"/>
            <a:gd name="connsiteY1" fmla="*/ 1758616 h 2261078"/>
            <a:gd name="connsiteX2" fmla="*/ 1347600 w 2695201"/>
            <a:gd name="connsiteY2" fmla="*/ 2261078 h 2261078"/>
            <a:gd name="connsiteX3" fmla="*/ 0 w 2695201"/>
            <a:gd name="connsiteY3" fmla="*/ 1758616 h 2261078"/>
            <a:gd name="connsiteX4" fmla="*/ 0 w 2695201"/>
            <a:gd name="connsiteY4" fmla="*/ 0 h 2261078"/>
            <a:gd name="connsiteX5" fmla="*/ 2695201 w 2695201"/>
            <a:gd name="connsiteY5" fmla="*/ 0 h 2261078"/>
            <a:gd name="connsiteX0" fmla="*/ 1347600 w 2844934"/>
            <a:gd name="connsiteY0" fmla="*/ 0 h 2261078"/>
            <a:gd name="connsiteX1" fmla="*/ 1347600 w 2844934"/>
            <a:gd name="connsiteY1" fmla="*/ 1758616 h 2261078"/>
            <a:gd name="connsiteX2" fmla="*/ 0 w 2844934"/>
            <a:gd name="connsiteY2" fmla="*/ 2261078 h 2261078"/>
            <a:gd name="connsiteX3" fmla="*/ 149733 w 2844934"/>
            <a:gd name="connsiteY3" fmla="*/ 1758616 h 2261078"/>
            <a:gd name="connsiteX4" fmla="*/ 149733 w 2844934"/>
            <a:gd name="connsiteY4" fmla="*/ 0 h 2261078"/>
            <a:gd name="connsiteX5" fmla="*/ 2844934 w 2844934"/>
            <a:gd name="connsiteY5" fmla="*/ 0 h 2261078"/>
            <a:gd name="connsiteX0" fmla="*/ 2695200 w 4192534"/>
            <a:gd name="connsiteY0" fmla="*/ 0 h 2261078"/>
            <a:gd name="connsiteX1" fmla="*/ 2695200 w 4192534"/>
            <a:gd name="connsiteY1" fmla="*/ 1758616 h 2261078"/>
            <a:gd name="connsiteX2" fmla="*/ 1347600 w 4192534"/>
            <a:gd name="connsiteY2" fmla="*/ 2261078 h 2261078"/>
            <a:gd name="connsiteX3" fmla="*/ 0 w 4192534"/>
            <a:gd name="connsiteY3" fmla="*/ 1758616 h 2261078"/>
            <a:gd name="connsiteX4" fmla="*/ 1497333 w 4192534"/>
            <a:gd name="connsiteY4" fmla="*/ 0 h 2261078"/>
            <a:gd name="connsiteX5" fmla="*/ 4192534 w 4192534"/>
            <a:gd name="connsiteY5" fmla="*/ 0 h 2261078"/>
            <a:gd name="connsiteX0" fmla="*/ 2695200 w 4192534"/>
            <a:gd name="connsiteY0" fmla="*/ 0 h 2261078"/>
            <a:gd name="connsiteX1" fmla="*/ 2695200 w 4192534"/>
            <a:gd name="connsiteY1" fmla="*/ 1758616 h 2261078"/>
            <a:gd name="connsiteX2" fmla="*/ 1347600 w 4192534"/>
            <a:gd name="connsiteY2" fmla="*/ 2261078 h 2261078"/>
            <a:gd name="connsiteX3" fmla="*/ 0 w 4192534"/>
            <a:gd name="connsiteY3" fmla="*/ 1758616 h 2261078"/>
            <a:gd name="connsiteX4" fmla="*/ 0 w 4192534"/>
            <a:gd name="connsiteY4" fmla="*/ 0 h 2261078"/>
            <a:gd name="connsiteX5" fmla="*/ 4192534 w 4192534"/>
            <a:gd name="connsiteY5" fmla="*/ 0 h 2261078"/>
            <a:gd name="connsiteX0" fmla="*/ 2695200 w 2695200"/>
            <a:gd name="connsiteY0" fmla="*/ 0 h 2261078"/>
            <a:gd name="connsiteX1" fmla="*/ 2695200 w 2695200"/>
            <a:gd name="connsiteY1" fmla="*/ 1758616 h 2261078"/>
            <a:gd name="connsiteX2" fmla="*/ 1347600 w 2695200"/>
            <a:gd name="connsiteY2" fmla="*/ 2261078 h 2261078"/>
            <a:gd name="connsiteX3" fmla="*/ 0 w 2695200"/>
            <a:gd name="connsiteY3" fmla="*/ 1758616 h 2261078"/>
            <a:gd name="connsiteX4" fmla="*/ 0 w 2695200"/>
            <a:gd name="connsiteY4" fmla="*/ 0 h 2261078"/>
            <a:gd name="connsiteX5" fmla="*/ 2695200 w 2695200"/>
            <a:gd name="connsiteY5" fmla="*/ 0 h 2261078"/>
            <a:gd name="connsiteX0" fmla="*/ 373642 w 2695200"/>
            <a:gd name="connsiteY0" fmla="*/ 766256 h 2261078"/>
            <a:gd name="connsiteX1" fmla="*/ 2695200 w 2695200"/>
            <a:gd name="connsiteY1" fmla="*/ 1758616 h 2261078"/>
            <a:gd name="connsiteX2" fmla="*/ 1347600 w 2695200"/>
            <a:gd name="connsiteY2" fmla="*/ 2261078 h 2261078"/>
            <a:gd name="connsiteX3" fmla="*/ 0 w 2695200"/>
            <a:gd name="connsiteY3" fmla="*/ 1758616 h 2261078"/>
            <a:gd name="connsiteX4" fmla="*/ 0 w 2695200"/>
            <a:gd name="connsiteY4" fmla="*/ 0 h 2261078"/>
            <a:gd name="connsiteX5" fmla="*/ 2695200 w 2695200"/>
            <a:gd name="connsiteY5" fmla="*/ 0 h 2261078"/>
            <a:gd name="connsiteX0" fmla="*/ 373642 w 2695200"/>
            <a:gd name="connsiteY0" fmla="*/ 766256 h 2261078"/>
            <a:gd name="connsiteX1" fmla="*/ 1718751 w 2695200"/>
            <a:gd name="connsiteY1" fmla="*/ 263794 h 2261078"/>
            <a:gd name="connsiteX2" fmla="*/ 1347600 w 2695200"/>
            <a:gd name="connsiteY2" fmla="*/ 2261078 h 2261078"/>
            <a:gd name="connsiteX3" fmla="*/ 0 w 2695200"/>
            <a:gd name="connsiteY3" fmla="*/ 1758616 h 2261078"/>
            <a:gd name="connsiteX4" fmla="*/ 0 w 2695200"/>
            <a:gd name="connsiteY4" fmla="*/ 0 h 2261078"/>
            <a:gd name="connsiteX5" fmla="*/ 2695200 w 2695200"/>
            <a:gd name="connsiteY5" fmla="*/ 0 h 2261078"/>
            <a:gd name="connsiteX0" fmla="*/ 373642 w 3063861"/>
            <a:gd name="connsiteY0" fmla="*/ 766256 h 1758616"/>
            <a:gd name="connsiteX1" fmla="*/ 1718751 w 3063861"/>
            <a:gd name="connsiteY1" fmla="*/ 263794 h 1758616"/>
            <a:gd name="connsiteX2" fmla="*/ 3063861 w 3063861"/>
            <a:gd name="connsiteY2" fmla="*/ 766256 h 1758616"/>
            <a:gd name="connsiteX3" fmla="*/ 0 w 3063861"/>
            <a:gd name="connsiteY3" fmla="*/ 1758616 h 1758616"/>
            <a:gd name="connsiteX4" fmla="*/ 0 w 3063861"/>
            <a:gd name="connsiteY4" fmla="*/ 0 h 1758616"/>
            <a:gd name="connsiteX5" fmla="*/ 2695200 w 3063861"/>
            <a:gd name="connsiteY5" fmla="*/ 0 h 1758616"/>
            <a:gd name="connsiteX0" fmla="*/ 373642 w 3063861"/>
            <a:gd name="connsiteY0" fmla="*/ 766256 h 2524872"/>
            <a:gd name="connsiteX1" fmla="*/ 1718751 w 3063861"/>
            <a:gd name="connsiteY1" fmla="*/ 263794 h 2524872"/>
            <a:gd name="connsiteX2" fmla="*/ 3063861 w 3063861"/>
            <a:gd name="connsiteY2" fmla="*/ 766256 h 2524872"/>
            <a:gd name="connsiteX3" fmla="*/ 3063861 w 3063861"/>
            <a:gd name="connsiteY3" fmla="*/ 2524872 h 2524872"/>
            <a:gd name="connsiteX4" fmla="*/ 0 w 3063861"/>
            <a:gd name="connsiteY4" fmla="*/ 0 h 2524872"/>
            <a:gd name="connsiteX5" fmla="*/ 2695200 w 3063861"/>
            <a:gd name="connsiteY5" fmla="*/ 0 h 2524872"/>
            <a:gd name="connsiteX0" fmla="*/ 0 w 2690219"/>
            <a:gd name="connsiteY0" fmla="*/ 766256 h 2524872"/>
            <a:gd name="connsiteX1" fmla="*/ 1345109 w 2690219"/>
            <a:gd name="connsiteY1" fmla="*/ 263794 h 2524872"/>
            <a:gd name="connsiteX2" fmla="*/ 2690219 w 2690219"/>
            <a:gd name="connsiteY2" fmla="*/ 766256 h 2524872"/>
            <a:gd name="connsiteX3" fmla="*/ 2690219 w 2690219"/>
            <a:gd name="connsiteY3" fmla="*/ 2524872 h 2524872"/>
            <a:gd name="connsiteX4" fmla="*/ 0 w 2690219"/>
            <a:gd name="connsiteY4" fmla="*/ 2524872 h 2524872"/>
            <a:gd name="connsiteX5" fmla="*/ 2321558 w 2690219"/>
            <a:gd name="connsiteY5" fmla="*/ 0 h 2524872"/>
            <a:gd name="connsiteX0" fmla="*/ 0 w 2690219"/>
            <a:gd name="connsiteY0" fmla="*/ 502462 h 2261078"/>
            <a:gd name="connsiteX1" fmla="*/ 1345109 w 2690219"/>
            <a:gd name="connsiteY1" fmla="*/ 0 h 2261078"/>
            <a:gd name="connsiteX2" fmla="*/ 2690219 w 2690219"/>
            <a:gd name="connsiteY2" fmla="*/ 502462 h 2261078"/>
            <a:gd name="connsiteX3" fmla="*/ 2690219 w 2690219"/>
            <a:gd name="connsiteY3" fmla="*/ 2261078 h 2261078"/>
            <a:gd name="connsiteX4" fmla="*/ 0 w 2690219"/>
            <a:gd name="connsiteY4" fmla="*/ 2261078 h 2261078"/>
            <a:gd name="connsiteX5" fmla="*/ 0 w 2690219"/>
            <a:gd name="connsiteY5" fmla="*/ 502462 h 226107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690219" h="2261078">
              <a:moveTo>
                <a:pt x="0" y="502462"/>
              </a:moveTo>
              <a:lnTo>
                <a:pt x="1345109" y="0"/>
              </a:lnTo>
              <a:lnTo>
                <a:pt x="2690219" y="502462"/>
              </a:lnTo>
              <a:lnTo>
                <a:pt x="2690219" y="2261078"/>
              </a:lnTo>
              <a:lnTo>
                <a:pt x="0" y="2261078"/>
              </a:lnTo>
              <a:lnTo>
                <a:pt x="0" y="502462"/>
              </a:lnTo>
              <a:close/>
            </a:path>
          </a:pathLst>
        </a:custGeom>
        <a:solidFill>
          <a:srgbClr val="FFC000"/>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r>
            <a:rPr lang="en-GB" sz="1100"/>
            <a:t>Up Arrow</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557056</xdr:colOff>
      <xdr:row>2</xdr:row>
      <xdr:rowOff>273844</xdr:rowOff>
    </xdr:from>
    <xdr:to>
      <xdr:col>17</xdr:col>
      <xdr:colOff>49192</xdr:colOff>
      <xdr:row>6</xdr:row>
      <xdr:rowOff>127454</xdr:rowOff>
    </xdr:to>
    <xdr:pic>
      <xdr:nvPicPr>
        <xdr:cNvPr id="1127" name="Picture 1126">
          <a:extLst>
            <a:ext uri="{FF2B5EF4-FFF2-40B4-BE49-F238E27FC236}">
              <a16:creationId xmlns:a16="http://schemas.microsoft.com/office/drawing/2014/main" id="{00000000-0008-0000-0500-000067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0306" y="1019969"/>
          <a:ext cx="9144136" cy="869610"/>
        </a:xfrm>
        <a:prstGeom prst="rect">
          <a:avLst/>
        </a:prstGeom>
      </xdr:spPr>
    </xdr:pic>
    <xdr:clientData/>
  </xdr:twoCellAnchor>
  <xdr:twoCellAnchor>
    <xdr:from>
      <xdr:col>2</xdr:col>
      <xdr:colOff>328612</xdr:colOff>
      <xdr:row>36</xdr:row>
      <xdr:rowOff>118519</xdr:rowOff>
    </xdr:from>
    <xdr:to>
      <xdr:col>3</xdr:col>
      <xdr:colOff>438943</xdr:colOff>
      <xdr:row>39</xdr:row>
      <xdr:rowOff>31751</xdr:rowOff>
    </xdr:to>
    <xdr:sp macro="" textlink="">
      <xdr:nvSpPr>
        <xdr:cNvPr id="81" name="Arrow $J$126">
          <a:extLst>
            <a:ext uri="{FF2B5EF4-FFF2-40B4-BE49-F238E27FC236}">
              <a16:creationId xmlns:a16="http://schemas.microsoft.com/office/drawing/2014/main" id="{00000000-0008-0000-0400-000006000000}"/>
            </a:ext>
          </a:extLst>
        </xdr:cNvPr>
        <xdr:cNvSpPr/>
      </xdr:nvSpPr>
      <xdr:spPr>
        <a:xfrm>
          <a:off x="1547812" y="5985919"/>
          <a:ext cx="719931" cy="465682"/>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17233935"/>
            <a:gd name="connsiteY0" fmla="*/ 20132743 h 20132743"/>
            <a:gd name="connsiteX1" fmla="*/ 15960524 w 17233935"/>
            <a:gd name="connsiteY1" fmla="*/ 0 h 20132743"/>
            <a:gd name="connsiteX2" fmla="*/ 17233935 w 17233935"/>
            <a:gd name="connsiteY2" fmla="*/ 1270000 h 20132743"/>
            <a:gd name="connsiteX3" fmla="*/ 17233935 w 17233935"/>
            <a:gd name="connsiteY3" fmla="*/ 3556000 h 20132743"/>
            <a:gd name="connsiteX4" fmla="*/ 16597230 w 17233935"/>
            <a:gd name="connsiteY4" fmla="*/ 3810000 h 20132743"/>
            <a:gd name="connsiteX5" fmla="*/ 15960524 w 17233935"/>
            <a:gd name="connsiteY5" fmla="*/ 3556000 h 20132743"/>
            <a:gd name="connsiteX6" fmla="*/ 15960524 w 17233935"/>
            <a:gd name="connsiteY6" fmla="*/ 2540000 h 20132743"/>
            <a:gd name="connsiteX7" fmla="*/ 15323819 w 17233935"/>
            <a:gd name="connsiteY7" fmla="*/ 1905000 h 20132743"/>
            <a:gd name="connsiteX8" fmla="*/ 14687113 w 17233935"/>
            <a:gd name="connsiteY8" fmla="*/ 1905000 h 20132743"/>
            <a:gd name="connsiteX9" fmla="*/ 14687113 w 17233935"/>
            <a:gd name="connsiteY9" fmla="*/ 0 h 20132743"/>
            <a:gd name="connsiteX0" fmla="*/ 0 w 17233935"/>
            <a:gd name="connsiteY0" fmla="*/ 20132743 h 20132743"/>
            <a:gd name="connsiteX1" fmla="*/ 1186531 w 17233935"/>
            <a:gd name="connsiteY1" fmla="*/ 20132743 h 20132743"/>
            <a:gd name="connsiteX2" fmla="*/ 17233935 w 17233935"/>
            <a:gd name="connsiteY2" fmla="*/ 1270000 h 20132743"/>
            <a:gd name="connsiteX3" fmla="*/ 17233935 w 17233935"/>
            <a:gd name="connsiteY3" fmla="*/ 3556000 h 20132743"/>
            <a:gd name="connsiteX4" fmla="*/ 16597230 w 17233935"/>
            <a:gd name="connsiteY4" fmla="*/ 3810000 h 20132743"/>
            <a:gd name="connsiteX5" fmla="*/ 15960524 w 17233935"/>
            <a:gd name="connsiteY5" fmla="*/ 3556000 h 20132743"/>
            <a:gd name="connsiteX6" fmla="*/ 15960524 w 17233935"/>
            <a:gd name="connsiteY6" fmla="*/ 2540000 h 20132743"/>
            <a:gd name="connsiteX7" fmla="*/ 15323819 w 17233935"/>
            <a:gd name="connsiteY7" fmla="*/ 1905000 h 20132743"/>
            <a:gd name="connsiteX8" fmla="*/ 14687113 w 17233935"/>
            <a:gd name="connsiteY8" fmla="*/ 1905000 h 20132743"/>
            <a:gd name="connsiteX9" fmla="*/ 14687113 w 17233935"/>
            <a:gd name="connsiteY9" fmla="*/ 0 h 20132743"/>
            <a:gd name="connsiteX0" fmla="*/ 0 w 17233935"/>
            <a:gd name="connsiteY0" fmla="*/ 20132743 h 20132743"/>
            <a:gd name="connsiteX1" fmla="*/ 1186531 w 17233935"/>
            <a:gd name="connsiteY1" fmla="*/ 20132743 h 20132743"/>
            <a:gd name="connsiteX2" fmla="*/ 17233935 w 17233935"/>
            <a:gd name="connsiteY2" fmla="*/ 1270000 h 20132743"/>
            <a:gd name="connsiteX3" fmla="*/ 17233935 w 17233935"/>
            <a:gd name="connsiteY3" fmla="*/ 3556000 h 20132743"/>
            <a:gd name="connsiteX4" fmla="*/ 16597230 w 17233935"/>
            <a:gd name="connsiteY4" fmla="*/ 3810000 h 20132743"/>
            <a:gd name="connsiteX5" fmla="*/ 15960524 w 17233935"/>
            <a:gd name="connsiteY5" fmla="*/ 3556000 h 20132743"/>
            <a:gd name="connsiteX6" fmla="*/ 15960524 w 17233935"/>
            <a:gd name="connsiteY6" fmla="*/ 2540000 h 20132743"/>
            <a:gd name="connsiteX7" fmla="*/ 15323819 w 17233935"/>
            <a:gd name="connsiteY7" fmla="*/ 1905000 h 20132743"/>
            <a:gd name="connsiteX8" fmla="*/ 14687113 w 17233935"/>
            <a:gd name="connsiteY8" fmla="*/ 1905000 h 20132743"/>
            <a:gd name="connsiteX9" fmla="*/ 14687113 w 17233935"/>
            <a:gd name="connsiteY9" fmla="*/ 0 h 20132743"/>
            <a:gd name="connsiteX0" fmla="*/ 0 w 17233935"/>
            <a:gd name="connsiteY0" fmla="*/ 20132743 h 20133713"/>
            <a:gd name="connsiteX1" fmla="*/ 1186531 w 17233935"/>
            <a:gd name="connsiteY1" fmla="*/ 20132743 h 20133713"/>
            <a:gd name="connsiteX2" fmla="*/ 17233935 w 17233935"/>
            <a:gd name="connsiteY2" fmla="*/ 1270000 h 20133713"/>
            <a:gd name="connsiteX3" fmla="*/ 17233935 w 17233935"/>
            <a:gd name="connsiteY3" fmla="*/ 3556000 h 20133713"/>
            <a:gd name="connsiteX4" fmla="*/ 16597230 w 17233935"/>
            <a:gd name="connsiteY4" fmla="*/ 3810000 h 20133713"/>
            <a:gd name="connsiteX5" fmla="*/ 15960524 w 17233935"/>
            <a:gd name="connsiteY5" fmla="*/ 3556000 h 20133713"/>
            <a:gd name="connsiteX6" fmla="*/ 15960524 w 17233935"/>
            <a:gd name="connsiteY6" fmla="*/ 2540000 h 20133713"/>
            <a:gd name="connsiteX7" fmla="*/ 15323819 w 17233935"/>
            <a:gd name="connsiteY7" fmla="*/ 1905000 h 20133713"/>
            <a:gd name="connsiteX8" fmla="*/ 14687113 w 17233935"/>
            <a:gd name="connsiteY8" fmla="*/ 1905000 h 20133713"/>
            <a:gd name="connsiteX9" fmla="*/ 14687113 w 17233935"/>
            <a:gd name="connsiteY9" fmla="*/ 0 h 20133713"/>
            <a:gd name="connsiteX0" fmla="*/ 0 w 17233935"/>
            <a:gd name="connsiteY0" fmla="*/ 20132743 h 21058744"/>
            <a:gd name="connsiteX1" fmla="*/ 1186531 w 17233935"/>
            <a:gd name="connsiteY1" fmla="*/ 20132743 h 21058744"/>
            <a:gd name="connsiteX2" fmla="*/ 1833362 w 17233935"/>
            <a:gd name="connsiteY2" fmla="*/ 21058744 h 21058744"/>
            <a:gd name="connsiteX3" fmla="*/ 17233935 w 17233935"/>
            <a:gd name="connsiteY3" fmla="*/ 3556000 h 21058744"/>
            <a:gd name="connsiteX4" fmla="*/ 16597230 w 17233935"/>
            <a:gd name="connsiteY4" fmla="*/ 3810000 h 21058744"/>
            <a:gd name="connsiteX5" fmla="*/ 15960524 w 17233935"/>
            <a:gd name="connsiteY5" fmla="*/ 3556000 h 21058744"/>
            <a:gd name="connsiteX6" fmla="*/ 15960524 w 17233935"/>
            <a:gd name="connsiteY6" fmla="*/ 2540000 h 21058744"/>
            <a:gd name="connsiteX7" fmla="*/ 15323819 w 17233935"/>
            <a:gd name="connsiteY7" fmla="*/ 1905000 h 21058744"/>
            <a:gd name="connsiteX8" fmla="*/ 14687113 w 17233935"/>
            <a:gd name="connsiteY8" fmla="*/ 1905000 h 21058744"/>
            <a:gd name="connsiteX9" fmla="*/ 14687113 w 17233935"/>
            <a:gd name="connsiteY9" fmla="*/ 0 h 21058744"/>
            <a:gd name="connsiteX0" fmla="*/ 0 w 16597229"/>
            <a:gd name="connsiteY0" fmla="*/ 20132743 h 21058744"/>
            <a:gd name="connsiteX1" fmla="*/ 1186531 w 16597229"/>
            <a:gd name="connsiteY1" fmla="*/ 20132743 h 21058744"/>
            <a:gd name="connsiteX2" fmla="*/ 1833362 w 16597229"/>
            <a:gd name="connsiteY2" fmla="*/ 21058744 h 21058744"/>
            <a:gd name="connsiteX3" fmla="*/ 1833362 w 16597229"/>
            <a:gd name="connsiteY3" fmla="*/ 20904463 h 21058744"/>
            <a:gd name="connsiteX4" fmla="*/ 16597230 w 16597229"/>
            <a:gd name="connsiteY4" fmla="*/ 3810000 h 21058744"/>
            <a:gd name="connsiteX5" fmla="*/ 15960524 w 16597229"/>
            <a:gd name="connsiteY5" fmla="*/ 3556000 h 21058744"/>
            <a:gd name="connsiteX6" fmla="*/ 15960524 w 16597229"/>
            <a:gd name="connsiteY6" fmla="*/ 2540000 h 21058744"/>
            <a:gd name="connsiteX7" fmla="*/ 15323819 w 16597229"/>
            <a:gd name="connsiteY7" fmla="*/ 1905000 h 21058744"/>
            <a:gd name="connsiteX8" fmla="*/ 14687113 w 16597229"/>
            <a:gd name="connsiteY8" fmla="*/ 1905000 h 21058744"/>
            <a:gd name="connsiteX9" fmla="*/ 14687113 w 16597229"/>
            <a:gd name="connsiteY9" fmla="*/ 0 h 21058744"/>
            <a:gd name="connsiteX0" fmla="*/ 0 w 15960523"/>
            <a:gd name="connsiteY0" fmla="*/ 20132743 h 21830463"/>
            <a:gd name="connsiteX1" fmla="*/ 1186531 w 15960523"/>
            <a:gd name="connsiteY1" fmla="*/ 20132743 h 21830463"/>
            <a:gd name="connsiteX2" fmla="*/ 1833362 w 15960523"/>
            <a:gd name="connsiteY2" fmla="*/ 21058744 h 21830463"/>
            <a:gd name="connsiteX3" fmla="*/ 1833362 w 15960523"/>
            <a:gd name="connsiteY3" fmla="*/ 20904463 h 21830463"/>
            <a:gd name="connsiteX4" fmla="*/ 1784850 w 15960523"/>
            <a:gd name="connsiteY4" fmla="*/ 21830463 h 21830463"/>
            <a:gd name="connsiteX5" fmla="*/ 15960524 w 15960523"/>
            <a:gd name="connsiteY5" fmla="*/ 3556000 h 21830463"/>
            <a:gd name="connsiteX6" fmla="*/ 15960524 w 15960523"/>
            <a:gd name="connsiteY6" fmla="*/ 2540000 h 21830463"/>
            <a:gd name="connsiteX7" fmla="*/ 15323819 w 15960523"/>
            <a:gd name="connsiteY7" fmla="*/ 1905000 h 21830463"/>
            <a:gd name="connsiteX8" fmla="*/ 14687113 w 15960523"/>
            <a:gd name="connsiteY8" fmla="*/ 1905000 h 21830463"/>
            <a:gd name="connsiteX9" fmla="*/ 14687113 w 15960523"/>
            <a:gd name="connsiteY9" fmla="*/ 0 h 21830463"/>
            <a:gd name="connsiteX0" fmla="*/ 0 w 15960523"/>
            <a:gd name="connsiteY0" fmla="*/ 20132743 h 21830463"/>
            <a:gd name="connsiteX1" fmla="*/ 1186531 w 15960523"/>
            <a:gd name="connsiteY1" fmla="*/ 20132743 h 21830463"/>
            <a:gd name="connsiteX2" fmla="*/ 1833362 w 15960523"/>
            <a:gd name="connsiteY2" fmla="*/ 21058744 h 21830463"/>
            <a:gd name="connsiteX3" fmla="*/ 1833362 w 15960523"/>
            <a:gd name="connsiteY3" fmla="*/ 20904463 h 21830463"/>
            <a:gd name="connsiteX4" fmla="*/ 1784850 w 15960523"/>
            <a:gd name="connsiteY4" fmla="*/ 21830463 h 21830463"/>
            <a:gd name="connsiteX5" fmla="*/ 1736337 w 15960523"/>
            <a:gd name="connsiteY5" fmla="*/ 20904459 h 21830463"/>
            <a:gd name="connsiteX6" fmla="*/ 15960524 w 15960523"/>
            <a:gd name="connsiteY6" fmla="*/ 2540000 h 21830463"/>
            <a:gd name="connsiteX7" fmla="*/ 15323819 w 15960523"/>
            <a:gd name="connsiteY7" fmla="*/ 1905000 h 21830463"/>
            <a:gd name="connsiteX8" fmla="*/ 14687113 w 15960523"/>
            <a:gd name="connsiteY8" fmla="*/ 1905000 h 21830463"/>
            <a:gd name="connsiteX9" fmla="*/ 14687113 w 15960523"/>
            <a:gd name="connsiteY9" fmla="*/ 0 h 21830463"/>
            <a:gd name="connsiteX0" fmla="*/ 0 w 15418022"/>
            <a:gd name="connsiteY0" fmla="*/ 20132743 h 21830463"/>
            <a:gd name="connsiteX1" fmla="*/ 1186531 w 15418022"/>
            <a:gd name="connsiteY1" fmla="*/ 20132743 h 21830463"/>
            <a:gd name="connsiteX2" fmla="*/ 1833362 w 15418022"/>
            <a:gd name="connsiteY2" fmla="*/ 21058744 h 21830463"/>
            <a:gd name="connsiteX3" fmla="*/ 1833362 w 15418022"/>
            <a:gd name="connsiteY3" fmla="*/ 20904463 h 21830463"/>
            <a:gd name="connsiteX4" fmla="*/ 1784850 w 15418022"/>
            <a:gd name="connsiteY4" fmla="*/ 21830463 h 21830463"/>
            <a:gd name="connsiteX5" fmla="*/ 1736337 w 15418022"/>
            <a:gd name="connsiteY5" fmla="*/ 20904459 h 21830463"/>
            <a:gd name="connsiteX6" fmla="*/ 1736337 w 15418022"/>
            <a:gd name="connsiteY6" fmla="*/ 21151340 h 21830463"/>
            <a:gd name="connsiteX7" fmla="*/ 15323819 w 15418022"/>
            <a:gd name="connsiteY7" fmla="*/ 1905000 h 21830463"/>
            <a:gd name="connsiteX8" fmla="*/ 14687113 w 15418022"/>
            <a:gd name="connsiteY8" fmla="*/ 1905000 h 21830463"/>
            <a:gd name="connsiteX9" fmla="*/ 14687113 w 15418022"/>
            <a:gd name="connsiteY9" fmla="*/ 0 h 21830463"/>
            <a:gd name="connsiteX0" fmla="*/ 0 w 15329202"/>
            <a:gd name="connsiteY0" fmla="*/ 20132743 h 21830463"/>
            <a:gd name="connsiteX1" fmla="*/ 1186531 w 15329202"/>
            <a:gd name="connsiteY1" fmla="*/ 20132743 h 21830463"/>
            <a:gd name="connsiteX2" fmla="*/ 1833362 w 15329202"/>
            <a:gd name="connsiteY2" fmla="*/ 21058744 h 21830463"/>
            <a:gd name="connsiteX3" fmla="*/ 1833362 w 15329202"/>
            <a:gd name="connsiteY3" fmla="*/ 20904463 h 21830463"/>
            <a:gd name="connsiteX4" fmla="*/ 1784850 w 15329202"/>
            <a:gd name="connsiteY4" fmla="*/ 21830463 h 21830463"/>
            <a:gd name="connsiteX5" fmla="*/ 1736337 w 15329202"/>
            <a:gd name="connsiteY5" fmla="*/ 20904459 h 21830463"/>
            <a:gd name="connsiteX6" fmla="*/ 1736337 w 15329202"/>
            <a:gd name="connsiteY6" fmla="*/ 21151340 h 21830463"/>
            <a:gd name="connsiteX7" fmla="*/ 15323819 w 15329202"/>
            <a:gd name="connsiteY7" fmla="*/ 1905000 h 21830463"/>
            <a:gd name="connsiteX8" fmla="*/ 14687113 w 15329202"/>
            <a:gd name="connsiteY8" fmla="*/ 1905000 h 21830463"/>
            <a:gd name="connsiteX9" fmla="*/ 14687113 w 15329202"/>
            <a:gd name="connsiteY9" fmla="*/ 0 h 21830463"/>
            <a:gd name="connsiteX0" fmla="*/ 0 w 15323819"/>
            <a:gd name="connsiteY0" fmla="*/ 20132743 h 21830463"/>
            <a:gd name="connsiteX1" fmla="*/ 1186531 w 15323819"/>
            <a:gd name="connsiteY1" fmla="*/ 20132743 h 21830463"/>
            <a:gd name="connsiteX2" fmla="*/ 1833362 w 15323819"/>
            <a:gd name="connsiteY2" fmla="*/ 21058744 h 21830463"/>
            <a:gd name="connsiteX3" fmla="*/ 1833362 w 15323819"/>
            <a:gd name="connsiteY3" fmla="*/ 20904463 h 21830463"/>
            <a:gd name="connsiteX4" fmla="*/ 1784850 w 15323819"/>
            <a:gd name="connsiteY4" fmla="*/ 21830463 h 21830463"/>
            <a:gd name="connsiteX5" fmla="*/ 1736337 w 15323819"/>
            <a:gd name="connsiteY5" fmla="*/ 20904459 h 21830463"/>
            <a:gd name="connsiteX6" fmla="*/ 1736337 w 15323819"/>
            <a:gd name="connsiteY6" fmla="*/ 21151340 h 21830463"/>
            <a:gd name="connsiteX7" fmla="*/ 15323819 w 15323819"/>
            <a:gd name="connsiteY7" fmla="*/ 1905000 h 21830463"/>
            <a:gd name="connsiteX8" fmla="*/ 14687113 w 15323819"/>
            <a:gd name="connsiteY8" fmla="*/ 1905000 h 21830463"/>
            <a:gd name="connsiteX9" fmla="*/ 14687113 w 15323819"/>
            <a:gd name="connsiteY9" fmla="*/ 0 h 21830463"/>
            <a:gd name="connsiteX0" fmla="*/ 0 w 14687113"/>
            <a:gd name="connsiteY0" fmla="*/ 20132743 h 21830463"/>
            <a:gd name="connsiteX1" fmla="*/ 1186531 w 14687113"/>
            <a:gd name="connsiteY1" fmla="*/ 20132743 h 21830463"/>
            <a:gd name="connsiteX2" fmla="*/ 1833362 w 14687113"/>
            <a:gd name="connsiteY2" fmla="*/ 21058744 h 21830463"/>
            <a:gd name="connsiteX3" fmla="*/ 1833362 w 14687113"/>
            <a:gd name="connsiteY3" fmla="*/ 20904463 h 21830463"/>
            <a:gd name="connsiteX4" fmla="*/ 1784850 w 14687113"/>
            <a:gd name="connsiteY4" fmla="*/ 21830463 h 21830463"/>
            <a:gd name="connsiteX5" fmla="*/ 1736337 w 14687113"/>
            <a:gd name="connsiteY5" fmla="*/ 20904459 h 21830463"/>
            <a:gd name="connsiteX6" fmla="*/ 1736337 w 14687113"/>
            <a:gd name="connsiteY6" fmla="*/ 21151340 h 21830463"/>
            <a:gd name="connsiteX7" fmla="*/ 1089508 w 14687113"/>
            <a:gd name="connsiteY7" fmla="*/ 20225339 h 21830463"/>
            <a:gd name="connsiteX8" fmla="*/ 14687113 w 14687113"/>
            <a:gd name="connsiteY8" fmla="*/ 1905000 h 21830463"/>
            <a:gd name="connsiteX9" fmla="*/ 14687113 w 14687113"/>
            <a:gd name="connsiteY9" fmla="*/ 0 h 21830463"/>
            <a:gd name="connsiteX0" fmla="*/ 0 w 14687113"/>
            <a:gd name="connsiteY0" fmla="*/ 20132743 h 21830463"/>
            <a:gd name="connsiteX1" fmla="*/ 1186531 w 14687113"/>
            <a:gd name="connsiteY1" fmla="*/ 20132743 h 21830463"/>
            <a:gd name="connsiteX2" fmla="*/ 1833362 w 14687113"/>
            <a:gd name="connsiteY2" fmla="*/ 21058744 h 21830463"/>
            <a:gd name="connsiteX3" fmla="*/ 1833362 w 14687113"/>
            <a:gd name="connsiteY3" fmla="*/ 20904463 h 21830463"/>
            <a:gd name="connsiteX4" fmla="*/ 1784850 w 14687113"/>
            <a:gd name="connsiteY4" fmla="*/ 21830463 h 21830463"/>
            <a:gd name="connsiteX5" fmla="*/ 1736337 w 14687113"/>
            <a:gd name="connsiteY5" fmla="*/ 20904459 h 21830463"/>
            <a:gd name="connsiteX6" fmla="*/ 1736337 w 14687113"/>
            <a:gd name="connsiteY6" fmla="*/ 21151340 h 21830463"/>
            <a:gd name="connsiteX7" fmla="*/ 1089508 w 14687113"/>
            <a:gd name="connsiteY7" fmla="*/ 20225339 h 21830463"/>
            <a:gd name="connsiteX8" fmla="*/ 3 w 14687113"/>
            <a:gd name="connsiteY8" fmla="*/ 20225339 h 21830463"/>
            <a:gd name="connsiteX9" fmla="*/ 14687113 w 14687113"/>
            <a:gd name="connsiteY9" fmla="*/ 0 h 21830463"/>
            <a:gd name="connsiteX0" fmla="*/ 0 w 1833362"/>
            <a:gd name="connsiteY0" fmla="*/ 4 h 1697724"/>
            <a:gd name="connsiteX1" fmla="*/ 1186531 w 1833362"/>
            <a:gd name="connsiteY1" fmla="*/ 4 h 1697724"/>
            <a:gd name="connsiteX2" fmla="*/ 1833362 w 1833362"/>
            <a:gd name="connsiteY2" fmla="*/ 926005 h 1697724"/>
            <a:gd name="connsiteX3" fmla="*/ 1833362 w 1833362"/>
            <a:gd name="connsiteY3" fmla="*/ 771724 h 1697724"/>
            <a:gd name="connsiteX4" fmla="*/ 1784850 w 1833362"/>
            <a:gd name="connsiteY4" fmla="*/ 1697724 h 1697724"/>
            <a:gd name="connsiteX5" fmla="*/ 1736337 w 1833362"/>
            <a:gd name="connsiteY5" fmla="*/ 771720 h 1697724"/>
            <a:gd name="connsiteX6" fmla="*/ 1736337 w 1833362"/>
            <a:gd name="connsiteY6" fmla="*/ 1018601 h 1697724"/>
            <a:gd name="connsiteX7" fmla="*/ 1089508 w 1833362"/>
            <a:gd name="connsiteY7" fmla="*/ 92600 h 1697724"/>
            <a:gd name="connsiteX8" fmla="*/ 3 w 1833362"/>
            <a:gd name="connsiteY8" fmla="*/ 92600 h 1697724"/>
            <a:gd name="connsiteX9" fmla="*/ 3 w 1833362"/>
            <a:gd name="connsiteY9" fmla="*/ 0 h 16977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33362" h="1697724">
              <a:moveTo>
                <a:pt x="0" y="4"/>
              </a:moveTo>
              <a:lnTo>
                <a:pt x="1186531" y="4"/>
              </a:lnTo>
              <a:cubicBezTo>
                <a:pt x="1509946" y="4"/>
                <a:pt x="1833362" y="463004"/>
                <a:pt x="1833362" y="926005"/>
              </a:cubicBezTo>
              <a:lnTo>
                <a:pt x="1833362" y="771724"/>
              </a:lnTo>
              <a:lnTo>
                <a:pt x="1784850" y="1697724"/>
              </a:lnTo>
              <a:lnTo>
                <a:pt x="1736337" y="771720"/>
              </a:lnTo>
              <a:lnTo>
                <a:pt x="1736337" y="1018601"/>
              </a:lnTo>
              <a:cubicBezTo>
                <a:pt x="1736340" y="555601"/>
                <a:pt x="1412924" y="92600"/>
                <a:pt x="1089508" y="92600"/>
              </a:cubicBezTo>
              <a:lnTo>
                <a:pt x="3" y="92600"/>
              </a:lnTo>
              <a:lnTo>
                <a:pt x="3"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158749</xdr:colOff>
      <xdr:row>36</xdr:row>
      <xdr:rowOff>118518</xdr:rowOff>
    </xdr:from>
    <xdr:to>
      <xdr:col>2</xdr:col>
      <xdr:colOff>569913</xdr:colOff>
      <xdr:row>36</xdr:row>
      <xdr:rowOff>143919</xdr:rowOff>
    </xdr:to>
    <xdr:sp macro="" textlink="">
      <xdr:nvSpPr>
        <xdr:cNvPr id="82" name="Arrow $H$126">
          <a:extLst>
            <a:ext uri="{FF2B5EF4-FFF2-40B4-BE49-F238E27FC236}">
              <a16:creationId xmlns:a16="http://schemas.microsoft.com/office/drawing/2014/main" id="{00000000-0008-0000-0400-000007000000}"/>
            </a:ext>
          </a:extLst>
        </xdr:cNvPr>
        <xdr:cNvSpPr/>
      </xdr:nvSpPr>
      <xdr:spPr>
        <a:xfrm>
          <a:off x="158749" y="5985918"/>
          <a:ext cx="1630364" cy="25401"/>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7"/>
            <a:gd name="connsiteY0" fmla="*/ 0 h 4138390"/>
            <a:gd name="connsiteX1" fmla="*/ 5824907 w 6079497"/>
            <a:gd name="connsiteY1" fmla="*/ 328390 h 4138390"/>
            <a:gd name="connsiteX2" fmla="*/ 6079497 w 6079497"/>
            <a:gd name="connsiteY2" fmla="*/ 2233390 h 4138390"/>
            <a:gd name="connsiteX3" fmla="*/ 5824907 w 6079497"/>
            <a:gd name="connsiteY3" fmla="*/ 4138390 h 4138390"/>
            <a:gd name="connsiteX4" fmla="*/ 3533599 w 6079497"/>
            <a:gd name="connsiteY4" fmla="*/ 4138390 h 4138390"/>
            <a:gd name="connsiteX5" fmla="*/ 3533599 w 6079497"/>
            <a:gd name="connsiteY5" fmla="*/ 328390 h 4138390"/>
            <a:gd name="connsiteX0" fmla="*/ 0 w 6079497"/>
            <a:gd name="connsiteY0" fmla="*/ 0 h 4138390"/>
            <a:gd name="connsiteX1" fmla="*/ 3509318 w 6079497"/>
            <a:gd name="connsiteY1" fmla="*/ 4 h 4138390"/>
            <a:gd name="connsiteX2" fmla="*/ 6079497 w 6079497"/>
            <a:gd name="connsiteY2" fmla="*/ 2233390 h 4138390"/>
            <a:gd name="connsiteX3" fmla="*/ 5824907 w 6079497"/>
            <a:gd name="connsiteY3" fmla="*/ 4138390 h 4138390"/>
            <a:gd name="connsiteX4" fmla="*/ 3533599 w 6079497"/>
            <a:gd name="connsiteY4" fmla="*/ 4138390 h 4138390"/>
            <a:gd name="connsiteX5" fmla="*/ 3533599 w 6079497"/>
            <a:gd name="connsiteY5" fmla="*/ 328390 h 4138390"/>
            <a:gd name="connsiteX0" fmla="*/ 0 w 5824907"/>
            <a:gd name="connsiteY0" fmla="*/ 0 h 4138390"/>
            <a:gd name="connsiteX1" fmla="*/ 3509318 w 5824907"/>
            <a:gd name="connsiteY1" fmla="*/ 4 h 4138390"/>
            <a:gd name="connsiteX2" fmla="*/ 4156943 w 5824907"/>
            <a:gd name="connsiteY2" fmla="*/ 69139 h 4138390"/>
            <a:gd name="connsiteX3" fmla="*/ 5824907 w 5824907"/>
            <a:gd name="connsiteY3" fmla="*/ 4138390 h 4138390"/>
            <a:gd name="connsiteX4" fmla="*/ 3533599 w 5824907"/>
            <a:gd name="connsiteY4" fmla="*/ 4138390 h 4138390"/>
            <a:gd name="connsiteX5" fmla="*/ 3533599 w 5824907"/>
            <a:gd name="connsiteY5" fmla="*/ 328390 h 4138390"/>
            <a:gd name="connsiteX0" fmla="*/ 0 w 4156943"/>
            <a:gd name="connsiteY0" fmla="*/ 0 h 4138390"/>
            <a:gd name="connsiteX1" fmla="*/ 3509318 w 4156943"/>
            <a:gd name="connsiteY1" fmla="*/ 4 h 4138390"/>
            <a:gd name="connsiteX2" fmla="*/ 4156943 w 4156943"/>
            <a:gd name="connsiteY2" fmla="*/ 69139 h 4138390"/>
            <a:gd name="connsiteX3" fmla="*/ 3509318 w 4156943"/>
            <a:gd name="connsiteY3" fmla="*/ 92184 h 4138390"/>
            <a:gd name="connsiteX4" fmla="*/ 3533599 w 4156943"/>
            <a:gd name="connsiteY4" fmla="*/ 4138390 h 4138390"/>
            <a:gd name="connsiteX5" fmla="*/ 3533599 w 4156943"/>
            <a:gd name="connsiteY5" fmla="*/ 328390 h 4138390"/>
            <a:gd name="connsiteX0" fmla="*/ 0 w 4156943"/>
            <a:gd name="connsiteY0" fmla="*/ 0 h 328389"/>
            <a:gd name="connsiteX1" fmla="*/ 3509318 w 4156943"/>
            <a:gd name="connsiteY1" fmla="*/ 4 h 328389"/>
            <a:gd name="connsiteX2" fmla="*/ 4156943 w 4156943"/>
            <a:gd name="connsiteY2" fmla="*/ 69139 h 328389"/>
            <a:gd name="connsiteX3" fmla="*/ 3509318 w 4156943"/>
            <a:gd name="connsiteY3" fmla="*/ 92184 h 328389"/>
            <a:gd name="connsiteX4" fmla="*/ 3 w 4156943"/>
            <a:gd name="connsiteY4" fmla="*/ 92184 h 328389"/>
            <a:gd name="connsiteX5" fmla="*/ 3533599 w 4156943"/>
            <a:gd name="connsiteY5" fmla="*/ 328390 h 328389"/>
            <a:gd name="connsiteX0" fmla="*/ 0 w 4156943"/>
            <a:gd name="connsiteY0" fmla="*/ 0 h 92184"/>
            <a:gd name="connsiteX1" fmla="*/ 3509318 w 4156943"/>
            <a:gd name="connsiteY1" fmla="*/ 4 h 92184"/>
            <a:gd name="connsiteX2" fmla="*/ 4156943 w 4156943"/>
            <a:gd name="connsiteY2" fmla="*/ 69139 h 92184"/>
            <a:gd name="connsiteX3" fmla="*/ 3509318 w 4156943"/>
            <a:gd name="connsiteY3" fmla="*/ 92184 h 92184"/>
            <a:gd name="connsiteX4" fmla="*/ 3 w 4156943"/>
            <a:gd name="connsiteY4" fmla="*/ 92184 h 92184"/>
            <a:gd name="connsiteX5" fmla="*/ 3 w 4156943"/>
            <a:gd name="connsiteY5" fmla="*/ 4 h 921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3" h="92184">
              <a:moveTo>
                <a:pt x="0" y="0"/>
              </a:moveTo>
              <a:lnTo>
                <a:pt x="3509318" y="4"/>
              </a:lnTo>
              <a:lnTo>
                <a:pt x="4156943" y="69139"/>
              </a:lnTo>
              <a:lnTo>
                <a:pt x="3509318" y="92184"/>
              </a:lnTo>
              <a:lnTo>
                <a:pt x="3" y="92184"/>
              </a:lnTo>
              <a:lnTo>
                <a:pt x="3" y="4"/>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36</xdr:row>
      <xdr:rowOff>146286</xdr:rowOff>
    </xdr:from>
    <xdr:to>
      <xdr:col>2</xdr:col>
      <xdr:colOff>328613</xdr:colOff>
      <xdr:row>37</xdr:row>
      <xdr:rowOff>114536</xdr:rowOff>
    </xdr:to>
    <xdr:sp macro="" textlink="">
      <xdr:nvSpPr>
        <xdr:cNvPr id="2" name="Arrow Text $H$126"/>
        <xdr:cNvSpPr txBox="1"/>
      </xdr:nvSpPr>
      <xdr:spPr>
        <a:xfrm>
          <a:off x="158750" y="6013686"/>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OPEN DEFECATION</a:t>
          </a:r>
        </a:p>
      </xdr:txBody>
    </xdr:sp>
    <xdr:clientData/>
  </xdr:twoCellAnchor>
  <xdr:twoCellAnchor>
    <xdr:from>
      <xdr:col>4</xdr:col>
      <xdr:colOff>498475</xdr:colOff>
      <xdr:row>35</xdr:row>
      <xdr:rowOff>74671</xdr:rowOff>
    </xdr:from>
    <xdr:to>
      <xdr:col>5</xdr:col>
      <xdr:colOff>608807</xdr:colOff>
      <xdr:row>39</xdr:row>
      <xdr:rowOff>31748</xdr:rowOff>
    </xdr:to>
    <xdr:sp macro="" textlink="">
      <xdr:nvSpPr>
        <xdr:cNvPr id="84" name="Arrow $L$124">
          <a:extLst>
            <a:ext uri="{FF2B5EF4-FFF2-40B4-BE49-F238E27FC236}">
              <a16:creationId xmlns:a16="http://schemas.microsoft.com/office/drawing/2014/main" id="{00000000-0008-0000-0400-000006000000}"/>
            </a:ext>
          </a:extLst>
        </xdr:cNvPr>
        <xdr:cNvSpPr/>
      </xdr:nvSpPr>
      <xdr:spPr>
        <a:xfrm>
          <a:off x="2936875" y="5757921"/>
          <a:ext cx="719932" cy="693677"/>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7074720 w 7074720"/>
            <a:gd name="connsiteY0" fmla="*/ 0 h 4965813"/>
            <a:gd name="connsiteX1" fmla="*/ 1273411 w 7074720"/>
            <a:gd name="connsiteY1" fmla="*/ 1155813 h 4965813"/>
            <a:gd name="connsiteX2" fmla="*/ 2546822 w 7074720"/>
            <a:gd name="connsiteY2" fmla="*/ 2425813 h 4965813"/>
            <a:gd name="connsiteX3" fmla="*/ 2546822 w 7074720"/>
            <a:gd name="connsiteY3" fmla="*/ 4711813 h 4965813"/>
            <a:gd name="connsiteX4" fmla="*/ 1910117 w 7074720"/>
            <a:gd name="connsiteY4" fmla="*/ 4965813 h 4965813"/>
            <a:gd name="connsiteX5" fmla="*/ 1273411 w 7074720"/>
            <a:gd name="connsiteY5" fmla="*/ 4711813 h 4965813"/>
            <a:gd name="connsiteX6" fmla="*/ 1273411 w 7074720"/>
            <a:gd name="connsiteY6" fmla="*/ 3695813 h 4965813"/>
            <a:gd name="connsiteX7" fmla="*/ 636706 w 7074720"/>
            <a:gd name="connsiteY7" fmla="*/ 3060813 h 4965813"/>
            <a:gd name="connsiteX8" fmla="*/ 0 w 7074720"/>
            <a:gd name="connsiteY8" fmla="*/ 3060813 h 4965813"/>
            <a:gd name="connsiteX9" fmla="*/ 0 w 7074720"/>
            <a:gd name="connsiteY9" fmla="*/ 1155813 h 4965813"/>
            <a:gd name="connsiteX0" fmla="*/ 7074720 w 8261248"/>
            <a:gd name="connsiteY0" fmla="*/ 0 h 4965813"/>
            <a:gd name="connsiteX1" fmla="*/ 8261248 w 8261248"/>
            <a:gd name="connsiteY1" fmla="*/ 0 h 4965813"/>
            <a:gd name="connsiteX2" fmla="*/ 2546822 w 8261248"/>
            <a:gd name="connsiteY2" fmla="*/ 2425813 h 4965813"/>
            <a:gd name="connsiteX3" fmla="*/ 2546822 w 8261248"/>
            <a:gd name="connsiteY3" fmla="*/ 4711813 h 4965813"/>
            <a:gd name="connsiteX4" fmla="*/ 1910117 w 8261248"/>
            <a:gd name="connsiteY4" fmla="*/ 4965813 h 4965813"/>
            <a:gd name="connsiteX5" fmla="*/ 1273411 w 8261248"/>
            <a:gd name="connsiteY5" fmla="*/ 4711813 h 4965813"/>
            <a:gd name="connsiteX6" fmla="*/ 1273411 w 8261248"/>
            <a:gd name="connsiteY6" fmla="*/ 3695813 h 4965813"/>
            <a:gd name="connsiteX7" fmla="*/ 636706 w 8261248"/>
            <a:gd name="connsiteY7" fmla="*/ 3060813 h 4965813"/>
            <a:gd name="connsiteX8" fmla="*/ 0 w 8261248"/>
            <a:gd name="connsiteY8" fmla="*/ 3060813 h 4965813"/>
            <a:gd name="connsiteX9" fmla="*/ 0 w 8261248"/>
            <a:gd name="connsiteY9" fmla="*/ 1155813 h 4965813"/>
            <a:gd name="connsiteX0" fmla="*/ 7074720 w 8273790"/>
            <a:gd name="connsiteY0" fmla="*/ 0 h 4965813"/>
            <a:gd name="connsiteX1" fmla="*/ 8261248 w 8273790"/>
            <a:gd name="connsiteY1" fmla="*/ 0 h 4965813"/>
            <a:gd name="connsiteX2" fmla="*/ 2546822 w 8273790"/>
            <a:gd name="connsiteY2" fmla="*/ 2425813 h 4965813"/>
            <a:gd name="connsiteX3" fmla="*/ 2546822 w 8273790"/>
            <a:gd name="connsiteY3" fmla="*/ 4711813 h 4965813"/>
            <a:gd name="connsiteX4" fmla="*/ 1910117 w 8273790"/>
            <a:gd name="connsiteY4" fmla="*/ 4965813 h 4965813"/>
            <a:gd name="connsiteX5" fmla="*/ 1273411 w 8273790"/>
            <a:gd name="connsiteY5" fmla="*/ 4711813 h 4965813"/>
            <a:gd name="connsiteX6" fmla="*/ 1273411 w 8273790"/>
            <a:gd name="connsiteY6" fmla="*/ 3695813 h 4965813"/>
            <a:gd name="connsiteX7" fmla="*/ 636706 w 8273790"/>
            <a:gd name="connsiteY7" fmla="*/ 3060813 h 4965813"/>
            <a:gd name="connsiteX8" fmla="*/ 0 w 8273790"/>
            <a:gd name="connsiteY8" fmla="*/ 3060813 h 4965813"/>
            <a:gd name="connsiteX9" fmla="*/ 0 w 8273790"/>
            <a:gd name="connsiteY9" fmla="*/ 1155813 h 4965813"/>
            <a:gd name="connsiteX0" fmla="*/ 7074720 w 8403523"/>
            <a:gd name="connsiteY0" fmla="*/ 0 h 4965813"/>
            <a:gd name="connsiteX1" fmla="*/ 8261248 w 8403523"/>
            <a:gd name="connsiteY1" fmla="*/ 0 h 4965813"/>
            <a:gd name="connsiteX2" fmla="*/ 2546822 w 8403523"/>
            <a:gd name="connsiteY2" fmla="*/ 2425813 h 4965813"/>
            <a:gd name="connsiteX3" fmla="*/ 2546822 w 8403523"/>
            <a:gd name="connsiteY3" fmla="*/ 4711813 h 4965813"/>
            <a:gd name="connsiteX4" fmla="*/ 1910117 w 8403523"/>
            <a:gd name="connsiteY4" fmla="*/ 4965813 h 4965813"/>
            <a:gd name="connsiteX5" fmla="*/ 1273411 w 8403523"/>
            <a:gd name="connsiteY5" fmla="*/ 4711813 h 4965813"/>
            <a:gd name="connsiteX6" fmla="*/ 1273411 w 8403523"/>
            <a:gd name="connsiteY6" fmla="*/ 3695813 h 4965813"/>
            <a:gd name="connsiteX7" fmla="*/ 636706 w 8403523"/>
            <a:gd name="connsiteY7" fmla="*/ 3060813 h 4965813"/>
            <a:gd name="connsiteX8" fmla="*/ 0 w 8403523"/>
            <a:gd name="connsiteY8" fmla="*/ 3060813 h 4965813"/>
            <a:gd name="connsiteX9" fmla="*/ 0 w 8403523"/>
            <a:gd name="connsiteY9" fmla="*/ 1155813 h 4965813"/>
            <a:gd name="connsiteX0" fmla="*/ 7074720 w 8908079"/>
            <a:gd name="connsiteY0" fmla="*/ 0 h 4965813"/>
            <a:gd name="connsiteX1" fmla="*/ 8261248 w 8908079"/>
            <a:gd name="connsiteY1" fmla="*/ 0 h 4965813"/>
            <a:gd name="connsiteX2" fmla="*/ 8908079 w 8908079"/>
            <a:gd name="connsiteY2" fmla="*/ 921799 h 4965813"/>
            <a:gd name="connsiteX3" fmla="*/ 2546822 w 8908079"/>
            <a:gd name="connsiteY3" fmla="*/ 4711813 h 4965813"/>
            <a:gd name="connsiteX4" fmla="*/ 1910117 w 8908079"/>
            <a:gd name="connsiteY4" fmla="*/ 4965813 h 4965813"/>
            <a:gd name="connsiteX5" fmla="*/ 1273411 w 8908079"/>
            <a:gd name="connsiteY5" fmla="*/ 4711813 h 4965813"/>
            <a:gd name="connsiteX6" fmla="*/ 1273411 w 8908079"/>
            <a:gd name="connsiteY6" fmla="*/ 3695813 h 4965813"/>
            <a:gd name="connsiteX7" fmla="*/ 636706 w 8908079"/>
            <a:gd name="connsiteY7" fmla="*/ 3060813 h 4965813"/>
            <a:gd name="connsiteX8" fmla="*/ 0 w 8908079"/>
            <a:gd name="connsiteY8" fmla="*/ 3060813 h 4965813"/>
            <a:gd name="connsiteX9" fmla="*/ 0 w 8908079"/>
            <a:gd name="connsiteY9" fmla="*/ 1155813 h 4965813"/>
            <a:gd name="connsiteX0" fmla="*/ 7074720 w 8908079"/>
            <a:gd name="connsiteY0" fmla="*/ 0 h 4965813"/>
            <a:gd name="connsiteX1" fmla="*/ 8261248 w 8908079"/>
            <a:gd name="connsiteY1" fmla="*/ 0 h 4965813"/>
            <a:gd name="connsiteX2" fmla="*/ 8908079 w 8908079"/>
            <a:gd name="connsiteY2" fmla="*/ 921799 h 4965813"/>
            <a:gd name="connsiteX3" fmla="*/ 8908076 w 8908079"/>
            <a:gd name="connsiteY3" fmla="*/ 1595646 h 4965813"/>
            <a:gd name="connsiteX4" fmla="*/ 1910117 w 8908079"/>
            <a:gd name="connsiteY4" fmla="*/ 4965813 h 4965813"/>
            <a:gd name="connsiteX5" fmla="*/ 1273411 w 8908079"/>
            <a:gd name="connsiteY5" fmla="*/ 4711813 h 4965813"/>
            <a:gd name="connsiteX6" fmla="*/ 1273411 w 8908079"/>
            <a:gd name="connsiteY6" fmla="*/ 3695813 h 4965813"/>
            <a:gd name="connsiteX7" fmla="*/ 636706 w 8908079"/>
            <a:gd name="connsiteY7" fmla="*/ 3060813 h 4965813"/>
            <a:gd name="connsiteX8" fmla="*/ 0 w 8908079"/>
            <a:gd name="connsiteY8" fmla="*/ 3060813 h 4965813"/>
            <a:gd name="connsiteX9" fmla="*/ 0 w 8908079"/>
            <a:gd name="connsiteY9" fmla="*/ 1155813 h 4965813"/>
            <a:gd name="connsiteX0" fmla="*/ 7074720 w 8908079"/>
            <a:gd name="connsiteY0" fmla="*/ 0 h 4711814"/>
            <a:gd name="connsiteX1" fmla="*/ 8261248 w 8908079"/>
            <a:gd name="connsiteY1" fmla="*/ 0 h 4711814"/>
            <a:gd name="connsiteX2" fmla="*/ 8908079 w 8908079"/>
            <a:gd name="connsiteY2" fmla="*/ 921799 h 4711814"/>
            <a:gd name="connsiteX3" fmla="*/ 8908076 w 8908079"/>
            <a:gd name="connsiteY3" fmla="*/ 1595646 h 4711814"/>
            <a:gd name="connsiteX4" fmla="*/ 8859564 w 8908079"/>
            <a:gd name="connsiteY4" fmla="*/ 2517445 h 4711814"/>
            <a:gd name="connsiteX5" fmla="*/ 1273411 w 8908079"/>
            <a:gd name="connsiteY5" fmla="*/ 4711813 h 4711814"/>
            <a:gd name="connsiteX6" fmla="*/ 1273411 w 8908079"/>
            <a:gd name="connsiteY6" fmla="*/ 3695813 h 4711814"/>
            <a:gd name="connsiteX7" fmla="*/ 636706 w 8908079"/>
            <a:gd name="connsiteY7" fmla="*/ 3060813 h 4711814"/>
            <a:gd name="connsiteX8" fmla="*/ 0 w 8908079"/>
            <a:gd name="connsiteY8" fmla="*/ 3060813 h 4711814"/>
            <a:gd name="connsiteX9" fmla="*/ 0 w 8908079"/>
            <a:gd name="connsiteY9" fmla="*/ 1155813 h 4711814"/>
            <a:gd name="connsiteX0" fmla="*/ 7074720 w 8908079"/>
            <a:gd name="connsiteY0" fmla="*/ 0 h 3695813"/>
            <a:gd name="connsiteX1" fmla="*/ 8261248 w 8908079"/>
            <a:gd name="connsiteY1" fmla="*/ 0 h 3695813"/>
            <a:gd name="connsiteX2" fmla="*/ 8908079 w 8908079"/>
            <a:gd name="connsiteY2" fmla="*/ 921799 h 3695813"/>
            <a:gd name="connsiteX3" fmla="*/ 8908076 w 8908079"/>
            <a:gd name="connsiteY3" fmla="*/ 1595646 h 3695813"/>
            <a:gd name="connsiteX4" fmla="*/ 8859564 w 8908079"/>
            <a:gd name="connsiteY4" fmla="*/ 2517445 h 3695813"/>
            <a:gd name="connsiteX5" fmla="*/ 8811052 w 8908079"/>
            <a:gd name="connsiteY5" fmla="*/ 1595649 h 3695813"/>
            <a:gd name="connsiteX6" fmla="*/ 1273411 w 8908079"/>
            <a:gd name="connsiteY6" fmla="*/ 3695813 h 3695813"/>
            <a:gd name="connsiteX7" fmla="*/ 636706 w 8908079"/>
            <a:gd name="connsiteY7" fmla="*/ 3060813 h 3695813"/>
            <a:gd name="connsiteX8" fmla="*/ 0 w 8908079"/>
            <a:gd name="connsiteY8" fmla="*/ 3060813 h 3695813"/>
            <a:gd name="connsiteX9" fmla="*/ 0 w 8908079"/>
            <a:gd name="connsiteY9" fmla="*/ 1155813 h 3695813"/>
            <a:gd name="connsiteX0" fmla="*/ 7074720 w 8908079"/>
            <a:gd name="connsiteY0" fmla="*/ 0 h 3078574"/>
            <a:gd name="connsiteX1" fmla="*/ 8261248 w 8908079"/>
            <a:gd name="connsiteY1" fmla="*/ 0 h 3078574"/>
            <a:gd name="connsiteX2" fmla="*/ 8908079 w 8908079"/>
            <a:gd name="connsiteY2" fmla="*/ 921799 h 3078574"/>
            <a:gd name="connsiteX3" fmla="*/ 8908076 w 8908079"/>
            <a:gd name="connsiteY3" fmla="*/ 1595646 h 3078574"/>
            <a:gd name="connsiteX4" fmla="*/ 8859564 w 8908079"/>
            <a:gd name="connsiteY4" fmla="*/ 2517445 h 3078574"/>
            <a:gd name="connsiteX5" fmla="*/ 8811052 w 8908079"/>
            <a:gd name="connsiteY5" fmla="*/ 1595649 h 3078574"/>
            <a:gd name="connsiteX6" fmla="*/ 8811052 w 8908079"/>
            <a:gd name="connsiteY6" fmla="*/ 1328661 h 3078574"/>
            <a:gd name="connsiteX7" fmla="*/ 636706 w 8908079"/>
            <a:gd name="connsiteY7" fmla="*/ 3060813 h 3078574"/>
            <a:gd name="connsiteX8" fmla="*/ 0 w 8908079"/>
            <a:gd name="connsiteY8" fmla="*/ 3060813 h 3078574"/>
            <a:gd name="connsiteX9" fmla="*/ 0 w 8908079"/>
            <a:gd name="connsiteY9" fmla="*/ 1155813 h 3078574"/>
            <a:gd name="connsiteX0" fmla="*/ 7074720 w 8908079"/>
            <a:gd name="connsiteY0" fmla="*/ 0 h 3060813"/>
            <a:gd name="connsiteX1" fmla="*/ 8261248 w 8908079"/>
            <a:gd name="connsiteY1" fmla="*/ 0 h 3060813"/>
            <a:gd name="connsiteX2" fmla="*/ 8908079 w 8908079"/>
            <a:gd name="connsiteY2" fmla="*/ 921799 h 3060813"/>
            <a:gd name="connsiteX3" fmla="*/ 8908076 w 8908079"/>
            <a:gd name="connsiteY3" fmla="*/ 1595646 h 3060813"/>
            <a:gd name="connsiteX4" fmla="*/ 8859564 w 8908079"/>
            <a:gd name="connsiteY4" fmla="*/ 2517445 h 3060813"/>
            <a:gd name="connsiteX5" fmla="*/ 8811052 w 8908079"/>
            <a:gd name="connsiteY5" fmla="*/ 1595649 h 3060813"/>
            <a:gd name="connsiteX6" fmla="*/ 8811052 w 8908079"/>
            <a:gd name="connsiteY6" fmla="*/ 1328661 h 3060813"/>
            <a:gd name="connsiteX7" fmla="*/ 636706 w 8908079"/>
            <a:gd name="connsiteY7" fmla="*/ 3060813 h 3060813"/>
            <a:gd name="connsiteX8" fmla="*/ 0 w 8908079"/>
            <a:gd name="connsiteY8" fmla="*/ 3060813 h 3060813"/>
            <a:gd name="connsiteX9" fmla="*/ 0 w 8908079"/>
            <a:gd name="connsiteY9" fmla="*/ 1155813 h 3060813"/>
            <a:gd name="connsiteX0" fmla="*/ 7074720 w 8908079"/>
            <a:gd name="connsiteY0" fmla="*/ 0 h 3060813"/>
            <a:gd name="connsiteX1" fmla="*/ 8261248 w 8908079"/>
            <a:gd name="connsiteY1" fmla="*/ 0 h 3060813"/>
            <a:gd name="connsiteX2" fmla="*/ 8908079 w 8908079"/>
            <a:gd name="connsiteY2" fmla="*/ 921799 h 3060813"/>
            <a:gd name="connsiteX3" fmla="*/ 8908076 w 8908079"/>
            <a:gd name="connsiteY3" fmla="*/ 1595646 h 3060813"/>
            <a:gd name="connsiteX4" fmla="*/ 8859564 w 8908079"/>
            <a:gd name="connsiteY4" fmla="*/ 2517445 h 3060813"/>
            <a:gd name="connsiteX5" fmla="*/ 8811052 w 8908079"/>
            <a:gd name="connsiteY5" fmla="*/ 1595649 h 3060813"/>
            <a:gd name="connsiteX6" fmla="*/ 8811052 w 8908079"/>
            <a:gd name="connsiteY6" fmla="*/ 1328661 h 3060813"/>
            <a:gd name="connsiteX7" fmla="*/ 636706 w 8908079"/>
            <a:gd name="connsiteY7" fmla="*/ 3060813 h 3060813"/>
            <a:gd name="connsiteX8" fmla="*/ 0 w 8908079"/>
            <a:gd name="connsiteY8" fmla="*/ 3060813 h 3060813"/>
            <a:gd name="connsiteX9" fmla="*/ 0 w 8908079"/>
            <a:gd name="connsiteY9" fmla="*/ 1155813 h 3060813"/>
            <a:gd name="connsiteX0" fmla="*/ 7074720 w 8908079"/>
            <a:gd name="connsiteY0" fmla="*/ 0 h 3060813"/>
            <a:gd name="connsiteX1" fmla="*/ 8261248 w 8908079"/>
            <a:gd name="connsiteY1" fmla="*/ 0 h 3060813"/>
            <a:gd name="connsiteX2" fmla="*/ 8908079 w 8908079"/>
            <a:gd name="connsiteY2" fmla="*/ 921799 h 3060813"/>
            <a:gd name="connsiteX3" fmla="*/ 8908076 w 8908079"/>
            <a:gd name="connsiteY3" fmla="*/ 1595646 h 3060813"/>
            <a:gd name="connsiteX4" fmla="*/ 8859564 w 8908079"/>
            <a:gd name="connsiteY4" fmla="*/ 2517445 h 3060813"/>
            <a:gd name="connsiteX5" fmla="*/ 8811052 w 8908079"/>
            <a:gd name="connsiteY5" fmla="*/ 1595649 h 3060813"/>
            <a:gd name="connsiteX6" fmla="*/ 8811052 w 8908079"/>
            <a:gd name="connsiteY6" fmla="*/ 1328661 h 3060813"/>
            <a:gd name="connsiteX7" fmla="*/ 8164220 w 8908079"/>
            <a:gd name="connsiteY7" fmla="*/ 406866 h 3060813"/>
            <a:gd name="connsiteX8" fmla="*/ 0 w 8908079"/>
            <a:gd name="connsiteY8" fmla="*/ 3060813 h 3060813"/>
            <a:gd name="connsiteX9" fmla="*/ 0 w 8908079"/>
            <a:gd name="connsiteY9" fmla="*/ 1155813 h 3060813"/>
            <a:gd name="connsiteX0" fmla="*/ 7074720 w 8908079"/>
            <a:gd name="connsiteY0" fmla="*/ 0 h 2517445"/>
            <a:gd name="connsiteX1" fmla="*/ 8261248 w 8908079"/>
            <a:gd name="connsiteY1" fmla="*/ 0 h 2517445"/>
            <a:gd name="connsiteX2" fmla="*/ 8908079 w 8908079"/>
            <a:gd name="connsiteY2" fmla="*/ 921799 h 2517445"/>
            <a:gd name="connsiteX3" fmla="*/ 8908076 w 8908079"/>
            <a:gd name="connsiteY3" fmla="*/ 1595646 h 2517445"/>
            <a:gd name="connsiteX4" fmla="*/ 8859564 w 8908079"/>
            <a:gd name="connsiteY4" fmla="*/ 2517445 h 2517445"/>
            <a:gd name="connsiteX5" fmla="*/ 8811052 w 8908079"/>
            <a:gd name="connsiteY5" fmla="*/ 1595649 h 2517445"/>
            <a:gd name="connsiteX6" fmla="*/ 8811052 w 8908079"/>
            <a:gd name="connsiteY6" fmla="*/ 1328661 h 2517445"/>
            <a:gd name="connsiteX7" fmla="*/ 8164220 w 8908079"/>
            <a:gd name="connsiteY7" fmla="*/ 406866 h 2517445"/>
            <a:gd name="connsiteX8" fmla="*/ 7074715 w 8908079"/>
            <a:gd name="connsiteY8" fmla="*/ 406866 h 2517445"/>
            <a:gd name="connsiteX9" fmla="*/ 0 w 8908079"/>
            <a:gd name="connsiteY9" fmla="*/ 1155813 h 2517445"/>
            <a:gd name="connsiteX0" fmla="*/ 5 w 1833364"/>
            <a:gd name="connsiteY0" fmla="*/ 0 h 2517445"/>
            <a:gd name="connsiteX1" fmla="*/ 1186533 w 1833364"/>
            <a:gd name="connsiteY1" fmla="*/ 0 h 2517445"/>
            <a:gd name="connsiteX2" fmla="*/ 1833364 w 1833364"/>
            <a:gd name="connsiteY2" fmla="*/ 921799 h 2517445"/>
            <a:gd name="connsiteX3" fmla="*/ 1833361 w 1833364"/>
            <a:gd name="connsiteY3" fmla="*/ 1595646 h 2517445"/>
            <a:gd name="connsiteX4" fmla="*/ 1784849 w 1833364"/>
            <a:gd name="connsiteY4" fmla="*/ 2517445 h 2517445"/>
            <a:gd name="connsiteX5" fmla="*/ 1736337 w 1833364"/>
            <a:gd name="connsiteY5" fmla="*/ 1595649 h 2517445"/>
            <a:gd name="connsiteX6" fmla="*/ 1736337 w 1833364"/>
            <a:gd name="connsiteY6" fmla="*/ 1328661 h 2517445"/>
            <a:gd name="connsiteX7" fmla="*/ 1089505 w 1833364"/>
            <a:gd name="connsiteY7" fmla="*/ 406866 h 2517445"/>
            <a:gd name="connsiteX8" fmla="*/ 0 w 1833364"/>
            <a:gd name="connsiteY8" fmla="*/ 406866 h 2517445"/>
            <a:gd name="connsiteX9" fmla="*/ 0 w 1833364"/>
            <a:gd name="connsiteY9" fmla="*/ 7 h 251744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33364" h="2517445">
              <a:moveTo>
                <a:pt x="5" y="0"/>
              </a:moveTo>
              <a:lnTo>
                <a:pt x="1186533" y="0"/>
              </a:lnTo>
              <a:cubicBezTo>
                <a:pt x="1509949" y="0"/>
                <a:pt x="1833364" y="460900"/>
                <a:pt x="1833364" y="921799"/>
              </a:cubicBezTo>
              <a:lnTo>
                <a:pt x="1833361" y="1595646"/>
              </a:lnTo>
              <a:lnTo>
                <a:pt x="1784849" y="2517445"/>
              </a:lnTo>
              <a:lnTo>
                <a:pt x="1736337" y="1595649"/>
              </a:lnTo>
              <a:lnTo>
                <a:pt x="1736337" y="1328661"/>
              </a:lnTo>
              <a:cubicBezTo>
                <a:pt x="1736337" y="867765"/>
                <a:pt x="1412921" y="406866"/>
                <a:pt x="1089505" y="406866"/>
              </a:cubicBezTo>
              <a:lnTo>
                <a:pt x="0" y="406866"/>
              </a:lnTo>
              <a:lnTo>
                <a:pt x="0" y="7"/>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35</xdr:row>
      <xdr:rowOff>74673</xdr:rowOff>
    </xdr:from>
    <xdr:to>
      <xdr:col>5</xdr:col>
      <xdr:colOff>583406</xdr:colOff>
      <xdr:row>36</xdr:row>
      <xdr:rowOff>15332</xdr:rowOff>
    </xdr:to>
    <xdr:sp macro="" textlink="">
      <xdr:nvSpPr>
        <xdr:cNvPr id="3" name="Arrow Text $L$124"/>
        <xdr:cNvSpPr txBox="1"/>
      </xdr:nvSpPr>
      <xdr:spPr>
        <a:xfrm>
          <a:off x="3190875" y="5757923"/>
          <a:ext cx="440531" cy="12480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3.4%</a:t>
          </a:r>
        </a:p>
      </xdr:txBody>
    </xdr:sp>
    <xdr:clientData/>
  </xdr:twoCellAnchor>
  <xdr:twoCellAnchor>
    <xdr:from>
      <xdr:col>7</xdr:col>
      <xdr:colOff>58738</xdr:colOff>
      <xdr:row>34</xdr:row>
      <xdr:rowOff>167400</xdr:rowOff>
    </xdr:from>
    <xdr:to>
      <xdr:col>8</xdr:col>
      <xdr:colOff>169069</xdr:colOff>
      <xdr:row>39</xdr:row>
      <xdr:rowOff>31749</xdr:rowOff>
    </xdr:to>
    <xdr:sp macro="" textlink="">
      <xdr:nvSpPr>
        <xdr:cNvPr id="86" name="Arrow $N$122">
          <a:extLst>
            <a:ext uri="{FF2B5EF4-FFF2-40B4-BE49-F238E27FC236}">
              <a16:creationId xmlns:a16="http://schemas.microsoft.com/office/drawing/2014/main" id="{00000000-0008-0000-0400-000006000000}"/>
            </a:ext>
          </a:extLst>
        </xdr:cNvPr>
        <xdr:cNvSpPr/>
      </xdr:nvSpPr>
      <xdr:spPr>
        <a:xfrm>
          <a:off x="4325938" y="5666500"/>
          <a:ext cx="719931" cy="785099"/>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559179 w 3559179"/>
            <a:gd name="connsiteY0" fmla="*/ 0 h 4457663"/>
            <a:gd name="connsiteX1" fmla="*/ 1273411 w 3559179"/>
            <a:gd name="connsiteY1" fmla="*/ 647663 h 4457663"/>
            <a:gd name="connsiteX2" fmla="*/ 2546822 w 3559179"/>
            <a:gd name="connsiteY2" fmla="*/ 1917663 h 4457663"/>
            <a:gd name="connsiteX3" fmla="*/ 2546822 w 3559179"/>
            <a:gd name="connsiteY3" fmla="*/ 4203663 h 4457663"/>
            <a:gd name="connsiteX4" fmla="*/ 1910117 w 3559179"/>
            <a:gd name="connsiteY4" fmla="*/ 4457663 h 4457663"/>
            <a:gd name="connsiteX5" fmla="*/ 1273411 w 3559179"/>
            <a:gd name="connsiteY5" fmla="*/ 4203663 h 4457663"/>
            <a:gd name="connsiteX6" fmla="*/ 1273411 w 3559179"/>
            <a:gd name="connsiteY6" fmla="*/ 3187663 h 4457663"/>
            <a:gd name="connsiteX7" fmla="*/ 636706 w 3559179"/>
            <a:gd name="connsiteY7" fmla="*/ 2552663 h 4457663"/>
            <a:gd name="connsiteX8" fmla="*/ 0 w 3559179"/>
            <a:gd name="connsiteY8" fmla="*/ 2552663 h 4457663"/>
            <a:gd name="connsiteX9" fmla="*/ 0 w 3559179"/>
            <a:gd name="connsiteY9" fmla="*/ 647663 h 4457663"/>
            <a:gd name="connsiteX0" fmla="*/ 3559179 w 4747595"/>
            <a:gd name="connsiteY0" fmla="*/ 0 h 4457663"/>
            <a:gd name="connsiteX1" fmla="*/ 4747595 w 4747595"/>
            <a:gd name="connsiteY1" fmla="*/ 0 h 4457663"/>
            <a:gd name="connsiteX2" fmla="*/ 2546822 w 4747595"/>
            <a:gd name="connsiteY2" fmla="*/ 1917663 h 4457663"/>
            <a:gd name="connsiteX3" fmla="*/ 2546822 w 4747595"/>
            <a:gd name="connsiteY3" fmla="*/ 4203663 h 4457663"/>
            <a:gd name="connsiteX4" fmla="*/ 1910117 w 4747595"/>
            <a:gd name="connsiteY4" fmla="*/ 4457663 h 4457663"/>
            <a:gd name="connsiteX5" fmla="*/ 1273411 w 4747595"/>
            <a:gd name="connsiteY5" fmla="*/ 4203663 h 4457663"/>
            <a:gd name="connsiteX6" fmla="*/ 1273411 w 4747595"/>
            <a:gd name="connsiteY6" fmla="*/ 3187663 h 4457663"/>
            <a:gd name="connsiteX7" fmla="*/ 636706 w 4747595"/>
            <a:gd name="connsiteY7" fmla="*/ 2552663 h 4457663"/>
            <a:gd name="connsiteX8" fmla="*/ 0 w 4747595"/>
            <a:gd name="connsiteY8" fmla="*/ 2552663 h 4457663"/>
            <a:gd name="connsiteX9" fmla="*/ 0 w 4747595"/>
            <a:gd name="connsiteY9" fmla="*/ 647663 h 4457663"/>
            <a:gd name="connsiteX0" fmla="*/ 3559179 w 4776297"/>
            <a:gd name="connsiteY0" fmla="*/ 0 h 4457663"/>
            <a:gd name="connsiteX1" fmla="*/ 4747595 w 4776297"/>
            <a:gd name="connsiteY1" fmla="*/ 0 h 4457663"/>
            <a:gd name="connsiteX2" fmla="*/ 2546822 w 4776297"/>
            <a:gd name="connsiteY2" fmla="*/ 1917663 h 4457663"/>
            <a:gd name="connsiteX3" fmla="*/ 2546822 w 4776297"/>
            <a:gd name="connsiteY3" fmla="*/ 4203663 h 4457663"/>
            <a:gd name="connsiteX4" fmla="*/ 1910117 w 4776297"/>
            <a:gd name="connsiteY4" fmla="*/ 4457663 h 4457663"/>
            <a:gd name="connsiteX5" fmla="*/ 1273411 w 4776297"/>
            <a:gd name="connsiteY5" fmla="*/ 4203663 h 4457663"/>
            <a:gd name="connsiteX6" fmla="*/ 1273411 w 4776297"/>
            <a:gd name="connsiteY6" fmla="*/ 3187663 h 4457663"/>
            <a:gd name="connsiteX7" fmla="*/ 636706 w 4776297"/>
            <a:gd name="connsiteY7" fmla="*/ 2552663 h 4457663"/>
            <a:gd name="connsiteX8" fmla="*/ 0 w 4776297"/>
            <a:gd name="connsiteY8" fmla="*/ 2552663 h 4457663"/>
            <a:gd name="connsiteX9" fmla="*/ 0 w 4776297"/>
            <a:gd name="connsiteY9" fmla="*/ 647663 h 4457663"/>
            <a:gd name="connsiteX0" fmla="*/ 3559179 w 4954606"/>
            <a:gd name="connsiteY0" fmla="*/ 0 h 4457663"/>
            <a:gd name="connsiteX1" fmla="*/ 4747595 w 4954606"/>
            <a:gd name="connsiteY1" fmla="*/ 0 h 4457663"/>
            <a:gd name="connsiteX2" fmla="*/ 2546822 w 4954606"/>
            <a:gd name="connsiteY2" fmla="*/ 1917663 h 4457663"/>
            <a:gd name="connsiteX3" fmla="*/ 2546822 w 4954606"/>
            <a:gd name="connsiteY3" fmla="*/ 4203663 h 4457663"/>
            <a:gd name="connsiteX4" fmla="*/ 1910117 w 4954606"/>
            <a:gd name="connsiteY4" fmla="*/ 4457663 h 4457663"/>
            <a:gd name="connsiteX5" fmla="*/ 1273411 w 4954606"/>
            <a:gd name="connsiteY5" fmla="*/ 4203663 h 4457663"/>
            <a:gd name="connsiteX6" fmla="*/ 1273411 w 4954606"/>
            <a:gd name="connsiteY6" fmla="*/ 3187663 h 4457663"/>
            <a:gd name="connsiteX7" fmla="*/ 636706 w 4954606"/>
            <a:gd name="connsiteY7" fmla="*/ 2552663 h 4457663"/>
            <a:gd name="connsiteX8" fmla="*/ 0 w 4954606"/>
            <a:gd name="connsiteY8" fmla="*/ 2552663 h 4457663"/>
            <a:gd name="connsiteX9" fmla="*/ 0 w 4954606"/>
            <a:gd name="connsiteY9" fmla="*/ 647663 h 4457663"/>
            <a:gd name="connsiteX0" fmla="*/ 3559179 w 5395451"/>
            <a:gd name="connsiteY0" fmla="*/ 0 h 4457663"/>
            <a:gd name="connsiteX1" fmla="*/ 4747595 w 5395451"/>
            <a:gd name="connsiteY1" fmla="*/ 0 h 4457663"/>
            <a:gd name="connsiteX2" fmla="*/ 5395451 w 5395451"/>
            <a:gd name="connsiteY2" fmla="*/ 920408 h 4457663"/>
            <a:gd name="connsiteX3" fmla="*/ 2546822 w 5395451"/>
            <a:gd name="connsiteY3" fmla="*/ 4203663 h 4457663"/>
            <a:gd name="connsiteX4" fmla="*/ 1910117 w 5395451"/>
            <a:gd name="connsiteY4" fmla="*/ 4457663 h 4457663"/>
            <a:gd name="connsiteX5" fmla="*/ 1273411 w 5395451"/>
            <a:gd name="connsiteY5" fmla="*/ 4203663 h 4457663"/>
            <a:gd name="connsiteX6" fmla="*/ 1273411 w 5395451"/>
            <a:gd name="connsiteY6" fmla="*/ 3187663 h 4457663"/>
            <a:gd name="connsiteX7" fmla="*/ 636706 w 5395451"/>
            <a:gd name="connsiteY7" fmla="*/ 2552663 h 4457663"/>
            <a:gd name="connsiteX8" fmla="*/ 0 w 5395451"/>
            <a:gd name="connsiteY8" fmla="*/ 2552663 h 4457663"/>
            <a:gd name="connsiteX9" fmla="*/ 0 w 5395451"/>
            <a:gd name="connsiteY9" fmla="*/ 647663 h 4457663"/>
            <a:gd name="connsiteX0" fmla="*/ 3559179 w 5395451"/>
            <a:gd name="connsiteY0" fmla="*/ 0 h 4457663"/>
            <a:gd name="connsiteX1" fmla="*/ 4747595 w 5395451"/>
            <a:gd name="connsiteY1" fmla="*/ 0 h 4457663"/>
            <a:gd name="connsiteX2" fmla="*/ 5395451 w 5395451"/>
            <a:gd name="connsiteY2" fmla="*/ 920408 h 4457663"/>
            <a:gd name="connsiteX3" fmla="*/ 5395451 w 5395451"/>
            <a:gd name="connsiteY3" fmla="*/ 1924519 h 4457663"/>
            <a:gd name="connsiteX4" fmla="*/ 1910117 w 5395451"/>
            <a:gd name="connsiteY4" fmla="*/ 4457663 h 4457663"/>
            <a:gd name="connsiteX5" fmla="*/ 1273411 w 5395451"/>
            <a:gd name="connsiteY5" fmla="*/ 4203663 h 4457663"/>
            <a:gd name="connsiteX6" fmla="*/ 1273411 w 5395451"/>
            <a:gd name="connsiteY6" fmla="*/ 3187663 h 4457663"/>
            <a:gd name="connsiteX7" fmla="*/ 636706 w 5395451"/>
            <a:gd name="connsiteY7" fmla="*/ 2552663 h 4457663"/>
            <a:gd name="connsiteX8" fmla="*/ 0 w 5395451"/>
            <a:gd name="connsiteY8" fmla="*/ 2552663 h 4457663"/>
            <a:gd name="connsiteX9" fmla="*/ 0 w 5395451"/>
            <a:gd name="connsiteY9" fmla="*/ 647663 h 4457663"/>
            <a:gd name="connsiteX0" fmla="*/ 3559179 w 5395451"/>
            <a:gd name="connsiteY0" fmla="*/ 0 h 4203663"/>
            <a:gd name="connsiteX1" fmla="*/ 4747595 w 5395451"/>
            <a:gd name="connsiteY1" fmla="*/ 0 h 4203663"/>
            <a:gd name="connsiteX2" fmla="*/ 5395451 w 5395451"/>
            <a:gd name="connsiteY2" fmla="*/ 920408 h 4203663"/>
            <a:gd name="connsiteX3" fmla="*/ 5395451 w 5395451"/>
            <a:gd name="connsiteY3" fmla="*/ 1924519 h 4203663"/>
            <a:gd name="connsiteX4" fmla="*/ 5346862 w 5395451"/>
            <a:gd name="connsiteY4" fmla="*/ 2844927 h 4203663"/>
            <a:gd name="connsiteX5" fmla="*/ 1273411 w 5395451"/>
            <a:gd name="connsiteY5" fmla="*/ 4203663 h 4203663"/>
            <a:gd name="connsiteX6" fmla="*/ 1273411 w 5395451"/>
            <a:gd name="connsiteY6" fmla="*/ 3187663 h 4203663"/>
            <a:gd name="connsiteX7" fmla="*/ 636706 w 5395451"/>
            <a:gd name="connsiteY7" fmla="*/ 2552663 h 4203663"/>
            <a:gd name="connsiteX8" fmla="*/ 0 w 5395451"/>
            <a:gd name="connsiteY8" fmla="*/ 2552663 h 4203663"/>
            <a:gd name="connsiteX9" fmla="*/ 0 w 5395451"/>
            <a:gd name="connsiteY9" fmla="*/ 647663 h 4203663"/>
            <a:gd name="connsiteX0" fmla="*/ 3559179 w 5395451"/>
            <a:gd name="connsiteY0" fmla="*/ 0 h 3187663"/>
            <a:gd name="connsiteX1" fmla="*/ 4747595 w 5395451"/>
            <a:gd name="connsiteY1" fmla="*/ 0 h 3187663"/>
            <a:gd name="connsiteX2" fmla="*/ 5395451 w 5395451"/>
            <a:gd name="connsiteY2" fmla="*/ 920408 h 3187663"/>
            <a:gd name="connsiteX3" fmla="*/ 5395451 w 5395451"/>
            <a:gd name="connsiteY3" fmla="*/ 1924519 h 3187663"/>
            <a:gd name="connsiteX4" fmla="*/ 5346862 w 5395451"/>
            <a:gd name="connsiteY4" fmla="*/ 2844927 h 3187663"/>
            <a:gd name="connsiteX5" fmla="*/ 5298272 w 5395451"/>
            <a:gd name="connsiteY5" fmla="*/ 1924519 h 3187663"/>
            <a:gd name="connsiteX6" fmla="*/ 1273411 w 5395451"/>
            <a:gd name="connsiteY6" fmla="*/ 3187663 h 3187663"/>
            <a:gd name="connsiteX7" fmla="*/ 636706 w 5395451"/>
            <a:gd name="connsiteY7" fmla="*/ 2552663 h 3187663"/>
            <a:gd name="connsiteX8" fmla="*/ 0 w 5395451"/>
            <a:gd name="connsiteY8" fmla="*/ 2552663 h 3187663"/>
            <a:gd name="connsiteX9" fmla="*/ 0 w 5395451"/>
            <a:gd name="connsiteY9" fmla="*/ 647663 h 3187663"/>
            <a:gd name="connsiteX0" fmla="*/ 3559179 w 5395451"/>
            <a:gd name="connsiteY0" fmla="*/ 0 h 2844927"/>
            <a:gd name="connsiteX1" fmla="*/ 4747595 w 5395451"/>
            <a:gd name="connsiteY1" fmla="*/ 0 h 2844927"/>
            <a:gd name="connsiteX2" fmla="*/ 5395451 w 5395451"/>
            <a:gd name="connsiteY2" fmla="*/ 920408 h 2844927"/>
            <a:gd name="connsiteX3" fmla="*/ 5395451 w 5395451"/>
            <a:gd name="connsiteY3" fmla="*/ 1924519 h 2844927"/>
            <a:gd name="connsiteX4" fmla="*/ 5346862 w 5395451"/>
            <a:gd name="connsiteY4" fmla="*/ 2844927 h 2844927"/>
            <a:gd name="connsiteX5" fmla="*/ 5298272 w 5395451"/>
            <a:gd name="connsiteY5" fmla="*/ 1924519 h 2844927"/>
            <a:gd name="connsiteX6" fmla="*/ 5298272 w 5395451"/>
            <a:gd name="connsiteY6" fmla="*/ 1205669 h 2844927"/>
            <a:gd name="connsiteX7" fmla="*/ 636706 w 5395451"/>
            <a:gd name="connsiteY7" fmla="*/ 2552663 h 2844927"/>
            <a:gd name="connsiteX8" fmla="*/ 0 w 5395451"/>
            <a:gd name="connsiteY8" fmla="*/ 2552663 h 2844927"/>
            <a:gd name="connsiteX9" fmla="*/ 0 w 5395451"/>
            <a:gd name="connsiteY9" fmla="*/ 647663 h 2844927"/>
            <a:gd name="connsiteX0" fmla="*/ 3559179 w 5395451"/>
            <a:gd name="connsiteY0" fmla="*/ 0 h 2844927"/>
            <a:gd name="connsiteX1" fmla="*/ 4747595 w 5395451"/>
            <a:gd name="connsiteY1" fmla="*/ 0 h 2844927"/>
            <a:gd name="connsiteX2" fmla="*/ 5395451 w 5395451"/>
            <a:gd name="connsiteY2" fmla="*/ 920408 h 2844927"/>
            <a:gd name="connsiteX3" fmla="*/ 5395451 w 5395451"/>
            <a:gd name="connsiteY3" fmla="*/ 1924519 h 2844927"/>
            <a:gd name="connsiteX4" fmla="*/ 5346862 w 5395451"/>
            <a:gd name="connsiteY4" fmla="*/ 2844927 h 2844927"/>
            <a:gd name="connsiteX5" fmla="*/ 5298272 w 5395451"/>
            <a:gd name="connsiteY5" fmla="*/ 1924519 h 2844927"/>
            <a:gd name="connsiteX6" fmla="*/ 5298272 w 5395451"/>
            <a:gd name="connsiteY6" fmla="*/ 1205669 h 2844927"/>
            <a:gd name="connsiteX7" fmla="*/ 636706 w 5395451"/>
            <a:gd name="connsiteY7" fmla="*/ 2552663 h 2844927"/>
            <a:gd name="connsiteX8" fmla="*/ 0 w 5395451"/>
            <a:gd name="connsiteY8" fmla="*/ 2552663 h 2844927"/>
            <a:gd name="connsiteX9" fmla="*/ 0 w 5395451"/>
            <a:gd name="connsiteY9" fmla="*/ 647663 h 2844927"/>
            <a:gd name="connsiteX0" fmla="*/ 3559179 w 5395451"/>
            <a:gd name="connsiteY0" fmla="*/ 0 h 2844927"/>
            <a:gd name="connsiteX1" fmla="*/ 4747595 w 5395451"/>
            <a:gd name="connsiteY1" fmla="*/ 0 h 2844927"/>
            <a:gd name="connsiteX2" fmla="*/ 5395451 w 5395451"/>
            <a:gd name="connsiteY2" fmla="*/ 920408 h 2844927"/>
            <a:gd name="connsiteX3" fmla="*/ 5395451 w 5395451"/>
            <a:gd name="connsiteY3" fmla="*/ 1924519 h 2844927"/>
            <a:gd name="connsiteX4" fmla="*/ 5346862 w 5395451"/>
            <a:gd name="connsiteY4" fmla="*/ 2844927 h 2844927"/>
            <a:gd name="connsiteX5" fmla="*/ 5298272 w 5395451"/>
            <a:gd name="connsiteY5" fmla="*/ 1924519 h 2844927"/>
            <a:gd name="connsiteX6" fmla="*/ 5298272 w 5395451"/>
            <a:gd name="connsiteY6" fmla="*/ 1205669 h 2844927"/>
            <a:gd name="connsiteX7" fmla="*/ 636706 w 5395451"/>
            <a:gd name="connsiteY7" fmla="*/ 2552663 h 2844927"/>
            <a:gd name="connsiteX8" fmla="*/ 0 w 5395451"/>
            <a:gd name="connsiteY8" fmla="*/ 2552663 h 2844927"/>
            <a:gd name="connsiteX9" fmla="*/ 0 w 5395451"/>
            <a:gd name="connsiteY9" fmla="*/ 647663 h 2844927"/>
            <a:gd name="connsiteX0" fmla="*/ 3559179 w 5395451"/>
            <a:gd name="connsiteY0" fmla="*/ 0 h 2844927"/>
            <a:gd name="connsiteX1" fmla="*/ 4747595 w 5395451"/>
            <a:gd name="connsiteY1" fmla="*/ 0 h 2844927"/>
            <a:gd name="connsiteX2" fmla="*/ 5395451 w 5395451"/>
            <a:gd name="connsiteY2" fmla="*/ 920408 h 2844927"/>
            <a:gd name="connsiteX3" fmla="*/ 5395451 w 5395451"/>
            <a:gd name="connsiteY3" fmla="*/ 1924519 h 2844927"/>
            <a:gd name="connsiteX4" fmla="*/ 5346862 w 5395451"/>
            <a:gd name="connsiteY4" fmla="*/ 2844927 h 2844927"/>
            <a:gd name="connsiteX5" fmla="*/ 5298272 w 5395451"/>
            <a:gd name="connsiteY5" fmla="*/ 1924519 h 2844927"/>
            <a:gd name="connsiteX6" fmla="*/ 5298272 w 5395451"/>
            <a:gd name="connsiteY6" fmla="*/ 1205669 h 2844927"/>
            <a:gd name="connsiteX7" fmla="*/ 4650413 w 5395451"/>
            <a:gd name="connsiteY7" fmla="*/ 285265 h 2844927"/>
            <a:gd name="connsiteX8" fmla="*/ 0 w 5395451"/>
            <a:gd name="connsiteY8" fmla="*/ 2552663 h 2844927"/>
            <a:gd name="connsiteX9" fmla="*/ 0 w 5395451"/>
            <a:gd name="connsiteY9" fmla="*/ 647663 h 2844927"/>
            <a:gd name="connsiteX0" fmla="*/ 3559179 w 5395451"/>
            <a:gd name="connsiteY0" fmla="*/ 0 h 2844927"/>
            <a:gd name="connsiteX1" fmla="*/ 4747595 w 5395451"/>
            <a:gd name="connsiteY1" fmla="*/ 0 h 2844927"/>
            <a:gd name="connsiteX2" fmla="*/ 5395451 w 5395451"/>
            <a:gd name="connsiteY2" fmla="*/ 920408 h 2844927"/>
            <a:gd name="connsiteX3" fmla="*/ 5395451 w 5395451"/>
            <a:gd name="connsiteY3" fmla="*/ 1924519 h 2844927"/>
            <a:gd name="connsiteX4" fmla="*/ 5346862 w 5395451"/>
            <a:gd name="connsiteY4" fmla="*/ 2844927 h 2844927"/>
            <a:gd name="connsiteX5" fmla="*/ 5298272 w 5395451"/>
            <a:gd name="connsiteY5" fmla="*/ 1924519 h 2844927"/>
            <a:gd name="connsiteX6" fmla="*/ 5298272 w 5395451"/>
            <a:gd name="connsiteY6" fmla="*/ 1205669 h 2844927"/>
            <a:gd name="connsiteX7" fmla="*/ 4650413 w 5395451"/>
            <a:gd name="connsiteY7" fmla="*/ 285265 h 2844927"/>
            <a:gd name="connsiteX8" fmla="*/ 3559176 w 5395451"/>
            <a:gd name="connsiteY8" fmla="*/ 285265 h 2844927"/>
            <a:gd name="connsiteX9" fmla="*/ 0 w 5395451"/>
            <a:gd name="connsiteY9" fmla="*/ 647663 h 2844927"/>
            <a:gd name="connsiteX0" fmla="*/ 3 w 1836275"/>
            <a:gd name="connsiteY0" fmla="*/ 0 h 2844927"/>
            <a:gd name="connsiteX1" fmla="*/ 1188419 w 1836275"/>
            <a:gd name="connsiteY1" fmla="*/ 0 h 2844927"/>
            <a:gd name="connsiteX2" fmla="*/ 1836275 w 1836275"/>
            <a:gd name="connsiteY2" fmla="*/ 920408 h 2844927"/>
            <a:gd name="connsiteX3" fmla="*/ 1836275 w 1836275"/>
            <a:gd name="connsiteY3" fmla="*/ 1924519 h 2844927"/>
            <a:gd name="connsiteX4" fmla="*/ 1787686 w 1836275"/>
            <a:gd name="connsiteY4" fmla="*/ 2844927 h 2844927"/>
            <a:gd name="connsiteX5" fmla="*/ 1739096 w 1836275"/>
            <a:gd name="connsiteY5" fmla="*/ 1924519 h 2844927"/>
            <a:gd name="connsiteX6" fmla="*/ 1739096 w 1836275"/>
            <a:gd name="connsiteY6" fmla="*/ 1205669 h 2844927"/>
            <a:gd name="connsiteX7" fmla="*/ 1091237 w 1836275"/>
            <a:gd name="connsiteY7" fmla="*/ 285265 h 2844927"/>
            <a:gd name="connsiteX8" fmla="*/ 0 w 1836275"/>
            <a:gd name="connsiteY8" fmla="*/ 285265 h 2844927"/>
            <a:gd name="connsiteX9" fmla="*/ 0 w 1836275"/>
            <a:gd name="connsiteY9" fmla="*/ 4 h 284492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36275" h="2844927">
              <a:moveTo>
                <a:pt x="3" y="0"/>
              </a:moveTo>
              <a:lnTo>
                <a:pt x="1188419" y="0"/>
              </a:lnTo>
              <a:cubicBezTo>
                <a:pt x="1512346" y="0"/>
                <a:pt x="1836276" y="460204"/>
                <a:pt x="1836275" y="920408"/>
              </a:cubicBezTo>
              <a:lnTo>
                <a:pt x="1836275" y="1924519"/>
              </a:lnTo>
              <a:lnTo>
                <a:pt x="1787686" y="2844927"/>
              </a:lnTo>
              <a:lnTo>
                <a:pt x="1739096" y="1924519"/>
              </a:lnTo>
              <a:lnTo>
                <a:pt x="1739096" y="1205669"/>
              </a:lnTo>
              <a:cubicBezTo>
                <a:pt x="1739096" y="745469"/>
                <a:pt x="1415166" y="285265"/>
                <a:pt x="1091237" y="285265"/>
              </a:cubicBezTo>
              <a:lnTo>
                <a:pt x="0" y="285265"/>
              </a:lnTo>
              <a:lnTo>
                <a:pt x="0" y="4"/>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228600</xdr:colOff>
      <xdr:row>34</xdr:row>
      <xdr:rowOff>162174</xdr:rowOff>
    </xdr:from>
    <xdr:to>
      <xdr:col>10</xdr:col>
      <xdr:colOff>338931</xdr:colOff>
      <xdr:row>39</xdr:row>
      <xdr:rowOff>31750</xdr:rowOff>
    </xdr:to>
    <xdr:sp macro="" textlink="">
      <xdr:nvSpPr>
        <xdr:cNvPr id="87" name="Arrow $P$120">
          <a:extLst>
            <a:ext uri="{FF2B5EF4-FFF2-40B4-BE49-F238E27FC236}">
              <a16:creationId xmlns:a16="http://schemas.microsoft.com/office/drawing/2014/main" id="{00000000-0008-0000-0400-000006000000}"/>
            </a:ext>
          </a:extLst>
        </xdr:cNvPr>
        <xdr:cNvSpPr/>
      </xdr:nvSpPr>
      <xdr:spPr>
        <a:xfrm>
          <a:off x="5715000" y="5661274"/>
          <a:ext cx="719931" cy="790326"/>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565654 w 3565654"/>
            <a:gd name="connsiteY0" fmla="*/ 0 h 4145326"/>
            <a:gd name="connsiteX1" fmla="*/ 1273411 w 3565654"/>
            <a:gd name="connsiteY1" fmla="*/ 335326 h 4145326"/>
            <a:gd name="connsiteX2" fmla="*/ 2546822 w 3565654"/>
            <a:gd name="connsiteY2" fmla="*/ 1605326 h 4145326"/>
            <a:gd name="connsiteX3" fmla="*/ 2546822 w 3565654"/>
            <a:gd name="connsiteY3" fmla="*/ 3891326 h 4145326"/>
            <a:gd name="connsiteX4" fmla="*/ 1910117 w 3565654"/>
            <a:gd name="connsiteY4" fmla="*/ 4145326 h 4145326"/>
            <a:gd name="connsiteX5" fmla="*/ 1273411 w 3565654"/>
            <a:gd name="connsiteY5" fmla="*/ 3891326 h 4145326"/>
            <a:gd name="connsiteX6" fmla="*/ 1273411 w 3565654"/>
            <a:gd name="connsiteY6" fmla="*/ 2875326 h 4145326"/>
            <a:gd name="connsiteX7" fmla="*/ 636706 w 3565654"/>
            <a:gd name="connsiteY7" fmla="*/ 2240326 h 4145326"/>
            <a:gd name="connsiteX8" fmla="*/ 0 w 3565654"/>
            <a:gd name="connsiteY8" fmla="*/ 2240326 h 4145326"/>
            <a:gd name="connsiteX9" fmla="*/ 0 w 3565654"/>
            <a:gd name="connsiteY9" fmla="*/ 335326 h 4145326"/>
            <a:gd name="connsiteX0" fmla="*/ 3565654 w 4752183"/>
            <a:gd name="connsiteY0" fmla="*/ 0 h 4145326"/>
            <a:gd name="connsiteX1" fmla="*/ 4752183 w 4752183"/>
            <a:gd name="connsiteY1" fmla="*/ 0 h 4145326"/>
            <a:gd name="connsiteX2" fmla="*/ 2546822 w 4752183"/>
            <a:gd name="connsiteY2" fmla="*/ 1605326 h 4145326"/>
            <a:gd name="connsiteX3" fmla="*/ 2546822 w 4752183"/>
            <a:gd name="connsiteY3" fmla="*/ 3891326 h 4145326"/>
            <a:gd name="connsiteX4" fmla="*/ 1910117 w 4752183"/>
            <a:gd name="connsiteY4" fmla="*/ 4145326 h 4145326"/>
            <a:gd name="connsiteX5" fmla="*/ 1273411 w 4752183"/>
            <a:gd name="connsiteY5" fmla="*/ 3891326 h 4145326"/>
            <a:gd name="connsiteX6" fmla="*/ 1273411 w 4752183"/>
            <a:gd name="connsiteY6" fmla="*/ 2875326 h 4145326"/>
            <a:gd name="connsiteX7" fmla="*/ 636706 w 4752183"/>
            <a:gd name="connsiteY7" fmla="*/ 2240326 h 4145326"/>
            <a:gd name="connsiteX8" fmla="*/ 0 w 4752183"/>
            <a:gd name="connsiteY8" fmla="*/ 2240326 h 4145326"/>
            <a:gd name="connsiteX9" fmla="*/ 0 w 4752183"/>
            <a:gd name="connsiteY9" fmla="*/ 335326 h 4145326"/>
            <a:gd name="connsiteX0" fmla="*/ 3565654 w 4780756"/>
            <a:gd name="connsiteY0" fmla="*/ 0 h 4145326"/>
            <a:gd name="connsiteX1" fmla="*/ 4752183 w 4780756"/>
            <a:gd name="connsiteY1" fmla="*/ 0 h 4145326"/>
            <a:gd name="connsiteX2" fmla="*/ 2546822 w 4780756"/>
            <a:gd name="connsiteY2" fmla="*/ 1605326 h 4145326"/>
            <a:gd name="connsiteX3" fmla="*/ 2546822 w 4780756"/>
            <a:gd name="connsiteY3" fmla="*/ 3891326 h 4145326"/>
            <a:gd name="connsiteX4" fmla="*/ 1910117 w 4780756"/>
            <a:gd name="connsiteY4" fmla="*/ 4145326 h 4145326"/>
            <a:gd name="connsiteX5" fmla="*/ 1273411 w 4780756"/>
            <a:gd name="connsiteY5" fmla="*/ 3891326 h 4145326"/>
            <a:gd name="connsiteX6" fmla="*/ 1273411 w 4780756"/>
            <a:gd name="connsiteY6" fmla="*/ 2875326 h 4145326"/>
            <a:gd name="connsiteX7" fmla="*/ 636706 w 4780756"/>
            <a:gd name="connsiteY7" fmla="*/ 2240326 h 4145326"/>
            <a:gd name="connsiteX8" fmla="*/ 0 w 4780756"/>
            <a:gd name="connsiteY8" fmla="*/ 2240326 h 4145326"/>
            <a:gd name="connsiteX9" fmla="*/ 0 w 4780756"/>
            <a:gd name="connsiteY9" fmla="*/ 335326 h 4145326"/>
            <a:gd name="connsiteX0" fmla="*/ 3565654 w 4958604"/>
            <a:gd name="connsiteY0" fmla="*/ 0 h 4145326"/>
            <a:gd name="connsiteX1" fmla="*/ 4752183 w 4958604"/>
            <a:gd name="connsiteY1" fmla="*/ 0 h 4145326"/>
            <a:gd name="connsiteX2" fmla="*/ 2546822 w 4958604"/>
            <a:gd name="connsiteY2" fmla="*/ 1605326 h 4145326"/>
            <a:gd name="connsiteX3" fmla="*/ 2546822 w 4958604"/>
            <a:gd name="connsiteY3" fmla="*/ 3891326 h 4145326"/>
            <a:gd name="connsiteX4" fmla="*/ 1910117 w 4958604"/>
            <a:gd name="connsiteY4" fmla="*/ 4145326 h 4145326"/>
            <a:gd name="connsiteX5" fmla="*/ 1273411 w 4958604"/>
            <a:gd name="connsiteY5" fmla="*/ 3891326 h 4145326"/>
            <a:gd name="connsiteX6" fmla="*/ 1273411 w 4958604"/>
            <a:gd name="connsiteY6" fmla="*/ 2875326 h 4145326"/>
            <a:gd name="connsiteX7" fmla="*/ 636706 w 4958604"/>
            <a:gd name="connsiteY7" fmla="*/ 2240326 h 4145326"/>
            <a:gd name="connsiteX8" fmla="*/ 0 w 4958604"/>
            <a:gd name="connsiteY8" fmla="*/ 2240326 h 4145326"/>
            <a:gd name="connsiteX9" fmla="*/ 0 w 4958604"/>
            <a:gd name="connsiteY9" fmla="*/ 335326 h 4145326"/>
            <a:gd name="connsiteX0" fmla="*/ 3565654 w 5399012"/>
            <a:gd name="connsiteY0" fmla="*/ 0 h 4145326"/>
            <a:gd name="connsiteX1" fmla="*/ 4752183 w 5399012"/>
            <a:gd name="connsiteY1" fmla="*/ 0 h 4145326"/>
            <a:gd name="connsiteX2" fmla="*/ 5399012 w 5399012"/>
            <a:gd name="connsiteY2" fmla="*/ 920408 h 4145326"/>
            <a:gd name="connsiteX3" fmla="*/ 2546822 w 5399012"/>
            <a:gd name="connsiteY3" fmla="*/ 3891326 h 4145326"/>
            <a:gd name="connsiteX4" fmla="*/ 1910117 w 5399012"/>
            <a:gd name="connsiteY4" fmla="*/ 4145326 h 4145326"/>
            <a:gd name="connsiteX5" fmla="*/ 1273411 w 5399012"/>
            <a:gd name="connsiteY5" fmla="*/ 3891326 h 4145326"/>
            <a:gd name="connsiteX6" fmla="*/ 1273411 w 5399012"/>
            <a:gd name="connsiteY6" fmla="*/ 2875326 h 4145326"/>
            <a:gd name="connsiteX7" fmla="*/ 636706 w 5399012"/>
            <a:gd name="connsiteY7" fmla="*/ 2240326 h 4145326"/>
            <a:gd name="connsiteX8" fmla="*/ 0 w 5399012"/>
            <a:gd name="connsiteY8" fmla="*/ 2240326 h 4145326"/>
            <a:gd name="connsiteX9" fmla="*/ 0 w 5399012"/>
            <a:gd name="connsiteY9" fmla="*/ 335326 h 4145326"/>
            <a:gd name="connsiteX0" fmla="*/ 3565654 w 5399012"/>
            <a:gd name="connsiteY0" fmla="*/ 0 h 4145326"/>
            <a:gd name="connsiteX1" fmla="*/ 4752183 w 5399012"/>
            <a:gd name="connsiteY1" fmla="*/ 0 h 4145326"/>
            <a:gd name="connsiteX2" fmla="*/ 5399012 w 5399012"/>
            <a:gd name="connsiteY2" fmla="*/ 920408 h 4145326"/>
            <a:gd name="connsiteX3" fmla="*/ 5399012 w 5399012"/>
            <a:gd name="connsiteY3" fmla="*/ 1943460 h 4145326"/>
            <a:gd name="connsiteX4" fmla="*/ 1910117 w 5399012"/>
            <a:gd name="connsiteY4" fmla="*/ 4145326 h 4145326"/>
            <a:gd name="connsiteX5" fmla="*/ 1273411 w 5399012"/>
            <a:gd name="connsiteY5" fmla="*/ 3891326 h 4145326"/>
            <a:gd name="connsiteX6" fmla="*/ 1273411 w 5399012"/>
            <a:gd name="connsiteY6" fmla="*/ 2875326 h 4145326"/>
            <a:gd name="connsiteX7" fmla="*/ 636706 w 5399012"/>
            <a:gd name="connsiteY7" fmla="*/ 2240326 h 4145326"/>
            <a:gd name="connsiteX8" fmla="*/ 0 w 5399012"/>
            <a:gd name="connsiteY8" fmla="*/ 2240326 h 4145326"/>
            <a:gd name="connsiteX9" fmla="*/ 0 w 5399012"/>
            <a:gd name="connsiteY9" fmla="*/ 335326 h 4145326"/>
            <a:gd name="connsiteX0" fmla="*/ 3565654 w 5399012"/>
            <a:gd name="connsiteY0" fmla="*/ 0 h 3891326"/>
            <a:gd name="connsiteX1" fmla="*/ 4752183 w 5399012"/>
            <a:gd name="connsiteY1" fmla="*/ 0 h 3891326"/>
            <a:gd name="connsiteX2" fmla="*/ 5399012 w 5399012"/>
            <a:gd name="connsiteY2" fmla="*/ 920408 h 3891326"/>
            <a:gd name="connsiteX3" fmla="*/ 5399012 w 5399012"/>
            <a:gd name="connsiteY3" fmla="*/ 1943460 h 3891326"/>
            <a:gd name="connsiteX4" fmla="*/ 5350500 w 5399012"/>
            <a:gd name="connsiteY4" fmla="*/ 2863868 h 3891326"/>
            <a:gd name="connsiteX5" fmla="*/ 1273411 w 5399012"/>
            <a:gd name="connsiteY5" fmla="*/ 3891326 h 3891326"/>
            <a:gd name="connsiteX6" fmla="*/ 1273411 w 5399012"/>
            <a:gd name="connsiteY6" fmla="*/ 2875326 h 3891326"/>
            <a:gd name="connsiteX7" fmla="*/ 636706 w 5399012"/>
            <a:gd name="connsiteY7" fmla="*/ 2240326 h 3891326"/>
            <a:gd name="connsiteX8" fmla="*/ 0 w 5399012"/>
            <a:gd name="connsiteY8" fmla="*/ 2240326 h 3891326"/>
            <a:gd name="connsiteX9" fmla="*/ 0 w 5399012"/>
            <a:gd name="connsiteY9" fmla="*/ 335326 h 3891326"/>
            <a:gd name="connsiteX0" fmla="*/ 3565654 w 5399012"/>
            <a:gd name="connsiteY0" fmla="*/ 0 h 2875326"/>
            <a:gd name="connsiteX1" fmla="*/ 4752183 w 5399012"/>
            <a:gd name="connsiteY1" fmla="*/ 0 h 2875326"/>
            <a:gd name="connsiteX2" fmla="*/ 5399012 w 5399012"/>
            <a:gd name="connsiteY2" fmla="*/ 920408 h 2875326"/>
            <a:gd name="connsiteX3" fmla="*/ 5399012 w 5399012"/>
            <a:gd name="connsiteY3" fmla="*/ 1943460 h 2875326"/>
            <a:gd name="connsiteX4" fmla="*/ 5350500 w 5399012"/>
            <a:gd name="connsiteY4" fmla="*/ 2863868 h 2875326"/>
            <a:gd name="connsiteX5" fmla="*/ 5301987 w 5399012"/>
            <a:gd name="connsiteY5" fmla="*/ 1943460 h 2875326"/>
            <a:gd name="connsiteX6" fmla="*/ 1273411 w 5399012"/>
            <a:gd name="connsiteY6" fmla="*/ 2875326 h 2875326"/>
            <a:gd name="connsiteX7" fmla="*/ 636706 w 5399012"/>
            <a:gd name="connsiteY7" fmla="*/ 2240326 h 2875326"/>
            <a:gd name="connsiteX8" fmla="*/ 0 w 5399012"/>
            <a:gd name="connsiteY8" fmla="*/ 2240326 h 2875326"/>
            <a:gd name="connsiteX9" fmla="*/ 0 w 5399012"/>
            <a:gd name="connsiteY9" fmla="*/ 335326 h 2875326"/>
            <a:gd name="connsiteX0" fmla="*/ 3565654 w 5399012"/>
            <a:gd name="connsiteY0" fmla="*/ 0 h 2863868"/>
            <a:gd name="connsiteX1" fmla="*/ 4752183 w 5399012"/>
            <a:gd name="connsiteY1" fmla="*/ 0 h 2863868"/>
            <a:gd name="connsiteX2" fmla="*/ 5399012 w 5399012"/>
            <a:gd name="connsiteY2" fmla="*/ 920408 h 2863868"/>
            <a:gd name="connsiteX3" fmla="*/ 5399012 w 5399012"/>
            <a:gd name="connsiteY3" fmla="*/ 1943460 h 2863868"/>
            <a:gd name="connsiteX4" fmla="*/ 5350500 w 5399012"/>
            <a:gd name="connsiteY4" fmla="*/ 2863868 h 2863868"/>
            <a:gd name="connsiteX5" fmla="*/ 5301987 w 5399012"/>
            <a:gd name="connsiteY5" fmla="*/ 1943460 h 2863868"/>
            <a:gd name="connsiteX6" fmla="*/ 5301987 w 5399012"/>
            <a:gd name="connsiteY6" fmla="*/ 1012449 h 2863868"/>
            <a:gd name="connsiteX7" fmla="*/ 636706 w 5399012"/>
            <a:gd name="connsiteY7" fmla="*/ 2240326 h 2863868"/>
            <a:gd name="connsiteX8" fmla="*/ 0 w 5399012"/>
            <a:gd name="connsiteY8" fmla="*/ 2240326 h 2863868"/>
            <a:gd name="connsiteX9" fmla="*/ 0 w 5399012"/>
            <a:gd name="connsiteY9" fmla="*/ 335326 h 2863868"/>
            <a:gd name="connsiteX0" fmla="*/ 3565654 w 5399012"/>
            <a:gd name="connsiteY0" fmla="*/ 0 h 2863868"/>
            <a:gd name="connsiteX1" fmla="*/ 4752183 w 5399012"/>
            <a:gd name="connsiteY1" fmla="*/ 0 h 2863868"/>
            <a:gd name="connsiteX2" fmla="*/ 5399012 w 5399012"/>
            <a:gd name="connsiteY2" fmla="*/ 920408 h 2863868"/>
            <a:gd name="connsiteX3" fmla="*/ 5399012 w 5399012"/>
            <a:gd name="connsiteY3" fmla="*/ 1943460 h 2863868"/>
            <a:gd name="connsiteX4" fmla="*/ 5350500 w 5399012"/>
            <a:gd name="connsiteY4" fmla="*/ 2863868 h 2863868"/>
            <a:gd name="connsiteX5" fmla="*/ 5301987 w 5399012"/>
            <a:gd name="connsiteY5" fmla="*/ 1943460 h 2863868"/>
            <a:gd name="connsiteX6" fmla="*/ 5301987 w 5399012"/>
            <a:gd name="connsiteY6" fmla="*/ 1012449 h 2863868"/>
            <a:gd name="connsiteX7" fmla="*/ 636706 w 5399012"/>
            <a:gd name="connsiteY7" fmla="*/ 2240326 h 2863868"/>
            <a:gd name="connsiteX8" fmla="*/ 0 w 5399012"/>
            <a:gd name="connsiteY8" fmla="*/ 2240326 h 2863868"/>
            <a:gd name="connsiteX9" fmla="*/ 0 w 5399012"/>
            <a:gd name="connsiteY9" fmla="*/ 335326 h 2863868"/>
            <a:gd name="connsiteX0" fmla="*/ 3565654 w 5399012"/>
            <a:gd name="connsiteY0" fmla="*/ 0 h 2863868"/>
            <a:gd name="connsiteX1" fmla="*/ 4752183 w 5399012"/>
            <a:gd name="connsiteY1" fmla="*/ 0 h 2863868"/>
            <a:gd name="connsiteX2" fmla="*/ 5399012 w 5399012"/>
            <a:gd name="connsiteY2" fmla="*/ 920408 h 2863868"/>
            <a:gd name="connsiteX3" fmla="*/ 5399012 w 5399012"/>
            <a:gd name="connsiteY3" fmla="*/ 1943460 h 2863868"/>
            <a:gd name="connsiteX4" fmla="*/ 5350500 w 5399012"/>
            <a:gd name="connsiteY4" fmla="*/ 2863868 h 2863868"/>
            <a:gd name="connsiteX5" fmla="*/ 5301987 w 5399012"/>
            <a:gd name="connsiteY5" fmla="*/ 1943460 h 2863868"/>
            <a:gd name="connsiteX6" fmla="*/ 5301987 w 5399012"/>
            <a:gd name="connsiteY6" fmla="*/ 1012449 h 2863868"/>
            <a:gd name="connsiteX7" fmla="*/ 636706 w 5399012"/>
            <a:gd name="connsiteY7" fmla="*/ 2240326 h 2863868"/>
            <a:gd name="connsiteX8" fmla="*/ 0 w 5399012"/>
            <a:gd name="connsiteY8" fmla="*/ 2240326 h 2863868"/>
            <a:gd name="connsiteX9" fmla="*/ 0 w 5399012"/>
            <a:gd name="connsiteY9" fmla="*/ 335326 h 2863868"/>
            <a:gd name="connsiteX0" fmla="*/ 3565654 w 5399012"/>
            <a:gd name="connsiteY0" fmla="*/ 0 h 2863868"/>
            <a:gd name="connsiteX1" fmla="*/ 4752183 w 5399012"/>
            <a:gd name="connsiteY1" fmla="*/ 0 h 2863868"/>
            <a:gd name="connsiteX2" fmla="*/ 5399012 w 5399012"/>
            <a:gd name="connsiteY2" fmla="*/ 920408 h 2863868"/>
            <a:gd name="connsiteX3" fmla="*/ 5399012 w 5399012"/>
            <a:gd name="connsiteY3" fmla="*/ 1943460 h 2863868"/>
            <a:gd name="connsiteX4" fmla="*/ 5350500 w 5399012"/>
            <a:gd name="connsiteY4" fmla="*/ 2863868 h 2863868"/>
            <a:gd name="connsiteX5" fmla="*/ 5301987 w 5399012"/>
            <a:gd name="connsiteY5" fmla="*/ 1943460 h 2863868"/>
            <a:gd name="connsiteX6" fmla="*/ 5301987 w 5399012"/>
            <a:gd name="connsiteY6" fmla="*/ 1012449 h 2863868"/>
            <a:gd name="connsiteX7" fmla="*/ 4655157 w 5399012"/>
            <a:gd name="connsiteY7" fmla="*/ 92041 h 2863868"/>
            <a:gd name="connsiteX8" fmla="*/ 0 w 5399012"/>
            <a:gd name="connsiteY8" fmla="*/ 2240326 h 2863868"/>
            <a:gd name="connsiteX9" fmla="*/ 0 w 5399012"/>
            <a:gd name="connsiteY9" fmla="*/ 335326 h 2863868"/>
            <a:gd name="connsiteX0" fmla="*/ 3565654 w 5399012"/>
            <a:gd name="connsiteY0" fmla="*/ 0 h 2863868"/>
            <a:gd name="connsiteX1" fmla="*/ 4752183 w 5399012"/>
            <a:gd name="connsiteY1" fmla="*/ 0 h 2863868"/>
            <a:gd name="connsiteX2" fmla="*/ 5399012 w 5399012"/>
            <a:gd name="connsiteY2" fmla="*/ 920408 h 2863868"/>
            <a:gd name="connsiteX3" fmla="*/ 5399012 w 5399012"/>
            <a:gd name="connsiteY3" fmla="*/ 1943460 h 2863868"/>
            <a:gd name="connsiteX4" fmla="*/ 5350500 w 5399012"/>
            <a:gd name="connsiteY4" fmla="*/ 2863868 h 2863868"/>
            <a:gd name="connsiteX5" fmla="*/ 5301987 w 5399012"/>
            <a:gd name="connsiteY5" fmla="*/ 1943460 h 2863868"/>
            <a:gd name="connsiteX6" fmla="*/ 5301987 w 5399012"/>
            <a:gd name="connsiteY6" fmla="*/ 1012449 h 2863868"/>
            <a:gd name="connsiteX7" fmla="*/ 4655157 w 5399012"/>
            <a:gd name="connsiteY7" fmla="*/ 92041 h 2863868"/>
            <a:gd name="connsiteX8" fmla="*/ 3565652 w 5399012"/>
            <a:gd name="connsiteY8" fmla="*/ 92041 h 2863868"/>
            <a:gd name="connsiteX9" fmla="*/ 0 w 5399012"/>
            <a:gd name="connsiteY9" fmla="*/ 335326 h 2863868"/>
            <a:gd name="connsiteX0" fmla="*/ 2 w 1833360"/>
            <a:gd name="connsiteY0" fmla="*/ 0 h 2863868"/>
            <a:gd name="connsiteX1" fmla="*/ 1186531 w 1833360"/>
            <a:gd name="connsiteY1" fmla="*/ 0 h 2863868"/>
            <a:gd name="connsiteX2" fmla="*/ 1833360 w 1833360"/>
            <a:gd name="connsiteY2" fmla="*/ 920408 h 2863868"/>
            <a:gd name="connsiteX3" fmla="*/ 1833360 w 1833360"/>
            <a:gd name="connsiteY3" fmla="*/ 1943460 h 2863868"/>
            <a:gd name="connsiteX4" fmla="*/ 1784848 w 1833360"/>
            <a:gd name="connsiteY4" fmla="*/ 2863868 h 2863868"/>
            <a:gd name="connsiteX5" fmla="*/ 1736335 w 1833360"/>
            <a:gd name="connsiteY5" fmla="*/ 1943460 h 2863868"/>
            <a:gd name="connsiteX6" fmla="*/ 1736335 w 1833360"/>
            <a:gd name="connsiteY6" fmla="*/ 1012449 h 2863868"/>
            <a:gd name="connsiteX7" fmla="*/ 1089505 w 1833360"/>
            <a:gd name="connsiteY7" fmla="*/ 92041 h 2863868"/>
            <a:gd name="connsiteX8" fmla="*/ 0 w 1833360"/>
            <a:gd name="connsiteY8" fmla="*/ 92041 h 2863868"/>
            <a:gd name="connsiteX9" fmla="*/ 0 w 1833360"/>
            <a:gd name="connsiteY9" fmla="*/ 0 h 28638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33360" h="2863868">
              <a:moveTo>
                <a:pt x="2" y="0"/>
              </a:moveTo>
              <a:lnTo>
                <a:pt x="1186531" y="0"/>
              </a:lnTo>
              <a:cubicBezTo>
                <a:pt x="1509944" y="0"/>
                <a:pt x="1833360" y="460204"/>
                <a:pt x="1833360" y="920408"/>
              </a:cubicBezTo>
              <a:lnTo>
                <a:pt x="1833360" y="1943460"/>
              </a:lnTo>
              <a:lnTo>
                <a:pt x="1784848" y="2863868"/>
              </a:lnTo>
              <a:lnTo>
                <a:pt x="1736335" y="1943460"/>
              </a:lnTo>
              <a:lnTo>
                <a:pt x="1736335" y="1012449"/>
              </a:lnTo>
              <a:cubicBezTo>
                <a:pt x="1736335" y="552245"/>
                <a:pt x="1412920" y="92041"/>
                <a:pt x="1089505" y="92041"/>
              </a:cubicBezTo>
              <a:lnTo>
                <a:pt x="0" y="92041"/>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58738</xdr:colOff>
      <xdr:row>34</xdr:row>
      <xdr:rowOff>162174</xdr:rowOff>
    </xdr:from>
    <xdr:to>
      <xdr:col>9</xdr:col>
      <xdr:colOff>469900</xdr:colOff>
      <xdr:row>35</xdr:row>
      <xdr:rowOff>3424</xdr:rowOff>
    </xdr:to>
    <xdr:sp macro="" textlink="">
      <xdr:nvSpPr>
        <xdr:cNvPr id="88" name="Arrow $N$116">
          <a:extLst>
            <a:ext uri="{FF2B5EF4-FFF2-40B4-BE49-F238E27FC236}">
              <a16:creationId xmlns:a16="http://schemas.microsoft.com/office/drawing/2014/main" id="{00000000-0008-0000-0400-000007000000}"/>
            </a:ext>
          </a:extLst>
        </xdr:cNvPr>
        <xdr:cNvSpPr/>
      </xdr:nvSpPr>
      <xdr:spPr>
        <a:xfrm>
          <a:off x="4325938" y="5661274"/>
          <a:ext cx="1630362" cy="254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6"/>
            <a:gd name="connsiteY0" fmla="*/ 0 h 4126390"/>
            <a:gd name="connsiteX1" fmla="*/ 5791006 w 6045596"/>
            <a:gd name="connsiteY1" fmla="*/ 316390 h 4126390"/>
            <a:gd name="connsiteX2" fmla="*/ 6045596 w 6045596"/>
            <a:gd name="connsiteY2" fmla="*/ 2221390 h 4126390"/>
            <a:gd name="connsiteX3" fmla="*/ 5791006 w 6045596"/>
            <a:gd name="connsiteY3" fmla="*/ 4126390 h 4126390"/>
            <a:gd name="connsiteX4" fmla="*/ 3499698 w 6045596"/>
            <a:gd name="connsiteY4" fmla="*/ 4126390 h 4126390"/>
            <a:gd name="connsiteX5" fmla="*/ 3499698 w 6045596"/>
            <a:gd name="connsiteY5" fmla="*/ 316390 h 4126390"/>
            <a:gd name="connsiteX0" fmla="*/ 0 w 6045596"/>
            <a:gd name="connsiteY0" fmla="*/ 0 h 4126390"/>
            <a:gd name="connsiteX1" fmla="*/ 3503741 w 6045596"/>
            <a:gd name="connsiteY1" fmla="*/ 0 h 4126390"/>
            <a:gd name="connsiteX2" fmla="*/ 6045596 w 6045596"/>
            <a:gd name="connsiteY2" fmla="*/ 2221390 h 4126390"/>
            <a:gd name="connsiteX3" fmla="*/ 5791006 w 6045596"/>
            <a:gd name="connsiteY3" fmla="*/ 4126390 h 4126390"/>
            <a:gd name="connsiteX4" fmla="*/ 3499698 w 6045596"/>
            <a:gd name="connsiteY4" fmla="*/ 4126390 h 4126390"/>
            <a:gd name="connsiteX5" fmla="*/ 3499698 w 6045596"/>
            <a:gd name="connsiteY5" fmla="*/ 316390 h 4126390"/>
            <a:gd name="connsiteX0" fmla="*/ 0 w 5791005"/>
            <a:gd name="connsiteY0" fmla="*/ 0 h 4126390"/>
            <a:gd name="connsiteX1" fmla="*/ 3503741 w 5791005"/>
            <a:gd name="connsiteY1" fmla="*/ 0 h 4126390"/>
            <a:gd name="connsiteX2" fmla="*/ 4150337 w 5791005"/>
            <a:gd name="connsiteY2" fmla="*/ 69031 h 4126390"/>
            <a:gd name="connsiteX3" fmla="*/ 5791006 w 5791005"/>
            <a:gd name="connsiteY3" fmla="*/ 4126390 h 4126390"/>
            <a:gd name="connsiteX4" fmla="*/ 3499698 w 5791005"/>
            <a:gd name="connsiteY4" fmla="*/ 4126390 h 4126390"/>
            <a:gd name="connsiteX5" fmla="*/ 3499698 w 5791005"/>
            <a:gd name="connsiteY5" fmla="*/ 316390 h 4126390"/>
            <a:gd name="connsiteX0" fmla="*/ 0 w 4150337"/>
            <a:gd name="connsiteY0" fmla="*/ 0 h 4126390"/>
            <a:gd name="connsiteX1" fmla="*/ 3503741 w 4150337"/>
            <a:gd name="connsiteY1" fmla="*/ 0 h 4126390"/>
            <a:gd name="connsiteX2" fmla="*/ 4150337 w 4150337"/>
            <a:gd name="connsiteY2" fmla="*/ 69031 h 4126390"/>
            <a:gd name="connsiteX3" fmla="*/ 3503741 w 4150337"/>
            <a:gd name="connsiteY3" fmla="*/ 92041 h 4126390"/>
            <a:gd name="connsiteX4" fmla="*/ 3499698 w 4150337"/>
            <a:gd name="connsiteY4" fmla="*/ 4126390 h 4126390"/>
            <a:gd name="connsiteX5" fmla="*/ 3499698 w 4150337"/>
            <a:gd name="connsiteY5" fmla="*/ 316390 h 4126390"/>
            <a:gd name="connsiteX0" fmla="*/ 0 w 4150337"/>
            <a:gd name="connsiteY0" fmla="*/ 0 h 316389"/>
            <a:gd name="connsiteX1" fmla="*/ 3503741 w 4150337"/>
            <a:gd name="connsiteY1" fmla="*/ 0 h 316389"/>
            <a:gd name="connsiteX2" fmla="*/ 4150337 w 4150337"/>
            <a:gd name="connsiteY2" fmla="*/ 69031 h 316389"/>
            <a:gd name="connsiteX3" fmla="*/ 3503741 w 4150337"/>
            <a:gd name="connsiteY3" fmla="*/ 92041 h 316389"/>
            <a:gd name="connsiteX4" fmla="*/ 0 w 4150337"/>
            <a:gd name="connsiteY4" fmla="*/ 92041 h 316389"/>
            <a:gd name="connsiteX5" fmla="*/ 3499698 w 4150337"/>
            <a:gd name="connsiteY5" fmla="*/ 316390 h 316389"/>
            <a:gd name="connsiteX0" fmla="*/ 0 w 4150337"/>
            <a:gd name="connsiteY0" fmla="*/ 0 h 92041"/>
            <a:gd name="connsiteX1" fmla="*/ 3503741 w 4150337"/>
            <a:gd name="connsiteY1" fmla="*/ 0 h 92041"/>
            <a:gd name="connsiteX2" fmla="*/ 4150337 w 4150337"/>
            <a:gd name="connsiteY2" fmla="*/ 69031 h 92041"/>
            <a:gd name="connsiteX3" fmla="*/ 3503741 w 4150337"/>
            <a:gd name="connsiteY3" fmla="*/ 92041 h 92041"/>
            <a:gd name="connsiteX4" fmla="*/ 0 w 4150337"/>
            <a:gd name="connsiteY4" fmla="*/ 92041 h 92041"/>
            <a:gd name="connsiteX5" fmla="*/ 0 w 4150337"/>
            <a:gd name="connsiteY5" fmla="*/ 0 h 9204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7" h="92041">
              <a:moveTo>
                <a:pt x="0" y="0"/>
              </a:moveTo>
              <a:lnTo>
                <a:pt x="3503741" y="0"/>
              </a:lnTo>
              <a:lnTo>
                <a:pt x="4150337" y="69031"/>
              </a:lnTo>
              <a:lnTo>
                <a:pt x="3503741" y="92041"/>
              </a:lnTo>
              <a:lnTo>
                <a:pt x="0" y="92041"/>
              </a:lnTo>
              <a:lnTo>
                <a:pt x="0"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4</xdr:col>
      <xdr:colOff>498474</xdr:colOff>
      <xdr:row>34</xdr:row>
      <xdr:rowOff>162173</xdr:rowOff>
    </xdr:from>
    <xdr:to>
      <xdr:col>7</xdr:col>
      <xdr:colOff>300037</xdr:colOff>
      <xdr:row>35</xdr:row>
      <xdr:rowOff>61972</xdr:rowOff>
    </xdr:to>
    <xdr:sp macro="" textlink="">
      <xdr:nvSpPr>
        <xdr:cNvPr id="89" name="Arrow $L$116">
          <a:extLst>
            <a:ext uri="{FF2B5EF4-FFF2-40B4-BE49-F238E27FC236}">
              <a16:creationId xmlns:a16="http://schemas.microsoft.com/office/drawing/2014/main" id="{00000000-0008-0000-0400-000007000000}"/>
            </a:ext>
          </a:extLst>
        </xdr:cNvPr>
        <xdr:cNvSpPr/>
      </xdr:nvSpPr>
      <xdr:spPr>
        <a:xfrm>
          <a:off x="2936874" y="5661273"/>
          <a:ext cx="1630363" cy="83949"/>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81"/>
            <a:gd name="connsiteY0" fmla="*/ 0 h 4126390"/>
            <a:gd name="connsiteX1" fmla="*/ 5799091 w 6053681"/>
            <a:gd name="connsiteY1" fmla="*/ 316390 h 4126390"/>
            <a:gd name="connsiteX2" fmla="*/ 6053681 w 6053681"/>
            <a:gd name="connsiteY2" fmla="*/ 2221390 h 4126390"/>
            <a:gd name="connsiteX3" fmla="*/ 5799091 w 6053681"/>
            <a:gd name="connsiteY3" fmla="*/ 4126390 h 4126390"/>
            <a:gd name="connsiteX4" fmla="*/ 3507783 w 6053681"/>
            <a:gd name="connsiteY4" fmla="*/ 4126390 h 4126390"/>
            <a:gd name="connsiteX5" fmla="*/ 3507783 w 6053681"/>
            <a:gd name="connsiteY5" fmla="*/ 316390 h 4126390"/>
            <a:gd name="connsiteX0" fmla="*/ 0 w 6053681"/>
            <a:gd name="connsiteY0" fmla="*/ 0 h 4126390"/>
            <a:gd name="connsiteX1" fmla="*/ 3503743 w 6053681"/>
            <a:gd name="connsiteY1" fmla="*/ 0 h 4126390"/>
            <a:gd name="connsiteX2" fmla="*/ 6053681 w 6053681"/>
            <a:gd name="connsiteY2" fmla="*/ 2221390 h 4126390"/>
            <a:gd name="connsiteX3" fmla="*/ 5799091 w 6053681"/>
            <a:gd name="connsiteY3" fmla="*/ 4126390 h 4126390"/>
            <a:gd name="connsiteX4" fmla="*/ 3507783 w 6053681"/>
            <a:gd name="connsiteY4" fmla="*/ 4126390 h 4126390"/>
            <a:gd name="connsiteX5" fmla="*/ 3507783 w 6053681"/>
            <a:gd name="connsiteY5" fmla="*/ 316390 h 4126390"/>
            <a:gd name="connsiteX0" fmla="*/ 0 w 5799090"/>
            <a:gd name="connsiteY0" fmla="*/ 0 h 4126390"/>
            <a:gd name="connsiteX1" fmla="*/ 3503743 w 5799090"/>
            <a:gd name="connsiteY1" fmla="*/ 0 h 4126390"/>
            <a:gd name="connsiteX2" fmla="*/ 4150339 w 5799090"/>
            <a:gd name="connsiteY2" fmla="*/ 175110 h 4126390"/>
            <a:gd name="connsiteX3" fmla="*/ 5799091 w 5799090"/>
            <a:gd name="connsiteY3" fmla="*/ 4126390 h 4126390"/>
            <a:gd name="connsiteX4" fmla="*/ 3507783 w 5799090"/>
            <a:gd name="connsiteY4" fmla="*/ 4126390 h 4126390"/>
            <a:gd name="connsiteX5" fmla="*/ 3507783 w 5799090"/>
            <a:gd name="connsiteY5" fmla="*/ 316390 h 4126390"/>
            <a:gd name="connsiteX0" fmla="*/ 0 w 4150339"/>
            <a:gd name="connsiteY0" fmla="*/ 0 h 4126390"/>
            <a:gd name="connsiteX1" fmla="*/ 3503743 w 4150339"/>
            <a:gd name="connsiteY1" fmla="*/ 0 h 4126390"/>
            <a:gd name="connsiteX2" fmla="*/ 4150339 w 4150339"/>
            <a:gd name="connsiteY2" fmla="*/ 175110 h 4126390"/>
            <a:gd name="connsiteX3" fmla="*/ 3503743 w 4150339"/>
            <a:gd name="connsiteY3" fmla="*/ 304202 h 4126390"/>
            <a:gd name="connsiteX4" fmla="*/ 3507783 w 4150339"/>
            <a:gd name="connsiteY4" fmla="*/ 4126390 h 4126390"/>
            <a:gd name="connsiteX5" fmla="*/ 3507783 w 4150339"/>
            <a:gd name="connsiteY5" fmla="*/ 316390 h 4126390"/>
            <a:gd name="connsiteX0" fmla="*/ 0 w 4150339"/>
            <a:gd name="connsiteY0" fmla="*/ 0 h 316389"/>
            <a:gd name="connsiteX1" fmla="*/ 3503743 w 4150339"/>
            <a:gd name="connsiteY1" fmla="*/ 0 h 316389"/>
            <a:gd name="connsiteX2" fmla="*/ 4150339 w 4150339"/>
            <a:gd name="connsiteY2" fmla="*/ 175110 h 316389"/>
            <a:gd name="connsiteX3" fmla="*/ 3503743 w 4150339"/>
            <a:gd name="connsiteY3" fmla="*/ 304202 h 316389"/>
            <a:gd name="connsiteX4" fmla="*/ 3 w 4150339"/>
            <a:gd name="connsiteY4" fmla="*/ 304202 h 316389"/>
            <a:gd name="connsiteX5" fmla="*/ 3507783 w 4150339"/>
            <a:gd name="connsiteY5" fmla="*/ 316390 h 316389"/>
            <a:gd name="connsiteX0" fmla="*/ 0 w 4150339"/>
            <a:gd name="connsiteY0" fmla="*/ 0 h 304203"/>
            <a:gd name="connsiteX1" fmla="*/ 3503743 w 4150339"/>
            <a:gd name="connsiteY1" fmla="*/ 0 h 304203"/>
            <a:gd name="connsiteX2" fmla="*/ 4150339 w 4150339"/>
            <a:gd name="connsiteY2" fmla="*/ 175110 h 304203"/>
            <a:gd name="connsiteX3" fmla="*/ 3503743 w 4150339"/>
            <a:gd name="connsiteY3" fmla="*/ 304202 h 304203"/>
            <a:gd name="connsiteX4" fmla="*/ 3 w 4150339"/>
            <a:gd name="connsiteY4" fmla="*/ 304202 h 304203"/>
            <a:gd name="connsiteX5" fmla="*/ 3 w 4150339"/>
            <a:gd name="connsiteY5" fmla="*/ 0 h 3042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304203">
              <a:moveTo>
                <a:pt x="0" y="0"/>
              </a:moveTo>
              <a:lnTo>
                <a:pt x="3503743" y="0"/>
              </a:lnTo>
              <a:lnTo>
                <a:pt x="4150339" y="175110"/>
              </a:lnTo>
              <a:lnTo>
                <a:pt x="3503743" y="304202"/>
              </a:lnTo>
              <a:lnTo>
                <a:pt x="3" y="304202"/>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328611</xdr:colOff>
      <xdr:row>34</xdr:row>
      <xdr:rowOff>162174</xdr:rowOff>
    </xdr:from>
    <xdr:to>
      <xdr:col>5</xdr:col>
      <xdr:colOff>130174</xdr:colOff>
      <xdr:row>36</xdr:row>
      <xdr:rowOff>2632</xdr:rowOff>
    </xdr:to>
    <xdr:sp macro="" textlink="">
      <xdr:nvSpPr>
        <xdr:cNvPr id="90" name="Arrow $J$116">
          <a:extLst>
            <a:ext uri="{FF2B5EF4-FFF2-40B4-BE49-F238E27FC236}">
              <a16:creationId xmlns:a16="http://schemas.microsoft.com/office/drawing/2014/main" id="{00000000-0008-0000-0400-000007000000}"/>
            </a:ext>
          </a:extLst>
        </xdr:cNvPr>
        <xdr:cNvSpPr/>
      </xdr:nvSpPr>
      <xdr:spPr>
        <a:xfrm>
          <a:off x="1547811" y="5661274"/>
          <a:ext cx="1630363" cy="20875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4126386"/>
            <a:gd name="connsiteX1" fmla="*/ 5816809 w 6071399"/>
            <a:gd name="connsiteY1" fmla="*/ 316386 h 4126386"/>
            <a:gd name="connsiteX2" fmla="*/ 6071399 w 6071399"/>
            <a:gd name="connsiteY2" fmla="*/ 2221386 h 4126386"/>
            <a:gd name="connsiteX3" fmla="*/ 5816809 w 6071399"/>
            <a:gd name="connsiteY3" fmla="*/ 4126386 h 4126386"/>
            <a:gd name="connsiteX4" fmla="*/ 3525501 w 6071399"/>
            <a:gd name="connsiteY4" fmla="*/ 4126386 h 4126386"/>
            <a:gd name="connsiteX5" fmla="*/ 3525501 w 6071399"/>
            <a:gd name="connsiteY5" fmla="*/ 316386 h 4126386"/>
            <a:gd name="connsiteX0" fmla="*/ 0 w 6071399"/>
            <a:gd name="connsiteY0" fmla="*/ 0 h 4126386"/>
            <a:gd name="connsiteX1" fmla="*/ 3509316 w 6071399"/>
            <a:gd name="connsiteY1" fmla="*/ 0 h 4126386"/>
            <a:gd name="connsiteX2" fmla="*/ 6071399 w 6071399"/>
            <a:gd name="connsiteY2" fmla="*/ 2221386 h 4126386"/>
            <a:gd name="connsiteX3" fmla="*/ 5816809 w 6071399"/>
            <a:gd name="connsiteY3" fmla="*/ 4126386 h 4126386"/>
            <a:gd name="connsiteX4" fmla="*/ 3525501 w 6071399"/>
            <a:gd name="connsiteY4" fmla="*/ 4126386 h 4126386"/>
            <a:gd name="connsiteX5" fmla="*/ 3525501 w 6071399"/>
            <a:gd name="connsiteY5" fmla="*/ 316386 h 4126386"/>
            <a:gd name="connsiteX0" fmla="*/ 0 w 5816809"/>
            <a:gd name="connsiteY0" fmla="*/ 0 h 4126386"/>
            <a:gd name="connsiteX1" fmla="*/ 3509316 w 5816809"/>
            <a:gd name="connsiteY1" fmla="*/ 0 h 4126386"/>
            <a:gd name="connsiteX2" fmla="*/ 4156940 w 5816809"/>
            <a:gd name="connsiteY2" fmla="*/ 401244 h 4126386"/>
            <a:gd name="connsiteX3" fmla="*/ 5816809 w 5816809"/>
            <a:gd name="connsiteY3" fmla="*/ 4126386 h 4126386"/>
            <a:gd name="connsiteX4" fmla="*/ 3525501 w 5816809"/>
            <a:gd name="connsiteY4" fmla="*/ 4126386 h 4126386"/>
            <a:gd name="connsiteX5" fmla="*/ 3525501 w 5816809"/>
            <a:gd name="connsiteY5" fmla="*/ 316386 h 4126386"/>
            <a:gd name="connsiteX0" fmla="*/ 0 w 4156940"/>
            <a:gd name="connsiteY0" fmla="*/ 0 h 4126386"/>
            <a:gd name="connsiteX1" fmla="*/ 3509316 w 4156940"/>
            <a:gd name="connsiteY1" fmla="*/ 0 h 4126386"/>
            <a:gd name="connsiteX2" fmla="*/ 4156940 w 4156940"/>
            <a:gd name="connsiteY2" fmla="*/ 401244 h 4126386"/>
            <a:gd name="connsiteX3" fmla="*/ 3509316 w 4156940"/>
            <a:gd name="connsiteY3" fmla="*/ 756467 h 4126386"/>
            <a:gd name="connsiteX4" fmla="*/ 3525501 w 4156940"/>
            <a:gd name="connsiteY4" fmla="*/ 4126386 h 4126386"/>
            <a:gd name="connsiteX5" fmla="*/ 3525501 w 4156940"/>
            <a:gd name="connsiteY5" fmla="*/ 316386 h 4126386"/>
            <a:gd name="connsiteX0" fmla="*/ 0 w 4156940"/>
            <a:gd name="connsiteY0" fmla="*/ 0 h 756467"/>
            <a:gd name="connsiteX1" fmla="*/ 3509316 w 4156940"/>
            <a:gd name="connsiteY1" fmla="*/ 0 h 756467"/>
            <a:gd name="connsiteX2" fmla="*/ 4156940 w 4156940"/>
            <a:gd name="connsiteY2" fmla="*/ 401244 h 756467"/>
            <a:gd name="connsiteX3" fmla="*/ 3509316 w 4156940"/>
            <a:gd name="connsiteY3" fmla="*/ 756467 h 756467"/>
            <a:gd name="connsiteX4" fmla="*/ 5 w 4156940"/>
            <a:gd name="connsiteY4" fmla="*/ 756467 h 756467"/>
            <a:gd name="connsiteX5" fmla="*/ 3525501 w 4156940"/>
            <a:gd name="connsiteY5" fmla="*/ 316386 h 756467"/>
            <a:gd name="connsiteX0" fmla="*/ 0 w 4156940"/>
            <a:gd name="connsiteY0" fmla="*/ 0 h 756467"/>
            <a:gd name="connsiteX1" fmla="*/ 3509316 w 4156940"/>
            <a:gd name="connsiteY1" fmla="*/ 0 h 756467"/>
            <a:gd name="connsiteX2" fmla="*/ 4156940 w 4156940"/>
            <a:gd name="connsiteY2" fmla="*/ 401244 h 756467"/>
            <a:gd name="connsiteX3" fmla="*/ 3509316 w 4156940"/>
            <a:gd name="connsiteY3" fmla="*/ 756467 h 756467"/>
            <a:gd name="connsiteX4" fmla="*/ 5 w 4156940"/>
            <a:gd name="connsiteY4" fmla="*/ 756467 h 756467"/>
            <a:gd name="connsiteX5" fmla="*/ 5 w 4156940"/>
            <a:gd name="connsiteY5" fmla="*/ 0 h 75646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756467">
              <a:moveTo>
                <a:pt x="0" y="0"/>
              </a:moveTo>
              <a:lnTo>
                <a:pt x="3509316" y="0"/>
              </a:lnTo>
              <a:lnTo>
                <a:pt x="4156940" y="401244"/>
              </a:lnTo>
              <a:lnTo>
                <a:pt x="3509316" y="756467"/>
              </a:lnTo>
              <a:lnTo>
                <a:pt x="5" y="756467"/>
              </a:lnTo>
              <a:lnTo>
                <a:pt x="5"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34</xdr:row>
      <xdr:rowOff>162174</xdr:rowOff>
    </xdr:from>
    <xdr:to>
      <xdr:col>3</xdr:col>
      <xdr:colOff>413544</xdr:colOff>
      <xdr:row>36</xdr:row>
      <xdr:rowOff>15332</xdr:rowOff>
    </xdr:to>
    <xdr:sp macro="" textlink="">
      <xdr:nvSpPr>
        <xdr:cNvPr id="4" name="Arrow Text $J$116"/>
        <xdr:cNvSpPr txBox="1"/>
      </xdr:nvSpPr>
      <xdr:spPr>
        <a:xfrm>
          <a:off x="1801813" y="5661274"/>
          <a:ext cx="440531" cy="22145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6.0%</a:t>
          </a:r>
        </a:p>
      </xdr:txBody>
    </xdr:sp>
    <xdr:clientData/>
  </xdr:twoCellAnchor>
  <xdr:twoCellAnchor>
    <xdr:from>
      <xdr:col>0</xdr:col>
      <xdr:colOff>158749</xdr:colOff>
      <xdr:row>34</xdr:row>
      <xdr:rowOff>162174</xdr:rowOff>
    </xdr:from>
    <xdr:to>
      <xdr:col>2</xdr:col>
      <xdr:colOff>569912</xdr:colOff>
      <xdr:row>36</xdr:row>
      <xdr:rowOff>2632</xdr:rowOff>
    </xdr:to>
    <xdr:sp macro="" textlink="">
      <xdr:nvSpPr>
        <xdr:cNvPr id="92" name="Arrow $H$116">
          <a:extLst>
            <a:ext uri="{FF2B5EF4-FFF2-40B4-BE49-F238E27FC236}">
              <a16:creationId xmlns:a16="http://schemas.microsoft.com/office/drawing/2014/main" id="{00000000-0008-0000-0400-000007000000}"/>
            </a:ext>
          </a:extLst>
        </xdr:cNvPr>
        <xdr:cNvSpPr/>
      </xdr:nvSpPr>
      <xdr:spPr>
        <a:xfrm>
          <a:off x="158749" y="5661274"/>
          <a:ext cx="1630363" cy="20875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4126390"/>
            <a:gd name="connsiteX1" fmla="*/ 5824905 w 6079495"/>
            <a:gd name="connsiteY1" fmla="*/ 316390 h 4126390"/>
            <a:gd name="connsiteX2" fmla="*/ 6079495 w 6079495"/>
            <a:gd name="connsiteY2" fmla="*/ 2221390 h 4126390"/>
            <a:gd name="connsiteX3" fmla="*/ 5824905 w 6079495"/>
            <a:gd name="connsiteY3" fmla="*/ 4126390 h 4126390"/>
            <a:gd name="connsiteX4" fmla="*/ 3533597 w 6079495"/>
            <a:gd name="connsiteY4" fmla="*/ 4126390 h 4126390"/>
            <a:gd name="connsiteX5" fmla="*/ 3533597 w 6079495"/>
            <a:gd name="connsiteY5" fmla="*/ 316390 h 4126390"/>
            <a:gd name="connsiteX0" fmla="*/ 0 w 6079495"/>
            <a:gd name="connsiteY0" fmla="*/ 0 h 4126390"/>
            <a:gd name="connsiteX1" fmla="*/ 3509316 w 6079495"/>
            <a:gd name="connsiteY1" fmla="*/ 0 h 4126390"/>
            <a:gd name="connsiteX2" fmla="*/ 6079495 w 6079495"/>
            <a:gd name="connsiteY2" fmla="*/ 2221390 h 4126390"/>
            <a:gd name="connsiteX3" fmla="*/ 5824905 w 6079495"/>
            <a:gd name="connsiteY3" fmla="*/ 4126390 h 4126390"/>
            <a:gd name="connsiteX4" fmla="*/ 3533597 w 6079495"/>
            <a:gd name="connsiteY4" fmla="*/ 4126390 h 4126390"/>
            <a:gd name="connsiteX5" fmla="*/ 3533597 w 6079495"/>
            <a:gd name="connsiteY5" fmla="*/ 316390 h 4126390"/>
            <a:gd name="connsiteX0" fmla="*/ 0 w 5824905"/>
            <a:gd name="connsiteY0" fmla="*/ 0 h 4126390"/>
            <a:gd name="connsiteX1" fmla="*/ 3509316 w 5824905"/>
            <a:gd name="connsiteY1" fmla="*/ 0 h 4126390"/>
            <a:gd name="connsiteX2" fmla="*/ 4156940 w 5824905"/>
            <a:gd name="connsiteY2" fmla="*/ 401244 h 4126390"/>
            <a:gd name="connsiteX3" fmla="*/ 5824905 w 5824905"/>
            <a:gd name="connsiteY3" fmla="*/ 4126390 h 4126390"/>
            <a:gd name="connsiteX4" fmla="*/ 3533597 w 5824905"/>
            <a:gd name="connsiteY4" fmla="*/ 4126390 h 4126390"/>
            <a:gd name="connsiteX5" fmla="*/ 3533597 w 5824905"/>
            <a:gd name="connsiteY5" fmla="*/ 316390 h 4126390"/>
            <a:gd name="connsiteX0" fmla="*/ 0 w 4156941"/>
            <a:gd name="connsiteY0" fmla="*/ 0 h 4126390"/>
            <a:gd name="connsiteX1" fmla="*/ 3509316 w 4156941"/>
            <a:gd name="connsiteY1" fmla="*/ 0 h 4126390"/>
            <a:gd name="connsiteX2" fmla="*/ 4156940 w 4156941"/>
            <a:gd name="connsiteY2" fmla="*/ 401244 h 4126390"/>
            <a:gd name="connsiteX3" fmla="*/ 3509319 w 4156941"/>
            <a:gd name="connsiteY3" fmla="*/ 756467 h 4126390"/>
            <a:gd name="connsiteX4" fmla="*/ 3533597 w 4156941"/>
            <a:gd name="connsiteY4" fmla="*/ 4126390 h 4126390"/>
            <a:gd name="connsiteX5" fmla="*/ 3533597 w 4156941"/>
            <a:gd name="connsiteY5" fmla="*/ 316390 h 4126390"/>
            <a:gd name="connsiteX0" fmla="*/ 0 w 4156941"/>
            <a:gd name="connsiteY0" fmla="*/ 0 h 756467"/>
            <a:gd name="connsiteX1" fmla="*/ 3509316 w 4156941"/>
            <a:gd name="connsiteY1" fmla="*/ 0 h 756467"/>
            <a:gd name="connsiteX2" fmla="*/ 4156940 w 4156941"/>
            <a:gd name="connsiteY2" fmla="*/ 401244 h 756467"/>
            <a:gd name="connsiteX3" fmla="*/ 3509319 w 4156941"/>
            <a:gd name="connsiteY3" fmla="*/ 756467 h 756467"/>
            <a:gd name="connsiteX4" fmla="*/ 3 w 4156941"/>
            <a:gd name="connsiteY4" fmla="*/ 756467 h 756467"/>
            <a:gd name="connsiteX5" fmla="*/ 3533597 w 4156941"/>
            <a:gd name="connsiteY5" fmla="*/ 316390 h 756467"/>
            <a:gd name="connsiteX0" fmla="*/ 0 w 4156941"/>
            <a:gd name="connsiteY0" fmla="*/ 0 h 756467"/>
            <a:gd name="connsiteX1" fmla="*/ 3509316 w 4156941"/>
            <a:gd name="connsiteY1" fmla="*/ 0 h 756467"/>
            <a:gd name="connsiteX2" fmla="*/ 4156940 w 4156941"/>
            <a:gd name="connsiteY2" fmla="*/ 401244 h 756467"/>
            <a:gd name="connsiteX3" fmla="*/ 3509319 w 4156941"/>
            <a:gd name="connsiteY3" fmla="*/ 756467 h 756467"/>
            <a:gd name="connsiteX4" fmla="*/ 3 w 4156941"/>
            <a:gd name="connsiteY4" fmla="*/ 756467 h 756467"/>
            <a:gd name="connsiteX5" fmla="*/ 3 w 4156941"/>
            <a:gd name="connsiteY5" fmla="*/ 0 h 75646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756467">
              <a:moveTo>
                <a:pt x="0" y="0"/>
              </a:moveTo>
              <a:lnTo>
                <a:pt x="3509316" y="0"/>
              </a:lnTo>
              <a:lnTo>
                <a:pt x="4156940" y="401244"/>
              </a:lnTo>
              <a:lnTo>
                <a:pt x="3509319" y="756467"/>
              </a:lnTo>
              <a:lnTo>
                <a:pt x="3" y="756467"/>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34</xdr:row>
      <xdr:rowOff>162174</xdr:rowOff>
    </xdr:from>
    <xdr:to>
      <xdr:col>2</xdr:col>
      <xdr:colOff>328613</xdr:colOff>
      <xdr:row>36</xdr:row>
      <xdr:rowOff>15332</xdr:rowOff>
    </xdr:to>
    <xdr:sp macro="" textlink="">
      <xdr:nvSpPr>
        <xdr:cNvPr id="5" name="Arrow Text $H$116"/>
        <xdr:cNvSpPr txBox="1"/>
      </xdr:nvSpPr>
      <xdr:spPr>
        <a:xfrm>
          <a:off x="158750" y="5661274"/>
          <a:ext cx="1389063" cy="22145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ONSITE  FACILITIES</a:t>
          </a:r>
        </a:p>
        <a:p>
          <a:r>
            <a:rPr lang="en-GB" sz="1100">
              <a:solidFill>
                <a:schemeClr val="bg1"/>
              </a:solidFill>
            </a:rPr>
            <a:t> PIT LATRINES</a:t>
          </a:r>
        </a:p>
      </xdr:txBody>
    </xdr:sp>
    <xdr:clientData/>
  </xdr:twoCellAnchor>
  <xdr:twoCellAnchor>
    <xdr:from>
      <xdr:col>4</xdr:col>
      <xdr:colOff>498475</xdr:colOff>
      <xdr:row>33</xdr:row>
      <xdr:rowOff>134456</xdr:rowOff>
    </xdr:from>
    <xdr:to>
      <xdr:col>6</xdr:col>
      <xdr:colOff>62707</xdr:colOff>
      <xdr:row>39</xdr:row>
      <xdr:rowOff>31750</xdr:rowOff>
    </xdr:to>
    <xdr:sp macro="" textlink="">
      <xdr:nvSpPr>
        <xdr:cNvPr id="94" name="Arrow $L$114">
          <a:extLst>
            <a:ext uri="{FF2B5EF4-FFF2-40B4-BE49-F238E27FC236}">
              <a16:creationId xmlns:a16="http://schemas.microsoft.com/office/drawing/2014/main" id="{00000000-0008-0000-0400-000006000000}"/>
            </a:ext>
          </a:extLst>
        </xdr:cNvPr>
        <xdr:cNvSpPr/>
      </xdr:nvSpPr>
      <xdr:spPr>
        <a:xfrm>
          <a:off x="2936875" y="5449406"/>
          <a:ext cx="783432" cy="1002194"/>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7074720 w 7074720"/>
            <a:gd name="connsiteY0" fmla="*/ 0 h 4894125"/>
            <a:gd name="connsiteX1" fmla="*/ 1273411 w 7074720"/>
            <a:gd name="connsiteY1" fmla="*/ 1084125 h 4894125"/>
            <a:gd name="connsiteX2" fmla="*/ 2546822 w 7074720"/>
            <a:gd name="connsiteY2" fmla="*/ 2354125 h 4894125"/>
            <a:gd name="connsiteX3" fmla="*/ 2546822 w 7074720"/>
            <a:gd name="connsiteY3" fmla="*/ 4640125 h 4894125"/>
            <a:gd name="connsiteX4" fmla="*/ 1910117 w 7074720"/>
            <a:gd name="connsiteY4" fmla="*/ 4894125 h 4894125"/>
            <a:gd name="connsiteX5" fmla="*/ 1273411 w 7074720"/>
            <a:gd name="connsiteY5" fmla="*/ 4640125 h 4894125"/>
            <a:gd name="connsiteX6" fmla="*/ 1273411 w 7074720"/>
            <a:gd name="connsiteY6" fmla="*/ 3624125 h 4894125"/>
            <a:gd name="connsiteX7" fmla="*/ 636706 w 7074720"/>
            <a:gd name="connsiteY7" fmla="*/ 2989125 h 4894125"/>
            <a:gd name="connsiteX8" fmla="*/ 0 w 7074720"/>
            <a:gd name="connsiteY8" fmla="*/ 2989125 h 4894125"/>
            <a:gd name="connsiteX9" fmla="*/ 0 w 7074720"/>
            <a:gd name="connsiteY9" fmla="*/ 1084125 h 4894125"/>
            <a:gd name="connsiteX0" fmla="*/ 7074720 w 8422956"/>
            <a:gd name="connsiteY0" fmla="*/ 0 h 4894125"/>
            <a:gd name="connsiteX1" fmla="*/ 8422956 w 8422956"/>
            <a:gd name="connsiteY1" fmla="*/ 0 h 4894125"/>
            <a:gd name="connsiteX2" fmla="*/ 2546822 w 8422956"/>
            <a:gd name="connsiteY2" fmla="*/ 2354125 h 4894125"/>
            <a:gd name="connsiteX3" fmla="*/ 2546822 w 8422956"/>
            <a:gd name="connsiteY3" fmla="*/ 4640125 h 4894125"/>
            <a:gd name="connsiteX4" fmla="*/ 1910117 w 8422956"/>
            <a:gd name="connsiteY4" fmla="*/ 4894125 h 4894125"/>
            <a:gd name="connsiteX5" fmla="*/ 1273411 w 8422956"/>
            <a:gd name="connsiteY5" fmla="*/ 4640125 h 4894125"/>
            <a:gd name="connsiteX6" fmla="*/ 1273411 w 8422956"/>
            <a:gd name="connsiteY6" fmla="*/ 3624125 h 4894125"/>
            <a:gd name="connsiteX7" fmla="*/ 636706 w 8422956"/>
            <a:gd name="connsiteY7" fmla="*/ 2989125 h 4894125"/>
            <a:gd name="connsiteX8" fmla="*/ 0 w 8422956"/>
            <a:gd name="connsiteY8" fmla="*/ 2989125 h 4894125"/>
            <a:gd name="connsiteX9" fmla="*/ 0 w 8422956"/>
            <a:gd name="connsiteY9" fmla="*/ 1084125 h 4894125"/>
            <a:gd name="connsiteX0" fmla="*/ 7074720 w 8435182"/>
            <a:gd name="connsiteY0" fmla="*/ 0 h 4894125"/>
            <a:gd name="connsiteX1" fmla="*/ 8422956 w 8435182"/>
            <a:gd name="connsiteY1" fmla="*/ 0 h 4894125"/>
            <a:gd name="connsiteX2" fmla="*/ 2546822 w 8435182"/>
            <a:gd name="connsiteY2" fmla="*/ 2354125 h 4894125"/>
            <a:gd name="connsiteX3" fmla="*/ 2546822 w 8435182"/>
            <a:gd name="connsiteY3" fmla="*/ 4640125 h 4894125"/>
            <a:gd name="connsiteX4" fmla="*/ 1910117 w 8435182"/>
            <a:gd name="connsiteY4" fmla="*/ 4894125 h 4894125"/>
            <a:gd name="connsiteX5" fmla="*/ 1273411 w 8435182"/>
            <a:gd name="connsiteY5" fmla="*/ 4640125 h 4894125"/>
            <a:gd name="connsiteX6" fmla="*/ 1273411 w 8435182"/>
            <a:gd name="connsiteY6" fmla="*/ 3624125 h 4894125"/>
            <a:gd name="connsiteX7" fmla="*/ 636706 w 8435182"/>
            <a:gd name="connsiteY7" fmla="*/ 2989125 h 4894125"/>
            <a:gd name="connsiteX8" fmla="*/ 0 w 8435182"/>
            <a:gd name="connsiteY8" fmla="*/ 2989125 h 4894125"/>
            <a:gd name="connsiteX9" fmla="*/ 0 w 8435182"/>
            <a:gd name="connsiteY9" fmla="*/ 1084125 h 4894125"/>
            <a:gd name="connsiteX0" fmla="*/ 7074720 w 8563540"/>
            <a:gd name="connsiteY0" fmla="*/ 0 h 4894125"/>
            <a:gd name="connsiteX1" fmla="*/ 8422956 w 8563540"/>
            <a:gd name="connsiteY1" fmla="*/ 0 h 4894125"/>
            <a:gd name="connsiteX2" fmla="*/ 2546822 w 8563540"/>
            <a:gd name="connsiteY2" fmla="*/ 2354125 h 4894125"/>
            <a:gd name="connsiteX3" fmla="*/ 2546822 w 8563540"/>
            <a:gd name="connsiteY3" fmla="*/ 4640125 h 4894125"/>
            <a:gd name="connsiteX4" fmla="*/ 1910117 w 8563540"/>
            <a:gd name="connsiteY4" fmla="*/ 4894125 h 4894125"/>
            <a:gd name="connsiteX5" fmla="*/ 1273411 w 8563540"/>
            <a:gd name="connsiteY5" fmla="*/ 4640125 h 4894125"/>
            <a:gd name="connsiteX6" fmla="*/ 1273411 w 8563540"/>
            <a:gd name="connsiteY6" fmla="*/ 3624125 h 4894125"/>
            <a:gd name="connsiteX7" fmla="*/ 636706 w 8563540"/>
            <a:gd name="connsiteY7" fmla="*/ 2989125 h 4894125"/>
            <a:gd name="connsiteX8" fmla="*/ 0 w 8563540"/>
            <a:gd name="connsiteY8" fmla="*/ 2989125 h 4894125"/>
            <a:gd name="connsiteX9" fmla="*/ 0 w 8563540"/>
            <a:gd name="connsiteY9" fmla="*/ 1084125 h 4894125"/>
            <a:gd name="connsiteX0" fmla="*/ 7074720 w 9069787"/>
            <a:gd name="connsiteY0" fmla="*/ 0 h 4894125"/>
            <a:gd name="connsiteX1" fmla="*/ 8422956 w 9069787"/>
            <a:gd name="connsiteY1" fmla="*/ 0 h 4894125"/>
            <a:gd name="connsiteX2" fmla="*/ 9069787 w 9069787"/>
            <a:gd name="connsiteY2" fmla="*/ 920408 h 4894125"/>
            <a:gd name="connsiteX3" fmla="*/ 2546822 w 9069787"/>
            <a:gd name="connsiteY3" fmla="*/ 4640125 h 4894125"/>
            <a:gd name="connsiteX4" fmla="*/ 1910117 w 9069787"/>
            <a:gd name="connsiteY4" fmla="*/ 4894125 h 4894125"/>
            <a:gd name="connsiteX5" fmla="*/ 1273411 w 9069787"/>
            <a:gd name="connsiteY5" fmla="*/ 4640125 h 4894125"/>
            <a:gd name="connsiteX6" fmla="*/ 1273411 w 9069787"/>
            <a:gd name="connsiteY6" fmla="*/ 3624125 h 4894125"/>
            <a:gd name="connsiteX7" fmla="*/ 636706 w 9069787"/>
            <a:gd name="connsiteY7" fmla="*/ 2989125 h 4894125"/>
            <a:gd name="connsiteX8" fmla="*/ 0 w 9069787"/>
            <a:gd name="connsiteY8" fmla="*/ 2989125 h 4894125"/>
            <a:gd name="connsiteX9" fmla="*/ 0 w 9069787"/>
            <a:gd name="connsiteY9" fmla="*/ 1084125 h 4894125"/>
            <a:gd name="connsiteX0" fmla="*/ 7074720 w 9069787"/>
            <a:gd name="connsiteY0" fmla="*/ 0 h 4894125"/>
            <a:gd name="connsiteX1" fmla="*/ 8422956 w 9069787"/>
            <a:gd name="connsiteY1" fmla="*/ 0 h 4894125"/>
            <a:gd name="connsiteX2" fmla="*/ 9069787 w 9069787"/>
            <a:gd name="connsiteY2" fmla="*/ 920408 h 4894125"/>
            <a:gd name="connsiteX3" fmla="*/ 9069784 w 9069787"/>
            <a:gd name="connsiteY3" fmla="*/ 2711196 h 4894125"/>
            <a:gd name="connsiteX4" fmla="*/ 1910117 w 9069787"/>
            <a:gd name="connsiteY4" fmla="*/ 4894125 h 4894125"/>
            <a:gd name="connsiteX5" fmla="*/ 1273411 w 9069787"/>
            <a:gd name="connsiteY5" fmla="*/ 4640125 h 4894125"/>
            <a:gd name="connsiteX6" fmla="*/ 1273411 w 9069787"/>
            <a:gd name="connsiteY6" fmla="*/ 3624125 h 4894125"/>
            <a:gd name="connsiteX7" fmla="*/ 636706 w 9069787"/>
            <a:gd name="connsiteY7" fmla="*/ 2989125 h 4894125"/>
            <a:gd name="connsiteX8" fmla="*/ 0 w 9069787"/>
            <a:gd name="connsiteY8" fmla="*/ 2989125 h 4894125"/>
            <a:gd name="connsiteX9" fmla="*/ 0 w 9069787"/>
            <a:gd name="connsiteY9" fmla="*/ 1084125 h 4894125"/>
            <a:gd name="connsiteX0" fmla="*/ 7074720 w 9069787"/>
            <a:gd name="connsiteY0" fmla="*/ 0 h 4640125"/>
            <a:gd name="connsiteX1" fmla="*/ 8422956 w 9069787"/>
            <a:gd name="connsiteY1" fmla="*/ 0 h 4640125"/>
            <a:gd name="connsiteX2" fmla="*/ 9069787 w 9069787"/>
            <a:gd name="connsiteY2" fmla="*/ 920408 h 4640125"/>
            <a:gd name="connsiteX3" fmla="*/ 9069784 w 9069787"/>
            <a:gd name="connsiteY3" fmla="*/ 2711196 h 4640125"/>
            <a:gd name="connsiteX4" fmla="*/ 9021272 w 9069787"/>
            <a:gd name="connsiteY4" fmla="*/ 3631604 h 4640125"/>
            <a:gd name="connsiteX5" fmla="*/ 1273411 w 9069787"/>
            <a:gd name="connsiteY5" fmla="*/ 4640125 h 4640125"/>
            <a:gd name="connsiteX6" fmla="*/ 1273411 w 9069787"/>
            <a:gd name="connsiteY6" fmla="*/ 3624125 h 4640125"/>
            <a:gd name="connsiteX7" fmla="*/ 636706 w 9069787"/>
            <a:gd name="connsiteY7" fmla="*/ 2989125 h 4640125"/>
            <a:gd name="connsiteX8" fmla="*/ 0 w 9069787"/>
            <a:gd name="connsiteY8" fmla="*/ 2989125 h 4640125"/>
            <a:gd name="connsiteX9" fmla="*/ 0 w 9069787"/>
            <a:gd name="connsiteY9" fmla="*/ 1084125 h 4640125"/>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1273411 w 9069787"/>
            <a:gd name="connsiteY6" fmla="*/ 3624125 h 3631604"/>
            <a:gd name="connsiteX7" fmla="*/ 636706 w 9069787"/>
            <a:gd name="connsiteY7" fmla="*/ 2989125 h 3631604"/>
            <a:gd name="connsiteX8" fmla="*/ 0 w 9069787"/>
            <a:gd name="connsiteY8" fmla="*/ 2989125 h 3631604"/>
            <a:gd name="connsiteX9" fmla="*/ 0 w 9069787"/>
            <a:gd name="connsiteY9" fmla="*/ 1084125 h 3631604"/>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8972760 w 9069787"/>
            <a:gd name="connsiteY6" fmla="*/ 1268206 h 3631604"/>
            <a:gd name="connsiteX7" fmla="*/ 636706 w 9069787"/>
            <a:gd name="connsiteY7" fmla="*/ 2989125 h 3631604"/>
            <a:gd name="connsiteX8" fmla="*/ 0 w 9069787"/>
            <a:gd name="connsiteY8" fmla="*/ 2989125 h 3631604"/>
            <a:gd name="connsiteX9" fmla="*/ 0 w 9069787"/>
            <a:gd name="connsiteY9" fmla="*/ 1084125 h 3631604"/>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8972760 w 9069787"/>
            <a:gd name="connsiteY6" fmla="*/ 1268206 h 3631604"/>
            <a:gd name="connsiteX7" fmla="*/ 636706 w 9069787"/>
            <a:gd name="connsiteY7" fmla="*/ 2989125 h 3631604"/>
            <a:gd name="connsiteX8" fmla="*/ 0 w 9069787"/>
            <a:gd name="connsiteY8" fmla="*/ 2989125 h 3631604"/>
            <a:gd name="connsiteX9" fmla="*/ 0 w 9069787"/>
            <a:gd name="connsiteY9" fmla="*/ 1084125 h 3631604"/>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8972760 w 9069787"/>
            <a:gd name="connsiteY6" fmla="*/ 1268206 h 3631604"/>
            <a:gd name="connsiteX7" fmla="*/ 636706 w 9069787"/>
            <a:gd name="connsiteY7" fmla="*/ 2989125 h 3631604"/>
            <a:gd name="connsiteX8" fmla="*/ 0 w 9069787"/>
            <a:gd name="connsiteY8" fmla="*/ 2989125 h 3631604"/>
            <a:gd name="connsiteX9" fmla="*/ 0 w 9069787"/>
            <a:gd name="connsiteY9" fmla="*/ 1084125 h 3631604"/>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8972760 w 9069787"/>
            <a:gd name="connsiteY6" fmla="*/ 1268206 h 3631604"/>
            <a:gd name="connsiteX7" fmla="*/ 8325928 w 9069787"/>
            <a:gd name="connsiteY7" fmla="*/ 347798 h 3631604"/>
            <a:gd name="connsiteX8" fmla="*/ 0 w 9069787"/>
            <a:gd name="connsiteY8" fmla="*/ 2989125 h 3631604"/>
            <a:gd name="connsiteX9" fmla="*/ 0 w 9069787"/>
            <a:gd name="connsiteY9" fmla="*/ 1084125 h 3631604"/>
            <a:gd name="connsiteX0" fmla="*/ 7074720 w 9069787"/>
            <a:gd name="connsiteY0" fmla="*/ 0 h 3631604"/>
            <a:gd name="connsiteX1" fmla="*/ 8422956 w 9069787"/>
            <a:gd name="connsiteY1" fmla="*/ 0 h 3631604"/>
            <a:gd name="connsiteX2" fmla="*/ 9069787 w 9069787"/>
            <a:gd name="connsiteY2" fmla="*/ 920408 h 3631604"/>
            <a:gd name="connsiteX3" fmla="*/ 9069784 w 9069787"/>
            <a:gd name="connsiteY3" fmla="*/ 2711196 h 3631604"/>
            <a:gd name="connsiteX4" fmla="*/ 9021272 w 9069787"/>
            <a:gd name="connsiteY4" fmla="*/ 3631604 h 3631604"/>
            <a:gd name="connsiteX5" fmla="*/ 8972760 w 9069787"/>
            <a:gd name="connsiteY5" fmla="*/ 2711196 h 3631604"/>
            <a:gd name="connsiteX6" fmla="*/ 8972760 w 9069787"/>
            <a:gd name="connsiteY6" fmla="*/ 1268206 h 3631604"/>
            <a:gd name="connsiteX7" fmla="*/ 8325928 w 9069787"/>
            <a:gd name="connsiteY7" fmla="*/ 347798 h 3631604"/>
            <a:gd name="connsiteX8" fmla="*/ 7074715 w 9069787"/>
            <a:gd name="connsiteY8" fmla="*/ 347798 h 3631604"/>
            <a:gd name="connsiteX9" fmla="*/ 0 w 9069787"/>
            <a:gd name="connsiteY9" fmla="*/ 1084125 h 3631604"/>
            <a:gd name="connsiteX0" fmla="*/ 5 w 1995072"/>
            <a:gd name="connsiteY0" fmla="*/ 0 h 3631604"/>
            <a:gd name="connsiteX1" fmla="*/ 1348241 w 1995072"/>
            <a:gd name="connsiteY1" fmla="*/ 0 h 3631604"/>
            <a:gd name="connsiteX2" fmla="*/ 1995072 w 1995072"/>
            <a:gd name="connsiteY2" fmla="*/ 920408 h 3631604"/>
            <a:gd name="connsiteX3" fmla="*/ 1995069 w 1995072"/>
            <a:gd name="connsiteY3" fmla="*/ 2711196 h 3631604"/>
            <a:gd name="connsiteX4" fmla="*/ 1946557 w 1995072"/>
            <a:gd name="connsiteY4" fmla="*/ 3631604 h 3631604"/>
            <a:gd name="connsiteX5" fmla="*/ 1898045 w 1995072"/>
            <a:gd name="connsiteY5" fmla="*/ 2711196 h 3631604"/>
            <a:gd name="connsiteX6" fmla="*/ 1898045 w 1995072"/>
            <a:gd name="connsiteY6" fmla="*/ 1268206 h 3631604"/>
            <a:gd name="connsiteX7" fmla="*/ 1251213 w 1995072"/>
            <a:gd name="connsiteY7" fmla="*/ 347798 h 3631604"/>
            <a:gd name="connsiteX8" fmla="*/ 0 w 1995072"/>
            <a:gd name="connsiteY8" fmla="*/ 347798 h 3631604"/>
            <a:gd name="connsiteX9" fmla="*/ 0 w 1995072"/>
            <a:gd name="connsiteY9" fmla="*/ 0 h 363160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995072" h="3631604">
              <a:moveTo>
                <a:pt x="5" y="0"/>
              </a:moveTo>
              <a:lnTo>
                <a:pt x="1348241" y="0"/>
              </a:lnTo>
              <a:cubicBezTo>
                <a:pt x="1671657" y="0"/>
                <a:pt x="1995072" y="460204"/>
                <a:pt x="1995072" y="920408"/>
              </a:cubicBezTo>
              <a:lnTo>
                <a:pt x="1995069" y="2711196"/>
              </a:lnTo>
              <a:lnTo>
                <a:pt x="1946557" y="3631604"/>
              </a:lnTo>
              <a:lnTo>
                <a:pt x="1898045" y="2711196"/>
              </a:lnTo>
              <a:lnTo>
                <a:pt x="1898045" y="1268206"/>
              </a:lnTo>
              <a:cubicBezTo>
                <a:pt x="1898045" y="808002"/>
                <a:pt x="1574629" y="347798"/>
                <a:pt x="1251213" y="347798"/>
              </a:cubicBezTo>
              <a:lnTo>
                <a:pt x="0" y="347798"/>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228600</xdr:colOff>
      <xdr:row>33</xdr:row>
      <xdr:rowOff>123966</xdr:rowOff>
    </xdr:from>
    <xdr:to>
      <xdr:col>10</xdr:col>
      <xdr:colOff>402431</xdr:colOff>
      <xdr:row>39</xdr:row>
      <xdr:rowOff>31749</xdr:rowOff>
    </xdr:to>
    <xdr:sp macro="" textlink="">
      <xdr:nvSpPr>
        <xdr:cNvPr id="95" name="Arrow $P$110">
          <a:extLst>
            <a:ext uri="{FF2B5EF4-FFF2-40B4-BE49-F238E27FC236}">
              <a16:creationId xmlns:a16="http://schemas.microsoft.com/office/drawing/2014/main" id="{00000000-0008-0000-0400-000006000000}"/>
            </a:ext>
          </a:extLst>
        </xdr:cNvPr>
        <xdr:cNvSpPr/>
      </xdr:nvSpPr>
      <xdr:spPr>
        <a:xfrm>
          <a:off x="5715000" y="5438916"/>
          <a:ext cx="783431" cy="1012683"/>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7102159 w 7102159"/>
            <a:gd name="connsiteY0" fmla="*/ 0 h 4159174"/>
            <a:gd name="connsiteX1" fmla="*/ 1273411 w 7102159"/>
            <a:gd name="connsiteY1" fmla="*/ 349174 h 4159174"/>
            <a:gd name="connsiteX2" fmla="*/ 2546822 w 7102159"/>
            <a:gd name="connsiteY2" fmla="*/ 1619174 h 4159174"/>
            <a:gd name="connsiteX3" fmla="*/ 2546822 w 7102159"/>
            <a:gd name="connsiteY3" fmla="*/ 3905174 h 4159174"/>
            <a:gd name="connsiteX4" fmla="*/ 1910117 w 7102159"/>
            <a:gd name="connsiteY4" fmla="*/ 4159174 h 4159174"/>
            <a:gd name="connsiteX5" fmla="*/ 1273411 w 7102159"/>
            <a:gd name="connsiteY5" fmla="*/ 3905174 h 4159174"/>
            <a:gd name="connsiteX6" fmla="*/ 1273411 w 7102159"/>
            <a:gd name="connsiteY6" fmla="*/ 2889174 h 4159174"/>
            <a:gd name="connsiteX7" fmla="*/ 636706 w 7102159"/>
            <a:gd name="connsiteY7" fmla="*/ 2254174 h 4159174"/>
            <a:gd name="connsiteX8" fmla="*/ 0 w 7102159"/>
            <a:gd name="connsiteY8" fmla="*/ 2254174 h 4159174"/>
            <a:gd name="connsiteX9" fmla="*/ 0 w 7102159"/>
            <a:gd name="connsiteY9" fmla="*/ 349174 h 4159174"/>
            <a:gd name="connsiteX0" fmla="*/ 7102159 w 8452540"/>
            <a:gd name="connsiteY0" fmla="*/ 0 h 4159174"/>
            <a:gd name="connsiteX1" fmla="*/ 8452540 w 8452540"/>
            <a:gd name="connsiteY1" fmla="*/ 0 h 4159174"/>
            <a:gd name="connsiteX2" fmla="*/ 2546822 w 8452540"/>
            <a:gd name="connsiteY2" fmla="*/ 1619174 h 4159174"/>
            <a:gd name="connsiteX3" fmla="*/ 2546822 w 8452540"/>
            <a:gd name="connsiteY3" fmla="*/ 3905174 h 4159174"/>
            <a:gd name="connsiteX4" fmla="*/ 1910117 w 8452540"/>
            <a:gd name="connsiteY4" fmla="*/ 4159174 h 4159174"/>
            <a:gd name="connsiteX5" fmla="*/ 1273411 w 8452540"/>
            <a:gd name="connsiteY5" fmla="*/ 3905174 h 4159174"/>
            <a:gd name="connsiteX6" fmla="*/ 1273411 w 8452540"/>
            <a:gd name="connsiteY6" fmla="*/ 2889174 h 4159174"/>
            <a:gd name="connsiteX7" fmla="*/ 636706 w 8452540"/>
            <a:gd name="connsiteY7" fmla="*/ 2254174 h 4159174"/>
            <a:gd name="connsiteX8" fmla="*/ 0 w 8452540"/>
            <a:gd name="connsiteY8" fmla="*/ 2254174 h 4159174"/>
            <a:gd name="connsiteX9" fmla="*/ 0 w 8452540"/>
            <a:gd name="connsiteY9" fmla="*/ 349174 h 4159174"/>
            <a:gd name="connsiteX0" fmla="*/ 7102159 w 8464747"/>
            <a:gd name="connsiteY0" fmla="*/ 0 h 4159174"/>
            <a:gd name="connsiteX1" fmla="*/ 8452540 w 8464747"/>
            <a:gd name="connsiteY1" fmla="*/ 0 h 4159174"/>
            <a:gd name="connsiteX2" fmla="*/ 2546822 w 8464747"/>
            <a:gd name="connsiteY2" fmla="*/ 1619174 h 4159174"/>
            <a:gd name="connsiteX3" fmla="*/ 2546822 w 8464747"/>
            <a:gd name="connsiteY3" fmla="*/ 3905174 h 4159174"/>
            <a:gd name="connsiteX4" fmla="*/ 1910117 w 8464747"/>
            <a:gd name="connsiteY4" fmla="*/ 4159174 h 4159174"/>
            <a:gd name="connsiteX5" fmla="*/ 1273411 w 8464747"/>
            <a:gd name="connsiteY5" fmla="*/ 3905174 h 4159174"/>
            <a:gd name="connsiteX6" fmla="*/ 1273411 w 8464747"/>
            <a:gd name="connsiteY6" fmla="*/ 2889174 h 4159174"/>
            <a:gd name="connsiteX7" fmla="*/ 636706 w 8464747"/>
            <a:gd name="connsiteY7" fmla="*/ 2254174 h 4159174"/>
            <a:gd name="connsiteX8" fmla="*/ 0 w 8464747"/>
            <a:gd name="connsiteY8" fmla="*/ 2254174 h 4159174"/>
            <a:gd name="connsiteX9" fmla="*/ 0 w 8464747"/>
            <a:gd name="connsiteY9" fmla="*/ 349174 h 4159174"/>
            <a:gd name="connsiteX0" fmla="*/ 7102159 w 8593140"/>
            <a:gd name="connsiteY0" fmla="*/ 0 h 4159174"/>
            <a:gd name="connsiteX1" fmla="*/ 8452540 w 8593140"/>
            <a:gd name="connsiteY1" fmla="*/ 0 h 4159174"/>
            <a:gd name="connsiteX2" fmla="*/ 2546822 w 8593140"/>
            <a:gd name="connsiteY2" fmla="*/ 1619174 h 4159174"/>
            <a:gd name="connsiteX3" fmla="*/ 2546822 w 8593140"/>
            <a:gd name="connsiteY3" fmla="*/ 3905174 h 4159174"/>
            <a:gd name="connsiteX4" fmla="*/ 1910117 w 8593140"/>
            <a:gd name="connsiteY4" fmla="*/ 4159174 h 4159174"/>
            <a:gd name="connsiteX5" fmla="*/ 1273411 w 8593140"/>
            <a:gd name="connsiteY5" fmla="*/ 3905174 h 4159174"/>
            <a:gd name="connsiteX6" fmla="*/ 1273411 w 8593140"/>
            <a:gd name="connsiteY6" fmla="*/ 2889174 h 4159174"/>
            <a:gd name="connsiteX7" fmla="*/ 636706 w 8593140"/>
            <a:gd name="connsiteY7" fmla="*/ 2254174 h 4159174"/>
            <a:gd name="connsiteX8" fmla="*/ 0 w 8593140"/>
            <a:gd name="connsiteY8" fmla="*/ 2254174 h 4159174"/>
            <a:gd name="connsiteX9" fmla="*/ 0 w 8593140"/>
            <a:gd name="connsiteY9" fmla="*/ 349174 h 4159174"/>
            <a:gd name="connsiteX0" fmla="*/ 7102159 w 9100396"/>
            <a:gd name="connsiteY0" fmla="*/ 0 h 4159174"/>
            <a:gd name="connsiteX1" fmla="*/ 8452540 w 9100396"/>
            <a:gd name="connsiteY1" fmla="*/ 0 h 4159174"/>
            <a:gd name="connsiteX2" fmla="*/ 9100396 w 9100396"/>
            <a:gd name="connsiteY2" fmla="*/ 921800 h 4159174"/>
            <a:gd name="connsiteX3" fmla="*/ 2546822 w 9100396"/>
            <a:gd name="connsiteY3" fmla="*/ 3905174 h 4159174"/>
            <a:gd name="connsiteX4" fmla="*/ 1910117 w 9100396"/>
            <a:gd name="connsiteY4" fmla="*/ 4159174 h 4159174"/>
            <a:gd name="connsiteX5" fmla="*/ 1273411 w 9100396"/>
            <a:gd name="connsiteY5" fmla="*/ 3905174 h 4159174"/>
            <a:gd name="connsiteX6" fmla="*/ 1273411 w 9100396"/>
            <a:gd name="connsiteY6" fmla="*/ 2889174 h 4159174"/>
            <a:gd name="connsiteX7" fmla="*/ 636706 w 9100396"/>
            <a:gd name="connsiteY7" fmla="*/ 2254174 h 4159174"/>
            <a:gd name="connsiteX8" fmla="*/ 0 w 9100396"/>
            <a:gd name="connsiteY8" fmla="*/ 2254174 h 4159174"/>
            <a:gd name="connsiteX9" fmla="*/ 0 w 9100396"/>
            <a:gd name="connsiteY9" fmla="*/ 349174 h 4159174"/>
            <a:gd name="connsiteX0" fmla="*/ 7102159 w 9100396"/>
            <a:gd name="connsiteY0" fmla="*/ 0 h 4159174"/>
            <a:gd name="connsiteX1" fmla="*/ 8452540 w 9100396"/>
            <a:gd name="connsiteY1" fmla="*/ 0 h 4159174"/>
            <a:gd name="connsiteX2" fmla="*/ 9100396 w 9100396"/>
            <a:gd name="connsiteY2" fmla="*/ 921800 h 4159174"/>
            <a:gd name="connsiteX3" fmla="*/ 9100396 w 9100396"/>
            <a:gd name="connsiteY3" fmla="*/ 2753363 h 4159174"/>
            <a:gd name="connsiteX4" fmla="*/ 1910117 w 9100396"/>
            <a:gd name="connsiteY4" fmla="*/ 4159174 h 4159174"/>
            <a:gd name="connsiteX5" fmla="*/ 1273411 w 9100396"/>
            <a:gd name="connsiteY5" fmla="*/ 3905174 h 4159174"/>
            <a:gd name="connsiteX6" fmla="*/ 1273411 w 9100396"/>
            <a:gd name="connsiteY6" fmla="*/ 2889174 h 4159174"/>
            <a:gd name="connsiteX7" fmla="*/ 636706 w 9100396"/>
            <a:gd name="connsiteY7" fmla="*/ 2254174 h 4159174"/>
            <a:gd name="connsiteX8" fmla="*/ 0 w 9100396"/>
            <a:gd name="connsiteY8" fmla="*/ 2254174 h 4159174"/>
            <a:gd name="connsiteX9" fmla="*/ 0 w 9100396"/>
            <a:gd name="connsiteY9" fmla="*/ 349174 h 4159174"/>
            <a:gd name="connsiteX0" fmla="*/ 7102159 w 9100396"/>
            <a:gd name="connsiteY0" fmla="*/ 0 h 3905174"/>
            <a:gd name="connsiteX1" fmla="*/ 8452540 w 9100396"/>
            <a:gd name="connsiteY1" fmla="*/ 0 h 3905174"/>
            <a:gd name="connsiteX2" fmla="*/ 9100396 w 9100396"/>
            <a:gd name="connsiteY2" fmla="*/ 921800 h 3905174"/>
            <a:gd name="connsiteX3" fmla="*/ 9100396 w 9100396"/>
            <a:gd name="connsiteY3" fmla="*/ 2753363 h 3905174"/>
            <a:gd name="connsiteX4" fmla="*/ 9051807 w 9100396"/>
            <a:gd name="connsiteY4" fmla="*/ 3675163 h 3905174"/>
            <a:gd name="connsiteX5" fmla="*/ 1273411 w 9100396"/>
            <a:gd name="connsiteY5" fmla="*/ 3905174 h 3905174"/>
            <a:gd name="connsiteX6" fmla="*/ 1273411 w 9100396"/>
            <a:gd name="connsiteY6" fmla="*/ 2889174 h 3905174"/>
            <a:gd name="connsiteX7" fmla="*/ 636706 w 9100396"/>
            <a:gd name="connsiteY7" fmla="*/ 2254174 h 3905174"/>
            <a:gd name="connsiteX8" fmla="*/ 0 w 9100396"/>
            <a:gd name="connsiteY8" fmla="*/ 2254174 h 3905174"/>
            <a:gd name="connsiteX9" fmla="*/ 0 w 9100396"/>
            <a:gd name="connsiteY9" fmla="*/ 349174 h 3905174"/>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1273411 w 9100396"/>
            <a:gd name="connsiteY6" fmla="*/ 2889174 h 3675163"/>
            <a:gd name="connsiteX7" fmla="*/ 636706 w 9100396"/>
            <a:gd name="connsiteY7" fmla="*/ 2254174 h 3675163"/>
            <a:gd name="connsiteX8" fmla="*/ 0 w 9100396"/>
            <a:gd name="connsiteY8" fmla="*/ 2254174 h 3675163"/>
            <a:gd name="connsiteX9" fmla="*/ 0 w 9100396"/>
            <a:gd name="connsiteY9" fmla="*/ 349174 h 3675163"/>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9003217 w 9100396"/>
            <a:gd name="connsiteY6" fmla="*/ 1013984 h 3675163"/>
            <a:gd name="connsiteX7" fmla="*/ 636706 w 9100396"/>
            <a:gd name="connsiteY7" fmla="*/ 2254174 h 3675163"/>
            <a:gd name="connsiteX8" fmla="*/ 0 w 9100396"/>
            <a:gd name="connsiteY8" fmla="*/ 2254174 h 3675163"/>
            <a:gd name="connsiteX9" fmla="*/ 0 w 9100396"/>
            <a:gd name="connsiteY9" fmla="*/ 349174 h 3675163"/>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9003217 w 9100396"/>
            <a:gd name="connsiteY6" fmla="*/ 1013984 h 3675163"/>
            <a:gd name="connsiteX7" fmla="*/ 636706 w 9100396"/>
            <a:gd name="connsiteY7" fmla="*/ 2254174 h 3675163"/>
            <a:gd name="connsiteX8" fmla="*/ 0 w 9100396"/>
            <a:gd name="connsiteY8" fmla="*/ 2254174 h 3675163"/>
            <a:gd name="connsiteX9" fmla="*/ 0 w 9100396"/>
            <a:gd name="connsiteY9" fmla="*/ 349174 h 3675163"/>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9003217 w 9100396"/>
            <a:gd name="connsiteY6" fmla="*/ 1013984 h 3675163"/>
            <a:gd name="connsiteX7" fmla="*/ 636706 w 9100396"/>
            <a:gd name="connsiteY7" fmla="*/ 2254174 h 3675163"/>
            <a:gd name="connsiteX8" fmla="*/ 0 w 9100396"/>
            <a:gd name="connsiteY8" fmla="*/ 2254174 h 3675163"/>
            <a:gd name="connsiteX9" fmla="*/ 0 w 9100396"/>
            <a:gd name="connsiteY9" fmla="*/ 349174 h 3675163"/>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9003217 w 9100396"/>
            <a:gd name="connsiteY6" fmla="*/ 1013984 h 3675163"/>
            <a:gd name="connsiteX7" fmla="*/ 8355358 w 9100396"/>
            <a:gd name="connsiteY7" fmla="*/ 92184 h 3675163"/>
            <a:gd name="connsiteX8" fmla="*/ 0 w 9100396"/>
            <a:gd name="connsiteY8" fmla="*/ 2254174 h 3675163"/>
            <a:gd name="connsiteX9" fmla="*/ 0 w 9100396"/>
            <a:gd name="connsiteY9" fmla="*/ 349174 h 3675163"/>
            <a:gd name="connsiteX0" fmla="*/ 7102159 w 9100396"/>
            <a:gd name="connsiteY0" fmla="*/ 0 h 3675163"/>
            <a:gd name="connsiteX1" fmla="*/ 8452540 w 9100396"/>
            <a:gd name="connsiteY1" fmla="*/ 0 h 3675163"/>
            <a:gd name="connsiteX2" fmla="*/ 9100396 w 9100396"/>
            <a:gd name="connsiteY2" fmla="*/ 921800 h 3675163"/>
            <a:gd name="connsiteX3" fmla="*/ 9100396 w 9100396"/>
            <a:gd name="connsiteY3" fmla="*/ 2753363 h 3675163"/>
            <a:gd name="connsiteX4" fmla="*/ 9051807 w 9100396"/>
            <a:gd name="connsiteY4" fmla="*/ 3675163 h 3675163"/>
            <a:gd name="connsiteX5" fmla="*/ 9003217 w 9100396"/>
            <a:gd name="connsiteY5" fmla="*/ 2753363 h 3675163"/>
            <a:gd name="connsiteX6" fmla="*/ 9003217 w 9100396"/>
            <a:gd name="connsiteY6" fmla="*/ 1013984 h 3675163"/>
            <a:gd name="connsiteX7" fmla="*/ 8355358 w 9100396"/>
            <a:gd name="connsiteY7" fmla="*/ 92184 h 3675163"/>
            <a:gd name="connsiteX8" fmla="*/ 7102155 w 9100396"/>
            <a:gd name="connsiteY8" fmla="*/ 92184 h 3675163"/>
            <a:gd name="connsiteX9" fmla="*/ 0 w 9100396"/>
            <a:gd name="connsiteY9" fmla="*/ 349174 h 3675163"/>
            <a:gd name="connsiteX0" fmla="*/ 4 w 1998241"/>
            <a:gd name="connsiteY0" fmla="*/ 0 h 3675163"/>
            <a:gd name="connsiteX1" fmla="*/ 1350385 w 1998241"/>
            <a:gd name="connsiteY1" fmla="*/ 0 h 3675163"/>
            <a:gd name="connsiteX2" fmla="*/ 1998241 w 1998241"/>
            <a:gd name="connsiteY2" fmla="*/ 921800 h 3675163"/>
            <a:gd name="connsiteX3" fmla="*/ 1998241 w 1998241"/>
            <a:gd name="connsiteY3" fmla="*/ 2753363 h 3675163"/>
            <a:gd name="connsiteX4" fmla="*/ 1949652 w 1998241"/>
            <a:gd name="connsiteY4" fmla="*/ 3675163 h 3675163"/>
            <a:gd name="connsiteX5" fmla="*/ 1901062 w 1998241"/>
            <a:gd name="connsiteY5" fmla="*/ 2753363 h 3675163"/>
            <a:gd name="connsiteX6" fmla="*/ 1901062 w 1998241"/>
            <a:gd name="connsiteY6" fmla="*/ 1013984 h 3675163"/>
            <a:gd name="connsiteX7" fmla="*/ 1253203 w 1998241"/>
            <a:gd name="connsiteY7" fmla="*/ 92184 h 3675163"/>
            <a:gd name="connsiteX8" fmla="*/ 0 w 1998241"/>
            <a:gd name="connsiteY8" fmla="*/ 92184 h 3675163"/>
            <a:gd name="connsiteX9" fmla="*/ 0 w 1998241"/>
            <a:gd name="connsiteY9" fmla="*/ 4 h 367516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998241" h="3675163">
              <a:moveTo>
                <a:pt x="4" y="0"/>
              </a:moveTo>
              <a:lnTo>
                <a:pt x="1350385" y="0"/>
              </a:lnTo>
              <a:cubicBezTo>
                <a:pt x="1674312" y="0"/>
                <a:pt x="1998242" y="460900"/>
                <a:pt x="1998241" y="921800"/>
              </a:cubicBezTo>
              <a:lnTo>
                <a:pt x="1998241" y="2753363"/>
              </a:lnTo>
              <a:lnTo>
                <a:pt x="1949652" y="3675163"/>
              </a:lnTo>
              <a:lnTo>
                <a:pt x="1901062" y="2753363"/>
              </a:lnTo>
              <a:lnTo>
                <a:pt x="1901062" y="1013984"/>
              </a:lnTo>
              <a:cubicBezTo>
                <a:pt x="1901062" y="553084"/>
                <a:pt x="1577132" y="92184"/>
                <a:pt x="1253203" y="92184"/>
              </a:cubicBezTo>
              <a:lnTo>
                <a:pt x="0" y="92184"/>
              </a:lnTo>
              <a:lnTo>
                <a:pt x="0" y="4"/>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11</xdr:col>
      <xdr:colOff>398463</xdr:colOff>
      <xdr:row>30</xdr:row>
      <xdr:rowOff>152217</xdr:rowOff>
    </xdr:from>
    <xdr:to>
      <xdr:col>12</xdr:col>
      <xdr:colOff>543499</xdr:colOff>
      <xdr:row>39</xdr:row>
      <xdr:rowOff>31749</xdr:rowOff>
    </xdr:to>
    <xdr:sp macro="" textlink="">
      <xdr:nvSpPr>
        <xdr:cNvPr id="96" name="Arrow $R$108">
          <a:extLst>
            <a:ext uri="{FF2B5EF4-FFF2-40B4-BE49-F238E27FC236}">
              <a16:creationId xmlns:a16="http://schemas.microsoft.com/office/drawing/2014/main" id="{00000000-0008-0000-0400-000006000000}"/>
            </a:ext>
          </a:extLst>
        </xdr:cNvPr>
        <xdr:cNvSpPr/>
      </xdr:nvSpPr>
      <xdr:spPr>
        <a:xfrm>
          <a:off x="7104063" y="4914717"/>
          <a:ext cx="754636" cy="1536882"/>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573742 w 3573742"/>
            <a:gd name="connsiteY0" fmla="*/ 0 h 6023493"/>
            <a:gd name="connsiteX1" fmla="*/ 1273411 w 3573742"/>
            <a:gd name="connsiteY1" fmla="*/ 2213493 h 6023493"/>
            <a:gd name="connsiteX2" fmla="*/ 2546822 w 3573742"/>
            <a:gd name="connsiteY2" fmla="*/ 3483493 h 6023493"/>
            <a:gd name="connsiteX3" fmla="*/ 2546822 w 3573742"/>
            <a:gd name="connsiteY3" fmla="*/ 5769493 h 6023493"/>
            <a:gd name="connsiteX4" fmla="*/ 1910117 w 3573742"/>
            <a:gd name="connsiteY4" fmla="*/ 6023493 h 6023493"/>
            <a:gd name="connsiteX5" fmla="*/ 1273411 w 3573742"/>
            <a:gd name="connsiteY5" fmla="*/ 5769493 h 6023493"/>
            <a:gd name="connsiteX6" fmla="*/ 1273411 w 3573742"/>
            <a:gd name="connsiteY6" fmla="*/ 4753493 h 6023493"/>
            <a:gd name="connsiteX7" fmla="*/ 636706 w 3573742"/>
            <a:gd name="connsiteY7" fmla="*/ 4118493 h 6023493"/>
            <a:gd name="connsiteX8" fmla="*/ 0 w 3573742"/>
            <a:gd name="connsiteY8" fmla="*/ 4118493 h 6023493"/>
            <a:gd name="connsiteX9" fmla="*/ 0 w 3573742"/>
            <a:gd name="connsiteY9" fmla="*/ 2213493 h 6023493"/>
            <a:gd name="connsiteX0" fmla="*/ 3573742 w 4848650"/>
            <a:gd name="connsiteY0" fmla="*/ 0 h 6023493"/>
            <a:gd name="connsiteX1" fmla="*/ 4848650 w 4848650"/>
            <a:gd name="connsiteY1" fmla="*/ 0 h 6023493"/>
            <a:gd name="connsiteX2" fmla="*/ 2546822 w 4848650"/>
            <a:gd name="connsiteY2" fmla="*/ 3483493 h 6023493"/>
            <a:gd name="connsiteX3" fmla="*/ 2546822 w 4848650"/>
            <a:gd name="connsiteY3" fmla="*/ 5769493 h 6023493"/>
            <a:gd name="connsiteX4" fmla="*/ 1910117 w 4848650"/>
            <a:gd name="connsiteY4" fmla="*/ 6023493 h 6023493"/>
            <a:gd name="connsiteX5" fmla="*/ 1273411 w 4848650"/>
            <a:gd name="connsiteY5" fmla="*/ 5769493 h 6023493"/>
            <a:gd name="connsiteX6" fmla="*/ 1273411 w 4848650"/>
            <a:gd name="connsiteY6" fmla="*/ 4753493 h 6023493"/>
            <a:gd name="connsiteX7" fmla="*/ 636706 w 4848650"/>
            <a:gd name="connsiteY7" fmla="*/ 4118493 h 6023493"/>
            <a:gd name="connsiteX8" fmla="*/ 0 w 4848650"/>
            <a:gd name="connsiteY8" fmla="*/ 4118493 h 6023493"/>
            <a:gd name="connsiteX9" fmla="*/ 0 w 4848650"/>
            <a:gd name="connsiteY9" fmla="*/ 2213493 h 6023493"/>
            <a:gd name="connsiteX0" fmla="*/ 3573742 w 4876252"/>
            <a:gd name="connsiteY0" fmla="*/ 0 h 6023493"/>
            <a:gd name="connsiteX1" fmla="*/ 4848650 w 4876252"/>
            <a:gd name="connsiteY1" fmla="*/ 0 h 6023493"/>
            <a:gd name="connsiteX2" fmla="*/ 2546822 w 4876252"/>
            <a:gd name="connsiteY2" fmla="*/ 3483493 h 6023493"/>
            <a:gd name="connsiteX3" fmla="*/ 2546822 w 4876252"/>
            <a:gd name="connsiteY3" fmla="*/ 5769493 h 6023493"/>
            <a:gd name="connsiteX4" fmla="*/ 1910117 w 4876252"/>
            <a:gd name="connsiteY4" fmla="*/ 6023493 h 6023493"/>
            <a:gd name="connsiteX5" fmla="*/ 1273411 w 4876252"/>
            <a:gd name="connsiteY5" fmla="*/ 5769493 h 6023493"/>
            <a:gd name="connsiteX6" fmla="*/ 1273411 w 4876252"/>
            <a:gd name="connsiteY6" fmla="*/ 4753493 h 6023493"/>
            <a:gd name="connsiteX7" fmla="*/ 636706 w 4876252"/>
            <a:gd name="connsiteY7" fmla="*/ 4118493 h 6023493"/>
            <a:gd name="connsiteX8" fmla="*/ 0 w 4876252"/>
            <a:gd name="connsiteY8" fmla="*/ 4118493 h 6023493"/>
            <a:gd name="connsiteX9" fmla="*/ 0 w 4876252"/>
            <a:gd name="connsiteY9" fmla="*/ 2213493 h 6023493"/>
            <a:gd name="connsiteX0" fmla="*/ 3573742 w 5052007"/>
            <a:gd name="connsiteY0" fmla="*/ 0 h 6023493"/>
            <a:gd name="connsiteX1" fmla="*/ 4848650 w 5052007"/>
            <a:gd name="connsiteY1" fmla="*/ 0 h 6023493"/>
            <a:gd name="connsiteX2" fmla="*/ 2546822 w 5052007"/>
            <a:gd name="connsiteY2" fmla="*/ 3483493 h 6023493"/>
            <a:gd name="connsiteX3" fmla="*/ 2546822 w 5052007"/>
            <a:gd name="connsiteY3" fmla="*/ 5769493 h 6023493"/>
            <a:gd name="connsiteX4" fmla="*/ 1910117 w 5052007"/>
            <a:gd name="connsiteY4" fmla="*/ 6023493 h 6023493"/>
            <a:gd name="connsiteX5" fmla="*/ 1273411 w 5052007"/>
            <a:gd name="connsiteY5" fmla="*/ 5769493 h 6023493"/>
            <a:gd name="connsiteX6" fmla="*/ 1273411 w 5052007"/>
            <a:gd name="connsiteY6" fmla="*/ 4753493 h 6023493"/>
            <a:gd name="connsiteX7" fmla="*/ 636706 w 5052007"/>
            <a:gd name="connsiteY7" fmla="*/ 4118493 h 6023493"/>
            <a:gd name="connsiteX8" fmla="*/ 0 w 5052007"/>
            <a:gd name="connsiteY8" fmla="*/ 4118493 h 6023493"/>
            <a:gd name="connsiteX9" fmla="*/ 0 w 5052007"/>
            <a:gd name="connsiteY9" fmla="*/ 2213493 h 6023493"/>
            <a:gd name="connsiteX0" fmla="*/ 3573742 w 5495478"/>
            <a:gd name="connsiteY0" fmla="*/ 0 h 6023493"/>
            <a:gd name="connsiteX1" fmla="*/ 4848650 w 5495478"/>
            <a:gd name="connsiteY1" fmla="*/ 0 h 6023493"/>
            <a:gd name="connsiteX2" fmla="*/ 5495478 w 5495478"/>
            <a:gd name="connsiteY2" fmla="*/ 921800 h 6023493"/>
            <a:gd name="connsiteX3" fmla="*/ 2546822 w 5495478"/>
            <a:gd name="connsiteY3" fmla="*/ 5769493 h 6023493"/>
            <a:gd name="connsiteX4" fmla="*/ 1910117 w 5495478"/>
            <a:gd name="connsiteY4" fmla="*/ 6023493 h 6023493"/>
            <a:gd name="connsiteX5" fmla="*/ 1273411 w 5495478"/>
            <a:gd name="connsiteY5" fmla="*/ 5769493 h 6023493"/>
            <a:gd name="connsiteX6" fmla="*/ 1273411 w 5495478"/>
            <a:gd name="connsiteY6" fmla="*/ 4753493 h 6023493"/>
            <a:gd name="connsiteX7" fmla="*/ 636706 w 5495478"/>
            <a:gd name="connsiteY7" fmla="*/ 4118493 h 6023493"/>
            <a:gd name="connsiteX8" fmla="*/ 0 w 5495478"/>
            <a:gd name="connsiteY8" fmla="*/ 4118493 h 6023493"/>
            <a:gd name="connsiteX9" fmla="*/ 0 w 5495478"/>
            <a:gd name="connsiteY9" fmla="*/ 2213493 h 6023493"/>
            <a:gd name="connsiteX0" fmla="*/ 3573742 w 5495478"/>
            <a:gd name="connsiteY0" fmla="*/ 0 h 6023493"/>
            <a:gd name="connsiteX1" fmla="*/ 4848650 w 5495478"/>
            <a:gd name="connsiteY1" fmla="*/ 0 h 6023493"/>
            <a:gd name="connsiteX2" fmla="*/ 5495478 w 5495478"/>
            <a:gd name="connsiteY2" fmla="*/ 921800 h 6023493"/>
            <a:gd name="connsiteX3" fmla="*/ 5495478 w 5495478"/>
            <a:gd name="connsiteY3" fmla="*/ 4655752 h 6023493"/>
            <a:gd name="connsiteX4" fmla="*/ 1910117 w 5495478"/>
            <a:gd name="connsiteY4" fmla="*/ 6023493 h 6023493"/>
            <a:gd name="connsiteX5" fmla="*/ 1273411 w 5495478"/>
            <a:gd name="connsiteY5" fmla="*/ 5769493 h 6023493"/>
            <a:gd name="connsiteX6" fmla="*/ 1273411 w 5495478"/>
            <a:gd name="connsiteY6" fmla="*/ 4753493 h 6023493"/>
            <a:gd name="connsiteX7" fmla="*/ 636706 w 5495478"/>
            <a:gd name="connsiteY7" fmla="*/ 4118493 h 6023493"/>
            <a:gd name="connsiteX8" fmla="*/ 0 w 5495478"/>
            <a:gd name="connsiteY8" fmla="*/ 4118493 h 6023493"/>
            <a:gd name="connsiteX9" fmla="*/ 0 w 5495478"/>
            <a:gd name="connsiteY9" fmla="*/ 2213493 h 6023493"/>
            <a:gd name="connsiteX0" fmla="*/ 3573742 w 5495478"/>
            <a:gd name="connsiteY0" fmla="*/ 0 h 5769493"/>
            <a:gd name="connsiteX1" fmla="*/ 4848650 w 5495478"/>
            <a:gd name="connsiteY1" fmla="*/ 0 h 5769493"/>
            <a:gd name="connsiteX2" fmla="*/ 5495478 w 5495478"/>
            <a:gd name="connsiteY2" fmla="*/ 921800 h 5769493"/>
            <a:gd name="connsiteX3" fmla="*/ 5495478 w 5495478"/>
            <a:gd name="connsiteY3" fmla="*/ 4655752 h 5769493"/>
            <a:gd name="connsiteX4" fmla="*/ 5402777 w 5495478"/>
            <a:gd name="connsiteY4" fmla="*/ 5577552 h 5769493"/>
            <a:gd name="connsiteX5" fmla="*/ 1273411 w 5495478"/>
            <a:gd name="connsiteY5" fmla="*/ 5769493 h 5769493"/>
            <a:gd name="connsiteX6" fmla="*/ 1273411 w 5495478"/>
            <a:gd name="connsiteY6" fmla="*/ 4753493 h 5769493"/>
            <a:gd name="connsiteX7" fmla="*/ 636706 w 5495478"/>
            <a:gd name="connsiteY7" fmla="*/ 4118493 h 5769493"/>
            <a:gd name="connsiteX8" fmla="*/ 0 w 5495478"/>
            <a:gd name="connsiteY8" fmla="*/ 4118493 h 5769493"/>
            <a:gd name="connsiteX9" fmla="*/ 0 w 5495478"/>
            <a:gd name="connsiteY9" fmla="*/ 2213493 h 5769493"/>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1273411 w 5495478"/>
            <a:gd name="connsiteY6" fmla="*/ 4753493 h 5577552"/>
            <a:gd name="connsiteX7" fmla="*/ 636706 w 5495478"/>
            <a:gd name="connsiteY7" fmla="*/ 4118493 h 5577552"/>
            <a:gd name="connsiteX8" fmla="*/ 0 w 5495478"/>
            <a:gd name="connsiteY8" fmla="*/ 4118493 h 5577552"/>
            <a:gd name="connsiteX9" fmla="*/ 0 w 5495478"/>
            <a:gd name="connsiteY9" fmla="*/ 2213493 h 5577552"/>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5310074 w 5495478"/>
            <a:gd name="connsiteY6" fmla="*/ 2778103 h 5577552"/>
            <a:gd name="connsiteX7" fmla="*/ 636706 w 5495478"/>
            <a:gd name="connsiteY7" fmla="*/ 4118493 h 5577552"/>
            <a:gd name="connsiteX8" fmla="*/ 0 w 5495478"/>
            <a:gd name="connsiteY8" fmla="*/ 4118493 h 5577552"/>
            <a:gd name="connsiteX9" fmla="*/ 0 w 5495478"/>
            <a:gd name="connsiteY9" fmla="*/ 2213493 h 5577552"/>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5310074 w 5495478"/>
            <a:gd name="connsiteY6" fmla="*/ 2778103 h 5577552"/>
            <a:gd name="connsiteX7" fmla="*/ 636706 w 5495478"/>
            <a:gd name="connsiteY7" fmla="*/ 4118493 h 5577552"/>
            <a:gd name="connsiteX8" fmla="*/ 0 w 5495478"/>
            <a:gd name="connsiteY8" fmla="*/ 4118493 h 5577552"/>
            <a:gd name="connsiteX9" fmla="*/ 0 w 5495478"/>
            <a:gd name="connsiteY9" fmla="*/ 2213493 h 5577552"/>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5310074 w 5495478"/>
            <a:gd name="connsiteY6" fmla="*/ 2778103 h 5577552"/>
            <a:gd name="connsiteX7" fmla="*/ 636706 w 5495478"/>
            <a:gd name="connsiteY7" fmla="*/ 4118493 h 5577552"/>
            <a:gd name="connsiteX8" fmla="*/ 0 w 5495478"/>
            <a:gd name="connsiteY8" fmla="*/ 4118493 h 5577552"/>
            <a:gd name="connsiteX9" fmla="*/ 0 w 5495478"/>
            <a:gd name="connsiteY9" fmla="*/ 2213493 h 5577552"/>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5310074 w 5495478"/>
            <a:gd name="connsiteY6" fmla="*/ 2778103 h 5577552"/>
            <a:gd name="connsiteX7" fmla="*/ 4663244 w 5495478"/>
            <a:gd name="connsiteY7" fmla="*/ 1856302 h 5577552"/>
            <a:gd name="connsiteX8" fmla="*/ 0 w 5495478"/>
            <a:gd name="connsiteY8" fmla="*/ 4118493 h 5577552"/>
            <a:gd name="connsiteX9" fmla="*/ 0 w 5495478"/>
            <a:gd name="connsiteY9" fmla="*/ 2213493 h 5577552"/>
            <a:gd name="connsiteX0" fmla="*/ 3573742 w 5495478"/>
            <a:gd name="connsiteY0" fmla="*/ 0 h 5577552"/>
            <a:gd name="connsiteX1" fmla="*/ 4848650 w 5495478"/>
            <a:gd name="connsiteY1" fmla="*/ 0 h 5577552"/>
            <a:gd name="connsiteX2" fmla="*/ 5495478 w 5495478"/>
            <a:gd name="connsiteY2" fmla="*/ 921800 h 5577552"/>
            <a:gd name="connsiteX3" fmla="*/ 5495478 w 5495478"/>
            <a:gd name="connsiteY3" fmla="*/ 4655752 h 5577552"/>
            <a:gd name="connsiteX4" fmla="*/ 5402777 w 5495478"/>
            <a:gd name="connsiteY4" fmla="*/ 5577552 h 5577552"/>
            <a:gd name="connsiteX5" fmla="*/ 5310074 w 5495478"/>
            <a:gd name="connsiteY5" fmla="*/ 4655755 h 5577552"/>
            <a:gd name="connsiteX6" fmla="*/ 5310074 w 5495478"/>
            <a:gd name="connsiteY6" fmla="*/ 2778103 h 5577552"/>
            <a:gd name="connsiteX7" fmla="*/ 4663244 w 5495478"/>
            <a:gd name="connsiteY7" fmla="*/ 1856302 h 5577552"/>
            <a:gd name="connsiteX8" fmla="*/ 3573739 w 5495478"/>
            <a:gd name="connsiteY8" fmla="*/ 1856302 h 5577552"/>
            <a:gd name="connsiteX9" fmla="*/ 0 w 5495478"/>
            <a:gd name="connsiteY9" fmla="*/ 2213493 h 5577552"/>
            <a:gd name="connsiteX0" fmla="*/ 3 w 1921739"/>
            <a:gd name="connsiteY0" fmla="*/ 0 h 5577552"/>
            <a:gd name="connsiteX1" fmla="*/ 1274911 w 1921739"/>
            <a:gd name="connsiteY1" fmla="*/ 0 h 5577552"/>
            <a:gd name="connsiteX2" fmla="*/ 1921739 w 1921739"/>
            <a:gd name="connsiteY2" fmla="*/ 921800 h 5577552"/>
            <a:gd name="connsiteX3" fmla="*/ 1921739 w 1921739"/>
            <a:gd name="connsiteY3" fmla="*/ 4655752 h 5577552"/>
            <a:gd name="connsiteX4" fmla="*/ 1829038 w 1921739"/>
            <a:gd name="connsiteY4" fmla="*/ 5577552 h 5577552"/>
            <a:gd name="connsiteX5" fmla="*/ 1736335 w 1921739"/>
            <a:gd name="connsiteY5" fmla="*/ 4655755 h 5577552"/>
            <a:gd name="connsiteX6" fmla="*/ 1736335 w 1921739"/>
            <a:gd name="connsiteY6" fmla="*/ 2778103 h 5577552"/>
            <a:gd name="connsiteX7" fmla="*/ 1089505 w 1921739"/>
            <a:gd name="connsiteY7" fmla="*/ 1856302 h 5577552"/>
            <a:gd name="connsiteX8" fmla="*/ 0 w 1921739"/>
            <a:gd name="connsiteY8" fmla="*/ 1856302 h 5577552"/>
            <a:gd name="connsiteX9" fmla="*/ 0 w 1921739"/>
            <a:gd name="connsiteY9" fmla="*/ 4 h 557755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921739" h="5577552">
              <a:moveTo>
                <a:pt x="3" y="0"/>
              </a:moveTo>
              <a:lnTo>
                <a:pt x="1274911" y="0"/>
              </a:lnTo>
              <a:cubicBezTo>
                <a:pt x="1598326" y="0"/>
                <a:pt x="1921739" y="460900"/>
                <a:pt x="1921739" y="921800"/>
              </a:cubicBezTo>
              <a:lnTo>
                <a:pt x="1921739" y="4655752"/>
              </a:lnTo>
              <a:lnTo>
                <a:pt x="1829038" y="5577552"/>
              </a:lnTo>
              <a:lnTo>
                <a:pt x="1736335" y="4655755"/>
              </a:lnTo>
              <a:lnTo>
                <a:pt x="1736335" y="2778103"/>
              </a:lnTo>
              <a:cubicBezTo>
                <a:pt x="1736335" y="2317203"/>
                <a:pt x="1412920" y="1856302"/>
                <a:pt x="1089505" y="1856302"/>
              </a:cubicBezTo>
              <a:lnTo>
                <a:pt x="0" y="1856302"/>
              </a:lnTo>
              <a:lnTo>
                <a:pt x="0" y="4"/>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30</xdr:row>
      <xdr:rowOff>152218</xdr:rowOff>
    </xdr:from>
    <xdr:to>
      <xdr:col>12</xdr:col>
      <xdr:colOff>483394</xdr:colOff>
      <xdr:row>33</xdr:row>
      <xdr:rowOff>123967</xdr:rowOff>
    </xdr:to>
    <xdr:sp macro="" textlink="">
      <xdr:nvSpPr>
        <xdr:cNvPr id="6" name="Arrow Text $R$108"/>
        <xdr:cNvSpPr txBox="1"/>
      </xdr:nvSpPr>
      <xdr:spPr>
        <a:xfrm>
          <a:off x="7358063" y="4914718"/>
          <a:ext cx="440531" cy="52419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14.1%</a:t>
          </a:r>
        </a:p>
      </xdr:txBody>
    </xdr:sp>
    <xdr:clientData/>
  </xdr:twoCellAnchor>
  <xdr:twoCellAnchor>
    <xdr:from>
      <xdr:col>13</xdr:col>
      <xdr:colOff>568325</xdr:colOff>
      <xdr:row>30</xdr:row>
      <xdr:rowOff>21167</xdr:rowOff>
    </xdr:from>
    <xdr:to>
      <xdr:col>16</xdr:col>
      <xdr:colOff>369888</xdr:colOff>
      <xdr:row>30</xdr:row>
      <xdr:rowOff>139518</xdr:rowOff>
    </xdr:to>
    <xdr:sp macro="" textlink="">
      <xdr:nvSpPr>
        <xdr:cNvPr id="98" name="Arrow $T$106">
          <a:extLst>
            <a:ext uri="{FF2B5EF4-FFF2-40B4-BE49-F238E27FC236}">
              <a16:creationId xmlns:a16="http://schemas.microsoft.com/office/drawing/2014/main" id="{00000000-0008-0000-0400-000007000000}"/>
            </a:ext>
          </a:extLst>
        </xdr:cNvPr>
        <xdr:cNvSpPr/>
      </xdr:nvSpPr>
      <xdr:spPr>
        <a:xfrm>
          <a:off x="8493125" y="4783667"/>
          <a:ext cx="1630363" cy="118351"/>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3586220 w 3586220"/>
            <a:gd name="connsiteY0" fmla="*/ 0 h 4579417"/>
            <a:gd name="connsiteX1" fmla="*/ 2291308 w 3586220"/>
            <a:gd name="connsiteY1" fmla="*/ 769417 h 4579417"/>
            <a:gd name="connsiteX2" fmla="*/ 2545898 w 3586220"/>
            <a:gd name="connsiteY2" fmla="*/ 2674417 h 4579417"/>
            <a:gd name="connsiteX3" fmla="*/ 2291308 w 3586220"/>
            <a:gd name="connsiteY3" fmla="*/ 4579417 h 4579417"/>
            <a:gd name="connsiteX4" fmla="*/ 0 w 3586220"/>
            <a:gd name="connsiteY4" fmla="*/ 4579417 h 4579417"/>
            <a:gd name="connsiteX5" fmla="*/ 0 w 3586220"/>
            <a:gd name="connsiteY5" fmla="*/ 769417 h 4579417"/>
            <a:gd name="connsiteX0" fmla="*/ 3586220 w 7095536"/>
            <a:gd name="connsiteY0" fmla="*/ 0 h 4579417"/>
            <a:gd name="connsiteX1" fmla="*/ 7095536 w 7095536"/>
            <a:gd name="connsiteY1" fmla="*/ 4 h 4579417"/>
            <a:gd name="connsiteX2" fmla="*/ 2545898 w 7095536"/>
            <a:gd name="connsiteY2" fmla="*/ 2674417 h 4579417"/>
            <a:gd name="connsiteX3" fmla="*/ 2291308 w 7095536"/>
            <a:gd name="connsiteY3" fmla="*/ 4579417 h 4579417"/>
            <a:gd name="connsiteX4" fmla="*/ 0 w 7095536"/>
            <a:gd name="connsiteY4" fmla="*/ 4579417 h 4579417"/>
            <a:gd name="connsiteX5" fmla="*/ 0 w 7095536"/>
            <a:gd name="connsiteY5" fmla="*/ 769417 h 4579417"/>
            <a:gd name="connsiteX0" fmla="*/ 3586220 w 7743158"/>
            <a:gd name="connsiteY0" fmla="*/ 0 h 4579417"/>
            <a:gd name="connsiteX1" fmla="*/ 7095536 w 7743158"/>
            <a:gd name="connsiteY1" fmla="*/ 4 h 4579417"/>
            <a:gd name="connsiteX2" fmla="*/ 7743158 w 7743158"/>
            <a:gd name="connsiteY2" fmla="*/ 237803 h 4579417"/>
            <a:gd name="connsiteX3" fmla="*/ 2291308 w 7743158"/>
            <a:gd name="connsiteY3" fmla="*/ 4579417 h 4579417"/>
            <a:gd name="connsiteX4" fmla="*/ 0 w 7743158"/>
            <a:gd name="connsiteY4" fmla="*/ 4579417 h 4579417"/>
            <a:gd name="connsiteX5" fmla="*/ 0 w 7743158"/>
            <a:gd name="connsiteY5" fmla="*/ 769417 h 4579417"/>
            <a:gd name="connsiteX0" fmla="*/ 3586220 w 7743158"/>
            <a:gd name="connsiteY0" fmla="*/ 0 h 4579417"/>
            <a:gd name="connsiteX1" fmla="*/ 7095536 w 7743158"/>
            <a:gd name="connsiteY1" fmla="*/ 4 h 4579417"/>
            <a:gd name="connsiteX2" fmla="*/ 7743158 w 7743158"/>
            <a:gd name="connsiteY2" fmla="*/ 237803 h 4579417"/>
            <a:gd name="connsiteX3" fmla="*/ 7095534 w 7743158"/>
            <a:gd name="connsiteY3" fmla="*/ 429511 h 4579417"/>
            <a:gd name="connsiteX4" fmla="*/ 0 w 7743158"/>
            <a:gd name="connsiteY4" fmla="*/ 4579417 h 4579417"/>
            <a:gd name="connsiteX5" fmla="*/ 0 w 7743158"/>
            <a:gd name="connsiteY5" fmla="*/ 769417 h 4579417"/>
            <a:gd name="connsiteX0" fmla="*/ 3586220 w 7743158"/>
            <a:gd name="connsiteY0" fmla="*/ 0 h 769416"/>
            <a:gd name="connsiteX1" fmla="*/ 7095536 w 7743158"/>
            <a:gd name="connsiteY1" fmla="*/ 4 h 769416"/>
            <a:gd name="connsiteX2" fmla="*/ 7743158 w 7743158"/>
            <a:gd name="connsiteY2" fmla="*/ 237803 h 769416"/>
            <a:gd name="connsiteX3" fmla="*/ 7095534 w 7743158"/>
            <a:gd name="connsiteY3" fmla="*/ 429511 h 769416"/>
            <a:gd name="connsiteX4" fmla="*/ 3586218 w 7743158"/>
            <a:gd name="connsiteY4" fmla="*/ 429511 h 769416"/>
            <a:gd name="connsiteX5" fmla="*/ 0 w 7743158"/>
            <a:gd name="connsiteY5" fmla="*/ 769417 h 769416"/>
            <a:gd name="connsiteX0" fmla="*/ 2 w 4156940"/>
            <a:gd name="connsiteY0" fmla="*/ 0 h 429511"/>
            <a:gd name="connsiteX1" fmla="*/ 3509318 w 4156940"/>
            <a:gd name="connsiteY1" fmla="*/ 4 h 429511"/>
            <a:gd name="connsiteX2" fmla="*/ 4156940 w 4156940"/>
            <a:gd name="connsiteY2" fmla="*/ 237803 h 429511"/>
            <a:gd name="connsiteX3" fmla="*/ 3509316 w 4156940"/>
            <a:gd name="connsiteY3" fmla="*/ 429511 h 429511"/>
            <a:gd name="connsiteX4" fmla="*/ 0 w 4156940"/>
            <a:gd name="connsiteY4" fmla="*/ 429511 h 429511"/>
            <a:gd name="connsiteX5" fmla="*/ 0 w 4156940"/>
            <a:gd name="connsiteY5" fmla="*/ 4 h 4295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429511">
              <a:moveTo>
                <a:pt x="2" y="0"/>
              </a:moveTo>
              <a:lnTo>
                <a:pt x="3509318" y="4"/>
              </a:lnTo>
              <a:lnTo>
                <a:pt x="4156940" y="237803"/>
              </a:lnTo>
              <a:lnTo>
                <a:pt x="3509316" y="429511"/>
              </a:lnTo>
              <a:lnTo>
                <a:pt x="0" y="429511"/>
              </a:lnTo>
              <a:lnTo>
                <a:pt x="0"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14</xdr:col>
      <xdr:colOff>212725</xdr:colOff>
      <xdr:row>30</xdr:row>
      <xdr:rowOff>21168</xdr:rowOff>
    </xdr:from>
    <xdr:to>
      <xdr:col>15</xdr:col>
      <xdr:colOff>43656</xdr:colOff>
      <xdr:row>30</xdr:row>
      <xdr:rowOff>152218</xdr:rowOff>
    </xdr:to>
    <xdr:sp macro="" textlink="">
      <xdr:nvSpPr>
        <xdr:cNvPr id="7" name="Arrow Text $T$106"/>
        <xdr:cNvSpPr txBox="1"/>
      </xdr:nvSpPr>
      <xdr:spPr>
        <a:xfrm>
          <a:off x="8747125" y="4783668"/>
          <a:ext cx="440531" cy="13105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3.5%</a:t>
          </a:r>
        </a:p>
      </xdr:txBody>
    </xdr:sp>
    <xdr:clientData/>
  </xdr:twoCellAnchor>
  <xdr:twoCellAnchor>
    <xdr:from>
      <xdr:col>11</xdr:col>
      <xdr:colOff>398462</xdr:colOff>
      <xdr:row>30</xdr:row>
      <xdr:rowOff>21168</xdr:rowOff>
    </xdr:from>
    <xdr:to>
      <xdr:col>14</xdr:col>
      <xdr:colOff>200024</xdr:colOff>
      <xdr:row>30</xdr:row>
      <xdr:rowOff>139518</xdr:rowOff>
    </xdr:to>
    <xdr:sp macro="" textlink="">
      <xdr:nvSpPr>
        <xdr:cNvPr id="100" name="Arrow $R$106">
          <a:extLst>
            <a:ext uri="{FF2B5EF4-FFF2-40B4-BE49-F238E27FC236}">
              <a16:creationId xmlns:a16="http://schemas.microsoft.com/office/drawing/2014/main" id="{00000000-0008-0000-0400-000007000000}"/>
            </a:ext>
          </a:extLst>
        </xdr:cNvPr>
        <xdr:cNvSpPr/>
      </xdr:nvSpPr>
      <xdr:spPr>
        <a:xfrm>
          <a:off x="7104062" y="4783668"/>
          <a:ext cx="1630362" cy="11835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34972"/>
            <a:gd name="connsiteY0" fmla="*/ 0 h 4097625"/>
            <a:gd name="connsiteX1" fmla="*/ 5780382 w 6034972"/>
            <a:gd name="connsiteY1" fmla="*/ 287625 h 4097625"/>
            <a:gd name="connsiteX2" fmla="*/ 6034972 w 6034972"/>
            <a:gd name="connsiteY2" fmla="*/ 2192625 h 4097625"/>
            <a:gd name="connsiteX3" fmla="*/ 5780382 w 6034972"/>
            <a:gd name="connsiteY3" fmla="*/ 4097625 h 4097625"/>
            <a:gd name="connsiteX4" fmla="*/ 3489074 w 6034972"/>
            <a:gd name="connsiteY4" fmla="*/ 4097625 h 4097625"/>
            <a:gd name="connsiteX5" fmla="*/ 3489074 w 6034972"/>
            <a:gd name="connsiteY5" fmla="*/ 287625 h 4097625"/>
            <a:gd name="connsiteX0" fmla="*/ 0 w 6034972"/>
            <a:gd name="connsiteY0" fmla="*/ 0 h 4097625"/>
            <a:gd name="connsiteX1" fmla="*/ 3509313 w 6034972"/>
            <a:gd name="connsiteY1" fmla="*/ 0 h 4097625"/>
            <a:gd name="connsiteX2" fmla="*/ 6034972 w 6034972"/>
            <a:gd name="connsiteY2" fmla="*/ 2192625 h 4097625"/>
            <a:gd name="connsiteX3" fmla="*/ 5780382 w 6034972"/>
            <a:gd name="connsiteY3" fmla="*/ 4097625 h 4097625"/>
            <a:gd name="connsiteX4" fmla="*/ 3489074 w 6034972"/>
            <a:gd name="connsiteY4" fmla="*/ 4097625 h 4097625"/>
            <a:gd name="connsiteX5" fmla="*/ 3489074 w 6034972"/>
            <a:gd name="connsiteY5" fmla="*/ 287625 h 4097625"/>
            <a:gd name="connsiteX0" fmla="*/ 0 w 5780382"/>
            <a:gd name="connsiteY0" fmla="*/ 0 h 4097625"/>
            <a:gd name="connsiteX1" fmla="*/ 3509313 w 5780382"/>
            <a:gd name="connsiteY1" fmla="*/ 0 h 4097625"/>
            <a:gd name="connsiteX2" fmla="*/ 4156938 w 5780382"/>
            <a:gd name="connsiteY2" fmla="*/ 237440 h 4097625"/>
            <a:gd name="connsiteX3" fmla="*/ 5780382 w 5780382"/>
            <a:gd name="connsiteY3" fmla="*/ 4097625 h 4097625"/>
            <a:gd name="connsiteX4" fmla="*/ 3489074 w 5780382"/>
            <a:gd name="connsiteY4" fmla="*/ 4097625 h 4097625"/>
            <a:gd name="connsiteX5" fmla="*/ 3489074 w 5780382"/>
            <a:gd name="connsiteY5" fmla="*/ 287625 h 4097625"/>
            <a:gd name="connsiteX0" fmla="*/ 0 w 4156938"/>
            <a:gd name="connsiteY0" fmla="*/ 0 h 4097625"/>
            <a:gd name="connsiteX1" fmla="*/ 3509313 w 4156938"/>
            <a:gd name="connsiteY1" fmla="*/ 0 h 4097625"/>
            <a:gd name="connsiteX2" fmla="*/ 4156938 w 4156938"/>
            <a:gd name="connsiteY2" fmla="*/ 237440 h 4097625"/>
            <a:gd name="connsiteX3" fmla="*/ 3509316 w 4156938"/>
            <a:gd name="connsiteY3" fmla="*/ 428860 h 4097625"/>
            <a:gd name="connsiteX4" fmla="*/ 3489074 w 4156938"/>
            <a:gd name="connsiteY4" fmla="*/ 4097625 h 4097625"/>
            <a:gd name="connsiteX5" fmla="*/ 3489074 w 4156938"/>
            <a:gd name="connsiteY5" fmla="*/ 287625 h 4097625"/>
            <a:gd name="connsiteX0" fmla="*/ 0 w 4156938"/>
            <a:gd name="connsiteY0" fmla="*/ 0 h 428860"/>
            <a:gd name="connsiteX1" fmla="*/ 3509313 w 4156938"/>
            <a:gd name="connsiteY1" fmla="*/ 0 h 428860"/>
            <a:gd name="connsiteX2" fmla="*/ 4156938 w 4156938"/>
            <a:gd name="connsiteY2" fmla="*/ 237440 h 428860"/>
            <a:gd name="connsiteX3" fmla="*/ 3509316 w 4156938"/>
            <a:gd name="connsiteY3" fmla="*/ 428860 h 428860"/>
            <a:gd name="connsiteX4" fmla="*/ 3 w 4156938"/>
            <a:gd name="connsiteY4" fmla="*/ 428860 h 428860"/>
            <a:gd name="connsiteX5" fmla="*/ 3489074 w 4156938"/>
            <a:gd name="connsiteY5" fmla="*/ 287625 h 428860"/>
            <a:gd name="connsiteX0" fmla="*/ 0 w 4156938"/>
            <a:gd name="connsiteY0" fmla="*/ 0 h 428860"/>
            <a:gd name="connsiteX1" fmla="*/ 3509313 w 4156938"/>
            <a:gd name="connsiteY1" fmla="*/ 0 h 428860"/>
            <a:gd name="connsiteX2" fmla="*/ 4156938 w 4156938"/>
            <a:gd name="connsiteY2" fmla="*/ 237440 h 428860"/>
            <a:gd name="connsiteX3" fmla="*/ 3509316 w 4156938"/>
            <a:gd name="connsiteY3" fmla="*/ 428860 h 428860"/>
            <a:gd name="connsiteX4" fmla="*/ 3 w 4156938"/>
            <a:gd name="connsiteY4" fmla="*/ 428860 h 428860"/>
            <a:gd name="connsiteX5" fmla="*/ 3 w 4156938"/>
            <a:gd name="connsiteY5" fmla="*/ 0 h 42886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38" h="428860">
              <a:moveTo>
                <a:pt x="0" y="0"/>
              </a:moveTo>
              <a:lnTo>
                <a:pt x="3509313" y="0"/>
              </a:lnTo>
              <a:lnTo>
                <a:pt x="4156938" y="237440"/>
              </a:lnTo>
              <a:lnTo>
                <a:pt x="3509316" y="428860"/>
              </a:lnTo>
              <a:lnTo>
                <a:pt x="3" y="428860"/>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30</xdr:row>
      <xdr:rowOff>21168</xdr:rowOff>
    </xdr:from>
    <xdr:to>
      <xdr:col>12</xdr:col>
      <xdr:colOff>483394</xdr:colOff>
      <xdr:row>30</xdr:row>
      <xdr:rowOff>152218</xdr:rowOff>
    </xdr:to>
    <xdr:sp macro="" textlink="">
      <xdr:nvSpPr>
        <xdr:cNvPr id="8" name="Arrow Text $R$106"/>
        <xdr:cNvSpPr txBox="1"/>
      </xdr:nvSpPr>
      <xdr:spPr>
        <a:xfrm>
          <a:off x="7358063" y="4783668"/>
          <a:ext cx="440531" cy="13105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3.5%</a:t>
          </a:r>
        </a:p>
      </xdr:txBody>
    </xdr:sp>
    <xdr:clientData/>
  </xdr:twoCellAnchor>
  <xdr:twoCellAnchor>
    <xdr:from>
      <xdr:col>9</xdr:col>
      <xdr:colOff>228599</xdr:colOff>
      <xdr:row>30</xdr:row>
      <xdr:rowOff>21167</xdr:rowOff>
    </xdr:from>
    <xdr:to>
      <xdr:col>12</xdr:col>
      <xdr:colOff>30163</xdr:colOff>
      <xdr:row>33</xdr:row>
      <xdr:rowOff>111266</xdr:rowOff>
    </xdr:to>
    <xdr:sp macro="" textlink="">
      <xdr:nvSpPr>
        <xdr:cNvPr id="102" name="Arrow $P$106">
          <a:extLst>
            <a:ext uri="{FF2B5EF4-FFF2-40B4-BE49-F238E27FC236}">
              <a16:creationId xmlns:a16="http://schemas.microsoft.com/office/drawing/2014/main" id="{00000000-0008-0000-0400-000007000000}"/>
            </a:ext>
          </a:extLst>
        </xdr:cNvPr>
        <xdr:cNvSpPr/>
      </xdr:nvSpPr>
      <xdr:spPr>
        <a:xfrm>
          <a:off x="5714999" y="4783667"/>
          <a:ext cx="1630364" cy="642549"/>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3067"/>
            <a:gd name="connsiteY0" fmla="*/ 0 h 4097629"/>
            <a:gd name="connsiteX1" fmla="*/ 5788477 w 6043067"/>
            <a:gd name="connsiteY1" fmla="*/ 287629 h 4097629"/>
            <a:gd name="connsiteX2" fmla="*/ 6043067 w 6043067"/>
            <a:gd name="connsiteY2" fmla="*/ 2192629 h 4097629"/>
            <a:gd name="connsiteX3" fmla="*/ 5788477 w 6043067"/>
            <a:gd name="connsiteY3" fmla="*/ 4097629 h 4097629"/>
            <a:gd name="connsiteX4" fmla="*/ 3497169 w 6043067"/>
            <a:gd name="connsiteY4" fmla="*/ 4097629 h 4097629"/>
            <a:gd name="connsiteX5" fmla="*/ 3497169 w 6043067"/>
            <a:gd name="connsiteY5" fmla="*/ 287629 h 4097629"/>
            <a:gd name="connsiteX0" fmla="*/ 0 w 6043067"/>
            <a:gd name="connsiteY0" fmla="*/ 0 h 4097629"/>
            <a:gd name="connsiteX1" fmla="*/ 3509318 w 6043067"/>
            <a:gd name="connsiteY1" fmla="*/ 0 h 4097629"/>
            <a:gd name="connsiteX2" fmla="*/ 6043067 w 6043067"/>
            <a:gd name="connsiteY2" fmla="*/ 2192629 h 4097629"/>
            <a:gd name="connsiteX3" fmla="*/ 5788477 w 6043067"/>
            <a:gd name="connsiteY3" fmla="*/ 4097629 h 4097629"/>
            <a:gd name="connsiteX4" fmla="*/ 3497169 w 6043067"/>
            <a:gd name="connsiteY4" fmla="*/ 4097629 h 4097629"/>
            <a:gd name="connsiteX5" fmla="*/ 3497169 w 6043067"/>
            <a:gd name="connsiteY5" fmla="*/ 287629 h 4097629"/>
            <a:gd name="connsiteX0" fmla="*/ 0 w 5788477"/>
            <a:gd name="connsiteY0" fmla="*/ 0 h 4097629"/>
            <a:gd name="connsiteX1" fmla="*/ 3509318 w 5788477"/>
            <a:gd name="connsiteY1" fmla="*/ 0 h 4097629"/>
            <a:gd name="connsiteX2" fmla="*/ 4156943 w 5788477"/>
            <a:gd name="connsiteY2" fmla="*/ 1187200 h 4097629"/>
            <a:gd name="connsiteX3" fmla="*/ 5788477 w 5788477"/>
            <a:gd name="connsiteY3" fmla="*/ 4097629 h 4097629"/>
            <a:gd name="connsiteX4" fmla="*/ 3497169 w 5788477"/>
            <a:gd name="connsiteY4" fmla="*/ 4097629 h 4097629"/>
            <a:gd name="connsiteX5" fmla="*/ 3497169 w 5788477"/>
            <a:gd name="connsiteY5" fmla="*/ 287629 h 4097629"/>
            <a:gd name="connsiteX0" fmla="*/ 0 w 4156943"/>
            <a:gd name="connsiteY0" fmla="*/ 0 h 4097629"/>
            <a:gd name="connsiteX1" fmla="*/ 3509318 w 4156943"/>
            <a:gd name="connsiteY1" fmla="*/ 0 h 4097629"/>
            <a:gd name="connsiteX2" fmla="*/ 4156943 w 4156943"/>
            <a:gd name="connsiteY2" fmla="*/ 1187200 h 4097629"/>
            <a:gd name="connsiteX3" fmla="*/ 3509318 w 4156943"/>
            <a:gd name="connsiteY3" fmla="*/ 2328376 h 4097629"/>
            <a:gd name="connsiteX4" fmla="*/ 3497169 w 4156943"/>
            <a:gd name="connsiteY4" fmla="*/ 4097629 h 4097629"/>
            <a:gd name="connsiteX5" fmla="*/ 3497169 w 4156943"/>
            <a:gd name="connsiteY5" fmla="*/ 287629 h 4097629"/>
            <a:gd name="connsiteX0" fmla="*/ 0 w 4156943"/>
            <a:gd name="connsiteY0" fmla="*/ 0 h 2328376"/>
            <a:gd name="connsiteX1" fmla="*/ 3509318 w 4156943"/>
            <a:gd name="connsiteY1" fmla="*/ 0 h 2328376"/>
            <a:gd name="connsiteX2" fmla="*/ 4156943 w 4156943"/>
            <a:gd name="connsiteY2" fmla="*/ 1187200 h 2328376"/>
            <a:gd name="connsiteX3" fmla="*/ 3509318 w 4156943"/>
            <a:gd name="connsiteY3" fmla="*/ 2328376 h 2328376"/>
            <a:gd name="connsiteX4" fmla="*/ 3 w 4156943"/>
            <a:gd name="connsiteY4" fmla="*/ 2328376 h 2328376"/>
            <a:gd name="connsiteX5" fmla="*/ 3497169 w 4156943"/>
            <a:gd name="connsiteY5" fmla="*/ 287629 h 2328376"/>
            <a:gd name="connsiteX0" fmla="*/ 0 w 4156943"/>
            <a:gd name="connsiteY0" fmla="*/ 0 h 2328376"/>
            <a:gd name="connsiteX1" fmla="*/ 3509318 w 4156943"/>
            <a:gd name="connsiteY1" fmla="*/ 0 h 2328376"/>
            <a:gd name="connsiteX2" fmla="*/ 4156943 w 4156943"/>
            <a:gd name="connsiteY2" fmla="*/ 1187200 h 2328376"/>
            <a:gd name="connsiteX3" fmla="*/ 3509318 w 4156943"/>
            <a:gd name="connsiteY3" fmla="*/ 2328376 h 2328376"/>
            <a:gd name="connsiteX4" fmla="*/ 3 w 4156943"/>
            <a:gd name="connsiteY4" fmla="*/ 2328376 h 2328376"/>
            <a:gd name="connsiteX5" fmla="*/ 3 w 4156943"/>
            <a:gd name="connsiteY5" fmla="*/ 4 h 23283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3" h="2328376">
              <a:moveTo>
                <a:pt x="0" y="0"/>
              </a:moveTo>
              <a:lnTo>
                <a:pt x="3509318" y="0"/>
              </a:lnTo>
              <a:lnTo>
                <a:pt x="4156943" y="1187200"/>
              </a:lnTo>
              <a:lnTo>
                <a:pt x="3509318" y="2328376"/>
              </a:lnTo>
              <a:lnTo>
                <a:pt x="3" y="2328376"/>
              </a:lnTo>
              <a:lnTo>
                <a:pt x="3"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30</xdr:row>
      <xdr:rowOff>21168</xdr:rowOff>
    </xdr:from>
    <xdr:to>
      <xdr:col>10</xdr:col>
      <xdr:colOff>313531</xdr:colOff>
      <xdr:row>33</xdr:row>
      <xdr:rowOff>123967</xdr:rowOff>
    </xdr:to>
    <xdr:sp macro="" textlink="">
      <xdr:nvSpPr>
        <xdr:cNvPr id="9" name="Arrow Text $P$106"/>
        <xdr:cNvSpPr txBox="1"/>
      </xdr:nvSpPr>
      <xdr:spPr>
        <a:xfrm>
          <a:off x="5969000" y="4783668"/>
          <a:ext cx="440531" cy="65524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17.6%</a:t>
          </a:r>
        </a:p>
      </xdr:txBody>
    </xdr:sp>
    <xdr:clientData/>
  </xdr:twoCellAnchor>
  <xdr:twoCellAnchor>
    <xdr:from>
      <xdr:col>7</xdr:col>
      <xdr:colOff>58737</xdr:colOff>
      <xdr:row>30</xdr:row>
      <xdr:rowOff>21168</xdr:rowOff>
    </xdr:from>
    <xdr:to>
      <xdr:col>9</xdr:col>
      <xdr:colOff>469900</xdr:colOff>
      <xdr:row>33</xdr:row>
      <xdr:rowOff>121756</xdr:rowOff>
    </xdr:to>
    <xdr:sp macro="" textlink="">
      <xdr:nvSpPr>
        <xdr:cNvPr id="104" name="Arrow $N$106">
          <a:extLst>
            <a:ext uri="{FF2B5EF4-FFF2-40B4-BE49-F238E27FC236}">
              <a16:creationId xmlns:a16="http://schemas.microsoft.com/office/drawing/2014/main" id="{00000000-0008-0000-0400-000007000000}"/>
            </a:ext>
          </a:extLst>
        </xdr:cNvPr>
        <xdr:cNvSpPr/>
      </xdr:nvSpPr>
      <xdr:spPr>
        <a:xfrm>
          <a:off x="4325937" y="4783668"/>
          <a:ext cx="1630363" cy="65303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4"/>
            <a:gd name="connsiteY0" fmla="*/ 0 h 4097625"/>
            <a:gd name="connsiteX1" fmla="*/ 5791004 w 6045594"/>
            <a:gd name="connsiteY1" fmla="*/ 287625 h 4097625"/>
            <a:gd name="connsiteX2" fmla="*/ 6045594 w 6045594"/>
            <a:gd name="connsiteY2" fmla="*/ 2192625 h 4097625"/>
            <a:gd name="connsiteX3" fmla="*/ 5791004 w 6045594"/>
            <a:gd name="connsiteY3" fmla="*/ 4097625 h 4097625"/>
            <a:gd name="connsiteX4" fmla="*/ 3499696 w 6045594"/>
            <a:gd name="connsiteY4" fmla="*/ 4097625 h 4097625"/>
            <a:gd name="connsiteX5" fmla="*/ 3499696 w 6045594"/>
            <a:gd name="connsiteY5" fmla="*/ 287625 h 4097625"/>
            <a:gd name="connsiteX0" fmla="*/ 0 w 6045594"/>
            <a:gd name="connsiteY0" fmla="*/ 0 h 4097625"/>
            <a:gd name="connsiteX1" fmla="*/ 3503744 w 6045594"/>
            <a:gd name="connsiteY1" fmla="*/ 0 h 4097625"/>
            <a:gd name="connsiteX2" fmla="*/ 6045594 w 6045594"/>
            <a:gd name="connsiteY2" fmla="*/ 2192625 h 4097625"/>
            <a:gd name="connsiteX3" fmla="*/ 5791004 w 6045594"/>
            <a:gd name="connsiteY3" fmla="*/ 4097625 h 4097625"/>
            <a:gd name="connsiteX4" fmla="*/ 3499696 w 6045594"/>
            <a:gd name="connsiteY4" fmla="*/ 4097625 h 4097625"/>
            <a:gd name="connsiteX5" fmla="*/ 3499696 w 6045594"/>
            <a:gd name="connsiteY5" fmla="*/ 287625 h 4097625"/>
            <a:gd name="connsiteX0" fmla="*/ 0 w 5791003"/>
            <a:gd name="connsiteY0" fmla="*/ 0 h 4097625"/>
            <a:gd name="connsiteX1" fmla="*/ 3503744 w 5791003"/>
            <a:gd name="connsiteY1" fmla="*/ 0 h 4097625"/>
            <a:gd name="connsiteX2" fmla="*/ 4150340 w 5791003"/>
            <a:gd name="connsiteY2" fmla="*/ 1206202 h 4097625"/>
            <a:gd name="connsiteX3" fmla="*/ 5791004 w 5791003"/>
            <a:gd name="connsiteY3" fmla="*/ 4097625 h 4097625"/>
            <a:gd name="connsiteX4" fmla="*/ 3499696 w 5791003"/>
            <a:gd name="connsiteY4" fmla="*/ 4097625 h 4097625"/>
            <a:gd name="connsiteX5" fmla="*/ 3499696 w 5791003"/>
            <a:gd name="connsiteY5" fmla="*/ 287625 h 4097625"/>
            <a:gd name="connsiteX0" fmla="*/ 0 w 4150339"/>
            <a:gd name="connsiteY0" fmla="*/ 0 h 4097625"/>
            <a:gd name="connsiteX1" fmla="*/ 3503744 w 4150339"/>
            <a:gd name="connsiteY1" fmla="*/ 0 h 4097625"/>
            <a:gd name="connsiteX2" fmla="*/ 4150340 w 4150339"/>
            <a:gd name="connsiteY2" fmla="*/ 1206202 h 4097625"/>
            <a:gd name="connsiteX3" fmla="*/ 3503743 w 4150339"/>
            <a:gd name="connsiteY3" fmla="*/ 2366384 h 4097625"/>
            <a:gd name="connsiteX4" fmla="*/ 3499696 w 4150339"/>
            <a:gd name="connsiteY4" fmla="*/ 4097625 h 4097625"/>
            <a:gd name="connsiteX5" fmla="*/ 3499696 w 4150339"/>
            <a:gd name="connsiteY5" fmla="*/ 287625 h 4097625"/>
            <a:gd name="connsiteX0" fmla="*/ 0 w 4150339"/>
            <a:gd name="connsiteY0" fmla="*/ 0 h 2366384"/>
            <a:gd name="connsiteX1" fmla="*/ 3503744 w 4150339"/>
            <a:gd name="connsiteY1" fmla="*/ 0 h 2366384"/>
            <a:gd name="connsiteX2" fmla="*/ 4150340 w 4150339"/>
            <a:gd name="connsiteY2" fmla="*/ 1206202 h 2366384"/>
            <a:gd name="connsiteX3" fmla="*/ 3503743 w 4150339"/>
            <a:gd name="connsiteY3" fmla="*/ 2366384 h 2366384"/>
            <a:gd name="connsiteX4" fmla="*/ 3 w 4150339"/>
            <a:gd name="connsiteY4" fmla="*/ 2366384 h 2366384"/>
            <a:gd name="connsiteX5" fmla="*/ 3499696 w 4150339"/>
            <a:gd name="connsiteY5" fmla="*/ 287625 h 2366384"/>
            <a:gd name="connsiteX0" fmla="*/ 0 w 4150339"/>
            <a:gd name="connsiteY0" fmla="*/ 0 h 2366384"/>
            <a:gd name="connsiteX1" fmla="*/ 3503744 w 4150339"/>
            <a:gd name="connsiteY1" fmla="*/ 0 h 2366384"/>
            <a:gd name="connsiteX2" fmla="*/ 4150340 w 4150339"/>
            <a:gd name="connsiteY2" fmla="*/ 1206202 h 2366384"/>
            <a:gd name="connsiteX3" fmla="*/ 3503743 w 4150339"/>
            <a:gd name="connsiteY3" fmla="*/ 2366384 h 2366384"/>
            <a:gd name="connsiteX4" fmla="*/ 3 w 4150339"/>
            <a:gd name="connsiteY4" fmla="*/ 2366384 h 2366384"/>
            <a:gd name="connsiteX5" fmla="*/ 3 w 4150339"/>
            <a:gd name="connsiteY5" fmla="*/ 0 h 23663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2366384">
              <a:moveTo>
                <a:pt x="0" y="0"/>
              </a:moveTo>
              <a:lnTo>
                <a:pt x="3503744" y="0"/>
              </a:lnTo>
              <a:lnTo>
                <a:pt x="4150340" y="1206202"/>
              </a:lnTo>
              <a:lnTo>
                <a:pt x="3503743" y="2366384"/>
              </a:lnTo>
              <a:lnTo>
                <a:pt x="3" y="236638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312738</xdr:colOff>
      <xdr:row>30</xdr:row>
      <xdr:rowOff>21168</xdr:rowOff>
    </xdr:from>
    <xdr:to>
      <xdr:col>8</xdr:col>
      <xdr:colOff>143669</xdr:colOff>
      <xdr:row>33</xdr:row>
      <xdr:rowOff>134456</xdr:rowOff>
    </xdr:to>
    <xdr:sp macro="" textlink="">
      <xdr:nvSpPr>
        <xdr:cNvPr id="10" name="Arrow Text $N$106"/>
        <xdr:cNvSpPr txBox="1"/>
      </xdr:nvSpPr>
      <xdr:spPr>
        <a:xfrm>
          <a:off x="4579938" y="4783668"/>
          <a:ext cx="440531" cy="66573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17.9%</a:t>
          </a:r>
        </a:p>
      </xdr:txBody>
    </xdr:sp>
    <xdr:clientData/>
  </xdr:twoCellAnchor>
  <xdr:twoCellAnchor>
    <xdr:from>
      <xdr:col>4</xdr:col>
      <xdr:colOff>498474</xdr:colOff>
      <xdr:row>30</xdr:row>
      <xdr:rowOff>21168</xdr:rowOff>
    </xdr:from>
    <xdr:to>
      <xdr:col>7</xdr:col>
      <xdr:colOff>300038</xdr:colOff>
      <xdr:row>33</xdr:row>
      <xdr:rowOff>121756</xdr:rowOff>
    </xdr:to>
    <xdr:sp macro="" textlink="">
      <xdr:nvSpPr>
        <xdr:cNvPr id="106" name="Arrow $L$106">
          <a:extLst>
            <a:ext uri="{FF2B5EF4-FFF2-40B4-BE49-F238E27FC236}">
              <a16:creationId xmlns:a16="http://schemas.microsoft.com/office/drawing/2014/main" id="{00000000-0008-0000-0400-000007000000}"/>
            </a:ext>
          </a:extLst>
        </xdr:cNvPr>
        <xdr:cNvSpPr/>
      </xdr:nvSpPr>
      <xdr:spPr>
        <a:xfrm>
          <a:off x="2936874" y="4783668"/>
          <a:ext cx="1630364" cy="65303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79"/>
            <a:gd name="connsiteY0" fmla="*/ 0 h 4097629"/>
            <a:gd name="connsiteX1" fmla="*/ 5799089 w 6053679"/>
            <a:gd name="connsiteY1" fmla="*/ 287629 h 4097629"/>
            <a:gd name="connsiteX2" fmla="*/ 6053679 w 6053679"/>
            <a:gd name="connsiteY2" fmla="*/ 2192629 h 4097629"/>
            <a:gd name="connsiteX3" fmla="*/ 5799089 w 6053679"/>
            <a:gd name="connsiteY3" fmla="*/ 4097629 h 4097629"/>
            <a:gd name="connsiteX4" fmla="*/ 3507781 w 6053679"/>
            <a:gd name="connsiteY4" fmla="*/ 4097629 h 4097629"/>
            <a:gd name="connsiteX5" fmla="*/ 3507781 w 6053679"/>
            <a:gd name="connsiteY5" fmla="*/ 287629 h 4097629"/>
            <a:gd name="connsiteX0" fmla="*/ 0 w 6053679"/>
            <a:gd name="connsiteY0" fmla="*/ 0 h 4097629"/>
            <a:gd name="connsiteX1" fmla="*/ 3503746 w 6053679"/>
            <a:gd name="connsiteY1" fmla="*/ 0 h 4097629"/>
            <a:gd name="connsiteX2" fmla="*/ 6053679 w 6053679"/>
            <a:gd name="connsiteY2" fmla="*/ 2192629 h 4097629"/>
            <a:gd name="connsiteX3" fmla="*/ 5799089 w 6053679"/>
            <a:gd name="connsiteY3" fmla="*/ 4097629 h 4097629"/>
            <a:gd name="connsiteX4" fmla="*/ 3507781 w 6053679"/>
            <a:gd name="connsiteY4" fmla="*/ 4097629 h 4097629"/>
            <a:gd name="connsiteX5" fmla="*/ 3507781 w 6053679"/>
            <a:gd name="connsiteY5" fmla="*/ 287629 h 4097629"/>
            <a:gd name="connsiteX0" fmla="*/ 0 w 5799088"/>
            <a:gd name="connsiteY0" fmla="*/ 0 h 4097629"/>
            <a:gd name="connsiteX1" fmla="*/ 3503746 w 5799088"/>
            <a:gd name="connsiteY1" fmla="*/ 0 h 4097629"/>
            <a:gd name="connsiteX2" fmla="*/ 4150342 w 5799088"/>
            <a:gd name="connsiteY2" fmla="*/ 1206202 h 4097629"/>
            <a:gd name="connsiteX3" fmla="*/ 5799089 w 5799088"/>
            <a:gd name="connsiteY3" fmla="*/ 4097629 h 4097629"/>
            <a:gd name="connsiteX4" fmla="*/ 3507781 w 5799088"/>
            <a:gd name="connsiteY4" fmla="*/ 4097629 h 4097629"/>
            <a:gd name="connsiteX5" fmla="*/ 3507781 w 5799088"/>
            <a:gd name="connsiteY5" fmla="*/ 287629 h 4097629"/>
            <a:gd name="connsiteX0" fmla="*/ 0 w 4150342"/>
            <a:gd name="connsiteY0" fmla="*/ 0 h 4097629"/>
            <a:gd name="connsiteX1" fmla="*/ 3503746 w 4150342"/>
            <a:gd name="connsiteY1" fmla="*/ 0 h 4097629"/>
            <a:gd name="connsiteX2" fmla="*/ 4150342 w 4150342"/>
            <a:gd name="connsiteY2" fmla="*/ 1206202 h 4097629"/>
            <a:gd name="connsiteX3" fmla="*/ 3503746 w 4150342"/>
            <a:gd name="connsiteY3" fmla="*/ 2366384 h 4097629"/>
            <a:gd name="connsiteX4" fmla="*/ 3507781 w 4150342"/>
            <a:gd name="connsiteY4" fmla="*/ 4097629 h 4097629"/>
            <a:gd name="connsiteX5" fmla="*/ 3507781 w 4150342"/>
            <a:gd name="connsiteY5" fmla="*/ 287629 h 4097629"/>
            <a:gd name="connsiteX0" fmla="*/ 0 w 4150342"/>
            <a:gd name="connsiteY0" fmla="*/ 0 h 2366384"/>
            <a:gd name="connsiteX1" fmla="*/ 3503746 w 4150342"/>
            <a:gd name="connsiteY1" fmla="*/ 0 h 2366384"/>
            <a:gd name="connsiteX2" fmla="*/ 4150342 w 4150342"/>
            <a:gd name="connsiteY2" fmla="*/ 1206202 h 2366384"/>
            <a:gd name="connsiteX3" fmla="*/ 3503746 w 4150342"/>
            <a:gd name="connsiteY3" fmla="*/ 2366384 h 2366384"/>
            <a:gd name="connsiteX4" fmla="*/ 3 w 4150342"/>
            <a:gd name="connsiteY4" fmla="*/ 2366384 h 2366384"/>
            <a:gd name="connsiteX5" fmla="*/ 3507781 w 4150342"/>
            <a:gd name="connsiteY5" fmla="*/ 287629 h 2366384"/>
            <a:gd name="connsiteX0" fmla="*/ 0 w 4150342"/>
            <a:gd name="connsiteY0" fmla="*/ 0 h 2366384"/>
            <a:gd name="connsiteX1" fmla="*/ 3503746 w 4150342"/>
            <a:gd name="connsiteY1" fmla="*/ 0 h 2366384"/>
            <a:gd name="connsiteX2" fmla="*/ 4150342 w 4150342"/>
            <a:gd name="connsiteY2" fmla="*/ 1206202 h 2366384"/>
            <a:gd name="connsiteX3" fmla="*/ 3503746 w 4150342"/>
            <a:gd name="connsiteY3" fmla="*/ 2366384 h 2366384"/>
            <a:gd name="connsiteX4" fmla="*/ 3 w 4150342"/>
            <a:gd name="connsiteY4" fmla="*/ 2366384 h 2366384"/>
            <a:gd name="connsiteX5" fmla="*/ 3 w 4150342"/>
            <a:gd name="connsiteY5" fmla="*/ 0 h 23663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42" h="2366384">
              <a:moveTo>
                <a:pt x="0" y="0"/>
              </a:moveTo>
              <a:lnTo>
                <a:pt x="3503746" y="0"/>
              </a:lnTo>
              <a:lnTo>
                <a:pt x="4150342" y="1206202"/>
              </a:lnTo>
              <a:lnTo>
                <a:pt x="3503746" y="2366384"/>
              </a:lnTo>
              <a:lnTo>
                <a:pt x="3" y="236638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30</xdr:row>
      <xdr:rowOff>21168</xdr:rowOff>
    </xdr:from>
    <xdr:to>
      <xdr:col>5</xdr:col>
      <xdr:colOff>583406</xdr:colOff>
      <xdr:row>33</xdr:row>
      <xdr:rowOff>134456</xdr:rowOff>
    </xdr:to>
    <xdr:sp macro="" textlink="">
      <xdr:nvSpPr>
        <xdr:cNvPr id="11" name="Arrow Text $L$106"/>
        <xdr:cNvSpPr txBox="1"/>
      </xdr:nvSpPr>
      <xdr:spPr>
        <a:xfrm>
          <a:off x="3190875" y="4783668"/>
          <a:ext cx="440531" cy="66573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17.9%</a:t>
          </a:r>
        </a:p>
      </xdr:txBody>
    </xdr:sp>
    <xdr:clientData/>
  </xdr:twoCellAnchor>
  <xdr:twoCellAnchor>
    <xdr:from>
      <xdr:col>2</xdr:col>
      <xdr:colOff>328611</xdr:colOff>
      <xdr:row>30</xdr:row>
      <xdr:rowOff>21168</xdr:rowOff>
    </xdr:from>
    <xdr:to>
      <xdr:col>5</xdr:col>
      <xdr:colOff>130174</xdr:colOff>
      <xdr:row>34</xdr:row>
      <xdr:rowOff>46286</xdr:rowOff>
    </xdr:to>
    <xdr:sp macro="" textlink="">
      <xdr:nvSpPr>
        <xdr:cNvPr id="108" name="Arrow $J$106">
          <a:extLst>
            <a:ext uri="{FF2B5EF4-FFF2-40B4-BE49-F238E27FC236}">
              <a16:creationId xmlns:a16="http://schemas.microsoft.com/office/drawing/2014/main" id="{00000000-0008-0000-0400-000007000000}"/>
            </a:ext>
          </a:extLst>
        </xdr:cNvPr>
        <xdr:cNvSpPr/>
      </xdr:nvSpPr>
      <xdr:spPr>
        <a:xfrm>
          <a:off x="1547811" y="4783668"/>
          <a:ext cx="1630363" cy="76171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4097629"/>
            <a:gd name="connsiteX1" fmla="*/ 5816809 w 6071399"/>
            <a:gd name="connsiteY1" fmla="*/ 287629 h 4097629"/>
            <a:gd name="connsiteX2" fmla="*/ 6071399 w 6071399"/>
            <a:gd name="connsiteY2" fmla="*/ 2192629 h 4097629"/>
            <a:gd name="connsiteX3" fmla="*/ 5816809 w 6071399"/>
            <a:gd name="connsiteY3" fmla="*/ 4097629 h 4097629"/>
            <a:gd name="connsiteX4" fmla="*/ 3525501 w 6071399"/>
            <a:gd name="connsiteY4" fmla="*/ 4097629 h 4097629"/>
            <a:gd name="connsiteX5" fmla="*/ 3525501 w 6071399"/>
            <a:gd name="connsiteY5" fmla="*/ 287629 h 4097629"/>
            <a:gd name="connsiteX0" fmla="*/ 0 w 6071399"/>
            <a:gd name="connsiteY0" fmla="*/ 0 h 4097629"/>
            <a:gd name="connsiteX1" fmla="*/ 3509316 w 6071399"/>
            <a:gd name="connsiteY1" fmla="*/ 0 h 4097629"/>
            <a:gd name="connsiteX2" fmla="*/ 6071399 w 6071399"/>
            <a:gd name="connsiteY2" fmla="*/ 2192629 h 4097629"/>
            <a:gd name="connsiteX3" fmla="*/ 5816809 w 6071399"/>
            <a:gd name="connsiteY3" fmla="*/ 4097629 h 4097629"/>
            <a:gd name="connsiteX4" fmla="*/ 3525501 w 6071399"/>
            <a:gd name="connsiteY4" fmla="*/ 4097629 h 4097629"/>
            <a:gd name="connsiteX5" fmla="*/ 3525501 w 6071399"/>
            <a:gd name="connsiteY5" fmla="*/ 287629 h 4097629"/>
            <a:gd name="connsiteX0" fmla="*/ 0 w 5816809"/>
            <a:gd name="connsiteY0" fmla="*/ 0 h 4097629"/>
            <a:gd name="connsiteX1" fmla="*/ 3509316 w 5816809"/>
            <a:gd name="connsiteY1" fmla="*/ 0 h 4097629"/>
            <a:gd name="connsiteX2" fmla="*/ 4156940 w 5816809"/>
            <a:gd name="connsiteY2" fmla="*/ 1403112 h 4097629"/>
            <a:gd name="connsiteX3" fmla="*/ 5816809 w 5816809"/>
            <a:gd name="connsiteY3" fmla="*/ 4097629 h 4097629"/>
            <a:gd name="connsiteX4" fmla="*/ 3525501 w 5816809"/>
            <a:gd name="connsiteY4" fmla="*/ 4097629 h 4097629"/>
            <a:gd name="connsiteX5" fmla="*/ 3525501 w 5816809"/>
            <a:gd name="connsiteY5" fmla="*/ 287629 h 4097629"/>
            <a:gd name="connsiteX0" fmla="*/ 0 w 4156940"/>
            <a:gd name="connsiteY0" fmla="*/ 0 h 4097629"/>
            <a:gd name="connsiteX1" fmla="*/ 3509316 w 4156940"/>
            <a:gd name="connsiteY1" fmla="*/ 0 h 4097629"/>
            <a:gd name="connsiteX2" fmla="*/ 4156940 w 4156940"/>
            <a:gd name="connsiteY2" fmla="*/ 1403112 h 4097629"/>
            <a:gd name="connsiteX3" fmla="*/ 3509316 w 4156940"/>
            <a:gd name="connsiteY3" fmla="*/ 2760203 h 4097629"/>
            <a:gd name="connsiteX4" fmla="*/ 3525501 w 4156940"/>
            <a:gd name="connsiteY4" fmla="*/ 4097629 h 4097629"/>
            <a:gd name="connsiteX5" fmla="*/ 3525501 w 4156940"/>
            <a:gd name="connsiteY5" fmla="*/ 287629 h 4097629"/>
            <a:gd name="connsiteX0" fmla="*/ 0 w 4156940"/>
            <a:gd name="connsiteY0" fmla="*/ 0 h 2760203"/>
            <a:gd name="connsiteX1" fmla="*/ 3509316 w 4156940"/>
            <a:gd name="connsiteY1" fmla="*/ 0 h 2760203"/>
            <a:gd name="connsiteX2" fmla="*/ 4156940 w 4156940"/>
            <a:gd name="connsiteY2" fmla="*/ 1403112 h 2760203"/>
            <a:gd name="connsiteX3" fmla="*/ 3509316 w 4156940"/>
            <a:gd name="connsiteY3" fmla="*/ 2760203 h 2760203"/>
            <a:gd name="connsiteX4" fmla="*/ 5 w 4156940"/>
            <a:gd name="connsiteY4" fmla="*/ 2760203 h 2760203"/>
            <a:gd name="connsiteX5" fmla="*/ 3525501 w 4156940"/>
            <a:gd name="connsiteY5" fmla="*/ 287629 h 2760203"/>
            <a:gd name="connsiteX0" fmla="*/ 0 w 4156940"/>
            <a:gd name="connsiteY0" fmla="*/ 0 h 2760203"/>
            <a:gd name="connsiteX1" fmla="*/ 3509316 w 4156940"/>
            <a:gd name="connsiteY1" fmla="*/ 0 h 2760203"/>
            <a:gd name="connsiteX2" fmla="*/ 4156940 w 4156940"/>
            <a:gd name="connsiteY2" fmla="*/ 1403112 h 2760203"/>
            <a:gd name="connsiteX3" fmla="*/ 3509316 w 4156940"/>
            <a:gd name="connsiteY3" fmla="*/ 2760203 h 2760203"/>
            <a:gd name="connsiteX4" fmla="*/ 5 w 4156940"/>
            <a:gd name="connsiteY4" fmla="*/ 2760203 h 2760203"/>
            <a:gd name="connsiteX5" fmla="*/ 5 w 4156940"/>
            <a:gd name="connsiteY5" fmla="*/ 0 h 27602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2760203">
              <a:moveTo>
                <a:pt x="0" y="0"/>
              </a:moveTo>
              <a:lnTo>
                <a:pt x="3509316" y="0"/>
              </a:lnTo>
              <a:lnTo>
                <a:pt x="4156940" y="1403112"/>
              </a:lnTo>
              <a:lnTo>
                <a:pt x="3509316" y="2760203"/>
              </a:lnTo>
              <a:lnTo>
                <a:pt x="5" y="2760203"/>
              </a:lnTo>
              <a:lnTo>
                <a:pt x="5"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30</xdr:row>
      <xdr:rowOff>21168</xdr:rowOff>
    </xdr:from>
    <xdr:to>
      <xdr:col>3</xdr:col>
      <xdr:colOff>413544</xdr:colOff>
      <xdr:row>34</xdr:row>
      <xdr:rowOff>58986</xdr:rowOff>
    </xdr:to>
    <xdr:sp macro="" textlink="">
      <xdr:nvSpPr>
        <xdr:cNvPr id="12" name="Arrow Text $J$106"/>
        <xdr:cNvSpPr txBox="1"/>
      </xdr:nvSpPr>
      <xdr:spPr>
        <a:xfrm>
          <a:off x="1801813" y="4783668"/>
          <a:ext cx="440531" cy="77441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20.8%</a:t>
          </a:r>
        </a:p>
      </xdr:txBody>
    </xdr:sp>
    <xdr:clientData/>
  </xdr:twoCellAnchor>
  <xdr:twoCellAnchor>
    <xdr:from>
      <xdr:col>0</xdr:col>
      <xdr:colOff>158749</xdr:colOff>
      <xdr:row>30</xdr:row>
      <xdr:rowOff>21168</xdr:rowOff>
    </xdr:from>
    <xdr:to>
      <xdr:col>2</xdr:col>
      <xdr:colOff>569912</xdr:colOff>
      <xdr:row>34</xdr:row>
      <xdr:rowOff>46286</xdr:rowOff>
    </xdr:to>
    <xdr:sp macro="" textlink="">
      <xdr:nvSpPr>
        <xdr:cNvPr id="110" name="Arrow $H$106">
          <a:extLst>
            <a:ext uri="{FF2B5EF4-FFF2-40B4-BE49-F238E27FC236}">
              <a16:creationId xmlns:a16="http://schemas.microsoft.com/office/drawing/2014/main" id="{00000000-0008-0000-0400-000007000000}"/>
            </a:ext>
          </a:extLst>
        </xdr:cNvPr>
        <xdr:cNvSpPr/>
      </xdr:nvSpPr>
      <xdr:spPr>
        <a:xfrm>
          <a:off x="158749" y="4783668"/>
          <a:ext cx="1630363" cy="761718"/>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4097629"/>
            <a:gd name="connsiteX1" fmla="*/ 5824905 w 6079495"/>
            <a:gd name="connsiteY1" fmla="*/ 287629 h 4097629"/>
            <a:gd name="connsiteX2" fmla="*/ 6079495 w 6079495"/>
            <a:gd name="connsiteY2" fmla="*/ 2192629 h 4097629"/>
            <a:gd name="connsiteX3" fmla="*/ 5824905 w 6079495"/>
            <a:gd name="connsiteY3" fmla="*/ 4097629 h 4097629"/>
            <a:gd name="connsiteX4" fmla="*/ 3533597 w 6079495"/>
            <a:gd name="connsiteY4" fmla="*/ 4097629 h 4097629"/>
            <a:gd name="connsiteX5" fmla="*/ 3533597 w 6079495"/>
            <a:gd name="connsiteY5" fmla="*/ 287629 h 4097629"/>
            <a:gd name="connsiteX0" fmla="*/ 0 w 6079495"/>
            <a:gd name="connsiteY0" fmla="*/ 0 h 4097629"/>
            <a:gd name="connsiteX1" fmla="*/ 3509316 w 6079495"/>
            <a:gd name="connsiteY1" fmla="*/ 0 h 4097629"/>
            <a:gd name="connsiteX2" fmla="*/ 6079495 w 6079495"/>
            <a:gd name="connsiteY2" fmla="*/ 2192629 h 4097629"/>
            <a:gd name="connsiteX3" fmla="*/ 5824905 w 6079495"/>
            <a:gd name="connsiteY3" fmla="*/ 4097629 h 4097629"/>
            <a:gd name="connsiteX4" fmla="*/ 3533597 w 6079495"/>
            <a:gd name="connsiteY4" fmla="*/ 4097629 h 4097629"/>
            <a:gd name="connsiteX5" fmla="*/ 3533597 w 6079495"/>
            <a:gd name="connsiteY5" fmla="*/ 287629 h 4097629"/>
            <a:gd name="connsiteX0" fmla="*/ 0 w 5824905"/>
            <a:gd name="connsiteY0" fmla="*/ 0 h 4097629"/>
            <a:gd name="connsiteX1" fmla="*/ 3509316 w 5824905"/>
            <a:gd name="connsiteY1" fmla="*/ 0 h 4097629"/>
            <a:gd name="connsiteX2" fmla="*/ 4156940 w 5824905"/>
            <a:gd name="connsiteY2" fmla="*/ 1403112 h 4097629"/>
            <a:gd name="connsiteX3" fmla="*/ 5824905 w 5824905"/>
            <a:gd name="connsiteY3" fmla="*/ 4097629 h 4097629"/>
            <a:gd name="connsiteX4" fmla="*/ 3533597 w 5824905"/>
            <a:gd name="connsiteY4" fmla="*/ 4097629 h 4097629"/>
            <a:gd name="connsiteX5" fmla="*/ 3533597 w 5824905"/>
            <a:gd name="connsiteY5" fmla="*/ 287629 h 4097629"/>
            <a:gd name="connsiteX0" fmla="*/ 0 w 4156941"/>
            <a:gd name="connsiteY0" fmla="*/ 0 h 4097629"/>
            <a:gd name="connsiteX1" fmla="*/ 3509316 w 4156941"/>
            <a:gd name="connsiteY1" fmla="*/ 0 h 4097629"/>
            <a:gd name="connsiteX2" fmla="*/ 4156940 w 4156941"/>
            <a:gd name="connsiteY2" fmla="*/ 1403112 h 4097629"/>
            <a:gd name="connsiteX3" fmla="*/ 3509319 w 4156941"/>
            <a:gd name="connsiteY3" fmla="*/ 2760203 h 4097629"/>
            <a:gd name="connsiteX4" fmla="*/ 3533597 w 4156941"/>
            <a:gd name="connsiteY4" fmla="*/ 4097629 h 4097629"/>
            <a:gd name="connsiteX5" fmla="*/ 3533597 w 4156941"/>
            <a:gd name="connsiteY5" fmla="*/ 287629 h 4097629"/>
            <a:gd name="connsiteX0" fmla="*/ 0 w 4156941"/>
            <a:gd name="connsiteY0" fmla="*/ 0 h 2760203"/>
            <a:gd name="connsiteX1" fmla="*/ 3509316 w 4156941"/>
            <a:gd name="connsiteY1" fmla="*/ 0 h 2760203"/>
            <a:gd name="connsiteX2" fmla="*/ 4156940 w 4156941"/>
            <a:gd name="connsiteY2" fmla="*/ 1403112 h 2760203"/>
            <a:gd name="connsiteX3" fmla="*/ 3509319 w 4156941"/>
            <a:gd name="connsiteY3" fmla="*/ 2760203 h 2760203"/>
            <a:gd name="connsiteX4" fmla="*/ 3 w 4156941"/>
            <a:gd name="connsiteY4" fmla="*/ 2760203 h 2760203"/>
            <a:gd name="connsiteX5" fmla="*/ 3533597 w 4156941"/>
            <a:gd name="connsiteY5" fmla="*/ 287629 h 2760203"/>
            <a:gd name="connsiteX0" fmla="*/ 0 w 4156941"/>
            <a:gd name="connsiteY0" fmla="*/ 0 h 2760203"/>
            <a:gd name="connsiteX1" fmla="*/ 3509316 w 4156941"/>
            <a:gd name="connsiteY1" fmla="*/ 0 h 2760203"/>
            <a:gd name="connsiteX2" fmla="*/ 4156940 w 4156941"/>
            <a:gd name="connsiteY2" fmla="*/ 1403112 h 2760203"/>
            <a:gd name="connsiteX3" fmla="*/ 3509319 w 4156941"/>
            <a:gd name="connsiteY3" fmla="*/ 2760203 h 2760203"/>
            <a:gd name="connsiteX4" fmla="*/ 3 w 4156941"/>
            <a:gd name="connsiteY4" fmla="*/ 2760203 h 2760203"/>
            <a:gd name="connsiteX5" fmla="*/ 3 w 4156941"/>
            <a:gd name="connsiteY5" fmla="*/ 0 h 27602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2760203">
              <a:moveTo>
                <a:pt x="0" y="0"/>
              </a:moveTo>
              <a:lnTo>
                <a:pt x="3509316" y="0"/>
              </a:lnTo>
              <a:lnTo>
                <a:pt x="4156940" y="1403112"/>
              </a:lnTo>
              <a:lnTo>
                <a:pt x="3509319" y="2760203"/>
              </a:lnTo>
              <a:lnTo>
                <a:pt x="3" y="2760203"/>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30</xdr:row>
      <xdr:rowOff>21168</xdr:rowOff>
    </xdr:from>
    <xdr:to>
      <xdr:col>2</xdr:col>
      <xdr:colOff>328613</xdr:colOff>
      <xdr:row>34</xdr:row>
      <xdr:rowOff>58986</xdr:rowOff>
    </xdr:to>
    <xdr:sp macro="" textlink="">
      <xdr:nvSpPr>
        <xdr:cNvPr id="13" name="Arrow Text $H$106"/>
        <xdr:cNvSpPr txBox="1"/>
      </xdr:nvSpPr>
      <xdr:spPr>
        <a:xfrm>
          <a:off x="158750" y="4783668"/>
          <a:ext cx="1389063" cy="77441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ONSITE  FACILITIES</a:t>
          </a:r>
        </a:p>
        <a:p>
          <a:r>
            <a:rPr lang="en-GB" sz="1100">
              <a:solidFill>
                <a:schemeClr val="bg1"/>
              </a:solidFill>
            </a:rPr>
            <a:t> SEPTIC TANK</a:t>
          </a:r>
        </a:p>
      </xdr:txBody>
    </xdr:sp>
    <xdr:clientData/>
  </xdr:twoCellAnchor>
  <xdr:twoCellAnchor>
    <xdr:from>
      <xdr:col>9</xdr:col>
      <xdr:colOff>228600</xdr:colOff>
      <xdr:row>28</xdr:row>
      <xdr:rowOff>14608</xdr:rowOff>
    </xdr:from>
    <xdr:to>
      <xdr:col>10</xdr:col>
      <xdr:colOff>465931</xdr:colOff>
      <xdr:row>39</xdr:row>
      <xdr:rowOff>31750</xdr:rowOff>
    </xdr:to>
    <xdr:sp macro="" textlink="">
      <xdr:nvSpPr>
        <xdr:cNvPr id="112" name="Arrow $P$92">
          <a:extLst>
            <a:ext uri="{FF2B5EF4-FFF2-40B4-BE49-F238E27FC236}">
              <a16:creationId xmlns:a16="http://schemas.microsoft.com/office/drawing/2014/main" id="{00000000-0008-0000-0400-000006000000}"/>
            </a:ext>
          </a:extLst>
        </xdr:cNvPr>
        <xdr:cNvSpPr/>
      </xdr:nvSpPr>
      <xdr:spPr>
        <a:xfrm>
          <a:off x="5715000" y="4408808"/>
          <a:ext cx="846931" cy="2042792"/>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14149438 w 14149438"/>
            <a:gd name="connsiteY0" fmla="*/ 0 h 5455990"/>
            <a:gd name="connsiteX1" fmla="*/ 1273411 w 14149438"/>
            <a:gd name="connsiteY1" fmla="*/ 1645990 h 5455990"/>
            <a:gd name="connsiteX2" fmla="*/ 2546822 w 14149438"/>
            <a:gd name="connsiteY2" fmla="*/ 2915990 h 5455990"/>
            <a:gd name="connsiteX3" fmla="*/ 2546822 w 14149438"/>
            <a:gd name="connsiteY3" fmla="*/ 5201990 h 5455990"/>
            <a:gd name="connsiteX4" fmla="*/ 1910117 w 14149438"/>
            <a:gd name="connsiteY4" fmla="*/ 5455990 h 5455990"/>
            <a:gd name="connsiteX5" fmla="*/ 1273411 w 14149438"/>
            <a:gd name="connsiteY5" fmla="*/ 5201990 h 5455990"/>
            <a:gd name="connsiteX6" fmla="*/ 1273411 w 14149438"/>
            <a:gd name="connsiteY6" fmla="*/ 4185990 h 5455990"/>
            <a:gd name="connsiteX7" fmla="*/ 636706 w 14149438"/>
            <a:gd name="connsiteY7" fmla="*/ 3550990 h 5455990"/>
            <a:gd name="connsiteX8" fmla="*/ 0 w 14149438"/>
            <a:gd name="connsiteY8" fmla="*/ 3550990 h 5455990"/>
            <a:gd name="connsiteX9" fmla="*/ 0 w 14149438"/>
            <a:gd name="connsiteY9" fmla="*/ 1645990 h 5455990"/>
            <a:gd name="connsiteX0" fmla="*/ 14149438 w 15659384"/>
            <a:gd name="connsiteY0" fmla="*/ 0 h 5455990"/>
            <a:gd name="connsiteX1" fmla="*/ 15659384 w 15659384"/>
            <a:gd name="connsiteY1" fmla="*/ 0 h 5455990"/>
            <a:gd name="connsiteX2" fmla="*/ 2546822 w 15659384"/>
            <a:gd name="connsiteY2" fmla="*/ 2915990 h 5455990"/>
            <a:gd name="connsiteX3" fmla="*/ 2546822 w 15659384"/>
            <a:gd name="connsiteY3" fmla="*/ 5201990 h 5455990"/>
            <a:gd name="connsiteX4" fmla="*/ 1910117 w 15659384"/>
            <a:gd name="connsiteY4" fmla="*/ 5455990 h 5455990"/>
            <a:gd name="connsiteX5" fmla="*/ 1273411 w 15659384"/>
            <a:gd name="connsiteY5" fmla="*/ 5201990 h 5455990"/>
            <a:gd name="connsiteX6" fmla="*/ 1273411 w 15659384"/>
            <a:gd name="connsiteY6" fmla="*/ 4185990 h 5455990"/>
            <a:gd name="connsiteX7" fmla="*/ 636706 w 15659384"/>
            <a:gd name="connsiteY7" fmla="*/ 3550990 h 5455990"/>
            <a:gd name="connsiteX8" fmla="*/ 0 w 15659384"/>
            <a:gd name="connsiteY8" fmla="*/ 3550990 h 5455990"/>
            <a:gd name="connsiteX9" fmla="*/ 0 w 15659384"/>
            <a:gd name="connsiteY9" fmla="*/ 1645990 h 5455990"/>
            <a:gd name="connsiteX0" fmla="*/ 14149438 w 15665129"/>
            <a:gd name="connsiteY0" fmla="*/ 0 h 5455990"/>
            <a:gd name="connsiteX1" fmla="*/ 15659384 w 15665129"/>
            <a:gd name="connsiteY1" fmla="*/ 0 h 5455990"/>
            <a:gd name="connsiteX2" fmla="*/ 2546822 w 15665129"/>
            <a:gd name="connsiteY2" fmla="*/ 2915990 h 5455990"/>
            <a:gd name="connsiteX3" fmla="*/ 2546822 w 15665129"/>
            <a:gd name="connsiteY3" fmla="*/ 5201990 h 5455990"/>
            <a:gd name="connsiteX4" fmla="*/ 1910117 w 15665129"/>
            <a:gd name="connsiteY4" fmla="*/ 5455990 h 5455990"/>
            <a:gd name="connsiteX5" fmla="*/ 1273411 w 15665129"/>
            <a:gd name="connsiteY5" fmla="*/ 5201990 h 5455990"/>
            <a:gd name="connsiteX6" fmla="*/ 1273411 w 15665129"/>
            <a:gd name="connsiteY6" fmla="*/ 4185990 h 5455990"/>
            <a:gd name="connsiteX7" fmla="*/ 636706 w 15665129"/>
            <a:gd name="connsiteY7" fmla="*/ 3550990 h 5455990"/>
            <a:gd name="connsiteX8" fmla="*/ 0 w 15665129"/>
            <a:gd name="connsiteY8" fmla="*/ 3550990 h 5455990"/>
            <a:gd name="connsiteX9" fmla="*/ 0 w 15665129"/>
            <a:gd name="connsiteY9" fmla="*/ 1645990 h 5455990"/>
            <a:gd name="connsiteX0" fmla="*/ 14149438 w 15757404"/>
            <a:gd name="connsiteY0" fmla="*/ 0 h 5455990"/>
            <a:gd name="connsiteX1" fmla="*/ 15659384 w 15757404"/>
            <a:gd name="connsiteY1" fmla="*/ 0 h 5455990"/>
            <a:gd name="connsiteX2" fmla="*/ 2546822 w 15757404"/>
            <a:gd name="connsiteY2" fmla="*/ 2915990 h 5455990"/>
            <a:gd name="connsiteX3" fmla="*/ 2546822 w 15757404"/>
            <a:gd name="connsiteY3" fmla="*/ 5201990 h 5455990"/>
            <a:gd name="connsiteX4" fmla="*/ 1910117 w 15757404"/>
            <a:gd name="connsiteY4" fmla="*/ 5455990 h 5455990"/>
            <a:gd name="connsiteX5" fmla="*/ 1273411 w 15757404"/>
            <a:gd name="connsiteY5" fmla="*/ 5201990 h 5455990"/>
            <a:gd name="connsiteX6" fmla="*/ 1273411 w 15757404"/>
            <a:gd name="connsiteY6" fmla="*/ 4185990 h 5455990"/>
            <a:gd name="connsiteX7" fmla="*/ 636706 w 15757404"/>
            <a:gd name="connsiteY7" fmla="*/ 3550990 h 5455990"/>
            <a:gd name="connsiteX8" fmla="*/ 0 w 15757404"/>
            <a:gd name="connsiteY8" fmla="*/ 3550990 h 5455990"/>
            <a:gd name="connsiteX9" fmla="*/ 0 w 15757404"/>
            <a:gd name="connsiteY9" fmla="*/ 1645990 h 5455990"/>
            <a:gd name="connsiteX0" fmla="*/ 14149438 w 16306212"/>
            <a:gd name="connsiteY0" fmla="*/ 0 h 5455990"/>
            <a:gd name="connsiteX1" fmla="*/ 15659384 w 16306212"/>
            <a:gd name="connsiteY1" fmla="*/ 0 h 5455990"/>
            <a:gd name="connsiteX2" fmla="*/ 16306212 w 16306212"/>
            <a:gd name="connsiteY2" fmla="*/ 920408 h 5455990"/>
            <a:gd name="connsiteX3" fmla="*/ 2546822 w 16306212"/>
            <a:gd name="connsiteY3" fmla="*/ 5201990 h 5455990"/>
            <a:gd name="connsiteX4" fmla="*/ 1910117 w 16306212"/>
            <a:gd name="connsiteY4" fmla="*/ 5455990 h 5455990"/>
            <a:gd name="connsiteX5" fmla="*/ 1273411 w 16306212"/>
            <a:gd name="connsiteY5" fmla="*/ 5201990 h 5455990"/>
            <a:gd name="connsiteX6" fmla="*/ 1273411 w 16306212"/>
            <a:gd name="connsiteY6" fmla="*/ 4185990 h 5455990"/>
            <a:gd name="connsiteX7" fmla="*/ 636706 w 16306212"/>
            <a:gd name="connsiteY7" fmla="*/ 3550990 h 5455990"/>
            <a:gd name="connsiteX8" fmla="*/ 0 w 16306212"/>
            <a:gd name="connsiteY8" fmla="*/ 3550990 h 5455990"/>
            <a:gd name="connsiteX9" fmla="*/ 0 w 16306212"/>
            <a:gd name="connsiteY9" fmla="*/ 1645990 h 5455990"/>
            <a:gd name="connsiteX0" fmla="*/ 14149438 w 16306212"/>
            <a:gd name="connsiteY0" fmla="*/ 0 h 6481962"/>
            <a:gd name="connsiteX1" fmla="*/ 15659384 w 16306212"/>
            <a:gd name="connsiteY1" fmla="*/ 0 h 6481962"/>
            <a:gd name="connsiteX2" fmla="*/ 16306212 w 16306212"/>
            <a:gd name="connsiteY2" fmla="*/ 920408 h 6481962"/>
            <a:gd name="connsiteX3" fmla="*/ 16306212 w 16306212"/>
            <a:gd name="connsiteY3" fmla="*/ 6481962 h 6481962"/>
            <a:gd name="connsiteX4" fmla="*/ 1910117 w 16306212"/>
            <a:gd name="connsiteY4" fmla="*/ 5455990 h 6481962"/>
            <a:gd name="connsiteX5" fmla="*/ 1273411 w 16306212"/>
            <a:gd name="connsiteY5" fmla="*/ 5201990 h 6481962"/>
            <a:gd name="connsiteX6" fmla="*/ 1273411 w 16306212"/>
            <a:gd name="connsiteY6" fmla="*/ 4185990 h 6481962"/>
            <a:gd name="connsiteX7" fmla="*/ 636706 w 16306212"/>
            <a:gd name="connsiteY7" fmla="*/ 3550990 h 6481962"/>
            <a:gd name="connsiteX8" fmla="*/ 0 w 16306212"/>
            <a:gd name="connsiteY8" fmla="*/ 3550990 h 6481962"/>
            <a:gd name="connsiteX9" fmla="*/ 0 w 16306212"/>
            <a:gd name="connsiteY9" fmla="*/ 1645990 h 6481962"/>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273411 w 16306212"/>
            <a:gd name="connsiteY5" fmla="*/ 5201990 h 7402370"/>
            <a:gd name="connsiteX6" fmla="*/ 1273411 w 16306212"/>
            <a:gd name="connsiteY6" fmla="*/ 4185990 h 7402370"/>
            <a:gd name="connsiteX7" fmla="*/ 636706 w 16306212"/>
            <a:gd name="connsiteY7" fmla="*/ 3550990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273411 w 16306212"/>
            <a:gd name="connsiteY6" fmla="*/ 4185990 h 7402370"/>
            <a:gd name="connsiteX7" fmla="*/ 636706 w 16306212"/>
            <a:gd name="connsiteY7" fmla="*/ 3550990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6209187 w 16306212"/>
            <a:gd name="connsiteY6" fmla="*/ 1858836 h 7402370"/>
            <a:gd name="connsiteX7" fmla="*/ 636706 w 16306212"/>
            <a:gd name="connsiteY7" fmla="*/ 3550990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6209187 w 16306212"/>
            <a:gd name="connsiteY6" fmla="*/ 1858836 h 7402370"/>
            <a:gd name="connsiteX7" fmla="*/ 636706 w 16306212"/>
            <a:gd name="connsiteY7" fmla="*/ 3550990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6209187 w 16306212"/>
            <a:gd name="connsiteY6" fmla="*/ 1858836 h 7402370"/>
            <a:gd name="connsiteX7" fmla="*/ 636706 w 16306212"/>
            <a:gd name="connsiteY7" fmla="*/ 3550990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6209187 w 16306212"/>
            <a:gd name="connsiteY6" fmla="*/ 1858836 h 7402370"/>
            <a:gd name="connsiteX7" fmla="*/ 15562356 w 16306212"/>
            <a:gd name="connsiteY7" fmla="*/ 938428 h 7402370"/>
            <a:gd name="connsiteX8" fmla="*/ 0 w 16306212"/>
            <a:gd name="connsiteY8" fmla="*/ 3550990 h 7402370"/>
            <a:gd name="connsiteX9" fmla="*/ 0 w 16306212"/>
            <a:gd name="connsiteY9" fmla="*/ 1645990 h 7402370"/>
            <a:gd name="connsiteX0" fmla="*/ 14149438 w 16306212"/>
            <a:gd name="connsiteY0" fmla="*/ 0 h 7402370"/>
            <a:gd name="connsiteX1" fmla="*/ 15659384 w 16306212"/>
            <a:gd name="connsiteY1" fmla="*/ 0 h 7402370"/>
            <a:gd name="connsiteX2" fmla="*/ 16306212 w 16306212"/>
            <a:gd name="connsiteY2" fmla="*/ 920408 h 7402370"/>
            <a:gd name="connsiteX3" fmla="*/ 16306212 w 16306212"/>
            <a:gd name="connsiteY3" fmla="*/ 6481962 h 7402370"/>
            <a:gd name="connsiteX4" fmla="*/ 16257700 w 16306212"/>
            <a:gd name="connsiteY4" fmla="*/ 7402370 h 7402370"/>
            <a:gd name="connsiteX5" fmla="*/ 16209187 w 16306212"/>
            <a:gd name="connsiteY5" fmla="*/ 6481962 h 7402370"/>
            <a:gd name="connsiteX6" fmla="*/ 16209187 w 16306212"/>
            <a:gd name="connsiteY6" fmla="*/ 1858836 h 7402370"/>
            <a:gd name="connsiteX7" fmla="*/ 15562356 w 16306212"/>
            <a:gd name="connsiteY7" fmla="*/ 938428 h 7402370"/>
            <a:gd name="connsiteX8" fmla="*/ 14149435 w 16306212"/>
            <a:gd name="connsiteY8" fmla="*/ 938428 h 7402370"/>
            <a:gd name="connsiteX9" fmla="*/ 0 w 16306212"/>
            <a:gd name="connsiteY9" fmla="*/ 1645990 h 7402370"/>
            <a:gd name="connsiteX0" fmla="*/ 3 w 2156777"/>
            <a:gd name="connsiteY0" fmla="*/ 0 h 7402370"/>
            <a:gd name="connsiteX1" fmla="*/ 1509949 w 2156777"/>
            <a:gd name="connsiteY1" fmla="*/ 0 h 7402370"/>
            <a:gd name="connsiteX2" fmla="*/ 2156777 w 2156777"/>
            <a:gd name="connsiteY2" fmla="*/ 920408 h 7402370"/>
            <a:gd name="connsiteX3" fmla="*/ 2156777 w 2156777"/>
            <a:gd name="connsiteY3" fmla="*/ 6481962 h 7402370"/>
            <a:gd name="connsiteX4" fmla="*/ 2108265 w 2156777"/>
            <a:gd name="connsiteY4" fmla="*/ 7402370 h 7402370"/>
            <a:gd name="connsiteX5" fmla="*/ 2059752 w 2156777"/>
            <a:gd name="connsiteY5" fmla="*/ 6481962 h 7402370"/>
            <a:gd name="connsiteX6" fmla="*/ 2059752 w 2156777"/>
            <a:gd name="connsiteY6" fmla="*/ 1858836 h 7402370"/>
            <a:gd name="connsiteX7" fmla="*/ 1412921 w 2156777"/>
            <a:gd name="connsiteY7" fmla="*/ 938428 h 7402370"/>
            <a:gd name="connsiteX8" fmla="*/ 0 w 2156777"/>
            <a:gd name="connsiteY8" fmla="*/ 938428 h 7402370"/>
            <a:gd name="connsiteX9" fmla="*/ 0 w 2156777"/>
            <a:gd name="connsiteY9" fmla="*/ 0 h 74023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156777" h="7402370">
              <a:moveTo>
                <a:pt x="3" y="0"/>
              </a:moveTo>
              <a:lnTo>
                <a:pt x="1509949" y="0"/>
              </a:lnTo>
              <a:cubicBezTo>
                <a:pt x="1833362" y="0"/>
                <a:pt x="2156778" y="460204"/>
                <a:pt x="2156777" y="920408"/>
              </a:cubicBezTo>
              <a:lnTo>
                <a:pt x="2156777" y="6481962"/>
              </a:lnTo>
              <a:lnTo>
                <a:pt x="2108265" y="7402370"/>
              </a:lnTo>
              <a:lnTo>
                <a:pt x="2059752" y="6481962"/>
              </a:lnTo>
              <a:lnTo>
                <a:pt x="2059752" y="1858836"/>
              </a:lnTo>
              <a:cubicBezTo>
                <a:pt x="2059752" y="1398632"/>
                <a:pt x="1736337" y="938428"/>
                <a:pt x="1412921" y="938428"/>
              </a:cubicBezTo>
              <a:lnTo>
                <a:pt x="0" y="938428"/>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28</xdr:row>
      <xdr:rowOff>14608</xdr:rowOff>
    </xdr:from>
    <xdr:to>
      <xdr:col>10</xdr:col>
      <xdr:colOff>313531</xdr:colOff>
      <xdr:row>29</xdr:row>
      <xdr:rowOff>102131</xdr:rowOff>
    </xdr:to>
    <xdr:sp macro="" textlink="">
      <xdr:nvSpPr>
        <xdr:cNvPr id="14" name="Arrow Text $P$92"/>
        <xdr:cNvSpPr txBox="1"/>
      </xdr:nvSpPr>
      <xdr:spPr>
        <a:xfrm>
          <a:off x="5969000" y="4408808"/>
          <a:ext cx="440531" cy="27167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7.3%</a:t>
          </a:r>
        </a:p>
      </xdr:txBody>
    </xdr:sp>
    <xdr:clientData/>
  </xdr:twoCellAnchor>
  <xdr:twoCellAnchor>
    <xdr:from>
      <xdr:col>11</xdr:col>
      <xdr:colOff>398463</xdr:colOff>
      <xdr:row>14</xdr:row>
      <xdr:rowOff>95362</xdr:rowOff>
    </xdr:from>
    <xdr:to>
      <xdr:col>13</xdr:col>
      <xdr:colOff>180035</xdr:colOff>
      <xdr:row>39</xdr:row>
      <xdr:rowOff>31750</xdr:rowOff>
    </xdr:to>
    <xdr:sp macro="" textlink="">
      <xdr:nvSpPr>
        <xdr:cNvPr id="114" name="Arrow $R$90">
          <a:extLst>
            <a:ext uri="{FF2B5EF4-FFF2-40B4-BE49-F238E27FC236}">
              <a16:creationId xmlns:a16="http://schemas.microsoft.com/office/drawing/2014/main" id="{00000000-0008-0000-0400-000006000000}"/>
            </a:ext>
          </a:extLst>
        </xdr:cNvPr>
        <xdr:cNvSpPr/>
      </xdr:nvSpPr>
      <xdr:spPr>
        <a:xfrm>
          <a:off x="7104063" y="2819512"/>
          <a:ext cx="1000772" cy="3632088"/>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573742 w 3573742"/>
            <a:gd name="connsiteY0" fmla="*/ 0 h 9845181"/>
            <a:gd name="connsiteX1" fmla="*/ 1273411 w 3573742"/>
            <a:gd name="connsiteY1" fmla="*/ 6035181 h 9845181"/>
            <a:gd name="connsiteX2" fmla="*/ 2546822 w 3573742"/>
            <a:gd name="connsiteY2" fmla="*/ 7305181 h 9845181"/>
            <a:gd name="connsiteX3" fmla="*/ 2546822 w 3573742"/>
            <a:gd name="connsiteY3" fmla="*/ 9591181 h 9845181"/>
            <a:gd name="connsiteX4" fmla="*/ 1910117 w 3573742"/>
            <a:gd name="connsiteY4" fmla="*/ 9845181 h 9845181"/>
            <a:gd name="connsiteX5" fmla="*/ 1273411 w 3573742"/>
            <a:gd name="connsiteY5" fmla="*/ 9591181 h 9845181"/>
            <a:gd name="connsiteX6" fmla="*/ 1273411 w 3573742"/>
            <a:gd name="connsiteY6" fmla="*/ 8575181 h 9845181"/>
            <a:gd name="connsiteX7" fmla="*/ 636706 w 3573742"/>
            <a:gd name="connsiteY7" fmla="*/ 7940181 h 9845181"/>
            <a:gd name="connsiteX8" fmla="*/ 0 w 3573742"/>
            <a:gd name="connsiteY8" fmla="*/ 7940181 h 9845181"/>
            <a:gd name="connsiteX9" fmla="*/ 0 w 3573742"/>
            <a:gd name="connsiteY9" fmla="*/ 6035181 h 9845181"/>
            <a:gd name="connsiteX0" fmla="*/ 3573742 w 5475455"/>
            <a:gd name="connsiteY0" fmla="*/ 0 h 9845181"/>
            <a:gd name="connsiteX1" fmla="*/ 5475455 w 5475455"/>
            <a:gd name="connsiteY1" fmla="*/ 0 h 9845181"/>
            <a:gd name="connsiteX2" fmla="*/ 2546822 w 5475455"/>
            <a:gd name="connsiteY2" fmla="*/ 7305181 h 9845181"/>
            <a:gd name="connsiteX3" fmla="*/ 2546822 w 5475455"/>
            <a:gd name="connsiteY3" fmla="*/ 9591181 h 9845181"/>
            <a:gd name="connsiteX4" fmla="*/ 1910117 w 5475455"/>
            <a:gd name="connsiteY4" fmla="*/ 9845181 h 9845181"/>
            <a:gd name="connsiteX5" fmla="*/ 1273411 w 5475455"/>
            <a:gd name="connsiteY5" fmla="*/ 9591181 h 9845181"/>
            <a:gd name="connsiteX6" fmla="*/ 1273411 w 5475455"/>
            <a:gd name="connsiteY6" fmla="*/ 8575181 h 9845181"/>
            <a:gd name="connsiteX7" fmla="*/ 636706 w 5475455"/>
            <a:gd name="connsiteY7" fmla="*/ 7940181 h 9845181"/>
            <a:gd name="connsiteX8" fmla="*/ 0 w 5475455"/>
            <a:gd name="connsiteY8" fmla="*/ 7940181 h 9845181"/>
            <a:gd name="connsiteX9" fmla="*/ 0 w 5475455"/>
            <a:gd name="connsiteY9" fmla="*/ 6035181 h 9845181"/>
            <a:gd name="connsiteX0" fmla="*/ 3573742 w 5498071"/>
            <a:gd name="connsiteY0" fmla="*/ 0 h 9845181"/>
            <a:gd name="connsiteX1" fmla="*/ 5475455 w 5498071"/>
            <a:gd name="connsiteY1" fmla="*/ 0 h 9845181"/>
            <a:gd name="connsiteX2" fmla="*/ 2546822 w 5498071"/>
            <a:gd name="connsiteY2" fmla="*/ 7305181 h 9845181"/>
            <a:gd name="connsiteX3" fmla="*/ 2546822 w 5498071"/>
            <a:gd name="connsiteY3" fmla="*/ 9591181 h 9845181"/>
            <a:gd name="connsiteX4" fmla="*/ 1910117 w 5498071"/>
            <a:gd name="connsiteY4" fmla="*/ 9845181 h 9845181"/>
            <a:gd name="connsiteX5" fmla="*/ 1273411 w 5498071"/>
            <a:gd name="connsiteY5" fmla="*/ 9591181 h 9845181"/>
            <a:gd name="connsiteX6" fmla="*/ 1273411 w 5498071"/>
            <a:gd name="connsiteY6" fmla="*/ 8575181 h 9845181"/>
            <a:gd name="connsiteX7" fmla="*/ 636706 w 5498071"/>
            <a:gd name="connsiteY7" fmla="*/ 7940181 h 9845181"/>
            <a:gd name="connsiteX8" fmla="*/ 0 w 5498071"/>
            <a:gd name="connsiteY8" fmla="*/ 7940181 h 9845181"/>
            <a:gd name="connsiteX9" fmla="*/ 0 w 5498071"/>
            <a:gd name="connsiteY9" fmla="*/ 6035181 h 9845181"/>
            <a:gd name="connsiteX0" fmla="*/ 3573742 w 5661750"/>
            <a:gd name="connsiteY0" fmla="*/ 0 h 9845181"/>
            <a:gd name="connsiteX1" fmla="*/ 5475455 w 5661750"/>
            <a:gd name="connsiteY1" fmla="*/ 0 h 9845181"/>
            <a:gd name="connsiteX2" fmla="*/ 2546822 w 5661750"/>
            <a:gd name="connsiteY2" fmla="*/ 7305181 h 9845181"/>
            <a:gd name="connsiteX3" fmla="*/ 2546822 w 5661750"/>
            <a:gd name="connsiteY3" fmla="*/ 9591181 h 9845181"/>
            <a:gd name="connsiteX4" fmla="*/ 1910117 w 5661750"/>
            <a:gd name="connsiteY4" fmla="*/ 9845181 h 9845181"/>
            <a:gd name="connsiteX5" fmla="*/ 1273411 w 5661750"/>
            <a:gd name="connsiteY5" fmla="*/ 9591181 h 9845181"/>
            <a:gd name="connsiteX6" fmla="*/ 1273411 w 5661750"/>
            <a:gd name="connsiteY6" fmla="*/ 8575181 h 9845181"/>
            <a:gd name="connsiteX7" fmla="*/ 636706 w 5661750"/>
            <a:gd name="connsiteY7" fmla="*/ 7940181 h 9845181"/>
            <a:gd name="connsiteX8" fmla="*/ 0 w 5661750"/>
            <a:gd name="connsiteY8" fmla="*/ 7940181 h 9845181"/>
            <a:gd name="connsiteX9" fmla="*/ 0 w 5661750"/>
            <a:gd name="connsiteY9" fmla="*/ 6035181 h 9845181"/>
            <a:gd name="connsiteX0" fmla="*/ 3573742 w 6122283"/>
            <a:gd name="connsiteY0" fmla="*/ 0 h 9845181"/>
            <a:gd name="connsiteX1" fmla="*/ 5475455 w 6122283"/>
            <a:gd name="connsiteY1" fmla="*/ 0 h 9845181"/>
            <a:gd name="connsiteX2" fmla="*/ 6122283 w 6122283"/>
            <a:gd name="connsiteY2" fmla="*/ 920408 h 9845181"/>
            <a:gd name="connsiteX3" fmla="*/ 2546822 w 6122283"/>
            <a:gd name="connsiteY3" fmla="*/ 9591181 h 9845181"/>
            <a:gd name="connsiteX4" fmla="*/ 1910117 w 6122283"/>
            <a:gd name="connsiteY4" fmla="*/ 9845181 h 9845181"/>
            <a:gd name="connsiteX5" fmla="*/ 1273411 w 6122283"/>
            <a:gd name="connsiteY5" fmla="*/ 9591181 h 9845181"/>
            <a:gd name="connsiteX6" fmla="*/ 1273411 w 6122283"/>
            <a:gd name="connsiteY6" fmla="*/ 8575181 h 9845181"/>
            <a:gd name="connsiteX7" fmla="*/ 636706 w 6122283"/>
            <a:gd name="connsiteY7" fmla="*/ 7940181 h 9845181"/>
            <a:gd name="connsiteX8" fmla="*/ 0 w 6122283"/>
            <a:gd name="connsiteY8" fmla="*/ 7940181 h 9845181"/>
            <a:gd name="connsiteX9" fmla="*/ 0 w 6122283"/>
            <a:gd name="connsiteY9" fmla="*/ 6035181 h 9845181"/>
            <a:gd name="connsiteX0" fmla="*/ 3573742 w 6122283"/>
            <a:gd name="connsiteY0" fmla="*/ 0 h 12241021"/>
            <a:gd name="connsiteX1" fmla="*/ 5475455 w 6122283"/>
            <a:gd name="connsiteY1" fmla="*/ 0 h 12241021"/>
            <a:gd name="connsiteX2" fmla="*/ 6122283 w 6122283"/>
            <a:gd name="connsiteY2" fmla="*/ 920408 h 12241021"/>
            <a:gd name="connsiteX3" fmla="*/ 6122283 w 6122283"/>
            <a:gd name="connsiteY3" fmla="*/ 12241021 h 12241021"/>
            <a:gd name="connsiteX4" fmla="*/ 1910117 w 6122283"/>
            <a:gd name="connsiteY4" fmla="*/ 9845181 h 12241021"/>
            <a:gd name="connsiteX5" fmla="*/ 1273411 w 6122283"/>
            <a:gd name="connsiteY5" fmla="*/ 9591181 h 12241021"/>
            <a:gd name="connsiteX6" fmla="*/ 1273411 w 6122283"/>
            <a:gd name="connsiteY6" fmla="*/ 8575181 h 12241021"/>
            <a:gd name="connsiteX7" fmla="*/ 636706 w 6122283"/>
            <a:gd name="connsiteY7" fmla="*/ 7940181 h 12241021"/>
            <a:gd name="connsiteX8" fmla="*/ 0 w 6122283"/>
            <a:gd name="connsiteY8" fmla="*/ 7940181 h 12241021"/>
            <a:gd name="connsiteX9" fmla="*/ 0 w 6122283"/>
            <a:gd name="connsiteY9" fmla="*/ 6035181 h 12241021"/>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1273411 w 6122283"/>
            <a:gd name="connsiteY5" fmla="*/ 9591181 h 13161425"/>
            <a:gd name="connsiteX6" fmla="*/ 1273411 w 6122283"/>
            <a:gd name="connsiteY6" fmla="*/ 8575181 h 13161425"/>
            <a:gd name="connsiteX7" fmla="*/ 636706 w 6122283"/>
            <a:gd name="connsiteY7" fmla="*/ 7940181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1273411 w 6122283"/>
            <a:gd name="connsiteY6" fmla="*/ 8575181 h 13161425"/>
            <a:gd name="connsiteX7" fmla="*/ 636706 w 6122283"/>
            <a:gd name="connsiteY7" fmla="*/ 7940181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5560162 w 6122283"/>
            <a:gd name="connsiteY6" fmla="*/ 6633442 h 13161425"/>
            <a:gd name="connsiteX7" fmla="*/ 636706 w 6122283"/>
            <a:gd name="connsiteY7" fmla="*/ 7940181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5560162 w 6122283"/>
            <a:gd name="connsiteY6" fmla="*/ 6633442 h 13161425"/>
            <a:gd name="connsiteX7" fmla="*/ 636706 w 6122283"/>
            <a:gd name="connsiteY7" fmla="*/ 7940181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5560162 w 6122283"/>
            <a:gd name="connsiteY6" fmla="*/ 6633442 h 13161425"/>
            <a:gd name="connsiteX7" fmla="*/ 636706 w 6122283"/>
            <a:gd name="connsiteY7" fmla="*/ 7940181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5560162 w 6122283"/>
            <a:gd name="connsiteY6" fmla="*/ 6633442 h 13161425"/>
            <a:gd name="connsiteX7" fmla="*/ 4913331 w 6122283"/>
            <a:gd name="connsiteY7" fmla="*/ 5713034 h 13161425"/>
            <a:gd name="connsiteX8" fmla="*/ 0 w 6122283"/>
            <a:gd name="connsiteY8" fmla="*/ 7940181 h 13161425"/>
            <a:gd name="connsiteX9" fmla="*/ 0 w 6122283"/>
            <a:gd name="connsiteY9" fmla="*/ 6035181 h 13161425"/>
            <a:gd name="connsiteX0" fmla="*/ 3573742 w 6122283"/>
            <a:gd name="connsiteY0" fmla="*/ 0 h 13161425"/>
            <a:gd name="connsiteX1" fmla="*/ 5475455 w 6122283"/>
            <a:gd name="connsiteY1" fmla="*/ 0 h 13161425"/>
            <a:gd name="connsiteX2" fmla="*/ 6122283 w 6122283"/>
            <a:gd name="connsiteY2" fmla="*/ 920408 h 13161425"/>
            <a:gd name="connsiteX3" fmla="*/ 6122283 w 6122283"/>
            <a:gd name="connsiteY3" fmla="*/ 12241021 h 13161425"/>
            <a:gd name="connsiteX4" fmla="*/ 5841222 w 6122283"/>
            <a:gd name="connsiteY4" fmla="*/ 13161425 h 13161425"/>
            <a:gd name="connsiteX5" fmla="*/ 5560162 w 6122283"/>
            <a:gd name="connsiteY5" fmla="*/ 12241017 h 13161425"/>
            <a:gd name="connsiteX6" fmla="*/ 5560162 w 6122283"/>
            <a:gd name="connsiteY6" fmla="*/ 6633442 h 13161425"/>
            <a:gd name="connsiteX7" fmla="*/ 4913331 w 6122283"/>
            <a:gd name="connsiteY7" fmla="*/ 5713034 h 13161425"/>
            <a:gd name="connsiteX8" fmla="*/ 3573740 w 6122283"/>
            <a:gd name="connsiteY8" fmla="*/ 5713034 h 13161425"/>
            <a:gd name="connsiteX9" fmla="*/ 0 w 6122283"/>
            <a:gd name="connsiteY9" fmla="*/ 6035181 h 13161425"/>
            <a:gd name="connsiteX0" fmla="*/ 2 w 2548543"/>
            <a:gd name="connsiteY0" fmla="*/ 4 h 13161429"/>
            <a:gd name="connsiteX1" fmla="*/ 1901715 w 2548543"/>
            <a:gd name="connsiteY1" fmla="*/ 4 h 13161429"/>
            <a:gd name="connsiteX2" fmla="*/ 2548543 w 2548543"/>
            <a:gd name="connsiteY2" fmla="*/ 920412 h 13161429"/>
            <a:gd name="connsiteX3" fmla="*/ 2548543 w 2548543"/>
            <a:gd name="connsiteY3" fmla="*/ 12241025 h 13161429"/>
            <a:gd name="connsiteX4" fmla="*/ 2267482 w 2548543"/>
            <a:gd name="connsiteY4" fmla="*/ 13161429 h 13161429"/>
            <a:gd name="connsiteX5" fmla="*/ 1986422 w 2548543"/>
            <a:gd name="connsiteY5" fmla="*/ 12241021 h 13161429"/>
            <a:gd name="connsiteX6" fmla="*/ 1986422 w 2548543"/>
            <a:gd name="connsiteY6" fmla="*/ 6633446 h 13161429"/>
            <a:gd name="connsiteX7" fmla="*/ 1339591 w 2548543"/>
            <a:gd name="connsiteY7" fmla="*/ 5713038 h 13161429"/>
            <a:gd name="connsiteX8" fmla="*/ 0 w 2548543"/>
            <a:gd name="connsiteY8" fmla="*/ 5713038 h 13161429"/>
            <a:gd name="connsiteX9" fmla="*/ 0 w 2548543"/>
            <a:gd name="connsiteY9" fmla="*/ 0 h 131614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548543" h="13161429">
              <a:moveTo>
                <a:pt x="2" y="4"/>
              </a:moveTo>
              <a:lnTo>
                <a:pt x="1901715" y="4"/>
              </a:lnTo>
              <a:cubicBezTo>
                <a:pt x="2225130" y="4"/>
                <a:pt x="2548543" y="460208"/>
                <a:pt x="2548543" y="920412"/>
              </a:cubicBezTo>
              <a:lnTo>
                <a:pt x="2548543" y="12241025"/>
              </a:lnTo>
              <a:lnTo>
                <a:pt x="2267482" y="13161429"/>
              </a:lnTo>
              <a:lnTo>
                <a:pt x="1986422" y="12241021"/>
              </a:lnTo>
              <a:lnTo>
                <a:pt x="1986422" y="6633446"/>
              </a:lnTo>
              <a:cubicBezTo>
                <a:pt x="1986422" y="6173242"/>
                <a:pt x="1663006" y="5713038"/>
                <a:pt x="1339591" y="5713038"/>
              </a:cubicBezTo>
              <a:lnTo>
                <a:pt x="0" y="5713038"/>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14</xdr:row>
      <xdr:rowOff>95362</xdr:rowOff>
    </xdr:from>
    <xdr:to>
      <xdr:col>12</xdr:col>
      <xdr:colOff>483394</xdr:colOff>
      <xdr:row>28</xdr:row>
      <xdr:rowOff>14608</xdr:rowOff>
    </xdr:to>
    <xdr:sp macro="" textlink="">
      <xdr:nvSpPr>
        <xdr:cNvPr id="15" name="Arrow Text $R$90"/>
        <xdr:cNvSpPr txBox="1"/>
      </xdr:nvSpPr>
      <xdr:spPr>
        <a:xfrm>
          <a:off x="7358063" y="2819512"/>
          <a:ext cx="440531" cy="158929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42.8%</a:t>
          </a:r>
        </a:p>
      </xdr:txBody>
    </xdr:sp>
    <xdr:clientData/>
  </xdr:twoCellAnchor>
  <xdr:twoCellAnchor>
    <xdr:from>
      <xdr:col>13</xdr:col>
      <xdr:colOff>568325</xdr:colOff>
      <xdr:row>7</xdr:row>
      <xdr:rowOff>39688</xdr:rowOff>
    </xdr:from>
    <xdr:to>
      <xdr:col>16</xdr:col>
      <xdr:colOff>369888</xdr:colOff>
      <xdr:row>14</xdr:row>
      <xdr:rowOff>82662</xdr:rowOff>
    </xdr:to>
    <xdr:sp macro="" textlink="">
      <xdr:nvSpPr>
        <xdr:cNvPr id="116" name="Arrow $T$88">
          <a:extLst>
            <a:ext uri="{FF2B5EF4-FFF2-40B4-BE49-F238E27FC236}">
              <a16:creationId xmlns:a16="http://schemas.microsoft.com/office/drawing/2014/main" id="{00000000-0008-0000-0400-000007000000}"/>
            </a:ext>
          </a:extLst>
        </xdr:cNvPr>
        <xdr:cNvSpPr/>
      </xdr:nvSpPr>
      <xdr:spPr>
        <a:xfrm>
          <a:off x="8493125" y="1963738"/>
          <a:ext cx="1630363" cy="843074"/>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3586220 w 3586220"/>
            <a:gd name="connsiteY0" fmla="*/ 0 h 6985797"/>
            <a:gd name="connsiteX1" fmla="*/ 2291308 w 3586220"/>
            <a:gd name="connsiteY1" fmla="*/ 3175797 h 6985797"/>
            <a:gd name="connsiteX2" fmla="*/ 2545898 w 3586220"/>
            <a:gd name="connsiteY2" fmla="*/ 5080797 h 6985797"/>
            <a:gd name="connsiteX3" fmla="*/ 2291308 w 3586220"/>
            <a:gd name="connsiteY3" fmla="*/ 6985797 h 6985797"/>
            <a:gd name="connsiteX4" fmla="*/ 0 w 3586220"/>
            <a:gd name="connsiteY4" fmla="*/ 6985797 h 6985797"/>
            <a:gd name="connsiteX5" fmla="*/ 0 w 3586220"/>
            <a:gd name="connsiteY5" fmla="*/ 3175797 h 6985797"/>
            <a:gd name="connsiteX0" fmla="*/ 3586220 w 7095536"/>
            <a:gd name="connsiteY0" fmla="*/ 0 h 6985797"/>
            <a:gd name="connsiteX1" fmla="*/ 7095536 w 7095536"/>
            <a:gd name="connsiteY1" fmla="*/ 0 h 6985797"/>
            <a:gd name="connsiteX2" fmla="*/ 2545898 w 7095536"/>
            <a:gd name="connsiteY2" fmla="*/ 5080797 h 6985797"/>
            <a:gd name="connsiteX3" fmla="*/ 2291308 w 7095536"/>
            <a:gd name="connsiteY3" fmla="*/ 6985797 h 6985797"/>
            <a:gd name="connsiteX4" fmla="*/ 0 w 7095536"/>
            <a:gd name="connsiteY4" fmla="*/ 6985797 h 6985797"/>
            <a:gd name="connsiteX5" fmla="*/ 0 w 7095536"/>
            <a:gd name="connsiteY5" fmla="*/ 3175797 h 6985797"/>
            <a:gd name="connsiteX0" fmla="*/ 3586220 w 7743158"/>
            <a:gd name="connsiteY0" fmla="*/ 0 h 6985797"/>
            <a:gd name="connsiteX1" fmla="*/ 7095536 w 7743158"/>
            <a:gd name="connsiteY1" fmla="*/ 0 h 6985797"/>
            <a:gd name="connsiteX2" fmla="*/ 7743158 w 7743158"/>
            <a:gd name="connsiteY2" fmla="*/ 1522922 h 6985797"/>
            <a:gd name="connsiteX3" fmla="*/ 2291308 w 7743158"/>
            <a:gd name="connsiteY3" fmla="*/ 6985797 h 6985797"/>
            <a:gd name="connsiteX4" fmla="*/ 0 w 7743158"/>
            <a:gd name="connsiteY4" fmla="*/ 6985797 h 6985797"/>
            <a:gd name="connsiteX5" fmla="*/ 0 w 7743158"/>
            <a:gd name="connsiteY5" fmla="*/ 3175797 h 6985797"/>
            <a:gd name="connsiteX0" fmla="*/ 3586220 w 7743158"/>
            <a:gd name="connsiteY0" fmla="*/ 0 h 6985797"/>
            <a:gd name="connsiteX1" fmla="*/ 7095536 w 7743158"/>
            <a:gd name="connsiteY1" fmla="*/ 0 h 6985797"/>
            <a:gd name="connsiteX2" fmla="*/ 7743158 w 7743158"/>
            <a:gd name="connsiteY2" fmla="*/ 1522922 h 6985797"/>
            <a:gd name="connsiteX3" fmla="*/ 7095534 w 7743158"/>
            <a:gd name="connsiteY3" fmla="*/ 3000642 h 6985797"/>
            <a:gd name="connsiteX4" fmla="*/ 0 w 7743158"/>
            <a:gd name="connsiteY4" fmla="*/ 6985797 h 6985797"/>
            <a:gd name="connsiteX5" fmla="*/ 0 w 7743158"/>
            <a:gd name="connsiteY5" fmla="*/ 3175797 h 6985797"/>
            <a:gd name="connsiteX0" fmla="*/ 3586220 w 7743158"/>
            <a:gd name="connsiteY0" fmla="*/ 0 h 3175796"/>
            <a:gd name="connsiteX1" fmla="*/ 7095536 w 7743158"/>
            <a:gd name="connsiteY1" fmla="*/ 0 h 3175796"/>
            <a:gd name="connsiteX2" fmla="*/ 7743158 w 7743158"/>
            <a:gd name="connsiteY2" fmla="*/ 1522922 h 3175796"/>
            <a:gd name="connsiteX3" fmla="*/ 7095534 w 7743158"/>
            <a:gd name="connsiteY3" fmla="*/ 3000642 h 3175796"/>
            <a:gd name="connsiteX4" fmla="*/ 3586218 w 7743158"/>
            <a:gd name="connsiteY4" fmla="*/ 3000642 h 3175796"/>
            <a:gd name="connsiteX5" fmla="*/ 0 w 7743158"/>
            <a:gd name="connsiteY5" fmla="*/ 3175797 h 3175796"/>
            <a:gd name="connsiteX0" fmla="*/ 2 w 4156940"/>
            <a:gd name="connsiteY0" fmla="*/ 0 h 3000642"/>
            <a:gd name="connsiteX1" fmla="*/ 3509318 w 4156940"/>
            <a:gd name="connsiteY1" fmla="*/ 0 h 3000642"/>
            <a:gd name="connsiteX2" fmla="*/ 4156940 w 4156940"/>
            <a:gd name="connsiteY2" fmla="*/ 1522922 h 3000642"/>
            <a:gd name="connsiteX3" fmla="*/ 3509316 w 4156940"/>
            <a:gd name="connsiteY3" fmla="*/ 3000642 h 3000642"/>
            <a:gd name="connsiteX4" fmla="*/ 0 w 4156940"/>
            <a:gd name="connsiteY4" fmla="*/ 3000642 h 3000642"/>
            <a:gd name="connsiteX5" fmla="*/ 0 w 4156940"/>
            <a:gd name="connsiteY5" fmla="*/ 0 h 30006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3000642">
              <a:moveTo>
                <a:pt x="2" y="0"/>
              </a:moveTo>
              <a:lnTo>
                <a:pt x="3509318" y="0"/>
              </a:lnTo>
              <a:lnTo>
                <a:pt x="4156940" y="1522922"/>
              </a:lnTo>
              <a:lnTo>
                <a:pt x="3509316" y="3000642"/>
              </a:lnTo>
              <a:lnTo>
                <a:pt x="0" y="3000642"/>
              </a:lnTo>
              <a:lnTo>
                <a:pt x="0"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14</xdr:col>
      <xdr:colOff>212725</xdr:colOff>
      <xdr:row>7</xdr:row>
      <xdr:rowOff>39688</xdr:rowOff>
    </xdr:from>
    <xdr:to>
      <xdr:col>15</xdr:col>
      <xdr:colOff>43656</xdr:colOff>
      <xdr:row>14</xdr:row>
      <xdr:rowOff>95363</xdr:rowOff>
    </xdr:to>
    <xdr:sp macro="" textlink="">
      <xdr:nvSpPr>
        <xdr:cNvPr id="16" name="Arrow Text $T$88"/>
        <xdr:cNvSpPr txBox="1"/>
      </xdr:nvSpPr>
      <xdr:spPr>
        <a:xfrm>
          <a:off x="8747125" y="1963738"/>
          <a:ext cx="440531" cy="8557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23.0%</a:t>
          </a:r>
        </a:p>
      </xdr:txBody>
    </xdr:sp>
    <xdr:clientData/>
  </xdr:twoCellAnchor>
  <xdr:twoCellAnchor>
    <xdr:from>
      <xdr:col>11</xdr:col>
      <xdr:colOff>398462</xdr:colOff>
      <xdr:row>7</xdr:row>
      <xdr:rowOff>39688</xdr:rowOff>
    </xdr:from>
    <xdr:to>
      <xdr:col>14</xdr:col>
      <xdr:colOff>200024</xdr:colOff>
      <xdr:row>14</xdr:row>
      <xdr:rowOff>82662</xdr:rowOff>
    </xdr:to>
    <xdr:sp macro="" textlink="">
      <xdr:nvSpPr>
        <xdr:cNvPr id="118" name="Arrow $R$88">
          <a:extLst>
            <a:ext uri="{FF2B5EF4-FFF2-40B4-BE49-F238E27FC236}">
              <a16:creationId xmlns:a16="http://schemas.microsoft.com/office/drawing/2014/main" id="{00000000-0008-0000-0400-000007000000}"/>
            </a:ext>
          </a:extLst>
        </xdr:cNvPr>
        <xdr:cNvSpPr/>
      </xdr:nvSpPr>
      <xdr:spPr>
        <a:xfrm>
          <a:off x="7104062" y="1963738"/>
          <a:ext cx="1630362" cy="843074"/>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34972"/>
            <a:gd name="connsiteY0" fmla="*/ 0 h 3849550"/>
            <a:gd name="connsiteX1" fmla="*/ 5780382 w 6034972"/>
            <a:gd name="connsiteY1" fmla="*/ 39550 h 3849550"/>
            <a:gd name="connsiteX2" fmla="*/ 6034972 w 6034972"/>
            <a:gd name="connsiteY2" fmla="*/ 1944550 h 3849550"/>
            <a:gd name="connsiteX3" fmla="*/ 5780382 w 6034972"/>
            <a:gd name="connsiteY3" fmla="*/ 3849550 h 3849550"/>
            <a:gd name="connsiteX4" fmla="*/ 3489074 w 6034972"/>
            <a:gd name="connsiteY4" fmla="*/ 3849550 h 3849550"/>
            <a:gd name="connsiteX5" fmla="*/ 3489074 w 6034972"/>
            <a:gd name="connsiteY5" fmla="*/ 39550 h 3849550"/>
            <a:gd name="connsiteX0" fmla="*/ 0 w 6034972"/>
            <a:gd name="connsiteY0" fmla="*/ 0 h 3849550"/>
            <a:gd name="connsiteX1" fmla="*/ 3509313 w 6034972"/>
            <a:gd name="connsiteY1" fmla="*/ 0 h 3849550"/>
            <a:gd name="connsiteX2" fmla="*/ 6034972 w 6034972"/>
            <a:gd name="connsiteY2" fmla="*/ 1944550 h 3849550"/>
            <a:gd name="connsiteX3" fmla="*/ 5780382 w 6034972"/>
            <a:gd name="connsiteY3" fmla="*/ 3849550 h 3849550"/>
            <a:gd name="connsiteX4" fmla="*/ 3489074 w 6034972"/>
            <a:gd name="connsiteY4" fmla="*/ 3849550 h 3849550"/>
            <a:gd name="connsiteX5" fmla="*/ 3489074 w 6034972"/>
            <a:gd name="connsiteY5" fmla="*/ 39550 h 3849550"/>
            <a:gd name="connsiteX0" fmla="*/ 0 w 5780382"/>
            <a:gd name="connsiteY0" fmla="*/ 0 h 3849550"/>
            <a:gd name="connsiteX1" fmla="*/ 3509313 w 5780382"/>
            <a:gd name="connsiteY1" fmla="*/ 0 h 3849550"/>
            <a:gd name="connsiteX2" fmla="*/ 4156938 w 5780382"/>
            <a:gd name="connsiteY2" fmla="*/ 1522922 h 3849550"/>
            <a:gd name="connsiteX3" fmla="*/ 5780382 w 5780382"/>
            <a:gd name="connsiteY3" fmla="*/ 3849550 h 3849550"/>
            <a:gd name="connsiteX4" fmla="*/ 3489074 w 5780382"/>
            <a:gd name="connsiteY4" fmla="*/ 3849550 h 3849550"/>
            <a:gd name="connsiteX5" fmla="*/ 3489074 w 5780382"/>
            <a:gd name="connsiteY5" fmla="*/ 39550 h 3849550"/>
            <a:gd name="connsiteX0" fmla="*/ 0 w 4156938"/>
            <a:gd name="connsiteY0" fmla="*/ 0 h 3849550"/>
            <a:gd name="connsiteX1" fmla="*/ 3509313 w 4156938"/>
            <a:gd name="connsiteY1" fmla="*/ 0 h 3849550"/>
            <a:gd name="connsiteX2" fmla="*/ 4156938 w 4156938"/>
            <a:gd name="connsiteY2" fmla="*/ 1522922 h 3849550"/>
            <a:gd name="connsiteX3" fmla="*/ 3509316 w 4156938"/>
            <a:gd name="connsiteY3" fmla="*/ 3000642 h 3849550"/>
            <a:gd name="connsiteX4" fmla="*/ 3489074 w 4156938"/>
            <a:gd name="connsiteY4" fmla="*/ 3849550 h 3849550"/>
            <a:gd name="connsiteX5" fmla="*/ 3489074 w 4156938"/>
            <a:gd name="connsiteY5" fmla="*/ 39550 h 3849550"/>
            <a:gd name="connsiteX0" fmla="*/ 0 w 4156938"/>
            <a:gd name="connsiteY0" fmla="*/ 0 h 3000642"/>
            <a:gd name="connsiteX1" fmla="*/ 3509313 w 4156938"/>
            <a:gd name="connsiteY1" fmla="*/ 0 h 3000642"/>
            <a:gd name="connsiteX2" fmla="*/ 4156938 w 4156938"/>
            <a:gd name="connsiteY2" fmla="*/ 1522922 h 3000642"/>
            <a:gd name="connsiteX3" fmla="*/ 3509316 w 4156938"/>
            <a:gd name="connsiteY3" fmla="*/ 3000642 h 3000642"/>
            <a:gd name="connsiteX4" fmla="*/ 3 w 4156938"/>
            <a:gd name="connsiteY4" fmla="*/ 3000642 h 3000642"/>
            <a:gd name="connsiteX5" fmla="*/ 3489074 w 4156938"/>
            <a:gd name="connsiteY5" fmla="*/ 39550 h 3000642"/>
            <a:gd name="connsiteX0" fmla="*/ 0 w 4156938"/>
            <a:gd name="connsiteY0" fmla="*/ 0 h 3000642"/>
            <a:gd name="connsiteX1" fmla="*/ 3509313 w 4156938"/>
            <a:gd name="connsiteY1" fmla="*/ 0 h 3000642"/>
            <a:gd name="connsiteX2" fmla="*/ 4156938 w 4156938"/>
            <a:gd name="connsiteY2" fmla="*/ 1522922 h 3000642"/>
            <a:gd name="connsiteX3" fmla="*/ 3509316 w 4156938"/>
            <a:gd name="connsiteY3" fmla="*/ 3000642 h 3000642"/>
            <a:gd name="connsiteX4" fmla="*/ 3 w 4156938"/>
            <a:gd name="connsiteY4" fmla="*/ 3000642 h 3000642"/>
            <a:gd name="connsiteX5" fmla="*/ 3 w 4156938"/>
            <a:gd name="connsiteY5" fmla="*/ 0 h 300064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38" h="3000642">
              <a:moveTo>
                <a:pt x="0" y="0"/>
              </a:moveTo>
              <a:lnTo>
                <a:pt x="3509313" y="0"/>
              </a:lnTo>
              <a:lnTo>
                <a:pt x="4156938" y="1522922"/>
              </a:lnTo>
              <a:lnTo>
                <a:pt x="3509316" y="3000642"/>
              </a:lnTo>
              <a:lnTo>
                <a:pt x="3" y="3000642"/>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7</xdr:row>
      <xdr:rowOff>39688</xdr:rowOff>
    </xdr:from>
    <xdr:to>
      <xdr:col>12</xdr:col>
      <xdr:colOff>483394</xdr:colOff>
      <xdr:row>14</xdr:row>
      <xdr:rowOff>95363</xdr:rowOff>
    </xdr:to>
    <xdr:sp macro="" textlink="">
      <xdr:nvSpPr>
        <xdr:cNvPr id="17" name="Arrow Text $R$88"/>
        <xdr:cNvSpPr txBox="1"/>
      </xdr:nvSpPr>
      <xdr:spPr>
        <a:xfrm>
          <a:off x="7358063" y="1963738"/>
          <a:ext cx="440531" cy="85577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23.0%</a:t>
          </a:r>
        </a:p>
      </xdr:txBody>
    </xdr:sp>
    <xdr:clientData/>
  </xdr:twoCellAnchor>
  <xdr:twoCellAnchor>
    <xdr:from>
      <xdr:col>9</xdr:col>
      <xdr:colOff>228599</xdr:colOff>
      <xdr:row>7</xdr:row>
      <xdr:rowOff>39687</xdr:rowOff>
    </xdr:from>
    <xdr:to>
      <xdr:col>12</xdr:col>
      <xdr:colOff>30163</xdr:colOff>
      <xdr:row>28</xdr:row>
      <xdr:rowOff>1908</xdr:rowOff>
    </xdr:to>
    <xdr:sp macro="" textlink="">
      <xdr:nvSpPr>
        <xdr:cNvPr id="120" name="Arrow $P$88">
          <a:extLst>
            <a:ext uri="{FF2B5EF4-FFF2-40B4-BE49-F238E27FC236}">
              <a16:creationId xmlns:a16="http://schemas.microsoft.com/office/drawing/2014/main" id="{00000000-0008-0000-0400-000007000000}"/>
            </a:ext>
          </a:extLst>
        </xdr:cNvPr>
        <xdr:cNvSpPr/>
      </xdr:nvSpPr>
      <xdr:spPr>
        <a:xfrm>
          <a:off x="5714999" y="1963737"/>
          <a:ext cx="1630364" cy="2432371"/>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3067"/>
            <a:gd name="connsiteY0" fmla="*/ 0 h 3849554"/>
            <a:gd name="connsiteX1" fmla="*/ 5788477 w 6043067"/>
            <a:gd name="connsiteY1" fmla="*/ 39554 h 3849554"/>
            <a:gd name="connsiteX2" fmla="*/ 6043067 w 6043067"/>
            <a:gd name="connsiteY2" fmla="*/ 1944554 h 3849554"/>
            <a:gd name="connsiteX3" fmla="*/ 5788477 w 6043067"/>
            <a:gd name="connsiteY3" fmla="*/ 3849554 h 3849554"/>
            <a:gd name="connsiteX4" fmla="*/ 3497169 w 6043067"/>
            <a:gd name="connsiteY4" fmla="*/ 3849554 h 3849554"/>
            <a:gd name="connsiteX5" fmla="*/ 3497169 w 6043067"/>
            <a:gd name="connsiteY5" fmla="*/ 39554 h 3849554"/>
            <a:gd name="connsiteX0" fmla="*/ 0 w 6043067"/>
            <a:gd name="connsiteY0" fmla="*/ 0 h 3849554"/>
            <a:gd name="connsiteX1" fmla="*/ 3509318 w 6043067"/>
            <a:gd name="connsiteY1" fmla="*/ 0 h 3849554"/>
            <a:gd name="connsiteX2" fmla="*/ 6043067 w 6043067"/>
            <a:gd name="connsiteY2" fmla="*/ 1944554 h 3849554"/>
            <a:gd name="connsiteX3" fmla="*/ 5788477 w 6043067"/>
            <a:gd name="connsiteY3" fmla="*/ 3849554 h 3849554"/>
            <a:gd name="connsiteX4" fmla="*/ 3497169 w 6043067"/>
            <a:gd name="connsiteY4" fmla="*/ 3849554 h 3849554"/>
            <a:gd name="connsiteX5" fmla="*/ 3497169 w 6043067"/>
            <a:gd name="connsiteY5" fmla="*/ 39554 h 3849554"/>
            <a:gd name="connsiteX0" fmla="*/ 0 w 5788477"/>
            <a:gd name="connsiteY0" fmla="*/ 0 h 4351212"/>
            <a:gd name="connsiteX1" fmla="*/ 3509318 w 5788477"/>
            <a:gd name="connsiteY1" fmla="*/ 0 h 4351212"/>
            <a:gd name="connsiteX2" fmla="*/ 4156943 w 5788477"/>
            <a:gd name="connsiteY2" fmla="*/ 4351212 h 4351212"/>
            <a:gd name="connsiteX3" fmla="*/ 5788477 w 5788477"/>
            <a:gd name="connsiteY3" fmla="*/ 3849554 h 4351212"/>
            <a:gd name="connsiteX4" fmla="*/ 3497169 w 5788477"/>
            <a:gd name="connsiteY4" fmla="*/ 3849554 h 4351212"/>
            <a:gd name="connsiteX5" fmla="*/ 3497169 w 5788477"/>
            <a:gd name="connsiteY5" fmla="*/ 39554 h 4351212"/>
            <a:gd name="connsiteX0" fmla="*/ 0 w 4156943"/>
            <a:gd name="connsiteY0" fmla="*/ 0 h 8657219"/>
            <a:gd name="connsiteX1" fmla="*/ 3509318 w 4156943"/>
            <a:gd name="connsiteY1" fmla="*/ 0 h 8657219"/>
            <a:gd name="connsiteX2" fmla="*/ 4156943 w 4156943"/>
            <a:gd name="connsiteY2" fmla="*/ 4351212 h 8657219"/>
            <a:gd name="connsiteX3" fmla="*/ 3509318 w 4156943"/>
            <a:gd name="connsiteY3" fmla="*/ 8657219 h 8657219"/>
            <a:gd name="connsiteX4" fmla="*/ 3497169 w 4156943"/>
            <a:gd name="connsiteY4" fmla="*/ 3849554 h 8657219"/>
            <a:gd name="connsiteX5" fmla="*/ 3497169 w 4156943"/>
            <a:gd name="connsiteY5" fmla="*/ 39554 h 8657219"/>
            <a:gd name="connsiteX0" fmla="*/ 0 w 4156943"/>
            <a:gd name="connsiteY0" fmla="*/ 0 h 8657219"/>
            <a:gd name="connsiteX1" fmla="*/ 3509318 w 4156943"/>
            <a:gd name="connsiteY1" fmla="*/ 0 h 8657219"/>
            <a:gd name="connsiteX2" fmla="*/ 4156943 w 4156943"/>
            <a:gd name="connsiteY2" fmla="*/ 4351212 h 8657219"/>
            <a:gd name="connsiteX3" fmla="*/ 3509318 w 4156943"/>
            <a:gd name="connsiteY3" fmla="*/ 8657219 h 8657219"/>
            <a:gd name="connsiteX4" fmla="*/ 3 w 4156943"/>
            <a:gd name="connsiteY4" fmla="*/ 8657219 h 8657219"/>
            <a:gd name="connsiteX5" fmla="*/ 3497169 w 4156943"/>
            <a:gd name="connsiteY5" fmla="*/ 39554 h 8657219"/>
            <a:gd name="connsiteX0" fmla="*/ 0 w 4156943"/>
            <a:gd name="connsiteY0" fmla="*/ 0 h 8657219"/>
            <a:gd name="connsiteX1" fmla="*/ 3509318 w 4156943"/>
            <a:gd name="connsiteY1" fmla="*/ 0 h 8657219"/>
            <a:gd name="connsiteX2" fmla="*/ 4156943 w 4156943"/>
            <a:gd name="connsiteY2" fmla="*/ 4351212 h 8657219"/>
            <a:gd name="connsiteX3" fmla="*/ 3509318 w 4156943"/>
            <a:gd name="connsiteY3" fmla="*/ 8657219 h 8657219"/>
            <a:gd name="connsiteX4" fmla="*/ 3 w 4156943"/>
            <a:gd name="connsiteY4" fmla="*/ 8657219 h 8657219"/>
            <a:gd name="connsiteX5" fmla="*/ 3 w 4156943"/>
            <a:gd name="connsiteY5" fmla="*/ 0 h 865721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3" h="8657219">
              <a:moveTo>
                <a:pt x="0" y="0"/>
              </a:moveTo>
              <a:lnTo>
                <a:pt x="3509318" y="0"/>
              </a:lnTo>
              <a:lnTo>
                <a:pt x="4156943" y="4351212"/>
              </a:lnTo>
              <a:lnTo>
                <a:pt x="3509318" y="8657219"/>
              </a:lnTo>
              <a:lnTo>
                <a:pt x="3" y="8657219"/>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7</xdr:row>
      <xdr:rowOff>39687</xdr:rowOff>
    </xdr:from>
    <xdr:to>
      <xdr:col>10</xdr:col>
      <xdr:colOff>313531</xdr:colOff>
      <xdr:row>28</xdr:row>
      <xdr:rowOff>14607</xdr:rowOff>
    </xdr:to>
    <xdr:sp macro="" textlink="">
      <xdr:nvSpPr>
        <xdr:cNvPr id="18" name="Arrow Text $P$88"/>
        <xdr:cNvSpPr txBox="1"/>
      </xdr:nvSpPr>
      <xdr:spPr>
        <a:xfrm>
          <a:off x="5969000" y="1963737"/>
          <a:ext cx="440531" cy="244507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65.8%</a:t>
          </a:r>
        </a:p>
      </xdr:txBody>
    </xdr:sp>
    <xdr:clientData/>
  </xdr:twoCellAnchor>
  <xdr:twoCellAnchor>
    <xdr:from>
      <xdr:col>7</xdr:col>
      <xdr:colOff>58737</xdr:colOff>
      <xdr:row>7</xdr:row>
      <xdr:rowOff>39688</xdr:rowOff>
    </xdr:from>
    <xdr:to>
      <xdr:col>9</xdr:col>
      <xdr:colOff>469900</xdr:colOff>
      <xdr:row>29</xdr:row>
      <xdr:rowOff>89431</xdr:rowOff>
    </xdr:to>
    <xdr:sp macro="" textlink="">
      <xdr:nvSpPr>
        <xdr:cNvPr id="122" name="Arrow $N$88">
          <a:extLst>
            <a:ext uri="{FF2B5EF4-FFF2-40B4-BE49-F238E27FC236}">
              <a16:creationId xmlns:a16="http://schemas.microsoft.com/office/drawing/2014/main" id="{00000000-0008-0000-0400-000007000000}"/>
            </a:ext>
          </a:extLst>
        </xdr:cNvPr>
        <xdr:cNvSpPr/>
      </xdr:nvSpPr>
      <xdr:spPr>
        <a:xfrm>
          <a:off x="4325937" y="1963738"/>
          <a:ext cx="1630363" cy="2704043"/>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4"/>
            <a:gd name="connsiteY0" fmla="*/ 0 h 3849547"/>
            <a:gd name="connsiteX1" fmla="*/ 5791004 w 6045594"/>
            <a:gd name="connsiteY1" fmla="*/ 39547 h 3849547"/>
            <a:gd name="connsiteX2" fmla="*/ 6045594 w 6045594"/>
            <a:gd name="connsiteY2" fmla="*/ 1944547 h 3849547"/>
            <a:gd name="connsiteX3" fmla="*/ 5791004 w 6045594"/>
            <a:gd name="connsiteY3" fmla="*/ 3849547 h 3849547"/>
            <a:gd name="connsiteX4" fmla="*/ 3499696 w 6045594"/>
            <a:gd name="connsiteY4" fmla="*/ 3849547 h 3849547"/>
            <a:gd name="connsiteX5" fmla="*/ 3499696 w 6045594"/>
            <a:gd name="connsiteY5" fmla="*/ 39547 h 3849547"/>
            <a:gd name="connsiteX0" fmla="*/ 0 w 6045594"/>
            <a:gd name="connsiteY0" fmla="*/ 0 h 3849547"/>
            <a:gd name="connsiteX1" fmla="*/ 3503744 w 6045594"/>
            <a:gd name="connsiteY1" fmla="*/ 0 h 3849547"/>
            <a:gd name="connsiteX2" fmla="*/ 6045594 w 6045594"/>
            <a:gd name="connsiteY2" fmla="*/ 1944547 h 3849547"/>
            <a:gd name="connsiteX3" fmla="*/ 5791004 w 6045594"/>
            <a:gd name="connsiteY3" fmla="*/ 3849547 h 3849547"/>
            <a:gd name="connsiteX4" fmla="*/ 3499696 w 6045594"/>
            <a:gd name="connsiteY4" fmla="*/ 3849547 h 3849547"/>
            <a:gd name="connsiteX5" fmla="*/ 3499696 w 6045594"/>
            <a:gd name="connsiteY5" fmla="*/ 39547 h 3849547"/>
            <a:gd name="connsiteX0" fmla="*/ 0 w 5791003"/>
            <a:gd name="connsiteY0" fmla="*/ 0 h 4834671"/>
            <a:gd name="connsiteX1" fmla="*/ 3503744 w 5791003"/>
            <a:gd name="connsiteY1" fmla="*/ 0 h 4834671"/>
            <a:gd name="connsiteX2" fmla="*/ 4150340 w 5791003"/>
            <a:gd name="connsiteY2" fmla="*/ 4834671 h 4834671"/>
            <a:gd name="connsiteX3" fmla="*/ 5791004 w 5791003"/>
            <a:gd name="connsiteY3" fmla="*/ 3849547 h 4834671"/>
            <a:gd name="connsiteX4" fmla="*/ 3499696 w 5791003"/>
            <a:gd name="connsiteY4" fmla="*/ 3849547 h 4834671"/>
            <a:gd name="connsiteX5" fmla="*/ 3499696 w 5791003"/>
            <a:gd name="connsiteY5" fmla="*/ 39547 h 4834671"/>
            <a:gd name="connsiteX0" fmla="*/ 0 w 4150339"/>
            <a:gd name="connsiteY0" fmla="*/ 0 h 9624144"/>
            <a:gd name="connsiteX1" fmla="*/ 3503744 w 4150339"/>
            <a:gd name="connsiteY1" fmla="*/ 0 h 9624144"/>
            <a:gd name="connsiteX2" fmla="*/ 4150340 w 4150339"/>
            <a:gd name="connsiteY2" fmla="*/ 4834671 h 9624144"/>
            <a:gd name="connsiteX3" fmla="*/ 3503743 w 4150339"/>
            <a:gd name="connsiteY3" fmla="*/ 9624144 h 9624144"/>
            <a:gd name="connsiteX4" fmla="*/ 3499696 w 4150339"/>
            <a:gd name="connsiteY4" fmla="*/ 3849547 h 9624144"/>
            <a:gd name="connsiteX5" fmla="*/ 3499696 w 4150339"/>
            <a:gd name="connsiteY5" fmla="*/ 39547 h 9624144"/>
            <a:gd name="connsiteX0" fmla="*/ 0 w 4150339"/>
            <a:gd name="connsiteY0" fmla="*/ 0 h 9624144"/>
            <a:gd name="connsiteX1" fmla="*/ 3503744 w 4150339"/>
            <a:gd name="connsiteY1" fmla="*/ 0 h 9624144"/>
            <a:gd name="connsiteX2" fmla="*/ 4150340 w 4150339"/>
            <a:gd name="connsiteY2" fmla="*/ 4834671 h 9624144"/>
            <a:gd name="connsiteX3" fmla="*/ 3503743 w 4150339"/>
            <a:gd name="connsiteY3" fmla="*/ 9624144 h 9624144"/>
            <a:gd name="connsiteX4" fmla="*/ 3 w 4150339"/>
            <a:gd name="connsiteY4" fmla="*/ 9624144 h 9624144"/>
            <a:gd name="connsiteX5" fmla="*/ 3499696 w 4150339"/>
            <a:gd name="connsiteY5" fmla="*/ 39547 h 9624144"/>
            <a:gd name="connsiteX0" fmla="*/ 0 w 4150339"/>
            <a:gd name="connsiteY0" fmla="*/ 0 h 9624144"/>
            <a:gd name="connsiteX1" fmla="*/ 3503744 w 4150339"/>
            <a:gd name="connsiteY1" fmla="*/ 0 h 9624144"/>
            <a:gd name="connsiteX2" fmla="*/ 4150340 w 4150339"/>
            <a:gd name="connsiteY2" fmla="*/ 4834671 h 9624144"/>
            <a:gd name="connsiteX3" fmla="*/ 3503743 w 4150339"/>
            <a:gd name="connsiteY3" fmla="*/ 9624144 h 9624144"/>
            <a:gd name="connsiteX4" fmla="*/ 3 w 4150339"/>
            <a:gd name="connsiteY4" fmla="*/ 9624144 h 9624144"/>
            <a:gd name="connsiteX5" fmla="*/ 3 w 4150339"/>
            <a:gd name="connsiteY5" fmla="*/ 0 h 962414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9624144">
              <a:moveTo>
                <a:pt x="0" y="0"/>
              </a:moveTo>
              <a:lnTo>
                <a:pt x="3503744" y="0"/>
              </a:lnTo>
              <a:lnTo>
                <a:pt x="4150340" y="4834671"/>
              </a:lnTo>
              <a:lnTo>
                <a:pt x="3503743" y="9624144"/>
              </a:lnTo>
              <a:lnTo>
                <a:pt x="3" y="962414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312738</xdr:colOff>
      <xdr:row>7</xdr:row>
      <xdr:rowOff>39688</xdr:rowOff>
    </xdr:from>
    <xdr:to>
      <xdr:col>8</xdr:col>
      <xdr:colOff>143669</xdr:colOff>
      <xdr:row>29</xdr:row>
      <xdr:rowOff>102131</xdr:rowOff>
    </xdr:to>
    <xdr:sp macro="" textlink="">
      <xdr:nvSpPr>
        <xdr:cNvPr id="19" name="Arrow Text $N$88"/>
        <xdr:cNvSpPr txBox="1"/>
      </xdr:nvSpPr>
      <xdr:spPr>
        <a:xfrm>
          <a:off x="4579938" y="1963738"/>
          <a:ext cx="440531" cy="271674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73.1%</a:t>
          </a:r>
        </a:p>
      </xdr:txBody>
    </xdr:sp>
    <xdr:clientData/>
  </xdr:twoCellAnchor>
  <xdr:twoCellAnchor>
    <xdr:from>
      <xdr:col>4</xdr:col>
      <xdr:colOff>498474</xdr:colOff>
      <xdr:row>7</xdr:row>
      <xdr:rowOff>39688</xdr:rowOff>
    </xdr:from>
    <xdr:to>
      <xdr:col>7</xdr:col>
      <xdr:colOff>300038</xdr:colOff>
      <xdr:row>29</xdr:row>
      <xdr:rowOff>89431</xdr:rowOff>
    </xdr:to>
    <xdr:sp macro="" textlink="">
      <xdr:nvSpPr>
        <xdr:cNvPr id="124" name="Arrow $L$88">
          <a:extLst>
            <a:ext uri="{FF2B5EF4-FFF2-40B4-BE49-F238E27FC236}">
              <a16:creationId xmlns:a16="http://schemas.microsoft.com/office/drawing/2014/main" id="{00000000-0008-0000-0400-000007000000}"/>
            </a:ext>
          </a:extLst>
        </xdr:cNvPr>
        <xdr:cNvSpPr/>
      </xdr:nvSpPr>
      <xdr:spPr>
        <a:xfrm>
          <a:off x="2936874" y="1963738"/>
          <a:ext cx="1630364" cy="2704043"/>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79"/>
            <a:gd name="connsiteY0" fmla="*/ 0 h 3849550"/>
            <a:gd name="connsiteX1" fmla="*/ 5799089 w 6053679"/>
            <a:gd name="connsiteY1" fmla="*/ 39550 h 3849550"/>
            <a:gd name="connsiteX2" fmla="*/ 6053679 w 6053679"/>
            <a:gd name="connsiteY2" fmla="*/ 1944550 h 3849550"/>
            <a:gd name="connsiteX3" fmla="*/ 5799089 w 6053679"/>
            <a:gd name="connsiteY3" fmla="*/ 3849550 h 3849550"/>
            <a:gd name="connsiteX4" fmla="*/ 3507781 w 6053679"/>
            <a:gd name="connsiteY4" fmla="*/ 3849550 h 3849550"/>
            <a:gd name="connsiteX5" fmla="*/ 3507781 w 6053679"/>
            <a:gd name="connsiteY5" fmla="*/ 39550 h 3849550"/>
            <a:gd name="connsiteX0" fmla="*/ 0 w 6053679"/>
            <a:gd name="connsiteY0" fmla="*/ 0 h 3849550"/>
            <a:gd name="connsiteX1" fmla="*/ 3503746 w 6053679"/>
            <a:gd name="connsiteY1" fmla="*/ 0 h 3849550"/>
            <a:gd name="connsiteX2" fmla="*/ 6053679 w 6053679"/>
            <a:gd name="connsiteY2" fmla="*/ 1944550 h 3849550"/>
            <a:gd name="connsiteX3" fmla="*/ 5799089 w 6053679"/>
            <a:gd name="connsiteY3" fmla="*/ 3849550 h 3849550"/>
            <a:gd name="connsiteX4" fmla="*/ 3507781 w 6053679"/>
            <a:gd name="connsiteY4" fmla="*/ 3849550 h 3849550"/>
            <a:gd name="connsiteX5" fmla="*/ 3507781 w 6053679"/>
            <a:gd name="connsiteY5" fmla="*/ 39550 h 3849550"/>
            <a:gd name="connsiteX0" fmla="*/ 0 w 5799088"/>
            <a:gd name="connsiteY0" fmla="*/ 0 h 4834671"/>
            <a:gd name="connsiteX1" fmla="*/ 3503746 w 5799088"/>
            <a:gd name="connsiteY1" fmla="*/ 0 h 4834671"/>
            <a:gd name="connsiteX2" fmla="*/ 4150342 w 5799088"/>
            <a:gd name="connsiteY2" fmla="*/ 4834671 h 4834671"/>
            <a:gd name="connsiteX3" fmla="*/ 5799089 w 5799088"/>
            <a:gd name="connsiteY3" fmla="*/ 3849550 h 4834671"/>
            <a:gd name="connsiteX4" fmla="*/ 3507781 w 5799088"/>
            <a:gd name="connsiteY4" fmla="*/ 3849550 h 4834671"/>
            <a:gd name="connsiteX5" fmla="*/ 3507781 w 5799088"/>
            <a:gd name="connsiteY5" fmla="*/ 39550 h 4834671"/>
            <a:gd name="connsiteX0" fmla="*/ 0 w 4150342"/>
            <a:gd name="connsiteY0" fmla="*/ 0 h 9624144"/>
            <a:gd name="connsiteX1" fmla="*/ 3503746 w 4150342"/>
            <a:gd name="connsiteY1" fmla="*/ 0 h 9624144"/>
            <a:gd name="connsiteX2" fmla="*/ 4150342 w 4150342"/>
            <a:gd name="connsiteY2" fmla="*/ 4834671 h 9624144"/>
            <a:gd name="connsiteX3" fmla="*/ 3503746 w 4150342"/>
            <a:gd name="connsiteY3" fmla="*/ 9624144 h 9624144"/>
            <a:gd name="connsiteX4" fmla="*/ 3507781 w 4150342"/>
            <a:gd name="connsiteY4" fmla="*/ 3849550 h 9624144"/>
            <a:gd name="connsiteX5" fmla="*/ 3507781 w 4150342"/>
            <a:gd name="connsiteY5" fmla="*/ 39550 h 9624144"/>
            <a:gd name="connsiteX0" fmla="*/ 0 w 4150342"/>
            <a:gd name="connsiteY0" fmla="*/ 0 h 9624144"/>
            <a:gd name="connsiteX1" fmla="*/ 3503746 w 4150342"/>
            <a:gd name="connsiteY1" fmla="*/ 0 h 9624144"/>
            <a:gd name="connsiteX2" fmla="*/ 4150342 w 4150342"/>
            <a:gd name="connsiteY2" fmla="*/ 4834671 h 9624144"/>
            <a:gd name="connsiteX3" fmla="*/ 3503746 w 4150342"/>
            <a:gd name="connsiteY3" fmla="*/ 9624144 h 9624144"/>
            <a:gd name="connsiteX4" fmla="*/ 3 w 4150342"/>
            <a:gd name="connsiteY4" fmla="*/ 9624144 h 9624144"/>
            <a:gd name="connsiteX5" fmla="*/ 3507781 w 4150342"/>
            <a:gd name="connsiteY5" fmla="*/ 39550 h 9624144"/>
            <a:gd name="connsiteX0" fmla="*/ 0 w 4150342"/>
            <a:gd name="connsiteY0" fmla="*/ 0 h 9624144"/>
            <a:gd name="connsiteX1" fmla="*/ 3503746 w 4150342"/>
            <a:gd name="connsiteY1" fmla="*/ 0 h 9624144"/>
            <a:gd name="connsiteX2" fmla="*/ 4150342 w 4150342"/>
            <a:gd name="connsiteY2" fmla="*/ 4834671 h 9624144"/>
            <a:gd name="connsiteX3" fmla="*/ 3503746 w 4150342"/>
            <a:gd name="connsiteY3" fmla="*/ 9624144 h 9624144"/>
            <a:gd name="connsiteX4" fmla="*/ 3 w 4150342"/>
            <a:gd name="connsiteY4" fmla="*/ 9624144 h 9624144"/>
            <a:gd name="connsiteX5" fmla="*/ 3 w 4150342"/>
            <a:gd name="connsiteY5" fmla="*/ 0 h 962414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42" h="9624144">
              <a:moveTo>
                <a:pt x="0" y="0"/>
              </a:moveTo>
              <a:lnTo>
                <a:pt x="3503746" y="0"/>
              </a:lnTo>
              <a:lnTo>
                <a:pt x="4150342" y="4834671"/>
              </a:lnTo>
              <a:lnTo>
                <a:pt x="3503746" y="9624144"/>
              </a:lnTo>
              <a:lnTo>
                <a:pt x="3" y="962414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7</xdr:row>
      <xdr:rowOff>39688</xdr:rowOff>
    </xdr:from>
    <xdr:to>
      <xdr:col>5</xdr:col>
      <xdr:colOff>583406</xdr:colOff>
      <xdr:row>29</xdr:row>
      <xdr:rowOff>102131</xdr:rowOff>
    </xdr:to>
    <xdr:sp macro="" textlink="">
      <xdr:nvSpPr>
        <xdr:cNvPr id="20" name="Arrow Text $L$88"/>
        <xdr:cNvSpPr txBox="1"/>
      </xdr:nvSpPr>
      <xdr:spPr>
        <a:xfrm>
          <a:off x="3190875" y="1963738"/>
          <a:ext cx="440531" cy="271674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73.1%</a:t>
          </a:r>
        </a:p>
      </xdr:txBody>
    </xdr:sp>
    <xdr:clientData/>
  </xdr:twoCellAnchor>
  <xdr:twoCellAnchor>
    <xdr:from>
      <xdr:col>2</xdr:col>
      <xdr:colOff>328611</xdr:colOff>
      <xdr:row>7</xdr:row>
      <xdr:rowOff>39688</xdr:rowOff>
    </xdr:from>
    <xdr:to>
      <xdr:col>5</xdr:col>
      <xdr:colOff>130174</xdr:colOff>
      <xdr:row>29</xdr:row>
      <xdr:rowOff>89431</xdr:rowOff>
    </xdr:to>
    <xdr:sp macro="" textlink="">
      <xdr:nvSpPr>
        <xdr:cNvPr id="126" name="Arrow $J$88">
          <a:extLst>
            <a:ext uri="{FF2B5EF4-FFF2-40B4-BE49-F238E27FC236}">
              <a16:creationId xmlns:a16="http://schemas.microsoft.com/office/drawing/2014/main" id="{00000000-0008-0000-0400-000007000000}"/>
            </a:ext>
          </a:extLst>
        </xdr:cNvPr>
        <xdr:cNvSpPr/>
      </xdr:nvSpPr>
      <xdr:spPr>
        <a:xfrm>
          <a:off x="1547811" y="1963738"/>
          <a:ext cx="1630363" cy="2704043"/>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3849550"/>
            <a:gd name="connsiteX1" fmla="*/ 5816809 w 6071399"/>
            <a:gd name="connsiteY1" fmla="*/ 39550 h 3849550"/>
            <a:gd name="connsiteX2" fmla="*/ 6071399 w 6071399"/>
            <a:gd name="connsiteY2" fmla="*/ 1944550 h 3849550"/>
            <a:gd name="connsiteX3" fmla="*/ 5816809 w 6071399"/>
            <a:gd name="connsiteY3" fmla="*/ 3849550 h 3849550"/>
            <a:gd name="connsiteX4" fmla="*/ 3525501 w 6071399"/>
            <a:gd name="connsiteY4" fmla="*/ 3849550 h 3849550"/>
            <a:gd name="connsiteX5" fmla="*/ 3525501 w 6071399"/>
            <a:gd name="connsiteY5" fmla="*/ 39550 h 3849550"/>
            <a:gd name="connsiteX0" fmla="*/ 0 w 6071399"/>
            <a:gd name="connsiteY0" fmla="*/ 0 h 3849550"/>
            <a:gd name="connsiteX1" fmla="*/ 3509316 w 6071399"/>
            <a:gd name="connsiteY1" fmla="*/ 0 h 3849550"/>
            <a:gd name="connsiteX2" fmla="*/ 6071399 w 6071399"/>
            <a:gd name="connsiteY2" fmla="*/ 1944550 h 3849550"/>
            <a:gd name="connsiteX3" fmla="*/ 5816809 w 6071399"/>
            <a:gd name="connsiteY3" fmla="*/ 3849550 h 3849550"/>
            <a:gd name="connsiteX4" fmla="*/ 3525501 w 6071399"/>
            <a:gd name="connsiteY4" fmla="*/ 3849550 h 3849550"/>
            <a:gd name="connsiteX5" fmla="*/ 3525501 w 6071399"/>
            <a:gd name="connsiteY5" fmla="*/ 39550 h 3849550"/>
            <a:gd name="connsiteX0" fmla="*/ 0 w 5816809"/>
            <a:gd name="connsiteY0" fmla="*/ 0 h 4834671"/>
            <a:gd name="connsiteX1" fmla="*/ 3509316 w 5816809"/>
            <a:gd name="connsiteY1" fmla="*/ 0 h 4834671"/>
            <a:gd name="connsiteX2" fmla="*/ 4156940 w 5816809"/>
            <a:gd name="connsiteY2" fmla="*/ 4834671 h 4834671"/>
            <a:gd name="connsiteX3" fmla="*/ 5816809 w 5816809"/>
            <a:gd name="connsiteY3" fmla="*/ 3849550 h 4834671"/>
            <a:gd name="connsiteX4" fmla="*/ 3525501 w 5816809"/>
            <a:gd name="connsiteY4" fmla="*/ 3849550 h 4834671"/>
            <a:gd name="connsiteX5" fmla="*/ 3525501 w 5816809"/>
            <a:gd name="connsiteY5" fmla="*/ 39550 h 4834671"/>
            <a:gd name="connsiteX0" fmla="*/ 0 w 4156940"/>
            <a:gd name="connsiteY0" fmla="*/ 0 h 9624144"/>
            <a:gd name="connsiteX1" fmla="*/ 3509316 w 4156940"/>
            <a:gd name="connsiteY1" fmla="*/ 0 h 9624144"/>
            <a:gd name="connsiteX2" fmla="*/ 4156940 w 4156940"/>
            <a:gd name="connsiteY2" fmla="*/ 4834671 h 9624144"/>
            <a:gd name="connsiteX3" fmla="*/ 3509316 w 4156940"/>
            <a:gd name="connsiteY3" fmla="*/ 9624144 h 9624144"/>
            <a:gd name="connsiteX4" fmla="*/ 3525501 w 4156940"/>
            <a:gd name="connsiteY4" fmla="*/ 3849550 h 9624144"/>
            <a:gd name="connsiteX5" fmla="*/ 3525501 w 4156940"/>
            <a:gd name="connsiteY5" fmla="*/ 39550 h 9624144"/>
            <a:gd name="connsiteX0" fmla="*/ 0 w 4156940"/>
            <a:gd name="connsiteY0" fmla="*/ 0 h 9624144"/>
            <a:gd name="connsiteX1" fmla="*/ 3509316 w 4156940"/>
            <a:gd name="connsiteY1" fmla="*/ 0 h 9624144"/>
            <a:gd name="connsiteX2" fmla="*/ 4156940 w 4156940"/>
            <a:gd name="connsiteY2" fmla="*/ 4834671 h 9624144"/>
            <a:gd name="connsiteX3" fmla="*/ 3509316 w 4156940"/>
            <a:gd name="connsiteY3" fmla="*/ 9624144 h 9624144"/>
            <a:gd name="connsiteX4" fmla="*/ 5 w 4156940"/>
            <a:gd name="connsiteY4" fmla="*/ 9624144 h 9624144"/>
            <a:gd name="connsiteX5" fmla="*/ 3525501 w 4156940"/>
            <a:gd name="connsiteY5" fmla="*/ 39550 h 9624144"/>
            <a:gd name="connsiteX0" fmla="*/ 0 w 4156940"/>
            <a:gd name="connsiteY0" fmla="*/ 0 h 9624144"/>
            <a:gd name="connsiteX1" fmla="*/ 3509316 w 4156940"/>
            <a:gd name="connsiteY1" fmla="*/ 0 h 9624144"/>
            <a:gd name="connsiteX2" fmla="*/ 4156940 w 4156940"/>
            <a:gd name="connsiteY2" fmla="*/ 4834671 h 9624144"/>
            <a:gd name="connsiteX3" fmla="*/ 3509316 w 4156940"/>
            <a:gd name="connsiteY3" fmla="*/ 9624144 h 9624144"/>
            <a:gd name="connsiteX4" fmla="*/ 5 w 4156940"/>
            <a:gd name="connsiteY4" fmla="*/ 9624144 h 9624144"/>
            <a:gd name="connsiteX5" fmla="*/ 5 w 4156940"/>
            <a:gd name="connsiteY5" fmla="*/ 0 h 962414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9624144">
              <a:moveTo>
                <a:pt x="0" y="0"/>
              </a:moveTo>
              <a:lnTo>
                <a:pt x="3509316" y="0"/>
              </a:lnTo>
              <a:lnTo>
                <a:pt x="4156940" y="4834671"/>
              </a:lnTo>
              <a:lnTo>
                <a:pt x="3509316" y="9624144"/>
              </a:lnTo>
              <a:lnTo>
                <a:pt x="5" y="9624144"/>
              </a:lnTo>
              <a:lnTo>
                <a:pt x="5"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7</xdr:row>
      <xdr:rowOff>39688</xdr:rowOff>
    </xdr:from>
    <xdr:to>
      <xdr:col>3</xdr:col>
      <xdr:colOff>413544</xdr:colOff>
      <xdr:row>29</xdr:row>
      <xdr:rowOff>102131</xdr:rowOff>
    </xdr:to>
    <xdr:sp macro="" textlink="">
      <xdr:nvSpPr>
        <xdr:cNvPr id="21" name="Arrow Text $J$88"/>
        <xdr:cNvSpPr txBox="1"/>
      </xdr:nvSpPr>
      <xdr:spPr>
        <a:xfrm>
          <a:off x="1801813" y="1963738"/>
          <a:ext cx="440531" cy="271674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73.1%</a:t>
          </a:r>
        </a:p>
      </xdr:txBody>
    </xdr:sp>
    <xdr:clientData/>
  </xdr:twoCellAnchor>
  <xdr:twoCellAnchor>
    <xdr:from>
      <xdr:col>0</xdr:col>
      <xdr:colOff>158749</xdr:colOff>
      <xdr:row>7</xdr:row>
      <xdr:rowOff>39688</xdr:rowOff>
    </xdr:from>
    <xdr:to>
      <xdr:col>2</xdr:col>
      <xdr:colOff>569912</xdr:colOff>
      <xdr:row>29</xdr:row>
      <xdr:rowOff>89431</xdr:rowOff>
    </xdr:to>
    <xdr:sp macro="" textlink="">
      <xdr:nvSpPr>
        <xdr:cNvPr id="128" name="Arrow $H$88">
          <a:extLst>
            <a:ext uri="{FF2B5EF4-FFF2-40B4-BE49-F238E27FC236}">
              <a16:creationId xmlns:a16="http://schemas.microsoft.com/office/drawing/2014/main" id="{00000000-0008-0000-0400-000007000000}"/>
            </a:ext>
          </a:extLst>
        </xdr:cNvPr>
        <xdr:cNvSpPr/>
      </xdr:nvSpPr>
      <xdr:spPr>
        <a:xfrm>
          <a:off x="158749" y="1963738"/>
          <a:ext cx="1630363" cy="2704043"/>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3849550"/>
            <a:gd name="connsiteX1" fmla="*/ 5824905 w 6079495"/>
            <a:gd name="connsiteY1" fmla="*/ 39550 h 3849550"/>
            <a:gd name="connsiteX2" fmla="*/ 6079495 w 6079495"/>
            <a:gd name="connsiteY2" fmla="*/ 1944550 h 3849550"/>
            <a:gd name="connsiteX3" fmla="*/ 5824905 w 6079495"/>
            <a:gd name="connsiteY3" fmla="*/ 3849550 h 3849550"/>
            <a:gd name="connsiteX4" fmla="*/ 3533597 w 6079495"/>
            <a:gd name="connsiteY4" fmla="*/ 3849550 h 3849550"/>
            <a:gd name="connsiteX5" fmla="*/ 3533597 w 6079495"/>
            <a:gd name="connsiteY5" fmla="*/ 39550 h 3849550"/>
            <a:gd name="connsiteX0" fmla="*/ 0 w 6079495"/>
            <a:gd name="connsiteY0" fmla="*/ 0 h 3849550"/>
            <a:gd name="connsiteX1" fmla="*/ 3509316 w 6079495"/>
            <a:gd name="connsiteY1" fmla="*/ 0 h 3849550"/>
            <a:gd name="connsiteX2" fmla="*/ 6079495 w 6079495"/>
            <a:gd name="connsiteY2" fmla="*/ 1944550 h 3849550"/>
            <a:gd name="connsiteX3" fmla="*/ 5824905 w 6079495"/>
            <a:gd name="connsiteY3" fmla="*/ 3849550 h 3849550"/>
            <a:gd name="connsiteX4" fmla="*/ 3533597 w 6079495"/>
            <a:gd name="connsiteY4" fmla="*/ 3849550 h 3849550"/>
            <a:gd name="connsiteX5" fmla="*/ 3533597 w 6079495"/>
            <a:gd name="connsiteY5" fmla="*/ 39550 h 3849550"/>
            <a:gd name="connsiteX0" fmla="*/ 0 w 5824905"/>
            <a:gd name="connsiteY0" fmla="*/ 0 h 4834671"/>
            <a:gd name="connsiteX1" fmla="*/ 3509316 w 5824905"/>
            <a:gd name="connsiteY1" fmla="*/ 0 h 4834671"/>
            <a:gd name="connsiteX2" fmla="*/ 4156940 w 5824905"/>
            <a:gd name="connsiteY2" fmla="*/ 4834671 h 4834671"/>
            <a:gd name="connsiteX3" fmla="*/ 5824905 w 5824905"/>
            <a:gd name="connsiteY3" fmla="*/ 3849550 h 4834671"/>
            <a:gd name="connsiteX4" fmla="*/ 3533597 w 5824905"/>
            <a:gd name="connsiteY4" fmla="*/ 3849550 h 4834671"/>
            <a:gd name="connsiteX5" fmla="*/ 3533597 w 5824905"/>
            <a:gd name="connsiteY5" fmla="*/ 39550 h 4834671"/>
            <a:gd name="connsiteX0" fmla="*/ 0 w 4156941"/>
            <a:gd name="connsiteY0" fmla="*/ 0 h 9624144"/>
            <a:gd name="connsiteX1" fmla="*/ 3509316 w 4156941"/>
            <a:gd name="connsiteY1" fmla="*/ 0 h 9624144"/>
            <a:gd name="connsiteX2" fmla="*/ 4156940 w 4156941"/>
            <a:gd name="connsiteY2" fmla="*/ 4834671 h 9624144"/>
            <a:gd name="connsiteX3" fmla="*/ 3509319 w 4156941"/>
            <a:gd name="connsiteY3" fmla="*/ 9624144 h 9624144"/>
            <a:gd name="connsiteX4" fmla="*/ 3533597 w 4156941"/>
            <a:gd name="connsiteY4" fmla="*/ 3849550 h 9624144"/>
            <a:gd name="connsiteX5" fmla="*/ 3533597 w 4156941"/>
            <a:gd name="connsiteY5" fmla="*/ 39550 h 9624144"/>
            <a:gd name="connsiteX0" fmla="*/ 0 w 4156941"/>
            <a:gd name="connsiteY0" fmla="*/ 0 h 9624144"/>
            <a:gd name="connsiteX1" fmla="*/ 3509316 w 4156941"/>
            <a:gd name="connsiteY1" fmla="*/ 0 h 9624144"/>
            <a:gd name="connsiteX2" fmla="*/ 4156940 w 4156941"/>
            <a:gd name="connsiteY2" fmla="*/ 4834671 h 9624144"/>
            <a:gd name="connsiteX3" fmla="*/ 3509319 w 4156941"/>
            <a:gd name="connsiteY3" fmla="*/ 9624144 h 9624144"/>
            <a:gd name="connsiteX4" fmla="*/ 3 w 4156941"/>
            <a:gd name="connsiteY4" fmla="*/ 9624144 h 9624144"/>
            <a:gd name="connsiteX5" fmla="*/ 3533597 w 4156941"/>
            <a:gd name="connsiteY5" fmla="*/ 39550 h 9624144"/>
            <a:gd name="connsiteX0" fmla="*/ 0 w 4156941"/>
            <a:gd name="connsiteY0" fmla="*/ 0 h 9624144"/>
            <a:gd name="connsiteX1" fmla="*/ 3509316 w 4156941"/>
            <a:gd name="connsiteY1" fmla="*/ 0 h 9624144"/>
            <a:gd name="connsiteX2" fmla="*/ 4156940 w 4156941"/>
            <a:gd name="connsiteY2" fmla="*/ 4834671 h 9624144"/>
            <a:gd name="connsiteX3" fmla="*/ 3509319 w 4156941"/>
            <a:gd name="connsiteY3" fmla="*/ 9624144 h 9624144"/>
            <a:gd name="connsiteX4" fmla="*/ 3 w 4156941"/>
            <a:gd name="connsiteY4" fmla="*/ 9624144 h 9624144"/>
            <a:gd name="connsiteX5" fmla="*/ 3 w 4156941"/>
            <a:gd name="connsiteY5" fmla="*/ 0 h 962414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9624144">
              <a:moveTo>
                <a:pt x="0" y="0"/>
              </a:moveTo>
              <a:lnTo>
                <a:pt x="3509316" y="0"/>
              </a:lnTo>
              <a:lnTo>
                <a:pt x="4156940" y="4834671"/>
              </a:lnTo>
              <a:lnTo>
                <a:pt x="3509319" y="9624144"/>
              </a:lnTo>
              <a:lnTo>
                <a:pt x="3" y="9624144"/>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7</xdr:row>
      <xdr:rowOff>39688</xdr:rowOff>
    </xdr:from>
    <xdr:to>
      <xdr:col>2</xdr:col>
      <xdr:colOff>328613</xdr:colOff>
      <xdr:row>29</xdr:row>
      <xdr:rowOff>102131</xdr:rowOff>
    </xdr:to>
    <xdr:sp macro="" textlink="">
      <xdr:nvSpPr>
        <xdr:cNvPr id="22" name="Arrow Text $H$88"/>
        <xdr:cNvSpPr txBox="1"/>
      </xdr:nvSpPr>
      <xdr:spPr>
        <a:xfrm>
          <a:off x="158750" y="1963738"/>
          <a:ext cx="1389063" cy="271674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WC CONNECTED TO SEWER</a:t>
          </a:r>
        </a:p>
      </xdr:txBody>
    </xdr:sp>
    <xdr:clientData/>
  </xdr:twoCellAnchor>
  <xdr:twoCellAnchor>
    <xdr:from>
      <xdr:col>2</xdr:col>
      <xdr:colOff>328613</xdr:colOff>
      <xdr:row>40</xdr:row>
      <xdr:rowOff>32068</xdr:rowOff>
    </xdr:from>
    <xdr:to>
      <xdr:col>4</xdr:col>
      <xdr:colOff>498475</xdr:colOff>
      <xdr:row>41</xdr:row>
      <xdr:rowOff>165100</xdr:rowOff>
    </xdr:to>
    <xdr:sp macro="" textlink="">
      <xdr:nvSpPr>
        <xdr:cNvPr id="23" name="Flow Summary"/>
        <xdr:cNvSpPr/>
      </xdr:nvSpPr>
      <xdr:spPr>
        <a:xfrm>
          <a:off x="1547813" y="6636068"/>
          <a:ext cx="1389062" cy="317182"/>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99.9%</a:t>
          </a:r>
        </a:p>
      </xdr:txBody>
    </xdr:sp>
    <xdr:clientData/>
  </xdr:twoCellAnchor>
  <xdr:twoCellAnchor>
    <xdr:from>
      <xdr:col>2</xdr:col>
      <xdr:colOff>328613</xdr:colOff>
      <xdr:row>41</xdr:row>
      <xdr:rowOff>165100</xdr:rowOff>
    </xdr:from>
    <xdr:to>
      <xdr:col>4</xdr:col>
      <xdr:colOff>498475</xdr:colOff>
      <xdr:row>41</xdr:row>
      <xdr:rowOff>165418</xdr:rowOff>
    </xdr:to>
    <xdr:sp macro="" textlink="">
      <xdr:nvSpPr>
        <xdr:cNvPr id="24" name="Flow Summary"/>
        <xdr:cNvSpPr/>
      </xdr:nvSpPr>
      <xdr:spPr>
        <a:xfrm>
          <a:off x="1547813" y="6953250"/>
          <a:ext cx="1389062" cy="318"/>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328613</xdr:colOff>
      <xdr:row>41</xdr:row>
      <xdr:rowOff>165418</xdr:rowOff>
    </xdr:from>
    <xdr:to>
      <xdr:col>4</xdr:col>
      <xdr:colOff>498476</xdr:colOff>
      <xdr:row>42</xdr:row>
      <xdr:rowOff>133668</xdr:rowOff>
    </xdr:to>
    <xdr:sp macro="" textlink="">
      <xdr:nvSpPr>
        <xdr:cNvPr id="25" name="Flow Summary Value"/>
        <xdr:cNvSpPr txBox="1"/>
      </xdr:nvSpPr>
      <xdr:spPr>
        <a:xfrm>
          <a:off x="1547813" y="6953568"/>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0.1%</a:t>
          </a:r>
        </a:p>
      </xdr:txBody>
    </xdr:sp>
    <xdr:clientData/>
  </xdr:twoCellAnchor>
  <xdr:twoCellAnchor>
    <xdr:from>
      <xdr:col>2</xdr:col>
      <xdr:colOff>328613</xdr:colOff>
      <xdr:row>39</xdr:row>
      <xdr:rowOff>50800</xdr:rowOff>
    </xdr:from>
    <xdr:to>
      <xdr:col>4</xdr:col>
      <xdr:colOff>498476</xdr:colOff>
      <xdr:row>40</xdr:row>
      <xdr:rowOff>19050</xdr:rowOff>
    </xdr:to>
    <xdr:sp macro="" textlink="">
      <xdr:nvSpPr>
        <xdr:cNvPr id="26" name="Flow Summary Label"/>
        <xdr:cNvSpPr txBox="1"/>
      </xdr:nvSpPr>
      <xdr:spPr>
        <a:xfrm>
          <a:off x="1547813"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CAPTURE</a:t>
          </a:r>
        </a:p>
      </xdr:txBody>
    </xdr:sp>
    <xdr:clientData/>
  </xdr:twoCellAnchor>
  <xdr:twoCellAnchor>
    <xdr:from>
      <xdr:col>4</xdr:col>
      <xdr:colOff>498475</xdr:colOff>
      <xdr:row>40</xdr:row>
      <xdr:rowOff>51753</xdr:rowOff>
    </xdr:from>
    <xdr:to>
      <xdr:col>7</xdr:col>
      <xdr:colOff>58738</xdr:colOff>
      <xdr:row>41</xdr:row>
      <xdr:rowOff>165100</xdr:rowOff>
    </xdr:to>
    <xdr:sp macro="" textlink="">
      <xdr:nvSpPr>
        <xdr:cNvPr id="27" name="Flow Summary"/>
        <xdr:cNvSpPr/>
      </xdr:nvSpPr>
      <xdr:spPr>
        <a:xfrm>
          <a:off x="2936875" y="6655753"/>
          <a:ext cx="1389063" cy="297497"/>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93.7%</a:t>
          </a:r>
        </a:p>
      </xdr:txBody>
    </xdr:sp>
    <xdr:clientData/>
  </xdr:twoCellAnchor>
  <xdr:twoCellAnchor>
    <xdr:from>
      <xdr:col>4</xdr:col>
      <xdr:colOff>498475</xdr:colOff>
      <xdr:row>41</xdr:row>
      <xdr:rowOff>165100</xdr:rowOff>
    </xdr:from>
    <xdr:to>
      <xdr:col>7</xdr:col>
      <xdr:colOff>58738</xdr:colOff>
      <xdr:row>42</xdr:row>
      <xdr:rowOff>635</xdr:rowOff>
    </xdr:to>
    <xdr:sp macro="" textlink="">
      <xdr:nvSpPr>
        <xdr:cNvPr id="28" name="Flow Summary"/>
        <xdr:cNvSpPr/>
      </xdr:nvSpPr>
      <xdr:spPr>
        <a:xfrm>
          <a:off x="2936875" y="6953250"/>
          <a:ext cx="1389063" cy="19685"/>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498475</xdr:colOff>
      <xdr:row>42</xdr:row>
      <xdr:rowOff>635</xdr:rowOff>
    </xdr:from>
    <xdr:to>
      <xdr:col>7</xdr:col>
      <xdr:colOff>58738</xdr:colOff>
      <xdr:row>42</xdr:row>
      <xdr:rowOff>153035</xdr:rowOff>
    </xdr:to>
    <xdr:sp macro="" textlink="">
      <xdr:nvSpPr>
        <xdr:cNvPr id="29" name="Flow Summary Value"/>
        <xdr:cNvSpPr txBox="1"/>
      </xdr:nvSpPr>
      <xdr:spPr>
        <a:xfrm>
          <a:off x="2936875" y="6972935"/>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6.2%</a:t>
          </a:r>
        </a:p>
      </xdr:txBody>
    </xdr:sp>
    <xdr:clientData/>
  </xdr:twoCellAnchor>
  <xdr:twoCellAnchor>
    <xdr:from>
      <xdr:col>4</xdr:col>
      <xdr:colOff>498475</xdr:colOff>
      <xdr:row>39</xdr:row>
      <xdr:rowOff>50800</xdr:rowOff>
    </xdr:from>
    <xdr:to>
      <xdr:col>7</xdr:col>
      <xdr:colOff>58738</xdr:colOff>
      <xdr:row>40</xdr:row>
      <xdr:rowOff>19050</xdr:rowOff>
    </xdr:to>
    <xdr:sp macro="" textlink="">
      <xdr:nvSpPr>
        <xdr:cNvPr id="30" name="Flow Summary Label"/>
        <xdr:cNvSpPr txBox="1"/>
      </xdr:nvSpPr>
      <xdr:spPr>
        <a:xfrm>
          <a:off x="2936875"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CONTAINMENT</a:t>
          </a:r>
        </a:p>
      </xdr:txBody>
    </xdr:sp>
    <xdr:clientData/>
  </xdr:twoCellAnchor>
  <xdr:twoCellAnchor>
    <xdr:from>
      <xdr:col>7</xdr:col>
      <xdr:colOff>58738</xdr:colOff>
      <xdr:row>40</xdr:row>
      <xdr:rowOff>59690</xdr:rowOff>
    </xdr:from>
    <xdr:to>
      <xdr:col>9</xdr:col>
      <xdr:colOff>228600</xdr:colOff>
      <xdr:row>41</xdr:row>
      <xdr:rowOff>165100</xdr:rowOff>
    </xdr:to>
    <xdr:sp macro="" textlink="">
      <xdr:nvSpPr>
        <xdr:cNvPr id="31" name="Flow Summary"/>
        <xdr:cNvSpPr/>
      </xdr:nvSpPr>
      <xdr:spPr>
        <a:xfrm>
          <a:off x="4325938" y="6663690"/>
          <a:ext cx="1389062" cy="289560"/>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91.2%</a:t>
          </a:r>
        </a:p>
      </xdr:txBody>
    </xdr:sp>
    <xdr:clientData/>
  </xdr:twoCellAnchor>
  <xdr:twoCellAnchor>
    <xdr:from>
      <xdr:col>7</xdr:col>
      <xdr:colOff>58738</xdr:colOff>
      <xdr:row>41</xdr:row>
      <xdr:rowOff>165100</xdr:rowOff>
    </xdr:from>
    <xdr:to>
      <xdr:col>9</xdr:col>
      <xdr:colOff>228600</xdr:colOff>
      <xdr:row>41</xdr:row>
      <xdr:rowOff>173038</xdr:rowOff>
    </xdr:to>
    <xdr:sp macro="" textlink="">
      <xdr:nvSpPr>
        <xdr:cNvPr id="32" name="Flow Summary"/>
        <xdr:cNvSpPr/>
      </xdr:nvSpPr>
      <xdr:spPr>
        <a:xfrm>
          <a:off x="4325938" y="6953250"/>
          <a:ext cx="1389062" cy="7938"/>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58738</xdr:colOff>
      <xdr:row>41</xdr:row>
      <xdr:rowOff>173038</xdr:rowOff>
    </xdr:from>
    <xdr:to>
      <xdr:col>9</xdr:col>
      <xdr:colOff>228601</xdr:colOff>
      <xdr:row>42</xdr:row>
      <xdr:rowOff>141288</xdr:rowOff>
    </xdr:to>
    <xdr:sp macro="" textlink="">
      <xdr:nvSpPr>
        <xdr:cNvPr id="33" name="Flow Summary Value"/>
        <xdr:cNvSpPr txBox="1"/>
      </xdr:nvSpPr>
      <xdr:spPr>
        <a:xfrm>
          <a:off x="4325938" y="6961188"/>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2.5%</a:t>
          </a:r>
        </a:p>
      </xdr:txBody>
    </xdr:sp>
    <xdr:clientData/>
  </xdr:twoCellAnchor>
  <xdr:twoCellAnchor>
    <xdr:from>
      <xdr:col>7</xdr:col>
      <xdr:colOff>58738</xdr:colOff>
      <xdr:row>39</xdr:row>
      <xdr:rowOff>50800</xdr:rowOff>
    </xdr:from>
    <xdr:to>
      <xdr:col>9</xdr:col>
      <xdr:colOff>228601</xdr:colOff>
      <xdr:row>40</xdr:row>
      <xdr:rowOff>19050</xdr:rowOff>
    </xdr:to>
    <xdr:sp macro="" textlink="">
      <xdr:nvSpPr>
        <xdr:cNvPr id="34" name="Flow Summary Label"/>
        <xdr:cNvSpPr txBox="1"/>
      </xdr:nvSpPr>
      <xdr:spPr>
        <a:xfrm>
          <a:off x="4325938"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EMPTYING</a:t>
          </a:r>
        </a:p>
      </xdr:txBody>
    </xdr:sp>
    <xdr:clientData/>
  </xdr:twoCellAnchor>
  <xdr:twoCellAnchor>
    <xdr:from>
      <xdr:col>9</xdr:col>
      <xdr:colOff>228600</xdr:colOff>
      <xdr:row>40</xdr:row>
      <xdr:rowOff>84138</xdr:rowOff>
    </xdr:from>
    <xdr:to>
      <xdr:col>11</xdr:col>
      <xdr:colOff>398463</xdr:colOff>
      <xdr:row>41</xdr:row>
      <xdr:rowOff>165100</xdr:rowOff>
    </xdr:to>
    <xdr:sp macro="" textlink="">
      <xdr:nvSpPr>
        <xdr:cNvPr id="35" name="Flow Summary"/>
        <xdr:cNvSpPr/>
      </xdr:nvSpPr>
      <xdr:spPr>
        <a:xfrm>
          <a:off x="5715000" y="6688138"/>
          <a:ext cx="1389063" cy="265112"/>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83.5%</a:t>
          </a:r>
        </a:p>
      </xdr:txBody>
    </xdr:sp>
    <xdr:clientData/>
  </xdr:twoCellAnchor>
  <xdr:twoCellAnchor>
    <xdr:from>
      <xdr:col>9</xdr:col>
      <xdr:colOff>228600</xdr:colOff>
      <xdr:row>41</xdr:row>
      <xdr:rowOff>165100</xdr:rowOff>
    </xdr:from>
    <xdr:to>
      <xdr:col>11</xdr:col>
      <xdr:colOff>398463</xdr:colOff>
      <xdr:row>42</xdr:row>
      <xdr:rowOff>5397</xdr:rowOff>
    </xdr:to>
    <xdr:sp macro="" textlink="">
      <xdr:nvSpPr>
        <xdr:cNvPr id="36" name="Flow Summary"/>
        <xdr:cNvSpPr/>
      </xdr:nvSpPr>
      <xdr:spPr>
        <a:xfrm>
          <a:off x="5715000" y="6953250"/>
          <a:ext cx="1389063" cy="24447"/>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228600</xdr:colOff>
      <xdr:row>42</xdr:row>
      <xdr:rowOff>5397</xdr:rowOff>
    </xdr:from>
    <xdr:to>
      <xdr:col>11</xdr:col>
      <xdr:colOff>398463</xdr:colOff>
      <xdr:row>42</xdr:row>
      <xdr:rowOff>157797</xdr:rowOff>
    </xdr:to>
    <xdr:sp macro="" textlink="">
      <xdr:nvSpPr>
        <xdr:cNvPr id="37" name="Flow Summary Value"/>
        <xdr:cNvSpPr txBox="1"/>
      </xdr:nvSpPr>
      <xdr:spPr>
        <a:xfrm>
          <a:off x="5715000" y="6977697"/>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7.7%</a:t>
          </a:r>
        </a:p>
      </xdr:txBody>
    </xdr:sp>
    <xdr:clientData/>
  </xdr:twoCellAnchor>
  <xdr:twoCellAnchor>
    <xdr:from>
      <xdr:col>9</xdr:col>
      <xdr:colOff>228600</xdr:colOff>
      <xdr:row>39</xdr:row>
      <xdr:rowOff>50800</xdr:rowOff>
    </xdr:from>
    <xdr:to>
      <xdr:col>11</xdr:col>
      <xdr:colOff>398463</xdr:colOff>
      <xdr:row>40</xdr:row>
      <xdr:rowOff>19050</xdr:rowOff>
    </xdr:to>
    <xdr:sp macro="" textlink="">
      <xdr:nvSpPr>
        <xdr:cNvPr id="38" name="Flow Summary Label"/>
        <xdr:cNvSpPr txBox="1"/>
      </xdr:nvSpPr>
      <xdr:spPr>
        <a:xfrm>
          <a:off x="5715000"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TRANSPORT</a:t>
          </a:r>
        </a:p>
      </xdr:txBody>
    </xdr:sp>
    <xdr:clientData/>
  </xdr:twoCellAnchor>
  <xdr:twoCellAnchor>
    <xdr:from>
      <xdr:col>11</xdr:col>
      <xdr:colOff>398463</xdr:colOff>
      <xdr:row>41</xdr:row>
      <xdr:rowOff>80645</xdr:rowOff>
    </xdr:from>
    <xdr:to>
      <xdr:col>13</xdr:col>
      <xdr:colOff>568325</xdr:colOff>
      <xdr:row>41</xdr:row>
      <xdr:rowOff>165100</xdr:rowOff>
    </xdr:to>
    <xdr:sp macro="" textlink="">
      <xdr:nvSpPr>
        <xdr:cNvPr id="39" name="Flow Summary"/>
        <xdr:cNvSpPr/>
      </xdr:nvSpPr>
      <xdr:spPr>
        <a:xfrm>
          <a:off x="7104063" y="6868795"/>
          <a:ext cx="1389062" cy="84455"/>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398463</xdr:colOff>
      <xdr:row>40</xdr:row>
      <xdr:rowOff>112395</xdr:rowOff>
    </xdr:from>
    <xdr:to>
      <xdr:col>13</xdr:col>
      <xdr:colOff>568326</xdr:colOff>
      <xdr:row>41</xdr:row>
      <xdr:rowOff>80645</xdr:rowOff>
    </xdr:to>
    <xdr:sp macro="" textlink="">
      <xdr:nvSpPr>
        <xdr:cNvPr id="40" name="Flow Summary Value"/>
        <xdr:cNvSpPr txBox="1"/>
      </xdr:nvSpPr>
      <xdr:spPr>
        <a:xfrm>
          <a:off x="7104063" y="6716395"/>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26.6%</a:t>
          </a:r>
        </a:p>
      </xdr:txBody>
    </xdr:sp>
    <xdr:clientData/>
  </xdr:twoCellAnchor>
  <xdr:twoCellAnchor>
    <xdr:from>
      <xdr:col>11</xdr:col>
      <xdr:colOff>398463</xdr:colOff>
      <xdr:row>41</xdr:row>
      <xdr:rowOff>165100</xdr:rowOff>
    </xdr:from>
    <xdr:to>
      <xdr:col>13</xdr:col>
      <xdr:colOff>568325</xdr:colOff>
      <xdr:row>42</xdr:row>
      <xdr:rowOff>161607</xdr:rowOff>
    </xdr:to>
    <xdr:sp macro="" textlink="">
      <xdr:nvSpPr>
        <xdr:cNvPr id="41" name="Flow Summary"/>
        <xdr:cNvSpPr/>
      </xdr:nvSpPr>
      <xdr:spPr>
        <a:xfrm>
          <a:off x="7104063" y="6953250"/>
          <a:ext cx="1389062" cy="180657"/>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56.9%</a:t>
          </a:r>
        </a:p>
      </xdr:txBody>
    </xdr:sp>
    <xdr:clientData/>
  </xdr:twoCellAnchor>
  <xdr:twoCellAnchor>
    <xdr:from>
      <xdr:col>11</xdr:col>
      <xdr:colOff>398463</xdr:colOff>
      <xdr:row>39</xdr:row>
      <xdr:rowOff>50800</xdr:rowOff>
    </xdr:from>
    <xdr:to>
      <xdr:col>13</xdr:col>
      <xdr:colOff>568326</xdr:colOff>
      <xdr:row>40</xdr:row>
      <xdr:rowOff>19050</xdr:rowOff>
    </xdr:to>
    <xdr:sp macro="" textlink="">
      <xdr:nvSpPr>
        <xdr:cNvPr id="42" name="Flow Summary Label"/>
        <xdr:cNvSpPr txBox="1"/>
      </xdr:nvSpPr>
      <xdr:spPr>
        <a:xfrm>
          <a:off x="7104063"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TREATMENT</a:t>
          </a:r>
        </a:p>
      </xdr:txBody>
    </xdr:sp>
    <xdr:clientData/>
  </xdr:twoCellAnchor>
  <xdr:twoCellAnchor>
    <xdr:from>
      <xdr:col>13</xdr:col>
      <xdr:colOff>568325</xdr:colOff>
      <xdr:row>41</xdr:row>
      <xdr:rowOff>80645</xdr:rowOff>
    </xdr:from>
    <xdr:to>
      <xdr:col>16</xdr:col>
      <xdr:colOff>128588</xdr:colOff>
      <xdr:row>41</xdr:row>
      <xdr:rowOff>165100</xdr:rowOff>
    </xdr:to>
    <xdr:sp macro="" textlink="">
      <xdr:nvSpPr>
        <xdr:cNvPr id="43" name="Flow Summary"/>
        <xdr:cNvSpPr/>
      </xdr:nvSpPr>
      <xdr:spPr>
        <a:xfrm>
          <a:off x="8493125" y="6868795"/>
          <a:ext cx="1389063" cy="84455"/>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568325</xdr:colOff>
      <xdr:row>40</xdr:row>
      <xdr:rowOff>112395</xdr:rowOff>
    </xdr:from>
    <xdr:to>
      <xdr:col>16</xdr:col>
      <xdr:colOff>128588</xdr:colOff>
      <xdr:row>41</xdr:row>
      <xdr:rowOff>80645</xdr:rowOff>
    </xdr:to>
    <xdr:sp macro="" textlink="">
      <xdr:nvSpPr>
        <xdr:cNvPr id="44" name="Flow Summary Value"/>
        <xdr:cNvSpPr txBox="1"/>
      </xdr:nvSpPr>
      <xdr:spPr>
        <a:xfrm>
          <a:off x="8493125" y="6716395"/>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26.6%</a:t>
          </a:r>
        </a:p>
      </xdr:txBody>
    </xdr:sp>
    <xdr:clientData/>
  </xdr:twoCellAnchor>
  <xdr:twoCellAnchor>
    <xdr:from>
      <xdr:col>13</xdr:col>
      <xdr:colOff>568325</xdr:colOff>
      <xdr:row>41</xdr:row>
      <xdr:rowOff>165100</xdr:rowOff>
    </xdr:from>
    <xdr:to>
      <xdr:col>16</xdr:col>
      <xdr:colOff>128588</xdr:colOff>
      <xdr:row>41</xdr:row>
      <xdr:rowOff>165100</xdr:rowOff>
    </xdr:to>
    <xdr:sp macro="" textlink="">
      <xdr:nvSpPr>
        <xdr:cNvPr id="45" name="Flow Summary"/>
        <xdr:cNvSpPr/>
      </xdr:nvSpPr>
      <xdr:spPr>
        <a:xfrm>
          <a:off x="8493125" y="6953250"/>
          <a:ext cx="1389063" cy="0"/>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568325</xdr:colOff>
      <xdr:row>41</xdr:row>
      <xdr:rowOff>165100</xdr:rowOff>
    </xdr:from>
    <xdr:to>
      <xdr:col>16</xdr:col>
      <xdr:colOff>128588</xdr:colOff>
      <xdr:row>42</xdr:row>
      <xdr:rowOff>133350</xdr:rowOff>
    </xdr:to>
    <xdr:sp macro="" textlink="">
      <xdr:nvSpPr>
        <xdr:cNvPr id="46" name="Flow Summary Value"/>
        <xdr:cNvSpPr txBox="1"/>
      </xdr:nvSpPr>
      <xdr:spPr>
        <a:xfrm>
          <a:off x="8493125" y="69532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0.0%</a:t>
          </a:r>
        </a:p>
      </xdr:txBody>
    </xdr:sp>
    <xdr:clientData/>
  </xdr:twoCellAnchor>
  <xdr:twoCellAnchor>
    <xdr:from>
      <xdr:col>13</xdr:col>
      <xdr:colOff>568325</xdr:colOff>
      <xdr:row>39</xdr:row>
      <xdr:rowOff>50800</xdr:rowOff>
    </xdr:from>
    <xdr:to>
      <xdr:col>16</xdr:col>
      <xdr:colOff>128588</xdr:colOff>
      <xdr:row>40</xdr:row>
      <xdr:rowOff>19050</xdr:rowOff>
    </xdr:to>
    <xdr:sp macro="" textlink="">
      <xdr:nvSpPr>
        <xdr:cNvPr id="47" name="Flow Summary Label"/>
        <xdr:cNvSpPr txBox="1"/>
      </xdr:nvSpPr>
      <xdr:spPr>
        <a:xfrm>
          <a:off x="8493125"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DISPOSAL OR REUSE</a:t>
          </a:r>
        </a:p>
      </xdr:txBody>
    </xdr:sp>
    <xdr:clientData/>
  </xdr:twoCellAnchor>
  <xdr:twoCellAnchor>
    <xdr:from>
      <xdr:col>16</xdr:col>
      <xdr:colOff>128588</xdr:colOff>
      <xdr:row>41</xdr:row>
      <xdr:rowOff>80645</xdr:rowOff>
    </xdr:from>
    <xdr:to>
      <xdr:col>18</xdr:col>
      <xdr:colOff>298450</xdr:colOff>
      <xdr:row>41</xdr:row>
      <xdr:rowOff>165100</xdr:rowOff>
    </xdr:to>
    <xdr:sp macro="" textlink="">
      <xdr:nvSpPr>
        <xdr:cNvPr id="48" name="Flow Summary"/>
        <xdr:cNvSpPr/>
      </xdr:nvSpPr>
      <xdr:spPr>
        <a:xfrm>
          <a:off x="9882188" y="6868795"/>
          <a:ext cx="1389062" cy="84455"/>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16</xdr:col>
      <xdr:colOff>128588</xdr:colOff>
      <xdr:row>40</xdr:row>
      <xdr:rowOff>112395</xdr:rowOff>
    </xdr:from>
    <xdr:to>
      <xdr:col>18</xdr:col>
      <xdr:colOff>298451</xdr:colOff>
      <xdr:row>41</xdr:row>
      <xdr:rowOff>80645</xdr:rowOff>
    </xdr:to>
    <xdr:sp macro="" textlink="">
      <xdr:nvSpPr>
        <xdr:cNvPr id="49" name="Flow Summary Value"/>
        <xdr:cNvSpPr txBox="1"/>
      </xdr:nvSpPr>
      <xdr:spPr>
        <a:xfrm>
          <a:off x="9882188" y="6716395"/>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26.6%</a:t>
          </a:r>
        </a:p>
      </xdr:txBody>
    </xdr:sp>
    <xdr:clientData/>
  </xdr:twoCellAnchor>
  <xdr:twoCellAnchor>
    <xdr:from>
      <xdr:col>16</xdr:col>
      <xdr:colOff>128588</xdr:colOff>
      <xdr:row>41</xdr:row>
      <xdr:rowOff>165100</xdr:rowOff>
    </xdr:from>
    <xdr:to>
      <xdr:col>18</xdr:col>
      <xdr:colOff>298450</xdr:colOff>
      <xdr:row>43</xdr:row>
      <xdr:rowOff>29845</xdr:rowOff>
    </xdr:to>
    <xdr:sp macro="" textlink="">
      <xdr:nvSpPr>
        <xdr:cNvPr id="50" name="Flow Summary"/>
        <xdr:cNvSpPr/>
      </xdr:nvSpPr>
      <xdr:spPr>
        <a:xfrm>
          <a:off x="9882188" y="6953250"/>
          <a:ext cx="1389062" cy="233045"/>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73.4%</a:t>
          </a:r>
        </a:p>
      </xdr:txBody>
    </xdr:sp>
    <xdr:clientData/>
  </xdr:twoCellAnchor>
  <xdr:twoCellAnchor>
    <xdr:from>
      <xdr:col>16</xdr:col>
      <xdr:colOff>128588</xdr:colOff>
      <xdr:row>39</xdr:row>
      <xdr:rowOff>50800</xdr:rowOff>
    </xdr:from>
    <xdr:to>
      <xdr:col>18</xdr:col>
      <xdr:colOff>298451</xdr:colOff>
      <xdr:row>40</xdr:row>
      <xdr:rowOff>19050</xdr:rowOff>
    </xdr:to>
    <xdr:sp macro="" textlink="">
      <xdr:nvSpPr>
        <xdr:cNvPr id="51" name="Flow Summary Label"/>
        <xdr:cNvSpPr txBox="1"/>
      </xdr:nvSpPr>
      <xdr:spPr>
        <a:xfrm>
          <a:off x="9882188"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TOTALS</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564578</xdr:colOff>
      <xdr:row>3</xdr:row>
      <xdr:rowOff>50800</xdr:rowOff>
    </xdr:from>
    <xdr:to>
      <xdr:col>17</xdr:col>
      <xdr:colOff>54278</xdr:colOff>
      <xdr:row>8</xdr:row>
      <xdr:rowOff>7250</xdr:rowOff>
    </xdr:to>
    <xdr:pic>
      <xdr:nvPicPr>
        <xdr:cNvPr id="3" name="Service Chain Image">
          <a:extLst>
            <a:ext uri="{FF2B5EF4-FFF2-40B4-BE49-F238E27FC236}">
              <a16:creationId xmlns:a16="http://schemas.microsoft.com/office/drawing/2014/main" id="{00000000-0008-0000-0600-000003000000}"/>
            </a:ext>
          </a:extLst>
        </xdr:cNvPr>
        <xdr:cNvPicPr>
          <a:picLocks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039"/>
        <a:stretch/>
      </xdr:blipFill>
      <xdr:spPr bwMode="auto">
        <a:xfrm>
          <a:off x="1174178" y="1238250"/>
          <a:ext cx="9243300" cy="87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328612</xdr:colOff>
      <xdr:row>27</xdr:row>
      <xdr:rowOff>20245</xdr:rowOff>
    </xdr:from>
    <xdr:to>
      <xdr:col>3</xdr:col>
      <xdr:colOff>450948</xdr:colOff>
      <xdr:row>31</xdr:row>
      <xdr:rowOff>107951</xdr:rowOff>
    </xdr:to>
    <xdr:sp macro="" textlink="">
      <xdr:nvSpPr>
        <xdr:cNvPr id="75" name="Arrow $J$176">
          <a:extLst>
            <a:ext uri="{FF2B5EF4-FFF2-40B4-BE49-F238E27FC236}">
              <a16:creationId xmlns:a16="http://schemas.microsoft.com/office/drawing/2014/main" id="{00000000-0008-0000-0400-000006000000}"/>
            </a:ext>
          </a:extLst>
        </xdr:cNvPr>
        <xdr:cNvSpPr/>
      </xdr:nvSpPr>
      <xdr:spPr>
        <a:xfrm>
          <a:off x="1547812" y="5627295"/>
          <a:ext cx="731936" cy="824306"/>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17233935"/>
            <a:gd name="connsiteY0" fmla="*/ 18825314 h 18825314"/>
            <a:gd name="connsiteX1" fmla="*/ 15960524 w 17233935"/>
            <a:gd name="connsiteY1" fmla="*/ 0 h 18825314"/>
            <a:gd name="connsiteX2" fmla="*/ 17233935 w 17233935"/>
            <a:gd name="connsiteY2" fmla="*/ 1270000 h 18825314"/>
            <a:gd name="connsiteX3" fmla="*/ 17233935 w 17233935"/>
            <a:gd name="connsiteY3" fmla="*/ 3556000 h 18825314"/>
            <a:gd name="connsiteX4" fmla="*/ 16597230 w 17233935"/>
            <a:gd name="connsiteY4" fmla="*/ 3810000 h 18825314"/>
            <a:gd name="connsiteX5" fmla="*/ 15960524 w 17233935"/>
            <a:gd name="connsiteY5" fmla="*/ 3556000 h 18825314"/>
            <a:gd name="connsiteX6" fmla="*/ 15960524 w 17233935"/>
            <a:gd name="connsiteY6" fmla="*/ 2540000 h 18825314"/>
            <a:gd name="connsiteX7" fmla="*/ 15323819 w 17233935"/>
            <a:gd name="connsiteY7" fmla="*/ 1905000 h 18825314"/>
            <a:gd name="connsiteX8" fmla="*/ 14687113 w 17233935"/>
            <a:gd name="connsiteY8" fmla="*/ 1905000 h 18825314"/>
            <a:gd name="connsiteX9" fmla="*/ 14687113 w 17233935"/>
            <a:gd name="connsiteY9" fmla="*/ 0 h 18825314"/>
            <a:gd name="connsiteX0" fmla="*/ 0 w 17233935"/>
            <a:gd name="connsiteY0" fmla="*/ 18825314 h 18825314"/>
            <a:gd name="connsiteX1" fmla="*/ 1217102 w 17233935"/>
            <a:gd name="connsiteY1" fmla="*/ 18825310 h 18825314"/>
            <a:gd name="connsiteX2" fmla="*/ 17233935 w 17233935"/>
            <a:gd name="connsiteY2" fmla="*/ 1270000 h 18825314"/>
            <a:gd name="connsiteX3" fmla="*/ 17233935 w 17233935"/>
            <a:gd name="connsiteY3" fmla="*/ 3556000 h 18825314"/>
            <a:gd name="connsiteX4" fmla="*/ 16597230 w 17233935"/>
            <a:gd name="connsiteY4" fmla="*/ 3810000 h 18825314"/>
            <a:gd name="connsiteX5" fmla="*/ 15960524 w 17233935"/>
            <a:gd name="connsiteY5" fmla="*/ 3556000 h 18825314"/>
            <a:gd name="connsiteX6" fmla="*/ 15960524 w 17233935"/>
            <a:gd name="connsiteY6" fmla="*/ 2540000 h 18825314"/>
            <a:gd name="connsiteX7" fmla="*/ 15323819 w 17233935"/>
            <a:gd name="connsiteY7" fmla="*/ 1905000 h 18825314"/>
            <a:gd name="connsiteX8" fmla="*/ 14687113 w 17233935"/>
            <a:gd name="connsiteY8" fmla="*/ 1905000 h 18825314"/>
            <a:gd name="connsiteX9" fmla="*/ 14687113 w 17233935"/>
            <a:gd name="connsiteY9" fmla="*/ 0 h 18825314"/>
            <a:gd name="connsiteX0" fmla="*/ 0 w 17233935"/>
            <a:gd name="connsiteY0" fmla="*/ 18825314 h 18825314"/>
            <a:gd name="connsiteX1" fmla="*/ 1217102 w 17233935"/>
            <a:gd name="connsiteY1" fmla="*/ 18825310 h 18825314"/>
            <a:gd name="connsiteX2" fmla="*/ 17233935 w 17233935"/>
            <a:gd name="connsiteY2" fmla="*/ 1270000 h 18825314"/>
            <a:gd name="connsiteX3" fmla="*/ 17233935 w 17233935"/>
            <a:gd name="connsiteY3" fmla="*/ 3556000 h 18825314"/>
            <a:gd name="connsiteX4" fmla="*/ 16597230 w 17233935"/>
            <a:gd name="connsiteY4" fmla="*/ 3810000 h 18825314"/>
            <a:gd name="connsiteX5" fmla="*/ 15960524 w 17233935"/>
            <a:gd name="connsiteY5" fmla="*/ 3556000 h 18825314"/>
            <a:gd name="connsiteX6" fmla="*/ 15960524 w 17233935"/>
            <a:gd name="connsiteY6" fmla="*/ 2540000 h 18825314"/>
            <a:gd name="connsiteX7" fmla="*/ 15323819 w 17233935"/>
            <a:gd name="connsiteY7" fmla="*/ 1905000 h 18825314"/>
            <a:gd name="connsiteX8" fmla="*/ 14687113 w 17233935"/>
            <a:gd name="connsiteY8" fmla="*/ 1905000 h 18825314"/>
            <a:gd name="connsiteX9" fmla="*/ 14687113 w 17233935"/>
            <a:gd name="connsiteY9" fmla="*/ 0 h 18825314"/>
            <a:gd name="connsiteX0" fmla="*/ 0 w 17233935"/>
            <a:gd name="connsiteY0" fmla="*/ 18825314 h 18826415"/>
            <a:gd name="connsiteX1" fmla="*/ 1217102 w 17233935"/>
            <a:gd name="connsiteY1" fmla="*/ 18825310 h 18826415"/>
            <a:gd name="connsiteX2" fmla="*/ 17233935 w 17233935"/>
            <a:gd name="connsiteY2" fmla="*/ 1270000 h 18826415"/>
            <a:gd name="connsiteX3" fmla="*/ 17233935 w 17233935"/>
            <a:gd name="connsiteY3" fmla="*/ 3556000 h 18826415"/>
            <a:gd name="connsiteX4" fmla="*/ 16597230 w 17233935"/>
            <a:gd name="connsiteY4" fmla="*/ 3810000 h 18826415"/>
            <a:gd name="connsiteX5" fmla="*/ 15960524 w 17233935"/>
            <a:gd name="connsiteY5" fmla="*/ 3556000 h 18826415"/>
            <a:gd name="connsiteX6" fmla="*/ 15960524 w 17233935"/>
            <a:gd name="connsiteY6" fmla="*/ 2540000 h 18826415"/>
            <a:gd name="connsiteX7" fmla="*/ 15323819 w 17233935"/>
            <a:gd name="connsiteY7" fmla="*/ 1905000 h 18826415"/>
            <a:gd name="connsiteX8" fmla="*/ 14687113 w 17233935"/>
            <a:gd name="connsiteY8" fmla="*/ 1905000 h 18826415"/>
            <a:gd name="connsiteX9" fmla="*/ 14687113 w 17233935"/>
            <a:gd name="connsiteY9" fmla="*/ 0 h 18826415"/>
            <a:gd name="connsiteX0" fmla="*/ 0 w 17233935"/>
            <a:gd name="connsiteY0" fmla="*/ 18825314 h 19751311"/>
            <a:gd name="connsiteX1" fmla="*/ 1217102 w 17233935"/>
            <a:gd name="connsiteY1" fmla="*/ 18825310 h 19751311"/>
            <a:gd name="connsiteX2" fmla="*/ 1863934 w 17233935"/>
            <a:gd name="connsiteY2" fmla="*/ 19751311 h 19751311"/>
            <a:gd name="connsiteX3" fmla="*/ 17233935 w 17233935"/>
            <a:gd name="connsiteY3" fmla="*/ 3556000 h 19751311"/>
            <a:gd name="connsiteX4" fmla="*/ 16597230 w 17233935"/>
            <a:gd name="connsiteY4" fmla="*/ 3810000 h 19751311"/>
            <a:gd name="connsiteX5" fmla="*/ 15960524 w 17233935"/>
            <a:gd name="connsiteY5" fmla="*/ 3556000 h 19751311"/>
            <a:gd name="connsiteX6" fmla="*/ 15960524 w 17233935"/>
            <a:gd name="connsiteY6" fmla="*/ 2540000 h 19751311"/>
            <a:gd name="connsiteX7" fmla="*/ 15323819 w 17233935"/>
            <a:gd name="connsiteY7" fmla="*/ 1905000 h 19751311"/>
            <a:gd name="connsiteX8" fmla="*/ 14687113 w 17233935"/>
            <a:gd name="connsiteY8" fmla="*/ 1905000 h 19751311"/>
            <a:gd name="connsiteX9" fmla="*/ 14687113 w 17233935"/>
            <a:gd name="connsiteY9" fmla="*/ 0 h 19751311"/>
            <a:gd name="connsiteX0" fmla="*/ 0 w 16597229"/>
            <a:gd name="connsiteY0" fmla="*/ 18825314 h 20904459"/>
            <a:gd name="connsiteX1" fmla="*/ 1217102 w 16597229"/>
            <a:gd name="connsiteY1" fmla="*/ 18825310 h 20904459"/>
            <a:gd name="connsiteX2" fmla="*/ 1863934 w 16597229"/>
            <a:gd name="connsiteY2" fmla="*/ 19751311 h 20904459"/>
            <a:gd name="connsiteX3" fmla="*/ 1863934 w 16597229"/>
            <a:gd name="connsiteY3" fmla="*/ 20904459 h 20904459"/>
            <a:gd name="connsiteX4" fmla="*/ 16597230 w 16597229"/>
            <a:gd name="connsiteY4" fmla="*/ 3810000 h 20904459"/>
            <a:gd name="connsiteX5" fmla="*/ 15960524 w 16597229"/>
            <a:gd name="connsiteY5" fmla="*/ 3556000 h 20904459"/>
            <a:gd name="connsiteX6" fmla="*/ 15960524 w 16597229"/>
            <a:gd name="connsiteY6" fmla="*/ 2540000 h 20904459"/>
            <a:gd name="connsiteX7" fmla="*/ 15323819 w 16597229"/>
            <a:gd name="connsiteY7" fmla="*/ 1905000 h 20904459"/>
            <a:gd name="connsiteX8" fmla="*/ 14687113 w 16597229"/>
            <a:gd name="connsiteY8" fmla="*/ 1905000 h 20904459"/>
            <a:gd name="connsiteX9" fmla="*/ 14687113 w 16597229"/>
            <a:gd name="connsiteY9" fmla="*/ 0 h 20904459"/>
            <a:gd name="connsiteX0" fmla="*/ 0 w 15960523"/>
            <a:gd name="connsiteY0" fmla="*/ 18825314 h 21830460"/>
            <a:gd name="connsiteX1" fmla="*/ 1217102 w 15960523"/>
            <a:gd name="connsiteY1" fmla="*/ 18825310 h 21830460"/>
            <a:gd name="connsiteX2" fmla="*/ 1863934 w 15960523"/>
            <a:gd name="connsiteY2" fmla="*/ 19751311 h 21830460"/>
            <a:gd name="connsiteX3" fmla="*/ 1863934 w 15960523"/>
            <a:gd name="connsiteY3" fmla="*/ 20904459 h 21830460"/>
            <a:gd name="connsiteX4" fmla="*/ 1800134 w 15960523"/>
            <a:gd name="connsiteY4" fmla="*/ 21830460 h 21830460"/>
            <a:gd name="connsiteX5" fmla="*/ 15960524 w 15960523"/>
            <a:gd name="connsiteY5" fmla="*/ 3556000 h 21830460"/>
            <a:gd name="connsiteX6" fmla="*/ 15960524 w 15960523"/>
            <a:gd name="connsiteY6" fmla="*/ 2540000 h 21830460"/>
            <a:gd name="connsiteX7" fmla="*/ 15323819 w 15960523"/>
            <a:gd name="connsiteY7" fmla="*/ 1905000 h 21830460"/>
            <a:gd name="connsiteX8" fmla="*/ 14687113 w 15960523"/>
            <a:gd name="connsiteY8" fmla="*/ 1905000 h 21830460"/>
            <a:gd name="connsiteX9" fmla="*/ 14687113 w 15960523"/>
            <a:gd name="connsiteY9" fmla="*/ 0 h 21830460"/>
            <a:gd name="connsiteX0" fmla="*/ 0 w 15960523"/>
            <a:gd name="connsiteY0" fmla="*/ 18825314 h 21830460"/>
            <a:gd name="connsiteX1" fmla="*/ 1217102 w 15960523"/>
            <a:gd name="connsiteY1" fmla="*/ 18825310 h 21830460"/>
            <a:gd name="connsiteX2" fmla="*/ 1863934 w 15960523"/>
            <a:gd name="connsiteY2" fmla="*/ 19751311 h 21830460"/>
            <a:gd name="connsiteX3" fmla="*/ 1863934 w 15960523"/>
            <a:gd name="connsiteY3" fmla="*/ 20904459 h 21830460"/>
            <a:gd name="connsiteX4" fmla="*/ 1800134 w 15960523"/>
            <a:gd name="connsiteY4" fmla="*/ 21830460 h 21830460"/>
            <a:gd name="connsiteX5" fmla="*/ 1736337 w 15960523"/>
            <a:gd name="connsiteY5" fmla="*/ 20904459 h 21830460"/>
            <a:gd name="connsiteX6" fmla="*/ 15960524 w 15960523"/>
            <a:gd name="connsiteY6" fmla="*/ 2540000 h 21830460"/>
            <a:gd name="connsiteX7" fmla="*/ 15323819 w 15960523"/>
            <a:gd name="connsiteY7" fmla="*/ 1905000 h 21830460"/>
            <a:gd name="connsiteX8" fmla="*/ 14687113 w 15960523"/>
            <a:gd name="connsiteY8" fmla="*/ 1905000 h 21830460"/>
            <a:gd name="connsiteX9" fmla="*/ 14687113 w 15960523"/>
            <a:gd name="connsiteY9" fmla="*/ 0 h 21830460"/>
            <a:gd name="connsiteX0" fmla="*/ 0 w 15418022"/>
            <a:gd name="connsiteY0" fmla="*/ 18825314 h 21830460"/>
            <a:gd name="connsiteX1" fmla="*/ 1217102 w 15418022"/>
            <a:gd name="connsiteY1" fmla="*/ 18825310 h 21830460"/>
            <a:gd name="connsiteX2" fmla="*/ 1863934 w 15418022"/>
            <a:gd name="connsiteY2" fmla="*/ 19751311 h 21830460"/>
            <a:gd name="connsiteX3" fmla="*/ 1863934 w 15418022"/>
            <a:gd name="connsiteY3" fmla="*/ 20904459 h 21830460"/>
            <a:gd name="connsiteX4" fmla="*/ 1800134 w 15418022"/>
            <a:gd name="connsiteY4" fmla="*/ 21830460 h 21830460"/>
            <a:gd name="connsiteX5" fmla="*/ 1736337 w 15418022"/>
            <a:gd name="connsiteY5" fmla="*/ 20904459 h 21830460"/>
            <a:gd name="connsiteX6" fmla="*/ 1736337 w 15418022"/>
            <a:gd name="connsiteY6" fmla="*/ 21020209 h 21830460"/>
            <a:gd name="connsiteX7" fmla="*/ 15323819 w 15418022"/>
            <a:gd name="connsiteY7" fmla="*/ 1905000 h 21830460"/>
            <a:gd name="connsiteX8" fmla="*/ 14687113 w 15418022"/>
            <a:gd name="connsiteY8" fmla="*/ 1905000 h 21830460"/>
            <a:gd name="connsiteX9" fmla="*/ 14687113 w 15418022"/>
            <a:gd name="connsiteY9" fmla="*/ 0 h 21830460"/>
            <a:gd name="connsiteX0" fmla="*/ 0 w 15329202"/>
            <a:gd name="connsiteY0" fmla="*/ 18825314 h 21830460"/>
            <a:gd name="connsiteX1" fmla="*/ 1217102 w 15329202"/>
            <a:gd name="connsiteY1" fmla="*/ 18825310 h 21830460"/>
            <a:gd name="connsiteX2" fmla="*/ 1863934 w 15329202"/>
            <a:gd name="connsiteY2" fmla="*/ 19751311 h 21830460"/>
            <a:gd name="connsiteX3" fmla="*/ 1863934 w 15329202"/>
            <a:gd name="connsiteY3" fmla="*/ 20904459 h 21830460"/>
            <a:gd name="connsiteX4" fmla="*/ 1800134 w 15329202"/>
            <a:gd name="connsiteY4" fmla="*/ 21830460 h 21830460"/>
            <a:gd name="connsiteX5" fmla="*/ 1736337 w 15329202"/>
            <a:gd name="connsiteY5" fmla="*/ 20904459 h 21830460"/>
            <a:gd name="connsiteX6" fmla="*/ 1736337 w 15329202"/>
            <a:gd name="connsiteY6" fmla="*/ 21020209 h 21830460"/>
            <a:gd name="connsiteX7" fmla="*/ 15323819 w 15329202"/>
            <a:gd name="connsiteY7" fmla="*/ 1905000 h 21830460"/>
            <a:gd name="connsiteX8" fmla="*/ 14687113 w 15329202"/>
            <a:gd name="connsiteY8" fmla="*/ 1905000 h 21830460"/>
            <a:gd name="connsiteX9" fmla="*/ 14687113 w 15329202"/>
            <a:gd name="connsiteY9" fmla="*/ 0 h 21830460"/>
            <a:gd name="connsiteX0" fmla="*/ 0 w 15323819"/>
            <a:gd name="connsiteY0" fmla="*/ 18825314 h 21830460"/>
            <a:gd name="connsiteX1" fmla="*/ 1217102 w 15323819"/>
            <a:gd name="connsiteY1" fmla="*/ 18825310 h 21830460"/>
            <a:gd name="connsiteX2" fmla="*/ 1863934 w 15323819"/>
            <a:gd name="connsiteY2" fmla="*/ 19751311 h 21830460"/>
            <a:gd name="connsiteX3" fmla="*/ 1863934 w 15323819"/>
            <a:gd name="connsiteY3" fmla="*/ 20904459 h 21830460"/>
            <a:gd name="connsiteX4" fmla="*/ 1800134 w 15323819"/>
            <a:gd name="connsiteY4" fmla="*/ 21830460 h 21830460"/>
            <a:gd name="connsiteX5" fmla="*/ 1736337 w 15323819"/>
            <a:gd name="connsiteY5" fmla="*/ 20904459 h 21830460"/>
            <a:gd name="connsiteX6" fmla="*/ 1736337 w 15323819"/>
            <a:gd name="connsiteY6" fmla="*/ 21020209 h 21830460"/>
            <a:gd name="connsiteX7" fmla="*/ 15323819 w 15323819"/>
            <a:gd name="connsiteY7" fmla="*/ 1905000 h 21830460"/>
            <a:gd name="connsiteX8" fmla="*/ 14687113 w 15323819"/>
            <a:gd name="connsiteY8" fmla="*/ 1905000 h 21830460"/>
            <a:gd name="connsiteX9" fmla="*/ 14687113 w 15323819"/>
            <a:gd name="connsiteY9" fmla="*/ 0 h 21830460"/>
            <a:gd name="connsiteX0" fmla="*/ 0 w 14687113"/>
            <a:gd name="connsiteY0" fmla="*/ 18825314 h 21830460"/>
            <a:gd name="connsiteX1" fmla="*/ 1217102 w 14687113"/>
            <a:gd name="connsiteY1" fmla="*/ 18825310 h 21830460"/>
            <a:gd name="connsiteX2" fmla="*/ 1863934 w 14687113"/>
            <a:gd name="connsiteY2" fmla="*/ 19751311 h 21830460"/>
            <a:gd name="connsiteX3" fmla="*/ 1863934 w 14687113"/>
            <a:gd name="connsiteY3" fmla="*/ 20904459 h 21830460"/>
            <a:gd name="connsiteX4" fmla="*/ 1800134 w 14687113"/>
            <a:gd name="connsiteY4" fmla="*/ 21830460 h 21830460"/>
            <a:gd name="connsiteX5" fmla="*/ 1736337 w 14687113"/>
            <a:gd name="connsiteY5" fmla="*/ 20904459 h 21830460"/>
            <a:gd name="connsiteX6" fmla="*/ 1736337 w 14687113"/>
            <a:gd name="connsiteY6" fmla="*/ 21020209 h 21830460"/>
            <a:gd name="connsiteX7" fmla="*/ 1089508 w 14687113"/>
            <a:gd name="connsiteY7" fmla="*/ 20094209 h 21830460"/>
            <a:gd name="connsiteX8" fmla="*/ 14687113 w 14687113"/>
            <a:gd name="connsiteY8" fmla="*/ 1905000 h 21830460"/>
            <a:gd name="connsiteX9" fmla="*/ 14687113 w 14687113"/>
            <a:gd name="connsiteY9" fmla="*/ 0 h 21830460"/>
            <a:gd name="connsiteX0" fmla="*/ 0 w 14687113"/>
            <a:gd name="connsiteY0" fmla="*/ 18825314 h 21830460"/>
            <a:gd name="connsiteX1" fmla="*/ 1217102 w 14687113"/>
            <a:gd name="connsiteY1" fmla="*/ 18825310 h 21830460"/>
            <a:gd name="connsiteX2" fmla="*/ 1863934 w 14687113"/>
            <a:gd name="connsiteY2" fmla="*/ 19751311 h 21830460"/>
            <a:gd name="connsiteX3" fmla="*/ 1863934 w 14687113"/>
            <a:gd name="connsiteY3" fmla="*/ 20904459 h 21830460"/>
            <a:gd name="connsiteX4" fmla="*/ 1800134 w 14687113"/>
            <a:gd name="connsiteY4" fmla="*/ 21830460 h 21830460"/>
            <a:gd name="connsiteX5" fmla="*/ 1736337 w 14687113"/>
            <a:gd name="connsiteY5" fmla="*/ 20904459 h 21830460"/>
            <a:gd name="connsiteX6" fmla="*/ 1736337 w 14687113"/>
            <a:gd name="connsiteY6" fmla="*/ 21020209 h 21830460"/>
            <a:gd name="connsiteX7" fmla="*/ 1089508 w 14687113"/>
            <a:gd name="connsiteY7" fmla="*/ 20094209 h 21830460"/>
            <a:gd name="connsiteX8" fmla="*/ 3 w 14687113"/>
            <a:gd name="connsiteY8" fmla="*/ 20094209 h 21830460"/>
            <a:gd name="connsiteX9" fmla="*/ 14687113 w 14687113"/>
            <a:gd name="connsiteY9" fmla="*/ 0 h 21830460"/>
            <a:gd name="connsiteX0" fmla="*/ 0 w 1863934"/>
            <a:gd name="connsiteY0" fmla="*/ 3 h 3005149"/>
            <a:gd name="connsiteX1" fmla="*/ 1217102 w 1863934"/>
            <a:gd name="connsiteY1" fmla="*/ -1 h 3005149"/>
            <a:gd name="connsiteX2" fmla="*/ 1863934 w 1863934"/>
            <a:gd name="connsiteY2" fmla="*/ 926000 h 3005149"/>
            <a:gd name="connsiteX3" fmla="*/ 1863934 w 1863934"/>
            <a:gd name="connsiteY3" fmla="*/ 2079148 h 3005149"/>
            <a:gd name="connsiteX4" fmla="*/ 1800134 w 1863934"/>
            <a:gd name="connsiteY4" fmla="*/ 3005149 h 3005149"/>
            <a:gd name="connsiteX5" fmla="*/ 1736337 w 1863934"/>
            <a:gd name="connsiteY5" fmla="*/ 2079148 h 3005149"/>
            <a:gd name="connsiteX6" fmla="*/ 1736337 w 1863934"/>
            <a:gd name="connsiteY6" fmla="*/ 2194898 h 3005149"/>
            <a:gd name="connsiteX7" fmla="*/ 1089508 w 1863934"/>
            <a:gd name="connsiteY7" fmla="*/ 1268898 h 3005149"/>
            <a:gd name="connsiteX8" fmla="*/ 3 w 1863934"/>
            <a:gd name="connsiteY8" fmla="*/ 1268898 h 3005149"/>
            <a:gd name="connsiteX9" fmla="*/ 3 w 1863934"/>
            <a:gd name="connsiteY9" fmla="*/ 0 h 300514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63934" h="3005149">
              <a:moveTo>
                <a:pt x="0" y="3"/>
              </a:moveTo>
              <a:lnTo>
                <a:pt x="1217102" y="-1"/>
              </a:lnTo>
              <a:cubicBezTo>
                <a:pt x="1540518" y="-1"/>
                <a:pt x="1863934" y="463000"/>
                <a:pt x="1863934" y="926000"/>
              </a:cubicBezTo>
              <a:lnTo>
                <a:pt x="1863934" y="2079148"/>
              </a:lnTo>
              <a:lnTo>
                <a:pt x="1800134" y="3005149"/>
              </a:lnTo>
              <a:lnTo>
                <a:pt x="1736337" y="2079148"/>
              </a:lnTo>
              <a:lnTo>
                <a:pt x="1736337" y="2194898"/>
              </a:lnTo>
              <a:cubicBezTo>
                <a:pt x="1736340" y="1731898"/>
                <a:pt x="1412924" y="1268898"/>
                <a:pt x="1089508" y="1268898"/>
              </a:cubicBezTo>
              <a:lnTo>
                <a:pt x="3" y="1268898"/>
              </a:lnTo>
              <a:lnTo>
                <a:pt x="3"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27</xdr:row>
      <xdr:rowOff>20244</xdr:rowOff>
    </xdr:from>
    <xdr:to>
      <xdr:col>3</xdr:col>
      <xdr:colOff>413544</xdr:colOff>
      <xdr:row>29</xdr:row>
      <xdr:rowOff>12700</xdr:rowOff>
    </xdr:to>
    <xdr:sp macro="" textlink="">
      <xdr:nvSpPr>
        <xdr:cNvPr id="2" name="Arrow Text $J$176"/>
        <xdr:cNvSpPr txBox="1"/>
      </xdr:nvSpPr>
      <xdr:spPr>
        <a:xfrm>
          <a:off x="1801813" y="5627294"/>
          <a:ext cx="440531" cy="3607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9.7%</a:t>
          </a:r>
        </a:p>
      </xdr:txBody>
    </xdr:sp>
    <xdr:clientData/>
  </xdr:twoCellAnchor>
  <xdr:twoCellAnchor>
    <xdr:from>
      <xdr:col>0</xdr:col>
      <xdr:colOff>158749</xdr:colOff>
      <xdr:row>27</xdr:row>
      <xdr:rowOff>20244</xdr:rowOff>
    </xdr:from>
    <xdr:to>
      <xdr:col>2</xdr:col>
      <xdr:colOff>569913</xdr:colOff>
      <xdr:row>29</xdr:row>
      <xdr:rowOff>0</xdr:rowOff>
    </xdr:to>
    <xdr:sp macro="" textlink="">
      <xdr:nvSpPr>
        <xdr:cNvPr id="77" name="Arrow $H$176">
          <a:extLst>
            <a:ext uri="{FF2B5EF4-FFF2-40B4-BE49-F238E27FC236}">
              <a16:creationId xmlns:a16="http://schemas.microsoft.com/office/drawing/2014/main" id="{00000000-0008-0000-0400-000007000000}"/>
            </a:ext>
          </a:extLst>
        </xdr:cNvPr>
        <xdr:cNvSpPr/>
      </xdr:nvSpPr>
      <xdr:spPr>
        <a:xfrm>
          <a:off x="158749" y="5627294"/>
          <a:ext cx="1630364" cy="348056"/>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7"/>
            <a:gd name="connsiteY0" fmla="*/ 0 h 3965322"/>
            <a:gd name="connsiteX1" fmla="*/ 5824907 w 6079497"/>
            <a:gd name="connsiteY1" fmla="*/ 155322 h 3965322"/>
            <a:gd name="connsiteX2" fmla="*/ 6079497 w 6079497"/>
            <a:gd name="connsiteY2" fmla="*/ 2060322 h 3965322"/>
            <a:gd name="connsiteX3" fmla="*/ 5824907 w 6079497"/>
            <a:gd name="connsiteY3" fmla="*/ 3965322 h 3965322"/>
            <a:gd name="connsiteX4" fmla="*/ 3533599 w 6079497"/>
            <a:gd name="connsiteY4" fmla="*/ 3965322 h 3965322"/>
            <a:gd name="connsiteX5" fmla="*/ 3533599 w 6079497"/>
            <a:gd name="connsiteY5" fmla="*/ 155322 h 3965322"/>
            <a:gd name="connsiteX0" fmla="*/ 0 w 6079497"/>
            <a:gd name="connsiteY0" fmla="*/ 0 h 3965322"/>
            <a:gd name="connsiteX1" fmla="*/ 3509318 w 6079497"/>
            <a:gd name="connsiteY1" fmla="*/ 0 h 3965322"/>
            <a:gd name="connsiteX2" fmla="*/ 6079497 w 6079497"/>
            <a:gd name="connsiteY2" fmla="*/ 2060322 h 3965322"/>
            <a:gd name="connsiteX3" fmla="*/ 5824907 w 6079497"/>
            <a:gd name="connsiteY3" fmla="*/ 3965322 h 3965322"/>
            <a:gd name="connsiteX4" fmla="*/ 3533599 w 6079497"/>
            <a:gd name="connsiteY4" fmla="*/ 3965322 h 3965322"/>
            <a:gd name="connsiteX5" fmla="*/ 3533599 w 6079497"/>
            <a:gd name="connsiteY5" fmla="*/ 155322 h 3965322"/>
            <a:gd name="connsiteX0" fmla="*/ 0 w 5824907"/>
            <a:gd name="connsiteY0" fmla="*/ 0 h 3965322"/>
            <a:gd name="connsiteX1" fmla="*/ 3509318 w 5824907"/>
            <a:gd name="connsiteY1" fmla="*/ 0 h 3965322"/>
            <a:gd name="connsiteX2" fmla="*/ 4156943 w 5824907"/>
            <a:gd name="connsiteY2" fmla="*/ 653628 h 3965322"/>
            <a:gd name="connsiteX3" fmla="*/ 5824907 w 5824907"/>
            <a:gd name="connsiteY3" fmla="*/ 3965322 h 3965322"/>
            <a:gd name="connsiteX4" fmla="*/ 3533599 w 5824907"/>
            <a:gd name="connsiteY4" fmla="*/ 3965322 h 3965322"/>
            <a:gd name="connsiteX5" fmla="*/ 3533599 w 5824907"/>
            <a:gd name="connsiteY5" fmla="*/ 155322 h 3965322"/>
            <a:gd name="connsiteX0" fmla="*/ 0 w 4156943"/>
            <a:gd name="connsiteY0" fmla="*/ 0 h 3965322"/>
            <a:gd name="connsiteX1" fmla="*/ 3509318 w 4156943"/>
            <a:gd name="connsiteY1" fmla="*/ 0 h 3965322"/>
            <a:gd name="connsiteX2" fmla="*/ 4156943 w 4156943"/>
            <a:gd name="connsiteY2" fmla="*/ 653628 h 3965322"/>
            <a:gd name="connsiteX3" fmla="*/ 3509318 w 4156943"/>
            <a:gd name="connsiteY3" fmla="*/ 1261235 h 3965322"/>
            <a:gd name="connsiteX4" fmla="*/ 3533599 w 4156943"/>
            <a:gd name="connsiteY4" fmla="*/ 3965322 h 3965322"/>
            <a:gd name="connsiteX5" fmla="*/ 3533599 w 4156943"/>
            <a:gd name="connsiteY5" fmla="*/ 155322 h 3965322"/>
            <a:gd name="connsiteX0" fmla="*/ 0 w 4156943"/>
            <a:gd name="connsiteY0" fmla="*/ 0 h 1261235"/>
            <a:gd name="connsiteX1" fmla="*/ 3509318 w 4156943"/>
            <a:gd name="connsiteY1" fmla="*/ 0 h 1261235"/>
            <a:gd name="connsiteX2" fmla="*/ 4156943 w 4156943"/>
            <a:gd name="connsiteY2" fmla="*/ 653628 h 1261235"/>
            <a:gd name="connsiteX3" fmla="*/ 3509318 w 4156943"/>
            <a:gd name="connsiteY3" fmla="*/ 1261235 h 1261235"/>
            <a:gd name="connsiteX4" fmla="*/ 3 w 4156943"/>
            <a:gd name="connsiteY4" fmla="*/ 1261235 h 1261235"/>
            <a:gd name="connsiteX5" fmla="*/ 3533599 w 4156943"/>
            <a:gd name="connsiteY5" fmla="*/ 155322 h 1261235"/>
            <a:gd name="connsiteX0" fmla="*/ 0 w 4156943"/>
            <a:gd name="connsiteY0" fmla="*/ 0 h 1261235"/>
            <a:gd name="connsiteX1" fmla="*/ 3509318 w 4156943"/>
            <a:gd name="connsiteY1" fmla="*/ 0 h 1261235"/>
            <a:gd name="connsiteX2" fmla="*/ 4156943 w 4156943"/>
            <a:gd name="connsiteY2" fmla="*/ 653628 h 1261235"/>
            <a:gd name="connsiteX3" fmla="*/ 3509318 w 4156943"/>
            <a:gd name="connsiteY3" fmla="*/ 1261235 h 1261235"/>
            <a:gd name="connsiteX4" fmla="*/ 3 w 4156943"/>
            <a:gd name="connsiteY4" fmla="*/ 1261235 h 1261235"/>
            <a:gd name="connsiteX5" fmla="*/ 3 w 4156943"/>
            <a:gd name="connsiteY5" fmla="*/ 0 h 12612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3" h="1261235">
              <a:moveTo>
                <a:pt x="0" y="0"/>
              </a:moveTo>
              <a:lnTo>
                <a:pt x="3509318" y="0"/>
              </a:lnTo>
              <a:lnTo>
                <a:pt x="4156943" y="653628"/>
              </a:lnTo>
              <a:lnTo>
                <a:pt x="3509318" y="1261235"/>
              </a:lnTo>
              <a:lnTo>
                <a:pt x="3" y="1261235"/>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27</xdr:row>
      <xdr:rowOff>20244</xdr:rowOff>
    </xdr:from>
    <xdr:to>
      <xdr:col>2</xdr:col>
      <xdr:colOff>328613</xdr:colOff>
      <xdr:row>29</xdr:row>
      <xdr:rowOff>12700</xdr:rowOff>
    </xdr:to>
    <xdr:sp macro="" textlink="">
      <xdr:nvSpPr>
        <xdr:cNvPr id="4" name="Arrow Text $H$176"/>
        <xdr:cNvSpPr txBox="1"/>
      </xdr:nvSpPr>
      <xdr:spPr>
        <a:xfrm>
          <a:off x="158750" y="5627294"/>
          <a:ext cx="1389063" cy="3607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OPEN DEFECATION</a:t>
          </a:r>
        </a:p>
      </xdr:txBody>
    </xdr:sp>
    <xdr:clientData/>
  </xdr:twoCellAnchor>
  <xdr:twoCellAnchor>
    <xdr:from>
      <xdr:col>4</xdr:col>
      <xdr:colOff>498475</xdr:colOff>
      <xdr:row>26</xdr:row>
      <xdr:rowOff>60672</xdr:rowOff>
    </xdr:from>
    <xdr:to>
      <xdr:col>5</xdr:col>
      <xdr:colOff>608807</xdr:colOff>
      <xdr:row>31</xdr:row>
      <xdr:rowOff>107950</xdr:rowOff>
    </xdr:to>
    <xdr:sp macro="" textlink="">
      <xdr:nvSpPr>
        <xdr:cNvPr id="79" name="Arrow $L$174">
          <a:extLst>
            <a:ext uri="{FF2B5EF4-FFF2-40B4-BE49-F238E27FC236}">
              <a16:creationId xmlns:a16="http://schemas.microsoft.com/office/drawing/2014/main" id="{00000000-0008-0000-0400-000006000000}"/>
            </a:ext>
          </a:extLst>
        </xdr:cNvPr>
        <xdr:cNvSpPr/>
      </xdr:nvSpPr>
      <xdr:spPr>
        <a:xfrm>
          <a:off x="2936875" y="5483572"/>
          <a:ext cx="719932" cy="968028"/>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7074720 w 7074720"/>
            <a:gd name="connsiteY0" fmla="*/ 0 h 4486116"/>
            <a:gd name="connsiteX1" fmla="*/ 1273411 w 7074720"/>
            <a:gd name="connsiteY1" fmla="*/ 676116 h 4486116"/>
            <a:gd name="connsiteX2" fmla="*/ 2546822 w 7074720"/>
            <a:gd name="connsiteY2" fmla="*/ 1946116 h 4486116"/>
            <a:gd name="connsiteX3" fmla="*/ 2546822 w 7074720"/>
            <a:gd name="connsiteY3" fmla="*/ 4232116 h 4486116"/>
            <a:gd name="connsiteX4" fmla="*/ 1910117 w 7074720"/>
            <a:gd name="connsiteY4" fmla="*/ 4486116 h 4486116"/>
            <a:gd name="connsiteX5" fmla="*/ 1273411 w 7074720"/>
            <a:gd name="connsiteY5" fmla="*/ 4232116 h 4486116"/>
            <a:gd name="connsiteX6" fmla="*/ 1273411 w 7074720"/>
            <a:gd name="connsiteY6" fmla="*/ 3216116 h 4486116"/>
            <a:gd name="connsiteX7" fmla="*/ 636706 w 7074720"/>
            <a:gd name="connsiteY7" fmla="*/ 2581116 h 4486116"/>
            <a:gd name="connsiteX8" fmla="*/ 0 w 7074720"/>
            <a:gd name="connsiteY8" fmla="*/ 2581116 h 4486116"/>
            <a:gd name="connsiteX9" fmla="*/ 0 w 7074720"/>
            <a:gd name="connsiteY9" fmla="*/ 676116 h 4486116"/>
            <a:gd name="connsiteX0" fmla="*/ 7074720 w 8261248"/>
            <a:gd name="connsiteY0" fmla="*/ 0 h 4486116"/>
            <a:gd name="connsiteX1" fmla="*/ 8261248 w 8261248"/>
            <a:gd name="connsiteY1" fmla="*/ 0 h 4486116"/>
            <a:gd name="connsiteX2" fmla="*/ 2546822 w 8261248"/>
            <a:gd name="connsiteY2" fmla="*/ 1946116 h 4486116"/>
            <a:gd name="connsiteX3" fmla="*/ 2546822 w 8261248"/>
            <a:gd name="connsiteY3" fmla="*/ 4232116 h 4486116"/>
            <a:gd name="connsiteX4" fmla="*/ 1910117 w 8261248"/>
            <a:gd name="connsiteY4" fmla="*/ 4486116 h 4486116"/>
            <a:gd name="connsiteX5" fmla="*/ 1273411 w 8261248"/>
            <a:gd name="connsiteY5" fmla="*/ 4232116 h 4486116"/>
            <a:gd name="connsiteX6" fmla="*/ 1273411 w 8261248"/>
            <a:gd name="connsiteY6" fmla="*/ 3216116 h 4486116"/>
            <a:gd name="connsiteX7" fmla="*/ 636706 w 8261248"/>
            <a:gd name="connsiteY7" fmla="*/ 2581116 h 4486116"/>
            <a:gd name="connsiteX8" fmla="*/ 0 w 8261248"/>
            <a:gd name="connsiteY8" fmla="*/ 2581116 h 4486116"/>
            <a:gd name="connsiteX9" fmla="*/ 0 w 8261248"/>
            <a:gd name="connsiteY9" fmla="*/ 676116 h 4486116"/>
            <a:gd name="connsiteX0" fmla="*/ 7074720 w 8273790"/>
            <a:gd name="connsiteY0" fmla="*/ 0 h 4486116"/>
            <a:gd name="connsiteX1" fmla="*/ 8261248 w 8273790"/>
            <a:gd name="connsiteY1" fmla="*/ 0 h 4486116"/>
            <a:gd name="connsiteX2" fmla="*/ 2546822 w 8273790"/>
            <a:gd name="connsiteY2" fmla="*/ 1946116 h 4486116"/>
            <a:gd name="connsiteX3" fmla="*/ 2546822 w 8273790"/>
            <a:gd name="connsiteY3" fmla="*/ 4232116 h 4486116"/>
            <a:gd name="connsiteX4" fmla="*/ 1910117 w 8273790"/>
            <a:gd name="connsiteY4" fmla="*/ 4486116 h 4486116"/>
            <a:gd name="connsiteX5" fmla="*/ 1273411 w 8273790"/>
            <a:gd name="connsiteY5" fmla="*/ 4232116 h 4486116"/>
            <a:gd name="connsiteX6" fmla="*/ 1273411 w 8273790"/>
            <a:gd name="connsiteY6" fmla="*/ 3216116 h 4486116"/>
            <a:gd name="connsiteX7" fmla="*/ 636706 w 8273790"/>
            <a:gd name="connsiteY7" fmla="*/ 2581116 h 4486116"/>
            <a:gd name="connsiteX8" fmla="*/ 0 w 8273790"/>
            <a:gd name="connsiteY8" fmla="*/ 2581116 h 4486116"/>
            <a:gd name="connsiteX9" fmla="*/ 0 w 8273790"/>
            <a:gd name="connsiteY9" fmla="*/ 676116 h 4486116"/>
            <a:gd name="connsiteX0" fmla="*/ 7074720 w 8403523"/>
            <a:gd name="connsiteY0" fmla="*/ 0 h 4486116"/>
            <a:gd name="connsiteX1" fmla="*/ 8261248 w 8403523"/>
            <a:gd name="connsiteY1" fmla="*/ 0 h 4486116"/>
            <a:gd name="connsiteX2" fmla="*/ 2546822 w 8403523"/>
            <a:gd name="connsiteY2" fmla="*/ 1946116 h 4486116"/>
            <a:gd name="connsiteX3" fmla="*/ 2546822 w 8403523"/>
            <a:gd name="connsiteY3" fmla="*/ 4232116 h 4486116"/>
            <a:gd name="connsiteX4" fmla="*/ 1910117 w 8403523"/>
            <a:gd name="connsiteY4" fmla="*/ 4486116 h 4486116"/>
            <a:gd name="connsiteX5" fmla="*/ 1273411 w 8403523"/>
            <a:gd name="connsiteY5" fmla="*/ 4232116 h 4486116"/>
            <a:gd name="connsiteX6" fmla="*/ 1273411 w 8403523"/>
            <a:gd name="connsiteY6" fmla="*/ 3216116 h 4486116"/>
            <a:gd name="connsiteX7" fmla="*/ 636706 w 8403523"/>
            <a:gd name="connsiteY7" fmla="*/ 2581116 h 4486116"/>
            <a:gd name="connsiteX8" fmla="*/ 0 w 8403523"/>
            <a:gd name="connsiteY8" fmla="*/ 2581116 h 4486116"/>
            <a:gd name="connsiteX9" fmla="*/ 0 w 8403523"/>
            <a:gd name="connsiteY9" fmla="*/ 676116 h 4486116"/>
            <a:gd name="connsiteX0" fmla="*/ 7074720 w 8908079"/>
            <a:gd name="connsiteY0" fmla="*/ 0 h 4486116"/>
            <a:gd name="connsiteX1" fmla="*/ 8261248 w 8908079"/>
            <a:gd name="connsiteY1" fmla="*/ 0 h 4486116"/>
            <a:gd name="connsiteX2" fmla="*/ 8908079 w 8908079"/>
            <a:gd name="connsiteY2" fmla="*/ 920408 h 4486116"/>
            <a:gd name="connsiteX3" fmla="*/ 2546822 w 8908079"/>
            <a:gd name="connsiteY3" fmla="*/ 4232116 h 4486116"/>
            <a:gd name="connsiteX4" fmla="*/ 1910117 w 8908079"/>
            <a:gd name="connsiteY4" fmla="*/ 4486116 h 4486116"/>
            <a:gd name="connsiteX5" fmla="*/ 1273411 w 8908079"/>
            <a:gd name="connsiteY5" fmla="*/ 4232116 h 4486116"/>
            <a:gd name="connsiteX6" fmla="*/ 1273411 w 8908079"/>
            <a:gd name="connsiteY6" fmla="*/ 3216116 h 4486116"/>
            <a:gd name="connsiteX7" fmla="*/ 636706 w 8908079"/>
            <a:gd name="connsiteY7" fmla="*/ 2581116 h 4486116"/>
            <a:gd name="connsiteX8" fmla="*/ 0 w 8908079"/>
            <a:gd name="connsiteY8" fmla="*/ 2581116 h 4486116"/>
            <a:gd name="connsiteX9" fmla="*/ 0 w 8908079"/>
            <a:gd name="connsiteY9" fmla="*/ 676116 h 4486116"/>
            <a:gd name="connsiteX0" fmla="*/ 7074720 w 8908079"/>
            <a:gd name="connsiteY0" fmla="*/ 0 h 4486116"/>
            <a:gd name="connsiteX1" fmla="*/ 8261248 w 8908079"/>
            <a:gd name="connsiteY1" fmla="*/ 0 h 4486116"/>
            <a:gd name="connsiteX2" fmla="*/ 8908079 w 8908079"/>
            <a:gd name="connsiteY2" fmla="*/ 920408 h 4486116"/>
            <a:gd name="connsiteX3" fmla="*/ 8908076 w 8908079"/>
            <a:gd name="connsiteY3" fmla="*/ 2587390 h 4486116"/>
            <a:gd name="connsiteX4" fmla="*/ 1910117 w 8908079"/>
            <a:gd name="connsiteY4" fmla="*/ 4486116 h 4486116"/>
            <a:gd name="connsiteX5" fmla="*/ 1273411 w 8908079"/>
            <a:gd name="connsiteY5" fmla="*/ 4232116 h 4486116"/>
            <a:gd name="connsiteX6" fmla="*/ 1273411 w 8908079"/>
            <a:gd name="connsiteY6" fmla="*/ 3216116 h 4486116"/>
            <a:gd name="connsiteX7" fmla="*/ 636706 w 8908079"/>
            <a:gd name="connsiteY7" fmla="*/ 2581116 h 4486116"/>
            <a:gd name="connsiteX8" fmla="*/ 0 w 8908079"/>
            <a:gd name="connsiteY8" fmla="*/ 2581116 h 4486116"/>
            <a:gd name="connsiteX9" fmla="*/ 0 w 8908079"/>
            <a:gd name="connsiteY9" fmla="*/ 676116 h 4486116"/>
            <a:gd name="connsiteX0" fmla="*/ 7074720 w 8908079"/>
            <a:gd name="connsiteY0" fmla="*/ 0 h 4232116"/>
            <a:gd name="connsiteX1" fmla="*/ 8261248 w 8908079"/>
            <a:gd name="connsiteY1" fmla="*/ 0 h 4232116"/>
            <a:gd name="connsiteX2" fmla="*/ 8908079 w 8908079"/>
            <a:gd name="connsiteY2" fmla="*/ 920408 h 4232116"/>
            <a:gd name="connsiteX3" fmla="*/ 8908076 w 8908079"/>
            <a:gd name="connsiteY3" fmla="*/ 2587390 h 4232116"/>
            <a:gd name="connsiteX4" fmla="*/ 8859564 w 8908079"/>
            <a:gd name="connsiteY4" fmla="*/ 3507798 h 4232116"/>
            <a:gd name="connsiteX5" fmla="*/ 1273411 w 8908079"/>
            <a:gd name="connsiteY5" fmla="*/ 4232116 h 4232116"/>
            <a:gd name="connsiteX6" fmla="*/ 1273411 w 8908079"/>
            <a:gd name="connsiteY6" fmla="*/ 3216116 h 4232116"/>
            <a:gd name="connsiteX7" fmla="*/ 636706 w 8908079"/>
            <a:gd name="connsiteY7" fmla="*/ 2581116 h 4232116"/>
            <a:gd name="connsiteX8" fmla="*/ 0 w 8908079"/>
            <a:gd name="connsiteY8" fmla="*/ 2581116 h 4232116"/>
            <a:gd name="connsiteX9" fmla="*/ 0 w 8908079"/>
            <a:gd name="connsiteY9" fmla="*/ 676116 h 4232116"/>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1273411 w 8908079"/>
            <a:gd name="connsiteY6" fmla="*/ 3216116 h 3507798"/>
            <a:gd name="connsiteX7" fmla="*/ 636706 w 8908079"/>
            <a:gd name="connsiteY7" fmla="*/ 2581116 h 3507798"/>
            <a:gd name="connsiteX8" fmla="*/ 0 w 8908079"/>
            <a:gd name="connsiteY8" fmla="*/ 2581116 h 3507798"/>
            <a:gd name="connsiteX9" fmla="*/ 0 w 8908079"/>
            <a:gd name="connsiteY9" fmla="*/ 676116 h 3507798"/>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8811052 w 8908079"/>
            <a:gd name="connsiteY6" fmla="*/ 1021272 h 3507798"/>
            <a:gd name="connsiteX7" fmla="*/ 636706 w 8908079"/>
            <a:gd name="connsiteY7" fmla="*/ 2581116 h 3507798"/>
            <a:gd name="connsiteX8" fmla="*/ 0 w 8908079"/>
            <a:gd name="connsiteY8" fmla="*/ 2581116 h 3507798"/>
            <a:gd name="connsiteX9" fmla="*/ 0 w 8908079"/>
            <a:gd name="connsiteY9" fmla="*/ 676116 h 3507798"/>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8811052 w 8908079"/>
            <a:gd name="connsiteY6" fmla="*/ 1021272 h 3507798"/>
            <a:gd name="connsiteX7" fmla="*/ 636706 w 8908079"/>
            <a:gd name="connsiteY7" fmla="*/ 2581116 h 3507798"/>
            <a:gd name="connsiteX8" fmla="*/ 0 w 8908079"/>
            <a:gd name="connsiteY8" fmla="*/ 2581116 h 3507798"/>
            <a:gd name="connsiteX9" fmla="*/ 0 w 8908079"/>
            <a:gd name="connsiteY9" fmla="*/ 676116 h 3507798"/>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8811052 w 8908079"/>
            <a:gd name="connsiteY6" fmla="*/ 1021272 h 3507798"/>
            <a:gd name="connsiteX7" fmla="*/ 636706 w 8908079"/>
            <a:gd name="connsiteY7" fmla="*/ 2581116 h 3507798"/>
            <a:gd name="connsiteX8" fmla="*/ 0 w 8908079"/>
            <a:gd name="connsiteY8" fmla="*/ 2581116 h 3507798"/>
            <a:gd name="connsiteX9" fmla="*/ 0 w 8908079"/>
            <a:gd name="connsiteY9" fmla="*/ 676116 h 3507798"/>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8811052 w 8908079"/>
            <a:gd name="connsiteY6" fmla="*/ 1021272 h 3507798"/>
            <a:gd name="connsiteX7" fmla="*/ 8164220 w 8908079"/>
            <a:gd name="connsiteY7" fmla="*/ 100864 h 3507798"/>
            <a:gd name="connsiteX8" fmla="*/ 0 w 8908079"/>
            <a:gd name="connsiteY8" fmla="*/ 2581116 h 3507798"/>
            <a:gd name="connsiteX9" fmla="*/ 0 w 8908079"/>
            <a:gd name="connsiteY9" fmla="*/ 676116 h 3507798"/>
            <a:gd name="connsiteX0" fmla="*/ 7074720 w 8908079"/>
            <a:gd name="connsiteY0" fmla="*/ 0 h 3507798"/>
            <a:gd name="connsiteX1" fmla="*/ 8261248 w 8908079"/>
            <a:gd name="connsiteY1" fmla="*/ 0 h 3507798"/>
            <a:gd name="connsiteX2" fmla="*/ 8908079 w 8908079"/>
            <a:gd name="connsiteY2" fmla="*/ 920408 h 3507798"/>
            <a:gd name="connsiteX3" fmla="*/ 8908076 w 8908079"/>
            <a:gd name="connsiteY3" fmla="*/ 2587390 h 3507798"/>
            <a:gd name="connsiteX4" fmla="*/ 8859564 w 8908079"/>
            <a:gd name="connsiteY4" fmla="*/ 3507798 h 3507798"/>
            <a:gd name="connsiteX5" fmla="*/ 8811052 w 8908079"/>
            <a:gd name="connsiteY5" fmla="*/ 2587390 h 3507798"/>
            <a:gd name="connsiteX6" fmla="*/ 8811052 w 8908079"/>
            <a:gd name="connsiteY6" fmla="*/ 1021272 h 3507798"/>
            <a:gd name="connsiteX7" fmla="*/ 8164220 w 8908079"/>
            <a:gd name="connsiteY7" fmla="*/ 100864 h 3507798"/>
            <a:gd name="connsiteX8" fmla="*/ 7074715 w 8908079"/>
            <a:gd name="connsiteY8" fmla="*/ 100864 h 3507798"/>
            <a:gd name="connsiteX9" fmla="*/ 0 w 8908079"/>
            <a:gd name="connsiteY9" fmla="*/ 676116 h 3507798"/>
            <a:gd name="connsiteX0" fmla="*/ 5 w 1833364"/>
            <a:gd name="connsiteY0" fmla="*/ 0 h 3507798"/>
            <a:gd name="connsiteX1" fmla="*/ 1186533 w 1833364"/>
            <a:gd name="connsiteY1" fmla="*/ 0 h 3507798"/>
            <a:gd name="connsiteX2" fmla="*/ 1833364 w 1833364"/>
            <a:gd name="connsiteY2" fmla="*/ 920408 h 3507798"/>
            <a:gd name="connsiteX3" fmla="*/ 1833361 w 1833364"/>
            <a:gd name="connsiteY3" fmla="*/ 2587390 h 3507798"/>
            <a:gd name="connsiteX4" fmla="*/ 1784849 w 1833364"/>
            <a:gd name="connsiteY4" fmla="*/ 3507798 h 3507798"/>
            <a:gd name="connsiteX5" fmla="*/ 1736337 w 1833364"/>
            <a:gd name="connsiteY5" fmla="*/ 2587390 h 3507798"/>
            <a:gd name="connsiteX6" fmla="*/ 1736337 w 1833364"/>
            <a:gd name="connsiteY6" fmla="*/ 1021272 h 3507798"/>
            <a:gd name="connsiteX7" fmla="*/ 1089505 w 1833364"/>
            <a:gd name="connsiteY7" fmla="*/ 100864 h 3507798"/>
            <a:gd name="connsiteX8" fmla="*/ 0 w 1833364"/>
            <a:gd name="connsiteY8" fmla="*/ 100864 h 3507798"/>
            <a:gd name="connsiteX9" fmla="*/ 0 w 1833364"/>
            <a:gd name="connsiteY9" fmla="*/ 0 h 35077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33364" h="3507798">
              <a:moveTo>
                <a:pt x="5" y="0"/>
              </a:moveTo>
              <a:lnTo>
                <a:pt x="1186533" y="0"/>
              </a:lnTo>
              <a:cubicBezTo>
                <a:pt x="1509949" y="0"/>
                <a:pt x="1833364" y="460204"/>
                <a:pt x="1833364" y="920408"/>
              </a:cubicBezTo>
              <a:lnTo>
                <a:pt x="1833361" y="2587390"/>
              </a:lnTo>
              <a:lnTo>
                <a:pt x="1784849" y="3507798"/>
              </a:lnTo>
              <a:lnTo>
                <a:pt x="1736337" y="2587390"/>
              </a:lnTo>
              <a:lnTo>
                <a:pt x="1736337" y="1021272"/>
              </a:lnTo>
              <a:cubicBezTo>
                <a:pt x="1736337" y="561068"/>
                <a:pt x="1412921" y="100864"/>
                <a:pt x="1089505" y="100864"/>
              </a:cubicBezTo>
              <a:lnTo>
                <a:pt x="0" y="100864"/>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228601</xdr:colOff>
      <xdr:row>21</xdr:row>
      <xdr:rowOff>96421</xdr:rowOff>
    </xdr:from>
    <xdr:to>
      <xdr:col>10</xdr:col>
      <xdr:colOff>423749</xdr:colOff>
      <xdr:row>31</xdr:row>
      <xdr:rowOff>107949</xdr:rowOff>
    </xdr:to>
    <xdr:sp macro="" textlink="">
      <xdr:nvSpPr>
        <xdr:cNvPr id="80" name="Arrow $P$168">
          <a:extLst>
            <a:ext uri="{FF2B5EF4-FFF2-40B4-BE49-F238E27FC236}">
              <a16:creationId xmlns:a16="http://schemas.microsoft.com/office/drawing/2014/main" id="{00000000-0008-0000-0400-000006000000}"/>
            </a:ext>
          </a:extLst>
        </xdr:cNvPr>
        <xdr:cNvSpPr/>
      </xdr:nvSpPr>
      <xdr:spPr>
        <a:xfrm>
          <a:off x="5715001" y="4598571"/>
          <a:ext cx="804748" cy="1853028"/>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7102159 w 7102159"/>
            <a:gd name="connsiteY0" fmla="*/ 0 h 7166500"/>
            <a:gd name="connsiteX1" fmla="*/ 1273411 w 7102159"/>
            <a:gd name="connsiteY1" fmla="*/ 3356500 h 7166500"/>
            <a:gd name="connsiteX2" fmla="*/ 2546822 w 7102159"/>
            <a:gd name="connsiteY2" fmla="*/ 4626500 h 7166500"/>
            <a:gd name="connsiteX3" fmla="*/ 2546822 w 7102159"/>
            <a:gd name="connsiteY3" fmla="*/ 6912500 h 7166500"/>
            <a:gd name="connsiteX4" fmla="*/ 1910117 w 7102159"/>
            <a:gd name="connsiteY4" fmla="*/ 7166500 h 7166500"/>
            <a:gd name="connsiteX5" fmla="*/ 1273411 w 7102159"/>
            <a:gd name="connsiteY5" fmla="*/ 6912500 h 7166500"/>
            <a:gd name="connsiteX6" fmla="*/ 1273411 w 7102159"/>
            <a:gd name="connsiteY6" fmla="*/ 5896500 h 7166500"/>
            <a:gd name="connsiteX7" fmla="*/ 636706 w 7102159"/>
            <a:gd name="connsiteY7" fmla="*/ 5261500 h 7166500"/>
            <a:gd name="connsiteX8" fmla="*/ 0 w 7102159"/>
            <a:gd name="connsiteY8" fmla="*/ 5261500 h 7166500"/>
            <a:gd name="connsiteX9" fmla="*/ 0 w 7102159"/>
            <a:gd name="connsiteY9" fmla="*/ 3356500 h 7166500"/>
            <a:gd name="connsiteX0" fmla="*/ 7102159 w 8506912"/>
            <a:gd name="connsiteY0" fmla="*/ 0 h 7166500"/>
            <a:gd name="connsiteX1" fmla="*/ 8506912 w 8506912"/>
            <a:gd name="connsiteY1" fmla="*/ 0 h 7166500"/>
            <a:gd name="connsiteX2" fmla="*/ 2546822 w 8506912"/>
            <a:gd name="connsiteY2" fmla="*/ 4626500 h 7166500"/>
            <a:gd name="connsiteX3" fmla="*/ 2546822 w 8506912"/>
            <a:gd name="connsiteY3" fmla="*/ 6912500 h 7166500"/>
            <a:gd name="connsiteX4" fmla="*/ 1910117 w 8506912"/>
            <a:gd name="connsiteY4" fmla="*/ 7166500 h 7166500"/>
            <a:gd name="connsiteX5" fmla="*/ 1273411 w 8506912"/>
            <a:gd name="connsiteY5" fmla="*/ 6912500 h 7166500"/>
            <a:gd name="connsiteX6" fmla="*/ 1273411 w 8506912"/>
            <a:gd name="connsiteY6" fmla="*/ 5896500 h 7166500"/>
            <a:gd name="connsiteX7" fmla="*/ 636706 w 8506912"/>
            <a:gd name="connsiteY7" fmla="*/ 5261500 h 7166500"/>
            <a:gd name="connsiteX8" fmla="*/ 0 w 8506912"/>
            <a:gd name="connsiteY8" fmla="*/ 5261500 h 7166500"/>
            <a:gd name="connsiteX9" fmla="*/ 0 w 8506912"/>
            <a:gd name="connsiteY9" fmla="*/ 3356500 h 7166500"/>
            <a:gd name="connsiteX0" fmla="*/ 7102159 w 8519017"/>
            <a:gd name="connsiteY0" fmla="*/ 0 h 7166500"/>
            <a:gd name="connsiteX1" fmla="*/ 8506912 w 8519017"/>
            <a:gd name="connsiteY1" fmla="*/ 0 h 7166500"/>
            <a:gd name="connsiteX2" fmla="*/ 2546822 w 8519017"/>
            <a:gd name="connsiteY2" fmla="*/ 4626500 h 7166500"/>
            <a:gd name="connsiteX3" fmla="*/ 2546822 w 8519017"/>
            <a:gd name="connsiteY3" fmla="*/ 6912500 h 7166500"/>
            <a:gd name="connsiteX4" fmla="*/ 1910117 w 8519017"/>
            <a:gd name="connsiteY4" fmla="*/ 7166500 h 7166500"/>
            <a:gd name="connsiteX5" fmla="*/ 1273411 w 8519017"/>
            <a:gd name="connsiteY5" fmla="*/ 6912500 h 7166500"/>
            <a:gd name="connsiteX6" fmla="*/ 1273411 w 8519017"/>
            <a:gd name="connsiteY6" fmla="*/ 5896500 h 7166500"/>
            <a:gd name="connsiteX7" fmla="*/ 636706 w 8519017"/>
            <a:gd name="connsiteY7" fmla="*/ 5261500 h 7166500"/>
            <a:gd name="connsiteX8" fmla="*/ 0 w 8519017"/>
            <a:gd name="connsiteY8" fmla="*/ 5261500 h 7166500"/>
            <a:gd name="connsiteX9" fmla="*/ 0 w 8519017"/>
            <a:gd name="connsiteY9" fmla="*/ 3356500 h 7166500"/>
            <a:gd name="connsiteX0" fmla="*/ 7102159 w 8646962"/>
            <a:gd name="connsiteY0" fmla="*/ 0 h 7166500"/>
            <a:gd name="connsiteX1" fmla="*/ 8506912 w 8646962"/>
            <a:gd name="connsiteY1" fmla="*/ 0 h 7166500"/>
            <a:gd name="connsiteX2" fmla="*/ 2546822 w 8646962"/>
            <a:gd name="connsiteY2" fmla="*/ 4626500 h 7166500"/>
            <a:gd name="connsiteX3" fmla="*/ 2546822 w 8646962"/>
            <a:gd name="connsiteY3" fmla="*/ 6912500 h 7166500"/>
            <a:gd name="connsiteX4" fmla="*/ 1910117 w 8646962"/>
            <a:gd name="connsiteY4" fmla="*/ 7166500 h 7166500"/>
            <a:gd name="connsiteX5" fmla="*/ 1273411 w 8646962"/>
            <a:gd name="connsiteY5" fmla="*/ 6912500 h 7166500"/>
            <a:gd name="connsiteX6" fmla="*/ 1273411 w 8646962"/>
            <a:gd name="connsiteY6" fmla="*/ 5896500 h 7166500"/>
            <a:gd name="connsiteX7" fmla="*/ 636706 w 8646962"/>
            <a:gd name="connsiteY7" fmla="*/ 5261500 h 7166500"/>
            <a:gd name="connsiteX8" fmla="*/ 0 w 8646962"/>
            <a:gd name="connsiteY8" fmla="*/ 5261500 h 7166500"/>
            <a:gd name="connsiteX9" fmla="*/ 0 w 8646962"/>
            <a:gd name="connsiteY9" fmla="*/ 3356500 h 7166500"/>
            <a:gd name="connsiteX0" fmla="*/ 7102159 w 9154772"/>
            <a:gd name="connsiteY0" fmla="*/ 0 h 7166500"/>
            <a:gd name="connsiteX1" fmla="*/ 8506912 w 9154772"/>
            <a:gd name="connsiteY1" fmla="*/ 0 h 7166500"/>
            <a:gd name="connsiteX2" fmla="*/ 9154772 w 9154772"/>
            <a:gd name="connsiteY2" fmla="*/ 920408 h 7166500"/>
            <a:gd name="connsiteX3" fmla="*/ 2546822 w 9154772"/>
            <a:gd name="connsiteY3" fmla="*/ 6912500 h 7166500"/>
            <a:gd name="connsiteX4" fmla="*/ 1910117 w 9154772"/>
            <a:gd name="connsiteY4" fmla="*/ 7166500 h 7166500"/>
            <a:gd name="connsiteX5" fmla="*/ 1273411 w 9154772"/>
            <a:gd name="connsiteY5" fmla="*/ 6912500 h 7166500"/>
            <a:gd name="connsiteX6" fmla="*/ 1273411 w 9154772"/>
            <a:gd name="connsiteY6" fmla="*/ 5896500 h 7166500"/>
            <a:gd name="connsiteX7" fmla="*/ 636706 w 9154772"/>
            <a:gd name="connsiteY7" fmla="*/ 5261500 h 7166500"/>
            <a:gd name="connsiteX8" fmla="*/ 0 w 9154772"/>
            <a:gd name="connsiteY8" fmla="*/ 5261500 h 7166500"/>
            <a:gd name="connsiteX9" fmla="*/ 0 w 9154772"/>
            <a:gd name="connsiteY9" fmla="*/ 3356500 h 7166500"/>
            <a:gd name="connsiteX0" fmla="*/ 7102159 w 9154772"/>
            <a:gd name="connsiteY0" fmla="*/ 0 h 7166500"/>
            <a:gd name="connsiteX1" fmla="*/ 8506912 w 9154772"/>
            <a:gd name="connsiteY1" fmla="*/ 0 h 7166500"/>
            <a:gd name="connsiteX2" fmla="*/ 9154772 w 9154772"/>
            <a:gd name="connsiteY2" fmla="*/ 920408 h 7166500"/>
            <a:gd name="connsiteX3" fmla="*/ 9154772 w 9154772"/>
            <a:gd name="connsiteY3" fmla="*/ 5794324 h 7166500"/>
            <a:gd name="connsiteX4" fmla="*/ 1910117 w 9154772"/>
            <a:gd name="connsiteY4" fmla="*/ 7166500 h 7166500"/>
            <a:gd name="connsiteX5" fmla="*/ 1273411 w 9154772"/>
            <a:gd name="connsiteY5" fmla="*/ 6912500 h 7166500"/>
            <a:gd name="connsiteX6" fmla="*/ 1273411 w 9154772"/>
            <a:gd name="connsiteY6" fmla="*/ 5896500 h 7166500"/>
            <a:gd name="connsiteX7" fmla="*/ 636706 w 9154772"/>
            <a:gd name="connsiteY7" fmla="*/ 5261500 h 7166500"/>
            <a:gd name="connsiteX8" fmla="*/ 0 w 9154772"/>
            <a:gd name="connsiteY8" fmla="*/ 5261500 h 7166500"/>
            <a:gd name="connsiteX9" fmla="*/ 0 w 9154772"/>
            <a:gd name="connsiteY9" fmla="*/ 3356500 h 7166500"/>
            <a:gd name="connsiteX0" fmla="*/ 7102159 w 9154772"/>
            <a:gd name="connsiteY0" fmla="*/ 0 h 6912500"/>
            <a:gd name="connsiteX1" fmla="*/ 8506912 w 9154772"/>
            <a:gd name="connsiteY1" fmla="*/ 0 h 6912500"/>
            <a:gd name="connsiteX2" fmla="*/ 9154772 w 9154772"/>
            <a:gd name="connsiteY2" fmla="*/ 920408 h 6912500"/>
            <a:gd name="connsiteX3" fmla="*/ 9154772 w 9154772"/>
            <a:gd name="connsiteY3" fmla="*/ 5794324 h 6912500"/>
            <a:gd name="connsiteX4" fmla="*/ 8998016 w 9154772"/>
            <a:gd name="connsiteY4" fmla="*/ 6714732 h 6912500"/>
            <a:gd name="connsiteX5" fmla="*/ 1273411 w 9154772"/>
            <a:gd name="connsiteY5" fmla="*/ 6912500 h 6912500"/>
            <a:gd name="connsiteX6" fmla="*/ 1273411 w 9154772"/>
            <a:gd name="connsiteY6" fmla="*/ 5896500 h 6912500"/>
            <a:gd name="connsiteX7" fmla="*/ 636706 w 9154772"/>
            <a:gd name="connsiteY7" fmla="*/ 5261500 h 6912500"/>
            <a:gd name="connsiteX8" fmla="*/ 0 w 9154772"/>
            <a:gd name="connsiteY8" fmla="*/ 5261500 h 6912500"/>
            <a:gd name="connsiteX9" fmla="*/ 0 w 9154772"/>
            <a:gd name="connsiteY9" fmla="*/ 3356500 h 6912500"/>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1273411 w 9154772"/>
            <a:gd name="connsiteY6" fmla="*/ 5896500 h 6714732"/>
            <a:gd name="connsiteX7" fmla="*/ 636706 w 9154772"/>
            <a:gd name="connsiteY7" fmla="*/ 5261500 h 6714732"/>
            <a:gd name="connsiteX8" fmla="*/ 0 w 9154772"/>
            <a:gd name="connsiteY8" fmla="*/ 5261500 h 6714732"/>
            <a:gd name="connsiteX9" fmla="*/ 0 w 9154772"/>
            <a:gd name="connsiteY9" fmla="*/ 3356500 h 6714732"/>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8841256 w 9154772"/>
            <a:gd name="connsiteY6" fmla="*/ 4081325 h 6714732"/>
            <a:gd name="connsiteX7" fmla="*/ 636706 w 9154772"/>
            <a:gd name="connsiteY7" fmla="*/ 5261500 h 6714732"/>
            <a:gd name="connsiteX8" fmla="*/ 0 w 9154772"/>
            <a:gd name="connsiteY8" fmla="*/ 5261500 h 6714732"/>
            <a:gd name="connsiteX9" fmla="*/ 0 w 9154772"/>
            <a:gd name="connsiteY9" fmla="*/ 3356500 h 6714732"/>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8841256 w 9154772"/>
            <a:gd name="connsiteY6" fmla="*/ 4081325 h 6714732"/>
            <a:gd name="connsiteX7" fmla="*/ 636706 w 9154772"/>
            <a:gd name="connsiteY7" fmla="*/ 5261500 h 6714732"/>
            <a:gd name="connsiteX8" fmla="*/ 0 w 9154772"/>
            <a:gd name="connsiteY8" fmla="*/ 5261500 h 6714732"/>
            <a:gd name="connsiteX9" fmla="*/ 0 w 9154772"/>
            <a:gd name="connsiteY9" fmla="*/ 3356500 h 6714732"/>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8841256 w 9154772"/>
            <a:gd name="connsiteY6" fmla="*/ 4081325 h 6714732"/>
            <a:gd name="connsiteX7" fmla="*/ 636706 w 9154772"/>
            <a:gd name="connsiteY7" fmla="*/ 5261500 h 6714732"/>
            <a:gd name="connsiteX8" fmla="*/ 0 w 9154772"/>
            <a:gd name="connsiteY8" fmla="*/ 5261500 h 6714732"/>
            <a:gd name="connsiteX9" fmla="*/ 0 w 9154772"/>
            <a:gd name="connsiteY9" fmla="*/ 3356500 h 6714732"/>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8841256 w 9154772"/>
            <a:gd name="connsiteY6" fmla="*/ 4081325 h 6714732"/>
            <a:gd name="connsiteX7" fmla="*/ 8193397 w 9154772"/>
            <a:gd name="connsiteY7" fmla="*/ 3160917 h 6714732"/>
            <a:gd name="connsiteX8" fmla="*/ 0 w 9154772"/>
            <a:gd name="connsiteY8" fmla="*/ 5261500 h 6714732"/>
            <a:gd name="connsiteX9" fmla="*/ 0 w 9154772"/>
            <a:gd name="connsiteY9" fmla="*/ 3356500 h 6714732"/>
            <a:gd name="connsiteX0" fmla="*/ 7102159 w 9154772"/>
            <a:gd name="connsiteY0" fmla="*/ 0 h 6714732"/>
            <a:gd name="connsiteX1" fmla="*/ 8506912 w 9154772"/>
            <a:gd name="connsiteY1" fmla="*/ 0 h 6714732"/>
            <a:gd name="connsiteX2" fmla="*/ 9154772 w 9154772"/>
            <a:gd name="connsiteY2" fmla="*/ 920408 h 6714732"/>
            <a:gd name="connsiteX3" fmla="*/ 9154772 w 9154772"/>
            <a:gd name="connsiteY3" fmla="*/ 5794324 h 6714732"/>
            <a:gd name="connsiteX4" fmla="*/ 8998016 w 9154772"/>
            <a:gd name="connsiteY4" fmla="*/ 6714732 h 6714732"/>
            <a:gd name="connsiteX5" fmla="*/ 8841256 w 9154772"/>
            <a:gd name="connsiteY5" fmla="*/ 5794327 h 6714732"/>
            <a:gd name="connsiteX6" fmla="*/ 8841256 w 9154772"/>
            <a:gd name="connsiteY6" fmla="*/ 4081325 h 6714732"/>
            <a:gd name="connsiteX7" fmla="*/ 8193397 w 9154772"/>
            <a:gd name="connsiteY7" fmla="*/ 3160917 h 6714732"/>
            <a:gd name="connsiteX8" fmla="*/ 7102159 w 9154772"/>
            <a:gd name="connsiteY8" fmla="*/ 3160917 h 6714732"/>
            <a:gd name="connsiteX9" fmla="*/ 0 w 9154772"/>
            <a:gd name="connsiteY9" fmla="*/ 3356500 h 6714732"/>
            <a:gd name="connsiteX0" fmla="*/ 0 w 2052613"/>
            <a:gd name="connsiteY0" fmla="*/ 0 h 6714732"/>
            <a:gd name="connsiteX1" fmla="*/ 1404753 w 2052613"/>
            <a:gd name="connsiteY1" fmla="*/ 0 h 6714732"/>
            <a:gd name="connsiteX2" fmla="*/ 2052613 w 2052613"/>
            <a:gd name="connsiteY2" fmla="*/ 920408 h 6714732"/>
            <a:gd name="connsiteX3" fmla="*/ 2052613 w 2052613"/>
            <a:gd name="connsiteY3" fmla="*/ 5794324 h 6714732"/>
            <a:gd name="connsiteX4" fmla="*/ 1895857 w 2052613"/>
            <a:gd name="connsiteY4" fmla="*/ 6714732 h 6714732"/>
            <a:gd name="connsiteX5" fmla="*/ 1739097 w 2052613"/>
            <a:gd name="connsiteY5" fmla="*/ 5794327 h 6714732"/>
            <a:gd name="connsiteX6" fmla="*/ 1739097 w 2052613"/>
            <a:gd name="connsiteY6" fmla="*/ 4081325 h 6714732"/>
            <a:gd name="connsiteX7" fmla="*/ 1091238 w 2052613"/>
            <a:gd name="connsiteY7" fmla="*/ 3160917 h 6714732"/>
            <a:gd name="connsiteX8" fmla="*/ 0 w 2052613"/>
            <a:gd name="connsiteY8" fmla="*/ 3160917 h 6714732"/>
            <a:gd name="connsiteX9" fmla="*/ 0 w 2052613"/>
            <a:gd name="connsiteY9" fmla="*/ 4 h 67147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052613" h="6714732">
              <a:moveTo>
                <a:pt x="0" y="0"/>
              </a:moveTo>
              <a:lnTo>
                <a:pt x="1404753" y="0"/>
              </a:lnTo>
              <a:cubicBezTo>
                <a:pt x="1728683" y="0"/>
                <a:pt x="2052612" y="460204"/>
                <a:pt x="2052613" y="920408"/>
              </a:cubicBezTo>
              <a:lnTo>
                <a:pt x="2052613" y="5794324"/>
              </a:lnTo>
              <a:lnTo>
                <a:pt x="1895857" y="6714732"/>
              </a:lnTo>
              <a:lnTo>
                <a:pt x="1739097" y="5794327"/>
              </a:lnTo>
              <a:lnTo>
                <a:pt x="1739097" y="4081325"/>
              </a:lnTo>
              <a:cubicBezTo>
                <a:pt x="1739097" y="3621121"/>
                <a:pt x="1415168" y="3160917"/>
                <a:pt x="1091238" y="3160917"/>
              </a:cubicBezTo>
              <a:lnTo>
                <a:pt x="0" y="3160917"/>
              </a:lnTo>
              <a:lnTo>
                <a:pt x="0" y="4"/>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21</xdr:row>
      <xdr:rowOff>96422</xdr:rowOff>
    </xdr:from>
    <xdr:to>
      <xdr:col>10</xdr:col>
      <xdr:colOff>313531</xdr:colOff>
      <xdr:row>26</xdr:row>
      <xdr:rowOff>60673</xdr:rowOff>
    </xdr:to>
    <xdr:sp macro="" textlink="">
      <xdr:nvSpPr>
        <xdr:cNvPr id="5" name="Arrow Text $P$168"/>
        <xdr:cNvSpPr txBox="1"/>
      </xdr:nvSpPr>
      <xdr:spPr>
        <a:xfrm>
          <a:off x="5969000" y="4598572"/>
          <a:ext cx="440531" cy="885001"/>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23.8%</a:t>
          </a:r>
        </a:p>
      </xdr:txBody>
    </xdr:sp>
    <xdr:clientData/>
  </xdr:twoCellAnchor>
  <xdr:twoCellAnchor>
    <xdr:from>
      <xdr:col>7</xdr:col>
      <xdr:colOff>58737</xdr:colOff>
      <xdr:row>21</xdr:row>
      <xdr:rowOff>96422</xdr:rowOff>
    </xdr:from>
    <xdr:to>
      <xdr:col>9</xdr:col>
      <xdr:colOff>469900</xdr:colOff>
      <xdr:row>26</xdr:row>
      <xdr:rowOff>47972</xdr:rowOff>
    </xdr:to>
    <xdr:sp macro="" textlink="">
      <xdr:nvSpPr>
        <xdr:cNvPr id="82" name="Arrow $N$164">
          <a:extLst>
            <a:ext uri="{FF2B5EF4-FFF2-40B4-BE49-F238E27FC236}">
              <a16:creationId xmlns:a16="http://schemas.microsoft.com/office/drawing/2014/main" id="{00000000-0008-0000-0400-000007000000}"/>
            </a:ext>
          </a:extLst>
        </xdr:cNvPr>
        <xdr:cNvSpPr/>
      </xdr:nvSpPr>
      <xdr:spPr>
        <a:xfrm>
          <a:off x="4325937" y="4598572"/>
          <a:ext cx="1630363" cy="8723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9"/>
            <a:gd name="connsiteY0" fmla="*/ 0 h 3930799"/>
            <a:gd name="connsiteX1" fmla="*/ 5791009 w 6045599"/>
            <a:gd name="connsiteY1" fmla="*/ 120799 h 3930799"/>
            <a:gd name="connsiteX2" fmla="*/ 6045599 w 6045599"/>
            <a:gd name="connsiteY2" fmla="*/ 2025799 h 3930799"/>
            <a:gd name="connsiteX3" fmla="*/ 5791009 w 6045599"/>
            <a:gd name="connsiteY3" fmla="*/ 3930799 h 3930799"/>
            <a:gd name="connsiteX4" fmla="*/ 3499701 w 6045599"/>
            <a:gd name="connsiteY4" fmla="*/ 3930799 h 3930799"/>
            <a:gd name="connsiteX5" fmla="*/ 3499701 w 6045599"/>
            <a:gd name="connsiteY5" fmla="*/ 120799 h 3930799"/>
            <a:gd name="connsiteX0" fmla="*/ 0 w 6045599"/>
            <a:gd name="connsiteY0" fmla="*/ 0 h 3930799"/>
            <a:gd name="connsiteX1" fmla="*/ 3503743 w 6045599"/>
            <a:gd name="connsiteY1" fmla="*/ 0 h 3930799"/>
            <a:gd name="connsiteX2" fmla="*/ 6045599 w 6045599"/>
            <a:gd name="connsiteY2" fmla="*/ 2025799 h 3930799"/>
            <a:gd name="connsiteX3" fmla="*/ 5791009 w 6045599"/>
            <a:gd name="connsiteY3" fmla="*/ 3930799 h 3930799"/>
            <a:gd name="connsiteX4" fmla="*/ 3499701 w 6045599"/>
            <a:gd name="connsiteY4" fmla="*/ 3930799 h 3930799"/>
            <a:gd name="connsiteX5" fmla="*/ 3499701 w 6045599"/>
            <a:gd name="connsiteY5" fmla="*/ 120799 h 3930799"/>
            <a:gd name="connsiteX0" fmla="*/ 0 w 5791008"/>
            <a:gd name="connsiteY0" fmla="*/ 0 h 3930799"/>
            <a:gd name="connsiteX1" fmla="*/ 3503743 w 5791008"/>
            <a:gd name="connsiteY1" fmla="*/ 0 h 3930799"/>
            <a:gd name="connsiteX2" fmla="*/ 4150340 w 5791008"/>
            <a:gd name="connsiteY2" fmla="*/ 1603467 h 3930799"/>
            <a:gd name="connsiteX3" fmla="*/ 5791009 w 5791008"/>
            <a:gd name="connsiteY3" fmla="*/ 3930799 h 3930799"/>
            <a:gd name="connsiteX4" fmla="*/ 3499701 w 5791008"/>
            <a:gd name="connsiteY4" fmla="*/ 3930799 h 3930799"/>
            <a:gd name="connsiteX5" fmla="*/ 3499701 w 5791008"/>
            <a:gd name="connsiteY5" fmla="*/ 120799 h 3930799"/>
            <a:gd name="connsiteX0" fmla="*/ 0 w 4150339"/>
            <a:gd name="connsiteY0" fmla="*/ 0 h 3930799"/>
            <a:gd name="connsiteX1" fmla="*/ 3503743 w 4150339"/>
            <a:gd name="connsiteY1" fmla="*/ 0 h 3930799"/>
            <a:gd name="connsiteX2" fmla="*/ 4150340 w 4150339"/>
            <a:gd name="connsiteY2" fmla="*/ 1603467 h 3930799"/>
            <a:gd name="connsiteX3" fmla="*/ 3503743 w 4150339"/>
            <a:gd name="connsiteY3" fmla="*/ 3160914 h 3930799"/>
            <a:gd name="connsiteX4" fmla="*/ 3499701 w 4150339"/>
            <a:gd name="connsiteY4" fmla="*/ 3930799 h 3930799"/>
            <a:gd name="connsiteX5" fmla="*/ 3499701 w 4150339"/>
            <a:gd name="connsiteY5" fmla="*/ 120799 h 3930799"/>
            <a:gd name="connsiteX0" fmla="*/ 0 w 4150339"/>
            <a:gd name="connsiteY0" fmla="*/ 0 h 3160914"/>
            <a:gd name="connsiteX1" fmla="*/ 3503743 w 4150339"/>
            <a:gd name="connsiteY1" fmla="*/ 0 h 3160914"/>
            <a:gd name="connsiteX2" fmla="*/ 4150340 w 4150339"/>
            <a:gd name="connsiteY2" fmla="*/ 1603467 h 3160914"/>
            <a:gd name="connsiteX3" fmla="*/ 3503743 w 4150339"/>
            <a:gd name="connsiteY3" fmla="*/ 3160914 h 3160914"/>
            <a:gd name="connsiteX4" fmla="*/ 3 w 4150339"/>
            <a:gd name="connsiteY4" fmla="*/ 3160914 h 3160914"/>
            <a:gd name="connsiteX5" fmla="*/ 3499701 w 4150339"/>
            <a:gd name="connsiteY5" fmla="*/ 120799 h 3160914"/>
            <a:gd name="connsiteX0" fmla="*/ 0 w 4150339"/>
            <a:gd name="connsiteY0" fmla="*/ 0 h 3160914"/>
            <a:gd name="connsiteX1" fmla="*/ 3503743 w 4150339"/>
            <a:gd name="connsiteY1" fmla="*/ 0 h 3160914"/>
            <a:gd name="connsiteX2" fmla="*/ 4150340 w 4150339"/>
            <a:gd name="connsiteY2" fmla="*/ 1603467 h 3160914"/>
            <a:gd name="connsiteX3" fmla="*/ 3503743 w 4150339"/>
            <a:gd name="connsiteY3" fmla="*/ 3160914 h 3160914"/>
            <a:gd name="connsiteX4" fmla="*/ 3 w 4150339"/>
            <a:gd name="connsiteY4" fmla="*/ 3160914 h 3160914"/>
            <a:gd name="connsiteX5" fmla="*/ 3 w 4150339"/>
            <a:gd name="connsiteY5" fmla="*/ 0 h 316091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3160914">
              <a:moveTo>
                <a:pt x="0" y="0"/>
              </a:moveTo>
              <a:lnTo>
                <a:pt x="3503743" y="0"/>
              </a:lnTo>
              <a:lnTo>
                <a:pt x="4150340" y="1603467"/>
              </a:lnTo>
              <a:lnTo>
                <a:pt x="3503743" y="3160914"/>
              </a:lnTo>
              <a:lnTo>
                <a:pt x="3" y="316091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312738</xdr:colOff>
      <xdr:row>21</xdr:row>
      <xdr:rowOff>96422</xdr:rowOff>
    </xdr:from>
    <xdr:to>
      <xdr:col>8</xdr:col>
      <xdr:colOff>143669</xdr:colOff>
      <xdr:row>26</xdr:row>
      <xdr:rowOff>60673</xdr:rowOff>
    </xdr:to>
    <xdr:sp macro="" textlink="">
      <xdr:nvSpPr>
        <xdr:cNvPr id="6" name="Arrow Text $N$164"/>
        <xdr:cNvSpPr txBox="1"/>
      </xdr:nvSpPr>
      <xdr:spPr>
        <a:xfrm>
          <a:off x="4579938" y="4598572"/>
          <a:ext cx="440531" cy="885001"/>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23.8%</a:t>
          </a:r>
        </a:p>
      </xdr:txBody>
    </xdr:sp>
    <xdr:clientData/>
  </xdr:twoCellAnchor>
  <xdr:twoCellAnchor>
    <xdr:from>
      <xdr:col>4</xdr:col>
      <xdr:colOff>498474</xdr:colOff>
      <xdr:row>21</xdr:row>
      <xdr:rowOff>96422</xdr:rowOff>
    </xdr:from>
    <xdr:to>
      <xdr:col>7</xdr:col>
      <xdr:colOff>300038</xdr:colOff>
      <xdr:row>26</xdr:row>
      <xdr:rowOff>47972</xdr:rowOff>
    </xdr:to>
    <xdr:sp macro="" textlink="">
      <xdr:nvSpPr>
        <xdr:cNvPr id="84" name="Arrow $L$164">
          <a:extLst>
            <a:ext uri="{FF2B5EF4-FFF2-40B4-BE49-F238E27FC236}">
              <a16:creationId xmlns:a16="http://schemas.microsoft.com/office/drawing/2014/main" id="{00000000-0008-0000-0400-000007000000}"/>
            </a:ext>
          </a:extLst>
        </xdr:cNvPr>
        <xdr:cNvSpPr/>
      </xdr:nvSpPr>
      <xdr:spPr>
        <a:xfrm>
          <a:off x="2936874" y="4598572"/>
          <a:ext cx="1630364" cy="872300"/>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79"/>
            <a:gd name="connsiteY0" fmla="*/ 0 h 3930803"/>
            <a:gd name="connsiteX1" fmla="*/ 5799089 w 6053679"/>
            <a:gd name="connsiteY1" fmla="*/ 120803 h 3930803"/>
            <a:gd name="connsiteX2" fmla="*/ 6053679 w 6053679"/>
            <a:gd name="connsiteY2" fmla="*/ 2025803 h 3930803"/>
            <a:gd name="connsiteX3" fmla="*/ 5799089 w 6053679"/>
            <a:gd name="connsiteY3" fmla="*/ 3930803 h 3930803"/>
            <a:gd name="connsiteX4" fmla="*/ 3507781 w 6053679"/>
            <a:gd name="connsiteY4" fmla="*/ 3930803 h 3930803"/>
            <a:gd name="connsiteX5" fmla="*/ 3507781 w 6053679"/>
            <a:gd name="connsiteY5" fmla="*/ 120803 h 3930803"/>
            <a:gd name="connsiteX0" fmla="*/ 0 w 6053679"/>
            <a:gd name="connsiteY0" fmla="*/ 0 h 3930803"/>
            <a:gd name="connsiteX1" fmla="*/ 3503746 w 6053679"/>
            <a:gd name="connsiteY1" fmla="*/ 0 h 3930803"/>
            <a:gd name="connsiteX2" fmla="*/ 6053679 w 6053679"/>
            <a:gd name="connsiteY2" fmla="*/ 2025803 h 3930803"/>
            <a:gd name="connsiteX3" fmla="*/ 5799089 w 6053679"/>
            <a:gd name="connsiteY3" fmla="*/ 3930803 h 3930803"/>
            <a:gd name="connsiteX4" fmla="*/ 3507781 w 6053679"/>
            <a:gd name="connsiteY4" fmla="*/ 3930803 h 3930803"/>
            <a:gd name="connsiteX5" fmla="*/ 3507781 w 6053679"/>
            <a:gd name="connsiteY5" fmla="*/ 120803 h 3930803"/>
            <a:gd name="connsiteX0" fmla="*/ 0 w 5799088"/>
            <a:gd name="connsiteY0" fmla="*/ 0 h 3930803"/>
            <a:gd name="connsiteX1" fmla="*/ 3503746 w 5799088"/>
            <a:gd name="connsiteY1" fmla="*/ 0 h 3930803"/>
            <a:gd name="connsiteX2" fmla="*/ 4150342 w 5799088"/>
            <a:gd name="connsiteY2" fmla="*/ 1603467 h 3930803"/>
            <a:gd name="connsiteX3" fmla="*/ 5799089 w 5799088"/>
            <a:gd name="connsiteY3" fmla="*/ 3930803 h 3930803"/>
            <a:gd name="connsiteX4" fmla="*/ 3507781 w 5799088"/>
            <a:gd name="connsiteY4" fmla="*/ 3930803 h 3930803"/>
            <a:gd name="connsiteX5" fmla="*/ 3507781 w 5799088"/>
            <a:gd name="connsiteY5" fmla="*/ 120803 h 3930803"/>
            <a:gd name="connsiteX0" fmla="*/ 0 w 4150342"/>
            <a:gd name="connsiteY0" fmla="*/ 0 h 3930803"/>
            <a:gd name="connsiteX1" fmla="*/ 3503746 w 4150342"/>
            <a:gd name="connsiteY1" fmla="*/ 0 h 3930803"/>
            <a:gd name="connsiteX2" fmla="*/ 4150342 w 4150342"/>
            <a:gd name="connsiteY2" fmla="*/ 1603467 h 3930803"/>
            <a:gd name="connsiteX3" fmla="*/ 3503746 w 4150342"/>
            <a:gd name="connsiteY3" fmla="*/ 3160914 h 3930803"/>
            <a:gd name="connsiteX4" fmla="*/ 3507781 w 4150342"/>
            <a:gd name="connsiteY4" fmla="*/ 3930803 h 3930803"/>
            <a:gd name="connsiteX5" fmla="*/ 3507781 w 4150342"/>
            <a:gd name="connsiteY5" fmla="*/ 120803 h 3930803"/>
            <a:gd name="connsiteX0" fmla="*/ 0 w 4150342"/>
            <a:gd name="connsiteY0" fmla="*/ 0 h 3160914"/>
            <a:gd name="connsiteX1" fmla="*/ 3503746 w 4150342"/>
            <a:gd name="connsiteY1" fmla="*/ 0 h 3160914"/>
            <a:gd name="connsiteX2" fmla="*/ 4150342 w 4150342"/>
            <a:gd name="connsiteY2" fmla="*/ 1603467 h 3160914"/>
            <a:gd name="connsiteX3" fmla="*/ 3503746 w 4150342"/>
            <a:gd name="connsiteY3" fmla="*/ 3160914 h 3160914"/>
            <a:gd name="connsiteX4" fmla="*/ 3 w 4150342"/>
            <a:gd name="connsiteY4" fmla="*/ 3160914 h 3160914"/>
            <a:gd name="connsiteX5" fmla="*/ 3507781 w 4150342"/>
            <a:gd name="connsiteY5" fmla="*/ 120803 h 3160914"/>
            <a:gd name="connsiteX0" fmla="*/ 0 w 4150342"/>
            <a:gd name="connsiteY0" fmla="*/ 0 h 3160914"/>
            <a:gd name="connsiteX1" fmla="*/ 3503746 w 4150342"/>
            <a:gd name="connsiteY1" fmla="*/ 0 h 3160914"/>
            <a:gd name="connsiteX2" fmla="*/ 4150342 w 4150342"/>
            <a:gd name="connsiteY2" fmla="*/ 1603467 h 3160914"/>
            <a:gd name="connsiteX3" fmla="*/ 3503746 w 4150342"/>
            <a:gd name="connsiteY3" fmla="*/ 3160914 h 3160914"/>
            <a:gd name="connsiteX4" fmla="*/ 3 w 4150342"/>
            <a:gd name="connsiteY4" fmla="*/ 3160914 h 3160914"/>
            <a:gd name="connsiteX5" fmla="*/ 3 w 4150342"/>
            <a:gd name="connsiteY5" fmla="*/ 0 h 316091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42" h="3160914">
              <a:moveTo>
                <a:pt x="0" y="0"/>
              </a:moveTo>
              <a:lnTo>
                <a:pt x="3503746" y="0"/>
              </a:lnTo>
              <a:lnTo>
                <a:pt x="4150342" y="1603467"/>
              </a:lnTo>
              <a:lnTo>
                <a:pt x="3503746" y="3160914"/>
              </a:lnTo>
              <a:lnTo>
                <a:pt x="3" y="3160914"/>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21</xdr:row>
      <xdr:rowOff>96422</xdr:rowOff>
    </xdr:from>
    <xdr:to>
      <xdr:col>5</xdr:col>
      <xdr:colOff>583406</xdr:colOff>
      <xdr:row>26</xdr:row>
      <xdr:rowOff>60673</xdr:rowOff>
    </xdr:to>
    <xdr:sp macro="" textlink="">
      <xdr:nvSpPr>
        <xdr:cNvPr id="7" name="Arrow Text $L$164"/>
        <xdr:cNvSpPr txBox="1"/>
      </xdr:nvSpPr>
      <xdr:spPr>
        <a:xfrm>
          <a:off x="3190875" y="4598572"/>
          <a:ext cx="440531" cy="885001"/>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23.8%</a:t>
          </a:r>
        </a:p>
      </xdr:txBody>
    </xdr:sp>
    <xdr:clientData/>
  </xdr:twoCellAnchor>
  <xdr:twoCellAnchor>
    <xdr:from>
      <xdr:col>2</xdr:col>
      <xdr:colOff>328611</xdr:colOff>
      <xdr:row>21</xdr:row>
      <xdr:rowOff>96422</xdr:rowOff>
    </xdr:from>
    <xdr:to>
      <xdr:col>5</xdr:col>
      <xdr:colOff>130174</xdr:colOff>
      <xdr:row>26</xdr:row>
      <xdr:rowOff>88506</xdr:rowOff>
    </xdr:to>
    <xdr:sp macro="" textlink="">
      <xdr:nvSpPr>
        <xdr:cNvPr id="86" name="Arrow $J$164">
          <a:extLst>
            <a:ext uri="{FF2B5EF4-FFF2-40B4-BE49-F238E27FC236}">
              <a16:creationId xmlns:a16="http://schemas.microsoft.com/office/drawing/2014/main" id="{00000000-0008-0000-0400-000007000000}"/>
            </a:ext>
          </a:extLst>
        </xdr:cNvPr>
        <xdr:cNvSpPr/>
      </xdr:nvSpPr>
      <xdr:spPr>
        <a:xfrm>
          <a:off x="1547811" y="4598572"/>
          <a:ext cx="1630363" cy="912834"/>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3930803"/>
            <a:gd name="connsiteX1" fmla="*/ 5816809 w 6071399"/>
            <a:gd name="connsiteY1" fmla="*/ 120803 h 3930803"/>
            <a:gd name="connsiteX2" fmla="*/ 6071399 w 6071399"/>
            <a:gd name="connsiteY2" fmla="*/ 2025803 h 3930803"/>
            <a:gd name="connsiteX3" fmla="*/ 5816809 w 6071399"/>
            <a:gd name="connsiteY3" fmla="*/ 3930803 h 3930803"/>
            <a:gd name="connsiteX4" fmla="*/ 3525501 w 6071399"/>
            <a:gd name="connsiteY4" fmla="*/ 3930803 h 3930803"/>
            <a:gd name="connsiteX5" fmla="*/ 3525501 w 6071399"/>
            <a:gd name="connsiteY5" fmla="*/ 120803 h 3930803"/>
            <a:gd name="connsiteX0" fmla="*/ 0 w 6071399"/>
            <a:gd name="connsiteY0" fmla="*/ 0 h 3930803"/>
            <a:gd name="connsiteX1" fmla="*/ 3509316 w 6071399"/>
            <a:gd name="connsiteY1" fmla="*/ 0 h 3930803"/>
            <a:gd name="connsiteX2" fmla="*/ 6071399 w 6071399"/>
            <a:gd name="connsiteY2" fmla="*/ 2025803 h 3930803"/>
            <a:gd name="connsiteX3" fmla="*/ 5816809 w 6071399"/>
            <a:gd name="connsiteY3" fmla="*/ 3930803 h 3930803"/>
            <a:gd name="connsiteX4" fmla="*/ 3525501 w 6071399"/>
            <a:gd name="connsiteY4" fmla="*/ 3930803 h 3930803"/>
            <a:gd name="connsiteX5" fmla="*/ 3525501 w 6071399"/>
            <a:gd name="connsiteY5" fmla="*/ 120803 h 3930803"/>
            <a:gd name="connsiteX0" fmla="*/ 0 w 5816809"/>
            <a:gd name="connsiteY0" fmla="*/ 0 h 3930803"/>
            <a:gd name="connsiteX1" fmla="*/ 3509316 w 5816809"/>
            <a:gd name="connsiteY1" fmla="*/ 0 h 3930803"/>
            <a:gd name="connsiteX2" fmla="*/ 4156940 w 5816809"/>
            <a:gd name="connsiteY2" fmla="*/ 1676908 h 3930803"/>
            <a:gd name="connsiteX3" fmla="*/ 5816809 w 5816809"/>
            <a:gd name="connsiteY3" fmla="*/ 3930803 h 3930803"/>
            <a:gd name="connsiteX4" fmla="*/ 3525501 w 5816809"/>
            <a:gd name="connsiteY4" fmla="*/ 3930803 h 3930803"/>
            <a:gd name="connsiteX5" fmla="*/ 3525501 w 5816809"/>
            <a:gd name="connsiteY5" fmla="*/ 120803 h 3930803"/>
            <a:gd name="connsiteX0" fmla="*/ 0 w 4156940"/>
            <a:gd name="connsiteY0" fmla="*/ 0 h 3930803"/>
            <a:gd name="connsiteX1" fmla="*/ 3509316 w 4156940"/>
            <a:gd name="connsiteY1" fmla="*/ 0 h 3930803"/>
            <a:gd name="connsiteX2" fmla="*/ 4156940 w 4156940"/>
            <a:gd name="connsiteY2" fmla="*/ 1676908 h 3930803"/>
            <a:gd name="connsiteX3" fmla="*/ 3509316 w 4156940"/>
            <a:gd name="connsiteY3" fmla="*/ 3307795 h 3930803"/>
            <a:gd name="connsiteX4" fmla="*/ 3525501 w 4156940"/>
            <a:gd name="connsiteY4" fmla="*/ 3930803 h 3930803"/>
            <a:gd name="connsiteX5" fmla="*/ 3525501 w 4156940"/>
            <a:gd name="connsiteY5" fmla="*/ 120803 h 3930803"/>
            <a:gd name="connsiteX0" fmla="*/ 0 w 4156940"/>
            <a:gd name="connsiteY0" fmla="*/ 0 h 3307795"/>
            <a:gd name="connsiteX1" fmla="*/ 3509316 w 4156940"/>
            <a:gd name="connsiteY1" fmla="*/ 0 h 3307795"/>
            <a:gd name="connsiteX2" fmla="*/ 4156940 w 4156940"/>
            <a:gd name="connsiteY2" fmla="*/ 1676908 h 3307795"/>
            <a:gd name="connsiteX3" fmla="*/ 3509316 w 4156940"/>
            <a:gd name="connsiteY3" fmla="*/ 3307795 h 3307795"/>
            <a:gd name="connsiteX4" fmla="*/ 5 w 4156940"/>
            <a:gd name="connsiteY4" fmla="*/ 3307795 h 3307795"/>
            <a:gd name="connsiteX5" fmla="*/ 3525501 w 4156940"/>
            <a:gd name="connsiteY5" fmla="*/ 120803 h 3307795"/>
            <a:gd name="connsiteX0" fmla="*/ 0 w 4156940"/>
            <a:gd name="connsiteY0" fmla="*/ 0 h 3307795"/>
            <a:gd name="connsiteX1" fmla="*/ 3509316 w 4156940"/>
            <a:gd name="connsiteY1" fmla="*/ 0 h 3307795"/>
            <a:gd name="connsiteX2" fmla="*/ 4156940 w 4156940"/>
            <a:gd name="connsiteY2" fmla="*/ 1676908 h 3307795"/>
            <a:gd name="connsiteX3" fmla="*/ 3509316 w 4156940"/>
            <a:gd name="connsiteY3" fmla="*/ 3307795 h 3307795"/>
            <a:gd name="connsiteX4" fmla="*/ 5 w 4156940"/>
            <a:gd name="connsiteY4" fmla="*/ 3307795 h 3307795"/>
            <a:gd name="connsiteX5" fmla="*/ 5 w 4156940"/>
            <a:gd name="connsiteY5" fmla="*/ 0 h 330779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3307795">
              <a:moveTo>
                <a:pt x="0" y="0"/>
              </a:moveTo>
              <a:lnTo>
                <a:pt x="3509316" y="0"/>
              </a:lnTo>
              <a:lnTo>
                <a:pt x="4156940" y="1676908"/>
              </a:lnTo>
              <a:lnTo>
                <a:pt x="3509316" y="3307795"/>
              </a:lnTo>
              <a:lnTo>
                <a:pt x="5" y="3307795"/>
              </a:lnTo>
              <a:lnTo>
                <a:pt x="5"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21</xdr:row>
      <xdr:rowOff>96422</xdr:rowOff>
    </xdr:from>
    <xdr:to>
      <xdr:col>3</xdr:col>
      <xdr:colOff>413544</xdr:colOff>
      <xdr:row>26</xdr:row>
      <xdr:rowOff>101207</xdr:rowOff>
    </xdr:to>
    <xdr:sp macro="" textlink="">
      <xdr:nvSpPr>
        <xdr:cNvPr id="8" name="Arrow Text $J$164"/>
        <xdr:cNvSpPr txBox="1"/>
      </xdr:nvSpPr>
      <xdr:spPr>
        <a:xfrm>
          <a:off x="1801813" y="4598572"/>
          <a:ext cx="440531" cy="92553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24.9%</a:t>
          </a:r>
        </a:p>
      </xdr:txBody>
    </xdr:sp>
    <xdr:clientData/>
  </xdr:twoCellAnchor>
  <xdr:twoCellAnchor>
    <xdr:from>
      <xdr:col>0</xdr:col>
      <xdr:colOff>158749</xdr:colOff>
      <xdr:row>21</xdr:row>
      <xdr:rowOff>96422</xdr:rowOff>
    </xdr:from>
    <xdr:to>
      <xdr:col>2</xdr:col>
      <xdr:colOff>569912</xdr:colOff>
      <xdr:row>26</xdr:row>
      <xdr:rowOff>88506</xdr:rowOff>
    </xdr:to>
    <xdr:sp macro="" textlink="">
      <xdr:nvSpPr>
        <xdr:cNvPr id="88" name="Arrow $H$164">
          <a:extLst>
            <a:ext uri="{FF2B5EF4-FFF2-40B4-BE49-F238E27FC236}">
              <a16:creationId xmlns:a16="http://schemas.microsoft.com/office/drawing/2014/main" id="{00000000-0008-0000-0400-000007000000}"/>
            </a:ext>
          </a:extLst>
        </xdr:cNvPr>
        <xdr:cNvSpPr/>
      </xdr:nvSpPr>
      <xdr:spPr>
        <a:xfrm>
          <a:off x="158749" y="4598572"/>
          <a:ext cx="1630363" cy="912834"/>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3930803"/>
            <a:gd name="connsiteX1" fmla="*/ 5824905 w 6079495"/>
            <a:gd name="connsiteY1" fmla="*/ 120803 h 3930803"/>
            <a:gd name="connsiteX2" fmla="*/ 6079495 w 6079495"/>
            <a:gd name="connsiteY2" fmla="*/ 2025803 h 3930803"/>
            <a:gd name="connsiteX3" fmla="*/ 5824905 w 6079495"/>
            <a:gd name="connsiteY3" fmla="*/ 3930803 h 3930803"/>
            <a:gd name="connsiteX4" fmla="*/ 3533597 w 6079495"/>
            <a:gd name="connsiteY4" fmla="*/ 3930803 h 3930803"/>
            <a:gd name="connsiteX5" fmla="*/ 3533597 w 6079495"/>
            <a:gd name="connsiteY5" fmla="*/ 120803 h 3930803"/>
            <a:gd name="connsiteX0" fmla="*/ 0 w 6079495"/>
            <a:gd name="connsiteY0" fmla="*/ 0 h 3930803"/>
            <a:gd name="connsiteX1" fmla="*/ 3509316 w 6079495"/>
            <a:gd name="connsiteY1" fmla="*/ 0 h 3930803"/>
            <a:gd name="connsiteX2" fmla="*/ 6079495 w 6079495"/>
            <a:gd name="connsiteY2" fmla="*/ 2025803 h 3930803"/>
            <a:gd name="connsiteX3" fmla="*/ 5824905 w 6079495"/>
            <a:gd name="connsiteY3" fmla="*/ 3930803 h 3930803"/>
            <a:gd name="connsiteX4" fmla="*/ 3533597 w 6079495"/>
            <a:gd name="connsiteY4" fmla="*/ 3930803 h 3930803"/>
            <a:gd name="connsiteX5" fmla="*/ 3533597 w 6079495"/>
            <a:gd name="connsiteY5" fmla="*/ 120803 h 3930803"/>
            <a:gd name="connsiteX0" fmla="*/ 0 w 5824905"/>
            <a:gd name="connsiteY0" fmla="*/ 0 h 3930803"/>
            <a:gd name="connsiteX1" fmla="*/ 3509316 w 5824905"/>
            <a:gd name="connsiteY1" fmla="*/ 0 h 3930803"/>
            <a:gd name="connsiteX2" fmla="*/ 4156940 w 5824905"/>
            <a:gd name="connsiteY2" fmla="*/ 1676908 h 3930803"/>
            <a:gd name="connsiteX3" fmla="*/ 5824905 w 5824905"/>
            <a:gd name="connsiteY3" fmla="*/ 3930803 h 3930803"/>
            <a:gd name="connsiteX4" fmla="*/ 3533597 w 5824905"/>
            <a:gd name="connsiteY4" fmla="*/ 3930803 h 3930803"/>
            <a:gd name="connsiteX5" fmla="*/ 3533597 w 5824905"/>
            <a:gd name="connsiteY5" fmla="*/ 120803 h 3930803"/>
            <a:gd name="connsiteX0" fmla="*/ 0 w 4156941"/>
            <a:gd name="connsiteY0" fmla="*/ 0 h 3930803"/>
            <a:gd name="connsiteX1" fmla="*/ 3509316 w 4156941"/>
            <a:gd name="connsiteY1" fmla="*/ 0 h 3930803"/>
            <a:gd name="connsiteX2" fmla="*/ 4156940 w 4156941"/>
            <a:gd name="connsiteY2" fmla="*/ 1676908 h 3930803"/>
            <a:gd name="connsiteX3" fmla="*/ 3509319 w 4156941"/>
            <a:gd name="connsiteY3" fmla="*/ 3307795 h 3930803"/>
            <a:gd name="connsiteX4" fmla="*/ 3533597 w 4156941"/>
            <a:gd name="connsiteY4" fmla="*/ 3930803 h 3930803"/>
            <a:gd name="connsiteX5" fmla="*/ 3533597 w 4156941"/>
            <a:gd name="connsiteY5" fmla="*/ 120803 h 3930803"/>
            <a:gd name="connsiteX0" fmla="*/ 0 w 4156941"/>
            <a:gd name="connsiteY0" fmla="*/ 0 h 3307795"/>
            <a:gd name="connsiteX1" fmla="*/ 3509316 w 4156941"/>
            <a:gd name="connsiteY1" fmla="*/ 0 h 3307795"/>
            <a:gd name="connsiteX2" fmla="*/ 4156940 w 4156941"/>
            <a:gd name="connsiteY2" fmla="*/ 1676908 h 3307795"/>
            <a:gd name="connsiteX3" fmla="*/ 3509319 w 4156941"/>
            <a:gd name="connsiteY3" fmla="*/ 3307795 h 3307795"/>
            <a:gd name="connsiteX4" fmla="*/ 3 w 4156941"/>
            <a:gd name="connsiteY4" fmla="*/ 3307795 h 3307795"/>
            <a:gd name="connsiteX5" fmla="*/ 3533597 w 4156941"/>
            <a:gd name="connsiteY5" fmla="*/ 120803 h 3307795"/>
            <a:gd name="connsiteX0" fmla="*/ 0 w 4156941"/>
            <a:gd name="connsiteY0" fmla="*/ 0 h 3307795"/>
            <a:gd name="connsiteX1" fmla="*/ 3509316 w 4156941"/>
            <a:gd name="connsiteY1" fmla="*/ 0 h 3307795"/>
            <a:gd name="connsiteX2" fmla="*/ 4156940 w 4156941"/>
            <a:gd name="connsiteY2" fmla="*/ 1676908 h 3307795"/>
            <a:gd name="connsiteX3" fmla="*/ 3509319 w 4156941"/>
            <a:gd name="connsiteY3" fmla="*/ 3307795 h 3307795"/>
            <a:gd name="connsiteX4" fmla="*/ 3 w 4156941"/>
            <a:gd name="connsiteY4" fmla="*/ 3307795 h 3307795"/>
            <a:gd name="connsiteX5" fmla="*/ 3 w 4156941"/>
            <a:gd name="connsiteY5" fmla="*/ 0 h 330779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3307795">
              <a:moveTo>
                <a:pt x="0" y="0"/>
              </a:moveTo>
              <a:lnTo>
                <a:pt x="3509316" y="0"/>
              </a:lnTo>
              <a:lnTo>
                <a:pt x="4156940" y="1676908"/>
              </a:lnTo>
              <a:lnTo>
                <a:pt x="3509319" y="3307795"/>
              </a:lnTo>
              <a:lnTo>
                <a:pt x="3" y="3307795"/>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21</xdr:row>
      <xdr:rowOff>96422</xdr:rowOff>
    </xdr:from>
    <xdr:to>
      <xdr:col>2</xdr:col>
      <xdr:colOff>328613</xdr:colOff>
      <xdr:row>26</xdr:row>
      <xdr:rowOff>101207</xdr:rowOff>
    </xdr:to>
    <xdr:sp macro="" textlink="">
      <xdr:nvSpPr>
        <xdr:cNvPr id="9" name="Arrow Text $H$164"/>
        <xdr:cNvSpPr txBox="1"/>
      </xdr:nvSpPr>
      <xdr:spPr>
        <a:xfrm>
          <a:off x="158750" y="4598572"/>
          <a:ext cx="1389063" cy="925535"/>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ONSITE  FACILITIES</a:t>
          </a:r>
        </a:p>
        <a:p>
          <a:r>
            <a:rPr lang="en-GB" sz="1100">
              <a:solidFill>
                <a:schemeClr val="bg1"/>
              </a:solidFill>
            </a:rPr>
            <a:t> PIT LATRINES</a:t>
          </a:r>
        </a:p>
      </xdr:txBody>
    </xdr:sp>
    <xdr:clientData/>
  </xdr:twoCellAnchor>
  <xdr:twoCellAnchor>
    <xdr:from>
      <xdr:col>9</xdr:col>
      <xdr:colOff>228600</xdr:colOff>
      <xdr:row>11</xdr:row>
      <xdr:rowOff>58878</xdr:rowOff>
    </xdr:from>
    <xdr:to>
      <xdr:col>11</xdr:col>
      <xdr:colOff>86195</xdr:colOff>
      <xdr:row>31</xdr:row>
      <xdr:rowOff>107950</xdr:rowOff>
    </xdr:to>
    <xdr:sp macro="" textlink="">
      <xdr:nvSpPr>
        <xdr:cNvPr id="90" name="Arrow $P$156">
          <a:extLst>
            <a:ext uri="{FF2B5EF4-FFF2-40B4-BE49-F238E27FC236}">
              <a16:creationId xmlns:a16="http://schemas.microsoft.com/office/drawing/2014/main" id="{00000000-0008-0000-0400-000006000000}"/>
            </a:ext>
          </a:extLst>
        </xdr:cNvPr>
        <xdr:cNvSpPr/>
      </xdr:nvSpPr>
      <xdr:spPr>
        <a:xfrm>
          <a:off x="5715000" y="2719528"/>
          <a:ext cx="1076795" cy="3732072"/>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14149438 w 14149438"/>
            <a:gd name="connsiteY0" fmla="*/ 0 h 10739806"/>
            <a:gd name="connsiteX1" fmla="*/ 1273411 w 14149438"/>
            <a:gd name="connsiteY1" fmla="*/ 6929806 h 10739806"/>
            <a:gd name="connsiteX2" fmla="*/ 2546822 w 14149438"/>
            <a:gd name="connsiteY2" fmla="*/ 8199806 h 10739806"/>
            <a:gd name="connsiteX3" fmla="*/ 2546822 w 14149438"/>
            <a:gd name="connsiteY3" fmla="*/ 10485806 h 10739806"/>
            <a:gd name="connsiteX4" fmla="*/ 1910117 w 14149438"/>
            <a:gd name="connsiteY4" fmla="*/ 10739806 h 10739806"/>
            <a:gd name="connsiteX5" fmla="*/ 1273411 w 14149438"/>
            <a:gd name="connsiteY5" fmla="*/ 10485806 h 10739806"/>
            <a:gd name="connsiteX6" fmla="*/ 1273411 w 14149438"/>
            <a:gd name="connsiteY6" fmla="*/ 9469806 h 10739806"/>
            <a:gd name="connsiteX7" fmla="*/ 636706 w 14149438"/>
            <a:gd name="connsiteY7" fmla="*/ 8834806 h 10739806"/>
            <a:gd name="connsiteX8" fmla="*/ 0 w 14149438"/>
            <a:gd name="connsiteY8" fmla="*/ 8834806 h 10739806"/>
            <a:gd name="connsiteX9" fmla="*/ 0 w 14149438"/>
            <a:gd name="connsiteY9" fmla="*/ 6929806 h 10739806"/>
            <a:gd name="connsiteX0" fmla="*/ 14149438 w 16244751"/>
            <a:gd name="connsiteY0" fmla="*/ 0 h 10739806"/>
            <a:gd name="connsiteX1" fmla="*/ 16244751 w 16244751"/>
            <a:gd name="connsiteY1" fmla="*/ 0 h 10739806"/>
            <a:gd name="connsiteX2" fmla="*/ 2546822 w 16244751"/>
            <a:gd name="connsiteY2" fmla="*/ 8199806 h 10739806"/>
            <a:gd name="connsiteX3" fmla="*/ 2546822 w 16244751"/>
            <a:gd name="connsiteY3" fmla="*/ 10485806 h 10739806"/>
            <a:gd name="connsiteX4" fmla="*/ 1910117 w 16244751"/>
            <a:gd name="connsiteY4" fmla="*/ 10739806 h 10739806"/>
            <a:gd name="connsiteX5" fmla="*/ 1273411 w 16244751"/>
            <a:gd name="connsiteY5" fmla="*/ 10485806 h 10739806"/>
            <a:gd name="connsiteX6" fmla="*/ 1273411 w 16244751"/>
            <a:gd name="connsiteY6" fmla="*/ 9469806 h 10739806"/>
            <a:gd name="connsiteX7" fmla="*/ 636706 w 16244751"/>
            <a:gd name="connsiteY7" fmla="*/ 8834806 h 10739806"/>
            <a:gd name="connsiteX8" fmla="*/ 0 w 16244751"/>
            <a:gd name="connsiteY8" fmla="*/ 8834806 h 10739806"/>
            <a:gd name="connsiteX9" fmla="*/ 0 w 16244751"/>
            <a:gd name="connsiteY9" fmla="*/ 6929806 h 10739806"/>
            <a:gd name="connsiteX0" fmla="*/ 14149438 w 16250262"/>
            <a:gd name="connsiteY0" fmla="*/ 0 h 10739806"/>
            <a:gd name="connsiteX1" fmla="*/ 16244751 w 16250262"/>
            <a:gd name="connsiteY1" fmla="*/ 0 h 10739806"/>
            <a:gd name="connsiteX2" fmla="*/ 2546822 w 16250262"/>
            <a:gd name="connsiteY2" fmla="*/ 8199806 h 10739806"/>
            <a:gd name="connsiteX3" fmla="*/ 2546822 w 16250262"/>
            <a:gd name="connsiteY3" fmla="*/ 10485806 h 10739806"/>
            <a:gd name="connsiteX4" fmla="*/ 1910117 w 16250262"/>
            <a:gd name="connsiteY4" fmla="*/ 10739806 h 10739806"/>
            <a:gd name="connsiteX5" fmla="*/ 1273411 w 16250262"/>
            <a:gd name="connsiteY5" fmla="*/ 10485806 h 10739806"/>
            <a:gd name="connsiteX6" fmla="*/ 1273411 w 16250262"/>
            <a:gd name="connsiteY6" fmla="*/ 9469806 h 10739806"/>
            <a:gd name="connsiteX7" fmla="*/ 636706 w 16250262"/>
            <a:gd name="connsiteY7" fmla="*/ 8834806 h 10739806"/>
            <a:gd name="connsiteX8" fmla="*/ 0 w 16250262"/>
            <a:gd name="connsiteY8" fmla="*/ 8834806 h 10739806"/>
            <a:gd name="connsiteX9" fmla="*/ 0 w 16250262"/>
            <a:gd name="connsiteY9" fmla="*/ 6929806 h 10739806"/>
            <a:gd name="connsiteX0" fmla="*/ 14149438 w 16340795"/>
            <a:gd name="connsiteY0" fmla="*/ 0 h 10739806"/>
            <a:gd name="connsiteX1" fmla="*/ 16244751 w 16340795"/>
            <a:gd name="connsiteY1" fmla="*/ 0 h 10739806"/>
            <a:gd name="connsiteX2" fmla="*/ 2546822 w 16340795"/>
            <a:gd name="connsiteY2" fmla="*/ 8199806 h 10739806"/>
            <a:gd name="connsiteX3" fmla="*/ 2546822 w 16340795"/>
            <a:gd name="connsiteY3" fmla="*/ 10485806 h 10739806"/>
            <a:gd name="connsiteX4" fmla="*/ 1910117 w 16340795"/>
            <a:gd name="connsiteY4" fmla="*/ 10739806 h 10739806"/>
            <a:gd name="connsiteX5" fmla="*/ 1273411 w 16340795"/>
            <a:gd name="connsiteY5" fmla="*/ 10485806 h 10739806"/>
            <a:gd name="connsiteX6" fmla="*/ 1273411 w 16340795"/>
            <a:gd name="connsiteY6" fmla="*/ 9469806 h 10739806"/>
            <a:gd name="connsiteX7" fmla="*/ 636706 w 16340795"/>
            <a:gd name="connsiteY7" fmla="*/ 8834806 h 10739806"/>
            <a:gd name="connsiteX8" fmla="*/ 0 w 16340795"/>
            <a:gd name="connsiteY8" fmla="*/ 8834806 h 10739806"/>
            <a:gd name="connsiteX9" fmla="*/ 0 w 16340795"/>
            <a:gd name="connsiteY9" fmla="*/ 6929806 h 10739806"/>
            <a:gd name="connsiteX0" fmla="*/ 14149438 w 16891580"/>
            <a:gd name="connsiteY0" fmla="*/ 0 h 10739806"/>
            <a:gd name="connsiteX1" fmla="*/ 16244751 w 16891580"/>
            <a:gd name="connsiteY1" fmla="*/ 0 h 10739806"/>
            <a:gd name="connsiteX2" fmla="*/ 16891580 w 16891580"/>
            <a:gd name="connsiteY2" fmla="*/ 920408 h 10739806"/>
            <a:gd name="connsiteX3" fmla="*/ 2546822 w 16891580"/>
            <a:gd name="connsiteY3" fmla="*/ 10485806 h 10739806"/>
            <a:gd name="connsiteX4" fmla="*/ 1910117 w 16891580"/>
            <a:gd name="connsiteY4" fmla="*/ 10739806 h 10739806"/>
            <a:gd name="connsiteX5" fmla="*/ 1273411 w 16891580"/>
            <a:gd name="connsiteY5" fmla="*/ 10485806 h 10739806"/>
            <a:gd name="connsiteX6" fmla="*/ 1273411 w 16891580"/>
            <a:gd name="connsiteY6" fmla="*/ 9469806 h 10739806"/>
            <a:gd name="connsiteX7" fmla="*/ 636706 w 16891580"/>
            <a:gd name="connsiteY7" fmla="*/ 8834806 h 10739806"/>
            <a:gd name="connsiteX8" fmla="*/ 0 w 16891580"/>
            <a:gd name="connsiteY8" fmla="*/ 8834806 h 10739806"/>
            <a:gd name="connsiteX9" fmla="*/ 0 w 16891580"/>
            <a:gd name="connsiteY9" fmla="*/ 6929806 h 10739806"/>
            <a:gd name="connsiteX0" fmla="*/ 14149438 w 16891580"/>
            <a:gd name="connsiteY0" fmla="*/ 0 h 12603328"/>
            <a:gd name="connsiteX1" fmla="*/ 16244751 w 16891580"/>
            <a:gd name="connsiteY1" fmla="*/ 0 h 12603328"/>
            <a:gd name="connsiteX2" fmla="*/ 16891580 w 16891580"/>
            <a:gd name="connsiteY2" fmla="*/ 920408 h 12603328"/>
            <a:gd name="connsiteX3" fmla="*/ 16891580 w 16891580"/>
            <a:gd name="connsiteY3" fmla="*/ 12603328 h 12603328"/>
            <a:gd name="connsiteX4" fmla="*/ 1910117 w 16891580"/>
            <a:gd name="connsiteY4" fmla="*/ 10739806 h 12603328"/>
            <a:gd name="connsiteX5" fmla="*/ 1273411 w 16891580"/>
            <a:gd name="connsiteY5" fmla="*/ 10485806 h 12603328"/>
            <a:gd name="connsiteX6" fmla="*/ 1273411 w 16891580"/>
            <a:gd name="connsiteY6" fmla="*/ 9469806 h 12603328"/>
            <a:gd name="connsiteX7" fmla="*/ 636706 w 16891580"/>
            <a:gd name="connsiteY7" fmla="*/ 8834806 h 12603328"/>
            <a:gd name="connsiteX8" fmla="*/ 0 w 16891580"/>
            <a:gd name="connsiteY8" fmla="*/ 8834806 h 12603328"/>
            <a:gd name="connsiteX9" fmla="*/ 0 w 16891580"/>
            <a:gd name="connsiteY9" fmla="*/ 6929806 h 12603328"/>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273411 w 16891580"/>
            <a:gd name="connsiteY5" fmla="*/ 10485806 h 13523736"/>
            <a:gd name="connsiteX6" fmla="*/ 1273411 w 16891580"/>
            <a:gd name="connsiteY6" fmla="*/ 9469806 h 13523736"/>
            <a:gd name="connsiteX7" fmla="*/ 636706 w 16891580"/>
            <a:gd name="connsiteY7" fmla="*/ 8834806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273411 w 16891580"/>
            <a:gd name="connsiteY6" fmla="*/ 9469806 h 13523736"/>
            <a:gd name="connsiteX7" fmla="*/ 636706 w 16891580"/>
            <a:gd name="connsiteY7" fmla="*/ 8834806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6263474 w 16891580"/>
            <a:gd name="connsiteY6" fmla="*/ 7309475 h 13523736"/>
            <a:gd name="connsiteX7" fmla="*/ 636706 w 16891580"/>
            <a:gd name="connsiteY7" fmla="*/ 8834806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6263474 w 16891580"/>
            <a:gd name="connsiteY6" fmla="*/ 7309475 h 13523736"/>
            <a:gd name="connsiteX7" fmla="*/ 636706 w 16891580"/>
            <a:gd name="connsiteY7" fmla="*/ 8834806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6263474 w 16891580"/>
            <a:gd name="connsiteY6" fmla="*/ 7309475 h 13523736"/>
            <a:gd name="connsiteX7" fmla="*/ 636706 w 16891580"/>
            <a:gd name="connsiteY7" fmla="*/ 8834806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6263474 w 16891580"/>
            <a:gd name="connsiteY6" fmla="*/ 7309475 h 13523736"/>
            <a:gd name="connsiteX7" fmla="*/ 15616642 w 16891580"/>
            <a:gd name="connsiteY7" fmla="*/ 6389067 h 13523736"/>
            <a:gd name="connsiteX8" fmla="*/ 0 w 16891580"/>
            <a:gd name="connsiteY8" fmla="*/ 8834806 h 13523736"/>
            <a:gd name="connsiteX9" fmla="*/ 0 w 16891580"/>
            <a:gd name="connsiteY9" fmla="*/ 6929806 h 13523736"/>
            <a:gd name="connsiteX0" fmla="*/ 14149438 w 16891580"/>
            <a:gd name="connsiteY0" fmla="*/ 0 h 13523736"/>
            <a:gd name="connsiteX1" fmla="*/ 16244751 w 16891580"/>
            <a:gd name="connsiteY1" fmla="*/ 0 h 13523736"/>
            <a:gd name="connsiteX2" fmla="*/ 16891580 w 16891580"/>
            <a:gd name="connsiteY2" fmla="*/ 920408 h 13523736"/>
            <a:gd name="connsiteX3" fmla="*/ 16891580 w 16891580"/>
            <a:gd name="connsiteY3" fmla="*/ 12603328 h 13523736"/>
            <a:gd name="connsiteX4" fmla="*/ 16577526 w 16891580"/>
            <a:gd name="connsiteY4" fmla="*/ 13523736 h 13523736"/>
            <a:gd name="connsiteX5" fmla="*/ 16263474 w 16891580"/>
            <a:gd name="connsiteY5" fmla="*/ 12603328 h 13523736"/>
            <a:gd name="connsiteX6" fmla="*/ 16263474 w 16891580"/>
            <a:gd name="connsiteY6" fmla="*/ 7309475 h 13523736"/>
            <a:gd name="connsiteX7" fmla="*/ 15616642 w 16891580"/>
            <a:gd name="connsiteY7" fmla="*/ 6389067 h 13523736"/>
            <a:gd name="connsiteX8" fmla="*/ 14149435 w 16891580"/>
            <a:gd name="connsiteY8" fmla="*/ 6389067 h 13523736"/>
            <a:gd name="connsiteX9" fmla="*/ 0 w 16891580"/>
            <a:gd name="connsiteY9" fmla="*/ 6929806 h 13523736"/>
            <a:gd name="connsiteX0" fmla="*/ 3 w 2742145"/>
            <a:gd name="connsiteY0" fmla="*/ 0 h 13523736"/>
            <a:gd name="connsiteX1" fmla="*/ 2095316 w 2742145"/>
            <a:gd name="connsiteY1" fmla="*/ 0 h 13523736"/>
            <a:gd name="connsiteX2" fmla="*/ 2742145 w 2742145"/>
            <a:gd name="connsiteY2" fmla="*/ 920408 h 13523736"/>
            <a:gd name="connsiteX3" fmla="*/ 2742145 w 2742145"/>
            <a:gd name="connsiteY3" fmla="*/ 12603328 h 13523736"/>
            <a:gd name="connsiteX4" fmla="*/ 2428091 w 2742145"/>
            <a:gd name="connsiteY4" fmla="*/ 13523736 h 13523736"/>
            <a:gd name="connsiteX5" fmla="*/ 2114039 w 2742145"/>
            <a:gd name="connsiteY5" fmla="*/ 12603328 h 13523736"/>
            <a:gd name="connsiteX6" fmla="*/ 2114039 w 2742145"/>
            <a:gd name="connsiteY6" fmla="*/ 7309475 h 13523736"/>
            <a:gd name="connsiteX7" fmla="*/ 1467207 w 2742145"/>
            <a:gd name="connsiteY7" fmla="*/ 6389067 h 13523736"/>
            <a:gd name="connsiteX8" fmla="*/ 0 w 2742145"/>
            <a:gd name="connsiteY8" fmla="*/ 6389067 h 13523736"/>
            <a:gd name="connsiteX9" fmla="*/ 0 w 2742145"/>
            <a:gd name="connsiteY9" fmla="*/ 0 h 135237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742145" h="13523736">
              <a:moveTo>
                <a:pt x="3" y="0"/>
              </a:moveTo>
              <a:lnTo>
                <a:pt x="2095316" y="0"/>
              </a:lnTo>
              <a:cubicBezTo>
                <a:pt x="2418729" y="0"/>
                <a:pt x="2742145" y="460204"/>
                <a:pt x="2742145" y="920408"/>
              </a:cubicBezTo>
              <a:lnTo>
                <a:pt x="2742145" y="12603328"/>
              </a:lnTo>
              <a:lnTo>
                <a:pt x="2428091" y="13523736"/>
              </a:lnTo>
              <a:lnTo>
                <a:pt x="2114039" y="12603328"/>
              </a:lnTo>
              <a:lnTo>
                <a:pt x="2114039" y="7309475"/>
              </a:lnTo>
              <a:cubicBezTo>
                <a:pt x="2114039" y="6849271"/>
                <a:pt x="1790623" y="6389067"/>
                <a:pt x="1467207" y="6389067"/>
              </a:cubicBezTo>
              <a:lnTo>
                <a:pt x="0" y="6389067"/>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11</xdr:row>
      <xdr:rowOff>58878</xdr:rowOff>
    </xdr:from>
    <xdr:to>
      <xdr:col>10</xdr:col>
      <xdr:colOff>313531</xdr:colOff>
      <xdr:row>20</xdr:row>
      <xdr:rowOff>177384</xdr:rowOff>
    </xdr:to>
    <xdr:sp macro="" textlink="">
      <xdr:nvSpPr>
        <xdr:cNvPr id="10" name="Arrow Text $P$156"/>
        <xdr:cNvSpPr txBox="1"/>
      </xdr:nvSpPr>
      <xdr:spPr>
        <a:xfrm>
          <a:off x="5969000" y="2719528"/>
          <a:ext cx="440531" cy="17758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47.8%</a:t>
          </a:r>
        </a:p>
      </xdr:txBody>
    </xdr:sp>
    <xdr:clientData/>
  </xdr:twoCellAnchor>
  <xdr:twoCellAnchor>
    <xdr:from>
      <xdr:col>7</xdr:col>
      <xdr:colOff>58738</xdr:colOff>
      <xdr:row>11</xdr:row>
      <xdr:rowOff>58877</xdr:rowOff>
    </xdr:from>
    <xdr:to>
      <xdr:col>9</xdr:col>
      <xdr:colOff>469900</xdr:colOff>
      <xdr:row>20</xdr:row>
      <xdr:rowOff>164684</xdr:rowOff>
    </xdr:to>
    <xdr:sp macro="" textlink="">
      <xdr:nvSpPr>
        <xdr:cNvPr id="92" name="Arrow $N$152">
          <a:extLst>
            <a:ext uri="{FF2B5EF4-FFF2-40B4-BE49-F238E27FC236}">
              <a16:creationId xmlns:a16="http://schemas.microsoft.com/office/drawing/2014/main" id="{00000000-0008-0000-0400-000007000000}"/>
            </a:ext>
          </a:extLst>
        </xdr:cNvPr>
        <xdr:cNvSpPr/>
      </xdr:nvSpPr>
      <xdr:spPr>
        <a:xfrm>
          <a:off x="4325938" y="2719527"/>
          <a:ext cx="1630362" cy="1763157"/>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6"/>
            <a:gd name="connsiteY0" fmla="*/ 0 h 3873277"/>
            <a:gd name="connsiteX1" fmla="*/ 5791006 w 6045596"/>
            <a:gd name="connsiteY1" fmla="*/ 63277 h 3873277"/>
            <a:gd name="connsiteX2" fmla="*/ 6045596 w 6045596"/>
            <a:gd name="connsiteY2" fmla="*/ 1968277 h 3873277"/>
            <a:gd name="connsiteX3" fmla="*/ 5791006 w 6045596"/>
            <a:gd name="connsiteY3" fmla="*/ 3873277 h 3873277"/>
            <a:gd name="connsiteX4" fmla="*/ 3499698 w 6045596"/>
            <a:gd name="connsiteY4" fmla="*/ 3873277 h 3873277"/>
            <a:gd name="connsiteX5" fmla="*/ 3499698 w 6045596"/>
            <a:gd name="connsiteY5" fmla="*/ 63277 h 3873277"/>
            <a:gd name="connsiteX0" fmla="*/ 0 w 6045596"/>
            <a:gd name="connsiteY0" fmla="*/ 0 h 3873277"/>
            <a:gd name="connsiteX1" fmla="*/ 3503741 w 6045596"/>
            <a:gd name="connsiteY1" fmla="*/ 0 h 3873277"/>
            <a:gd name="connsiteX2" fmla="*/ 6045596 w 6045596"/>
            <a:gd name="connsiteY2" fmla="*/ 1968277 h 3873277"/>
            <a:gd name="connsiteX3" fmla="*/ 5791006 w 6045596"/>
            <a:gd name="connsiteY3" fmla="*/ 3873277 h 3873277"/>
            <a:gd name="connsiteX4" fmla="*/ 3499698 w 6045596"/>
            <a:gd name="connsiteY4" fmla="*/ 3873277 h 3873277"/>
            <a:gd name="connsiteX5" fmla="*/ 3499698 w 6045596"/>
            <a:gd name="connsiteY5" fmla="*/ 63277 h 3873277"/>
            <a:gd name="connsiteX0" fmla="*/ 0 w 5791005"/>
            <a:gd name="connsiteY0" fmla="*/ 0 h 3873277"/>
            <a:gd name="connsiteX1" fmla="*/ 3503741 w 5791005"/>
            <a:gd name="connsiteY1" fmla="*/ 0 h 3873277"/>
            <a:gd name="connsiteX2" fmla="*/ 4150337 w 5791005"/>
            <a:gd name="connsiteY2" fmla="*/ 3217544 h 3873277"/>
            <a:gd name="connsiteX3" fmla="*/ 5791006 w 5791005"/>
            <a:gd name="connsiteY3" fmla="*/ 3873277 h 3873277"/>
            <a:gd name="connsiteX4" fmla="*/ 3499698 w 5791005"/>
            <a:gd name="connsiteY4" fmla="*/ 3873277 h 3873277"/>
            <a:gd name="connsiteX5" fmla="*/ 3499698 w 5791005"/>
            <a:gd name="connsiteY5" fmla="*/ 63277 h 3873277"/>
            <a:gd name="connsiteX0" fmla="*/ 0 w 4150337"/>
            <a:gd name="connsiteY0" fmla="*/ 0 h 6389068"/>
            <a:gd name="connsiteX1" fmla="*/ 3503741 w 4150337"/>
            <a:gd name="connsiteY1" fmla="*/ 0 h 6389068"/>
            <a:gd name="connsiteX2" fmla="*/ 4150337 w 4150337"/>
            <a:gd name="connsiteY2" fmla="*/ 3217544 h 6389068"/>
            <a:gd name="connsiteX3" fmla="*/ 3503741 w 4150337"/>
            <a:gd name="connsiteY3" fmla="*/ 6389068 h 6389068"/>
            <a:gd name="connsiteX4" fmla="*/ 3499698 w 4150337"/>
            <a:gd name="connsiteY4" fmla="*/ 3873277 h 6389068"/>
            <a:gd name="connsiteX5" fmla="*/ 3499698 w 4150337"/>
            <a:gd name="connsiteY5" fmla="*/ 63277 h 6389068"/>
            <a:gd name="connsiteX0" fmla="*/ 0 w 4150337"/>
            <a:gd name="connsiteY0" fmla="*/ 0 h 6389068"/>
            <a:gd name="connsiteX1" fmla="*/ 3503741 w 4150337"/>
            <a:gd name="connsiteY1" fmla="*/ 0 h 6389068"/>
            <a:gd name="connsiteX2" fmla="*/ 4150337 w 4150337"/>
            <a:gd name="connsiteY2" fmla="*/ 3217544 h 6389068"/>
            <a:gd name="connsiteX3" fmla="*/ 3503741 w 4150337"/>
            <a:gd name="connsiteY3" fmla="*/ 6389068 h 6389068"/>
            <a:gd name="connsiteX4" fmla="*/ 0 w 4150337"/>
            <a:gd name="connsiteY4" fmla="*/ 6389064 h 6389068"/>
            <a:gd name="connsiteX5" fmla="*/ 3499698 w 4150337"/>
            <a:gd name="connsiteY5" fmla="*/ 63277 h 6389068"/>
            <a:gd name="connsiteX0" fmla="*/ 0 w 4150337"/>
            <a:gd name="connsiteY0" fmla="*/ 4 h 6389072"/>
            <a:gd name="connsiteX1" fmla="*/ 3503741 w 4150337"/>
            <a:gd name="connsiteY1" fmla="*/ 4 h 6389072"/>
            <a:gd name="connsiteX2" fmla="*/ 4150337 w 4150337"/>
            <a:gd name="connsiteY2" fmla="*/ 3217548 h 6389072"/>
            <a:gd name="connsiteX3" fmla="*/ 3503741 w 4150337"/>
            <a:gd name="connsiteY3" fmla="*/ 6389072 h 6389072"/>
            <a:gd name="connsiteX4" fmla="*/ 0 w 4150337"/>
            <a:gd name="connsiteY4" fmla="*/ 6389068 h 6389072"/>
            <a:gd name="connsiteX5" fmla="*/ 0 w 4150337"/>
            <a:gd name="connsiteY5" fmla="*/ 0 h 63890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7" h="6389072">
              <a:moveTo>
                <a:pt x="0" y="4"/>
              </a:moveTo>
              <a:lnTo>
                <a:pt x="3503741" y="4"/>
              </a:lnTo>
              <a:lnTo>
                <a:pt x="4150337" y="3217548"/>
              </a:lnTo>
              <a:lnTo>
                <a:pt x="3503741" y="6389072"/>
              </a:lnTo>
              <a:lnTo>
                <a:pt x="0" y="6389068"/>
              </a:lnTo>
              <a:lnTo>
                <a:pt x="0"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312738</xdr:colOff>
      <xdr:row>11</xdr:row>
      <xdr:rowOff>58878</xdr:rowOff>
    </xdr:from>
    <xdr:to>
      <xdr:col>8</xdr:col>
      <xdr:colOff>143669</xdr:colOff>
      <xdr:row>20</xdr:row>
      <xdr:rowOff>177384</xdr:rowOff>
    </xdr:to>
    <xdr:sp macro="" textlink="">
      <xdr:nvSpPr>
        <xdr:cNvPr id="11" name="Arrow Text $N$152"/>
        <xdr:cNvSpPr txBox="1"/>
      </xdr:nvSpPr>
      <xdr:spPr>
        <a:xfrm>
          <a:off x="4579938" y="2719528"/>
          <a:ext cx="440531" cy="17758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47.8%</a:t>
          </a:r>
        </a:p>
      </xdr:txBody>
    </xdr:sp>
    <xdr:clientData/>
  </xdr:twoCellAnchor>
  <xdr:twoCellAnchor>
    <xdr:from>
      <xdr:col>4</xdr:col>
      <xdr:colOff>498474</xdr:colOff>
      <xdr:row>11</xdr:row>
      <xdr:rowOff>58878</xdr:rowOff>
    </xdr:from>
    <xdr:to>
      <xdr:col>7</xdr:col>
      <xdr:colOff>300037</xdr:colOff>
      <xdr:row>20</xdr:row>
      <xdr:rowOff>164684</xdr:rowOff>
    </xdr:to>
    <xdr:sp macro="" textlink="">
      <xdr:nvSpPr>
        <xdr:cNvPr id="94" name="Arrow $L$152">
          <a:extLst>
            <a:ext uri="{FF2B5EF4-FFF2-40B4-BE49-F238E27FC236}">
              <a16:creationId xmlns:a16="http://schemas.microsoft.com/office/drawing/2014/main" id="{00000000-0008-0000-0400-000007000000}"/>
            </a:ext>
          </a:extLst>
        </xdr:cNvPr>
        <xdr:cNvSpPr/>
      </xdr:nvSpPr>
      <xdr:spPr>
        <a:xfrm>
          <a:off x="2936874" y="2719528"/>
          <a:ext cx="1630363" cy="1763156"/>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81"/>
            <a:gd name="connsiteY0" fmla="*/ 0 h 3873274"/>
            <a:gd name="connsiteX1" fmla="*/ 5799091 w 6053681"/>
            <a:gd name="connsiteY1" fmla="*/ 63274 h 3873274"/>
            <a:gd name="connsiteX2" fmla="*/ 6053681 w 6053681"/>
            <a:gd name="connsiteY2" fmla="*/ 1968274 h 3873274"/>
            <a:gd name="connsiteX3" fmla="*/ 5799091 w 6053681"/>
            <a:gd name="connsiteY3" fmla="*/ 3873274 h 3873274"/>
            <a:gd name="connsiteX4" fmla="*/ 3507783 w 6053681"/>
            <a:gd name="connsiteY4" fmla="*/ 3873274 h 3873274"/>
            <a:gd name="connsiteX5" fmla="*/ 3507783 w 6053681"/>
            <a:gd name="connsiteY5" fmla="*/ 63274 h 3873274"/>
            <a:gd name="connsiteX0" fmla="*/ 0 w 6053681"/>
            <a:gd name="connsiteY0" fmla="*/ 0 h 3873274"/>
            <a:gd name="connsiteX1" fmla="*/ 3503743 w 6053681"/>
            <a:gd name="connsiteY1" fmla="*/ 0 h 3873274"/>
            <a:gd name="connsiteX2" fmla="*/ 6053681 w 6053681"/>
            <a:gd name="connsiteY2" fmla="*/ 1968274 h 3873274"/>
            <a:gd name="connsiteX3" fmla="*/ 5799091 w 6053681"/>
            <a:gd name="connsiteY3" fmla="*/ 3873274 h 3873274"/>
            <a:gd name="connsiteX4" fmla="*/ 3507783 w 6053681"/>
            <a:gd name="connsiteY4" fmla="*/ 3873274 h 3873274"/>
            <a:gd name="connsiteX5" fmla="*/ 3507783 w 6053681"/>
            <a:gd name="connsiteY5" fmla="*/ 63274 h 3873274"/>
            <a:gd name="connsiteX0" fmla="*/ 0 w 5799090"/>
            <a:gd name="connsiteY0" fmla="*/ 0 h 3873274"/>
            <a:gd name="connsiteX1" fmla="*/ 3503743 w 5799090"/>
            <a:gd name="connsiteY1" fmla="*/ 0 h 3873274"/>
            <a:gd name="connsiteX2" fmla="*/ 4150339 w 5799090"/>
            <a:gd name="connsiteY2" fmla="*/ 3217545 h 3873274"/>
            <a:gd name="connsiteX3" fmla="*/ 5799091 w 5799090"/>
            <a:gd name="connsiteY3" fmla="*/ 3873274 h 3873274"/>
            <a:gd name="connsiteX4" fmla="*/ 3507783 w 5799090"/>
            <a:gd name="connsiteY4" fmla="*/ 3873274 h 3873274"/>
            <a:gd name="connsiteX5" fmla="*/ 3507783 w 5799090"/>
            <a:gd name="connsiteY5" fmla="*/ 63274 h 3873274"/>
            <a:gd name="connsiteX0" fmla="*/ 0 w 4150339"/>
            <a:gd name="connsiteY0" fmla="*/ 0 h 6389069"/>
            <a:gd name="connsiteX1" fmla="*/ 3503743 w 4150339"/>
            <a:gd name="connsiteY1" fmla="*/ 0 h 6389069"/>
            <a:gd name="connsiteX2" fmla="*/ 4150339 w 4150339"/>
            <a:gd name="connsiteY2" fmla="*/ 3217545 h 6389069"/>
            <a:gd name="connsiteX3" fmla="*/ 3503743 w 4150339"/>
            <a:gd name="connsiteY3" fmla="*/ 6389069 h 6389069"/>
            <a:gd name="connsiteX4" fmla="*/ 3507783 w 4150339"/>
            <a:gd name="connsiteY4" fmla="*/ 3873274 h 6389069"/>
            <a:gd name="connsiteX5" fmla="*/ 3507783 w 4150339"/>
            <a:gd name="connsiteY5" fmla="*/ 63274 h 6389069"/>
            <a:gd name="connsiteX0" fmla="*/ 0 w 4150339"/>
            <a:gd name="connsiteY0" fmla="*/ 0 h 6389069"/>
            <a:gd name="connsiteX1" fmla="*/ 3503743 w 4150339"/>
            <a:gd name="connsiteY1" fmla="*/ 0 h 6389069"/>
            <a:gd name="connsiteX2" fmla="*/ 4150339 w 4150339"/>
            <a:gd name="connsiteY2" fmla="*/ 3217545 h 6389069"/>
            <a:gd name="connsiteX3" fmla="*/ 3503743 w 4150339"/>
            <a:gd name="connsiteY3" fmla="*/ 6389069 h 6389069"/>
            <a:gd name="connsiteX4" fmla="*/ 3 w 4150339"/>
            <a:gd name="connsiteY4" fmla="*/ 6389069 h 6389069"/>
            <a:gd name="connsiteX5" fmla="*/ 3507783 w 4150339"/>
            <a:gd name="connsiteY5" fmla="*/ 63274 h 6389069"/>
            <a:gd name="connsiteX0" fmla="*/ 0 w 4150339"/>
            <a:gd name="connsiteY0" fmla="*/ 0 h 6389069"/>
            <a:gd name="connsiteX1" fmla="*/ 3503743 w 4150339"/>
            <a:gd name="connsiteY1" fmla="*/ 0 h 6389069"/>
            <a:gd name="connsiteX2" fmla="*/ 4150339 w 4150339"/>
            <a:gd name="connsiteY2" fmla="*/ 3217545 h 6389069"/>
            <a:gd name="connsiteX3" fmla="*/ 3503743 w 4150339"/>
            <a:gd name="connsiteY3" fmla="*/ 6389069 h 6389069"/>
            <a:gd name="connsiteX4" fmla="*/ 3 w 4150339"/>
            <a:gd name="connsiteY4" fmla="*/ 6389069 h 6389069"/>
            <a:gd name="connsiteX5" fmla="*/ 3 w 4150339"/>
            <a:gd name="connsiteY5" fmla="*/ 0 h 638906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6389069">
              <a:moveTo>
                <a:pt x="0" y="0"/>
              </a:moveTo>
              <a:lnTo>
                <a:pt x="3503743" y="0"/>
              </a:lnTo>
              <a:lnTo>
                <a:pt x="4150339" y="3217545"/>
              </a:lnTo>
              <a:lnTo>
                <a:pt x="3503743" y="6389069"/>
              </a:lnTo>
              <a:lnTo>
                <a:pt x="3" y="6389069"/>
              </a:lnTo>
              <a:lnTo>
                <a:pt x="3"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11</xdr:row>
      <xdr:rowOff>58878</xdr:rowOff>
    </xdr:from>
    <xdr:to>
      <xdr:col>5</xdr:col>
      <xdr:colOff>583406</xdr:colOff>
      <xdr:row>20</xdr:row>
      <xdr:rowOff>177384</xdr:rowOff>
    </xdr:to>
    <xdr:sp macro="" textlink="">
      <xdr:nvSpPr>
        <xdr:cNvPr id="12" name="Arrow Text $L$152"/>
        <xdr:cNvSpPr txBox="1"/>
      </xdr:nvSpPr>
      <xdr:spPr>
        <a:xfrm>
          <a:off x="3190875" y="2719528"/>
          <a:ext cx="440531" cy="17758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47.8%</a:t>
          </a:r>
        </a:p>
      </xdr:txBody>
    </xdr:sp>
    <xdr:clientData/>
  </xdr:twoCellAnchor>
  <xdr:twoCellAnchor>
    <xdr:from>
      <xdr:col>2</xdr:col>
      <xdr:colOff>328611</xdr:colOff>
      <xdr:row>11</xdr:row>
      <xdr:rowOff>58877</xdr:rowOff>
    </xdr:from>
    <xdr:to>
      <xdr:col>5</xdr:col>
      <xdr:colOff>130174</xdr:colOff>
      <xdr:row>20</xdr:row>
      <xdr:rowOff>164684</xdr:rowOff>
    </xdr:to>
    <xdr:sp macro="" textlink="">
      <xdr:nvSpPr>
        <xdr:cNvPr id="96" name="Arrow $J$152">
          <a:extLst>
            <a:ext uri="{FF2B5EF4-FFF2-40B4-BE49-F238E27FC236}">
              <a16:creationId xmlns:a16="http://schemas.microsoft.com/office/drawing/2014/main" id="{00000000-0008-0000-0400-000007000000}"/>
            </a:ext>
          </a:extLst>
        </xdr:cNvPr>
        <xdr:cNvSpPr/>
      </xdr:nvSpPr>
      <xdr:spPr>
        <a:xfrm>
          <a:off x="1547811" y="2719527"/>
          <a:ext cx="1630363" cy="1763157"/>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3873277"/>
            <a:gd name="connsiteX1" fmla="*/ 5816809 w 6071399"/>
            <a:gd name="connsiteY1" fmla="*/ 63277 h 3873277"/>
            <a:gd name="connsiteX2" fmla="*/ 6071399 w 6071399"/>
            <a:gd name="connsiteY2" fmla="*/ 1968277 h 3873277"/>
            <a:gd name="connsiteX3" fmla="*/ 5816809 w 6071399"/>
            <a:gd name="connsiteY3" fmla="*/ 3873277 h 3873277"/>
            <a:gd name="connsiteX4" fmla="*/ 3525501 w 6071399"/>
            <a:gd name="connsiteY4" fmla="*/ 3873277 h 3873277"/>
            <a:gd name="connsiteX5" fmla="*/ 3525501 w 6071399"/>
            <a:gd name="connsiteY5" fmla="*/ 63277 h 3873277"/>
            <a:gd name="connsiteX0" fmla="*/ 0 w 6071399"/>
            <a:gd name="connsiteY0" fmla="*/ 0 h 3873277"/>
            <a:gd name="connsiteX1" fmla="*/ 3509316 w 6071399"/>
            <a:gd name="connsiteY1" fmla="*/ 0 h 3873277"/>
            <a:gd name="connsiteX2" fmla="*/ 6071399 w 6071399"/>
            <a:gd name="connsiteY2" fmla="*/ 1968277 h 3873277"/>
            <a:gd name="connsiteX3" fmla="*/ 5816809 w 6071399"/>
            <a:gd name="connsiteY3" fmla="*/ 3873277 h 3873277"/>
            <a:gd name="connsiteX4" fmla="*/ 3525501 w 6071399"/>
            <a:gd name="connsiteY4" fmla="*/ 3873277 h 3873277"/>
            <a:gd name="connsiteX5" fmla="*/ 3525501 w 6071399"/>
            <a:gd name="connsiteY5" fmla="*/ 63277 h 3873277"/>
            <a:gd name="connsiteX0" fmla="*/ 0 w 5816809"/>
            <a:gd name="connsiteY0" fmla="*/ 0 h 3873277"/>
            <a:gd name="connsiteX1" fmla="*/ 3509316 w 5816809"/>
            <a:gd name="connsiteY1" fmla="*/ 0 h 3873277"/>
            <a:gd name="connsiteX2" fmla="*/ 4156940 w 5816809"/>
            <a:gd name="connsiteY2" fmla="*/ 3217544 h 3873277"/>
            <a:gd name="connsiteX3" fmla="*/ 5816809 w 5816809"/>
            <a:gd name="connsiteY3" fmla="*/ 3873277 h 3873277"/>
            <a:gd name="connsiteX4" fmla="*/ 3525501 w 5816809"/>
            <a:gd name="connsiteY4" fmla="*/ 3873277 h 3873277"/>
            <a:gd name="connsiteX5" fmla="*/ 3525501 w 5816809"/>
            <a:gd name="connsiteY5" fmla="*/ 63277 h 3873277"/>
            <a:gd name="connsiteX0" fmla="*/ 0 w 4156940"/>
            <a:gd name="connsiteY0" fmla="*/ 0 h 6389068"/>
            <a:gd name="connsiteX1" fmla="*/ 3509316 w 4156940"/>
            <a:gd name="connsiteY1" fmla="*/ 0 h 6389068"/>
            <a:gd name="connsiteX2" fmla="*/ 4156940 w 4156940"/>
            <a:gd name="connsiteY2" fmla="*/ 3217544 h 6389068"/>
            <a:gd name="connsiteX3" fmla="*/ 3509316 w 4156940"/>
            <a:gd name="connsiteY3" fmla="*/ 6389068 h 6389068"/>
            <a:gd name="connsiteX4" fmla="*/ 3525501 w 4156940"/>
            <a:gd name="connsiteY4" fmla="*/ 3873277 h 6389068"/>
            <a:gd name="connsiteX5" fmla="*/ 3525501 w 4156940"/>
            <a:gd name="connsiteY5" fmla="*/ 63277 h 6389068"/>
            <a:gd name="connsiteX0" fmla="*/ 0 w 4156940"/>
            <a:gd name="connsiteY0" fmla="*/ 0 h 6389068"/>
            <a:gd name="connsiteX1" fmla="*/ 3509316 w 4156940"/>
            <a:gd name="connsiteY1" fmla="*/ 0 h 6389068"/>
            <a:gd name="connsiteX2" fmla="*/ 4156940 w 4156940"/>
            <a:gd name="connsiteY2" fmla="*/ 3217544 h 6389068"/>
            <a:gd name="connsiteX3" fmla="*/ 3509316 w 4156940"/>
            <a:gd name="connsiteY3" fmla="*/ 6389068 h 6389068"/>
            <a:gd name="connsiteX4" fmla="*/ 5 w 4156940"/>
            <a:gd name="connsiteY4" fmla="*/ 6389064 h 6389068"/>
            <a:gd name="connsiteX5" fmla="*/ 3525501 w 4156940"/>
            <a:gd name="connsiteY5" fmla="*/ 63277 h 6389068"/>
            <a:gd name="connsiteX0" fmla="*/ 0 w 4156940"/>
            <a:gd name="connsiteY0" fmla="*/ 4 h 6389072"/>
            <a:gd name="connsiteX1" fmla="*/ 3509316 w 4156940"/>
            <a:gd name="connsiteY1" fmla="*/ 4 h 6389072"/>
            <a:gd name="connsiteX2" fmla="*/ 4156940 w 4156940"/>
            <a:gd name="connsiteY2" fmla="*/ 3217548 h 6389072"/>
            <a:gd name="connsiteX3" fmla="*/ 3509316 w 4156940"/>
            <a:gd name="connsiteY3" fmla="*/ 6389072 h 6389072"/>
            <a:gd name="connsiteX4" fmla="*/ 5 w 4156940"/>
            <a:gd name="connsiteY4" fmla="*/ 6389068 h 6389072"/>
            <a:gd name="connsiteX5" fmla="*/ 5 w 4156940"/>
            <a:gd name="connsiteY5" fmla="*/ 0 h 638907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6389072">
              <a:moveTo>
                <a:pt x="0" y="4"/>
              </a:moveTo>
              <a:lnTo>
                <a:pt x="3509316" y="4"/>
              </a:lnTo>
              <a:lnTo>
                <a:pt x="4156940" y="3217548"/>
              </a:lnTo>
              <a:lnTo>
                <a:pt x="3509316" y="6389072"/>
              </a:lnTo>
              <a:lnTo>
                <a:pt x="5" y="6389068"/>
              </a:lnTo>
              <a:lnTo>
                <a:pt x="5" y="0"/>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11</xdr:row>
      <xdr:rowOff>58878</xdr:rowOff>
    </xdr:from>
    <xdr:to>
      <xdr:col>3</xdr:col>
      <xdr:colOff>413544</xdr:colOff>
      <xdr:row>20</xdr:row>
      <xdr:rowOff>177384</xdr:rowOff>
    </xdr:to>
    <xdr:sp macro="" textlink="">
      <xdr:nvSpPr>
        <xdr:cNvPr id="13" name="Arrow Text $J$152"/>
        <xdr:cNvSpPr txBox="1"/>
      </xdr:nvSpPr>
      <xdr:spPr>
        <a:xfrm>
          <a:off x="1801813" y="2719528"/>
          <a:ext cx="440531" cy="17758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47.8%</a:t>
          </a:r>
        </a:p>
      </xdr:txBody>
    </xdr:sp>
    <xdr:clientData/>
  </xdr:twoCellAnchor>
  <xdr:twoCellAnchor>
    <xdr:from>
      <xdr:col>0</xdr:col>
      <xdr:colOff>158749</xdr:colOff>
      <xdr:row>11</xdr:row>
      <xdr:rowOff>58878</xdr:rowOff>
    </xdr:from>
    <xdr:to>
      <xdr:col>2</xdr:col>
      <xdr:colOff>569912</xdr:colOff>
      <xdr:row>20</xdr:row>
      <xdr:rowOff>164684</xdr:rowOff>
    </xdr:to>
    <xdr:sp macro="" textlink="">
      <xdr:nvSpPr>
        <xdr:cNvPr id="98" name="Arrow $H$152">
          <a:extLst>
            <a:ext uri="{FF2B5EF4-FFF2-40B4-BE49-F238E27FC236}">
              <a16:creationId xmlns:a16="http://schemas.microsoft.com/office/drawing/2014/main" id="{00000000-0008-0000-0400-000007000000}"/>
            </a:ext>
          </a:extLst>
        </xdr:cNvPr>
        <xdr:cNvSpPr/>
      </xdr:nvSpPr>
      <xdr:spPr>
        <a:xfrm>
          <a:off x="158749" y="2719528"/>
          <a:ext cx="1630363" cy="1763156"/>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3873274"/>
            <a:gd name="connsiteX1" fmla="*/ 5824905 w 6079495"/>
            <a:gd name="connsiteY1" fmla="*/ 63274 h 3873274"/>
            <a:gd name="connsiteX2" fmla="*/ 6079495 w 6079495"/>
            <a:gd name="connsiteY2" fmla="*/ 1968274 h 3873274"/>
            <a:gd name="connsiteX3" fmla="*/ 5824905 w 6079495"/>
            <a:gd name="connsiteY3" fmla="*/ 3873274 h 3873274"/>
            <a:gd name="connsiteX4" fmla="*/ 3533597 w 6079495"/>
            <a:gd name="connsiteY4" fmla="*/ 3873274 h 3873274"/>
            <a:gd name="connsiteX5" fmla="*/ 3533597 w 6079495"/>
            <a:gd name="connsiteY5" fmla="*/ 63274 h 3873274"/>
            <a:gd name="connsiteX0" fmla="*/ 0 w 6079495"/>
            <a:gd name="connsiteY0" fmla="*/ 0 h 3873274"/>
            <a:gd name="connsiteX1" fmla="*/ 3509316 w 6079495"/>
            <a:gd name="connsiteY1" fmla="*/ 0 h 3873274"/>
            <a:gd name="connsiteX2" fmla="*/ 6079495 w 6079495"/>
            <a:gd name="connsiteY2" fmla="*/ 1968274 h 3873274"/>
            <a:gd name="connsiteX3" fmla="*/ 5824905 w 6079495"/>
            <a:gd name="connsiteY3" fmla="*/ 3873274 h 3873274"/>
            <a:gd name="connsiteX4" fmla="*/ 3533597 w 6079495"/>
            <a:gd name="connsiteY4" fmla="*/ 3873274 h 3873274"/>
            <a:gd name="connsiteX5" fmla="*/ 3533597 w 6079495"/>
            <a:gd name="connsiteY5" fmla="*/ 63274 h 3873274"/>
            <a:gd name="connsiteX0" fmla="*/ 0 w 5824905"/>
            <a:gd name="connsiteY0" fmla="*/ 0 h 3873274"/>
            <a:gd name="connsiteX1" fmla="*/ 3509316 w 5824905"/>
            <a:gd name="connsiteY1" fmla="*/ 0 h 3873274"/>
            <a:gd name="connsiteX2" fmla="*/ 4156940 w 5824905"/>
            <a:gd name="connsiteY2" fmla="*/ 3217545 h 3873274"/>
            <a:gd name="connsiteX3" fmla="*/ 5824905 w 5824905"/>
            <a:gd name="connsiteY3" fmla="*/ 3873274 h 3873274"/>
            <a:gd name="connsiteX4" fmla="*/ 3533597 w 5824905"/>
            <a:gd name="connsiteY4" fmla="*/ 3873274 h 3873274"/>
            <a:gd name="connsiteX5" fmla="*/ 3533597 w 5824905"/>
            <a:gd name="connsiteY5" fmla="*/ 63274 h 3873274"/>
            <a:gd name="connsiteX0" fmla="*/ 0 w 4156941"/>
            <a:gd name="connsiteY0" fmla="*/ 0 h 6389069"/>
            <a:gd name="connsiteX1" fmla="*/ 3509316 w 4156941"/>
            <a:gd name="connsiteY1" fmla="*/ 0 h 6389069"/>
            <a:gd name="connsiteX2" fmla="*/ 4156940 w 4156941"/>
            <a:gd name="connsiteY2" fmla="*/ 3217545 h 6389069"/>
            <a:gd name="connsiteX3" fmla="*/ 3509319 w 4156941"/>
            <a:gd name="connsiteY3" fmla="*/ 6389069 h 6389069"/>
            <a:gd name="connsiteX4" fmla="*/ 3533597 w 4156941"/>
            <a:gd name="connsiteY4" fmla="*/ 3873274 h 6389069"/>
            <a:gd name="connsiteX5" fmla="*/ 3533597 w 4156941"/>
            <a:gd name="connsiteY5" fmla="*/ 63274 h 6389069"/>
            <a:gd name="connsiteX0" fmla="*/ 0 w 4156941"/>
            <a:gd name="connsiteY0" fmla="*/ 0 h 6389069"/>
            <a:gd name="connsiteX1" fmla="*/ 3509316 w 4156941"/>
            <a:gd name="connsiteY1" fmla="*/ 0 h 6389069"/>
            <a:gd name="connsiteX2" fmla="*/ 4156940 w 4156941"/>
            <a:gd name="connsiteY2" fmla="*/ 3217545 h 6389069"/>
            <a:gd name="connsiteX3" fmla="*/ 3509319 w 4156941"/>
            <a:gd name="connsiteY3" fmla="*/ 6389069 h 6389069"/>
            <a:gd name="connsiteX4" fmla="*/ 3 w 4156941"/>
            <a:gd name="connsiteY4" fmla="*/ 6389069 h 6389069"/>
            <a:gd name="connsiteX5" fmla="*/ 3533597 w 4156941"/>
            <a:gd name="connsiteY5" fmla="*/ 63274 h 6389069"/>
            <a:gd name="connsiteX0" fmla="*/ 0 w 4156941"/>
            <a:gd name="connsiteY0" fmla="*/ 0 h 6389069"/>
            <a:gd name="connsiteX1" fmla="*/ 3509316 w 4156941"/>
            <a:gd name="connsiteY1" fmla="*/ 0 h 6389069"/>
            <a:gd name="connsiteX2" fmla="*/ 4156940 w 4156941"/>
            <a:gd name="connsiteY2" fmla="*/ 3217545 h 6389069"/>
            <a:gd name="connsiteX3" fmla="*/ 3509319 w 4156941"/>
            <a:gd name="connsiteY3" fmla="*/ 6389069 h 6389069"/>
            <a:gd name="connsiteX4" fmla="*/ 3 w 4156941"/>
            <a:gd name="connsiteY4" fmla="*/ 6389069 h 6389069"/>
            <a:gd name="connsiteX5" fmla="*/ 3 w 4156941"/>
            <a:gd name="connsiteY5" fmla="*/ 0 h 638906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6389069">
              <a:moveTo>
                <a:pt x="0" y="0"/>
              </a:moveTo>
              <a:lnTo>
                <a:pt x="3509316" y="0"/>
              </a:lnTo>
              <a:lnTo>
                <a:pt x="4156940" y="3217545"/>
              </a:lnTo>
              <a:lnTo>
                <a:pt x="3509319" y="6389069"/>
              </a:lnTo>
              <a:lnTo>
                <a:pt x="3" y="6389069"/>
              </a:lnTo>
              <a:lnTo>
                <a:pt x="3" y="0"/>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11</xdr:row>
      <xdr:rowOff>58878</xdr:rowOff>
    </xdr:from>
    <xdr:to>
      <xdr:col>2</xdr:col>
      <xdr:colOff>328613</xdr:colOff>
      <xdr:row>20</xdr:row>
      <xdr:rowOff>177384</xdr:rowOff>
    </xdr:to>
    <xdr:sp macro="" textlink="">
      <xdr:nvSpPr>
        <xdr:cNvPr id="14" name="Arrow Text $H$152"/>
        <xdr:cNvSpPr txBox="1"/>
      </xdr:nvSpPr>
      <xdr:spPr>
        <a:xfrm>
          <a:off x="158750" y="2719528"/>
          <a:ext cx="1389063" cy="1775856"/>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ONSITE  FACILITIES</a:t>
          </a:r>
        </a:p>
        <a:p>
          <a:r>
            <a:rPr lang="en-GB" sz="1100">
              <a:solidFill>
                <a:schemeClr val="bg1"/>
              </a:solidFill>
            </a:rPr>
            <a:t> SEPTIC TANK</a:t>
          </a:r>
        </a:p>
      </xdr:txBody>
    </xdr:sp>
    <xdr:clientData/>
  </xdr:twoCellAnchor>
  <xdr:twoCellAnchor>
    <xdr:from>
      <xdr:col>9</xdr:col>
      <xdr:colOff>228600</xdr:colOff>
      <xdr:row>10</xdr:row>
      <xdr:rowOff>74535</xdr:rowOff>
    </xdr:from>
    <xdr:to>
      <xdr:col>11</xdr:col>
      <xdr:colOff>149695</xdr:colOff>
      <xdr:row>31</xdr:row>
      <xdr:rowOff>107950</xdr:rowOff>
    </xdr:to>
    <xdr:sp macro="" textlink="">
      <xdr:nvSpPr>
        <xdr:cNvPr id="100" name="Arrow $P$126">
          <a:extLst>
            <a:ext uri="{FF2B5EF4-FFF2-40B4-BE49-F238E27FC236}">
              <a16:creationId xmlns:a16="http://schemas.microsoft.com/office/drawing/2014/main" id="{00000000-0008-0000-0400-000006000000}"/>
            </a:ext>
          </a:extLst>
        </xdr:cNvPr>
        <xdr:cNvSpPr/>
      </xdr:nvSpPr>
      <xdr:spPr>
        <a:xfrm>
          <a:off x="5715000" y="2551035"/>
          <a:ext cx="1140295" cy="3900565"/>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14149438 w 14149438"/>
            <a:gd name="connsiteY0" fmla="*/ 0 h 4483837"/>
            <a:gd name="connsiteX1" fmla="*/ 1273411 w 14149438"/>
            <a:gd name="connsiteY1" fmla="*/ 673837 h 4483837"/>
            <a:gd name="connsiteX2" fmla="*/ 2546822 w 14149438"/>
            <a:gd name="connsiteY2" fmla="*/ 1943837 h 4483837"/>
            <a:gd name="connsiteX3" fmla="*/ 2546822 w 14149438"/>
            <a:gd name="connsiteY3" fmla="*/ 4229837 h 4483837"/>
            <a:gd name="connsiteX4" fmla="*/ 1910117 w 14149438"/>
            <a:gd name="connsiteY4" fmla="*/ 4483837 h 4483837"/>
            <a:gd name="connsiteX5" fmla="*/ 1273411 w 14149438"/>
            <a:gd name="connsiteY5" fmla="*/ 4229837 h 4483837"/>
            <a:gd name="connsiteX6" fmla="*/ 1273411 w 14149438"/>
            <a:gd name="connsiteY6" fmla="*/ 3213837 h 4483837"/>
            <a:gd name="connsiteX7" fmla="*/ 636706 w 14149438"/>
            <a:gd name="connsiteY7" fmla="*/ 2578837 h 4483837"/>
            <a:gd name="connsiteX8" fmla="*/ 0 w 14149438"/>
            <a:gd name="connsiteY8" fmla="*/ 2578837 h 4483837"/>
            <a:gd name="connsiteX9" fmla="*/ 0 w 14149438"/>
            <a:gd name="connsiteY9" fmla="*/ 673837 h 4483837"/>
            <a:gd name="connsiteX0" fmla="*/ 14149438 w 16406459"/>
            <a:gd name="connsiteY0" fmla="*/ 0 h 4483837"/>
            <a:gd name="connsiteX1" fmla="*/ 16406459 w 16406459"/>
            <a:gd name="connsiteY1" fmla="*/ 0 h 4483837"/>
            <a:gd name="connsiteX2" fmla="*/ 2546822 w 16406459"/>
            <a:gd name="connsiteY2" fmla="*/ 1943837 h 4483837"/>
            <a:gd name="connsiteX3" fmla="*/ 2546822 w 16406459"/>
            <a:gd name="connsiteY3" fmla="*/ 4229837 h 4483837"/>
            <a:gd name="connsiteX4" fmla="*/ 1910117 w 16406459"/>
            <a:gd name="connsiteY4" fmla="*/ 4483837 h 4483837"/>
            <a:gd name="connsiteX5" fmla="*/ 1273411 w 16406459"/>
            <a:gd name="connsiteY5" fmla="*/ 4229837 h 4483837"/>
            <a:gd name="connsiteX6" fmla="*/ 1273411 w 16406459"/>
            <a:gd name="connsiteY6" fmla="*/ 3213837 h 4483837"/>
            <a:gd name="connsiteX7" fmla="*/ 636706 w 16406459"/>
            <a:gd name="connsiteY7" fmla="*/ 2578837 h 4483837"/>
            <a:gd name="connsiteX8" fmla="*/ 0 w 16406459"/>
            <a:gd name="connsiteY8" fmla="*/ 2578837 h 4483837"/>
            <a:gd name="connsiteX9" fmla="*/ 0 w 16406459"/>
            <a:gd name="connsiteY9" fmla="*/ 673837 h 4483837"/>
            <a:gd name="connsiteX0" fmla="*/ 14149438 w 16411906"/>
            <a:gd name="connsiteY0" fmla="*/ 0 h 4483837"/>
            <a:gd name="connsiteX1" fmla="*/ 16406459 w 16411906"/>
            <a:gd name="connsiteY1" fmla="*/ 0 h 4483837"/>
            <a:gd name="connsiteX2" fmla="*/ 2546822 w 16411906"/>
            <a:gd name="connsiteY2" fmla="*/ 1943837 h 4483837"/>
            <a:gd name="connsiteX3" fmla="*/ 2546822 w 16411906"/>
            <a:gd name="connsiteY3" fmla="*/ 4229837 h 4483837"/>
            <a:gd name="connsiteX4" fmla="*/ 1910117 w 16411906"/>
            <a:gd name="connsiteY4" fmla="*/ 4483837 h 4483837"/>
            <a:gd name="connsiteX5" fmla="*/ 1273411 w 16411906"/>
            <a:gd name="connsiteY5" fmla="*/ 4229837 h 4483837"/>
            <a:gd name="connsiteX6" fmla="*/ 1273411 w 16411906"/>
            <a:gd name="connsiteY6" fmla="*/ 3213837 h 4483837"/>
            <a:gd name="connsiteX7" fmla="*/ 636706 w 16411906"/>
            <a:gd name="connsiteY7" fmla="*/ 2578837 h 4483837"/>
            <a:gd name="connsiteX8" fmla="*/ 0 w 16411906"/>
            <a:gd name="connsiteY8" fmla="*/ 2578837 h 4483837"/>
            <a:gd name="connsiteX9" fmla="*/ 0 w 16411906"/>
            <a:gd name="connsiteY9" fmla="*/ 673837 h 4483837"/>
            <a:gd name="connsiteX0" fmla="*/ 14149438 w 16501979"/>
            <a:gd name="connsiteY0" fmla="*/ 0 h 4483837"/>
            <a:gd name="connsiteX1" fmla="*/ 16406459 w 16501979"/>
            <a:gd name="connsiteY1" fmla="*/ 0 h 4483837"/>
            <a:gd name="connsiteX2" fmla="*/ 2546822 w 16501979"/>
            <a:gd name="connsiteY2" fmla="*/ 1943837 h 4483837"/>
            <a:gd name="connsiteX3" fmla="*/ 2546822 w 16501979"/>
            <a:gd name="connsiteY3" fmla="*/ 4229837 h 4483837"/>
            <a:gd name="connsiteX4" fmla="*/ 1910117 w 16501979"/>
            <a:gd name="connsiteY4" fmla="*/ 4483837 h 4483837"/>
            <a:gd name="connsiteX5" fmla="*/ 1273411 w 16501979"/>
            <a:gd name="connsiteY5" fmla="*/ 4229837 h 4483837"/>
            <a:gd name="connsiteX6" fmla="*/ 1273411 w 16501979"/>
            <a:gd name="connsiteY6" fmla="*/ 3213837 h 4483837"/>
            <a:gd name="connsiteX7" fmla="*/ 636706 w 16501979"/>
            <a:gd name="connsiteY7" fmla="*/ 2578837 h 4483837"/>
            <a:gd name="connsiteX8" fmla="*/ 0 w 16501979"/>
            <a:gd name="connsiteY8" fmla="*/ 2578837 h 4483837"/>
            <a:gd name="connsiteX9" fmla="*/ 0 w 16501979"/>
            <a:gd name="connsiteY9" fmla="*/ 673837 h 4483837"/>
            <a:gd name="connsiteX0" fmla="*/ 14149438 w 17053288"/>
            <a:gd name="connsiteY0" fmla="*/ 0 h 4483837"/>
            <a:gd name="connsiteX1" fmla="*/ 16406459 w 17053288"/>
            <a:gd name="connsiteY1" fmla="*/ 0 h 4483837"/>
            <a:gd name="connsiteX2" fmla="*/ 17053288 w 17053288"/>
            <a:gd name="connsiteY2" fmla="*/ 920408 h 4483837"/>
            <a:gd name="connsiteX3" fmla="*/ 2546822 w 17053288"/>
            <a:gd name="connsiteY3" fmla="*/ 4229837 h 4483837"/>
            <a:gd name="connsiteX4" fmla="*/ 1910117 w 17053288"/>
            <a:gd name="connsiteY4" fmla="*/ 4483837 h 4483837"/>
            <a:gd name="connsiteX5" fmla="*/ 1273411 w 17053288"/>
            <a:gd name="connsiteY5" fmla="*/ 4229837 h 4483837"/>
            <a:gd name="connsiteX6" fmla="*/ 1273411 w 17053288"/>
            <a:gd name="connsiteY6" fmla="*/ 3213837 h 4483837"/>
            <a:gd name="connsiteX7" fmla="*/ 636706 w 17053288"/>
            <a:gd name="connsiteY7" fmla="*/ 2578837 h 4483837"/>
            <a:gd name="connsiteX8" fmla="*/ 0 w 17053288"/>
            <a:gd name="connsiteY8" fmla="*/ 2578837 h 4483837"/>
            <a:gd name="connsiteX9" fmla="*/ 0 w 17053288"/>
            <a:gd name="connsiteY9" fmla="*/ 673837 h 4483837"/>
            <a:gd name="connsiteX0" fmla="*/ 14149438 w 17053288"/>
            <a:gd name="connsiteY0" fmla="*/ 0 h 13213890"/>
            <a:gd name="connsiteX1" fmla="*/ 16406459 w 17053288"/>
            <a:gd name="connsiteY1" fmla="*/ 0 h 13213890"/>
            <a:gd name="connsiteX2" fmla="*/ 17053288 w 17053288"/>
            <a:gd name="connsiteY2" fmla="*/ 920408 h 13213890"/>
            <a:gd name="connsiteX3" fmla="*/ 17053288 w 17053288"/>
            <a:gd name="connsiteY3" fmla="*/ 13213890 h 13213890"/>
            <a:gd name="connsiteX4" fmla="*/ 1910117 w 17053288"/>
            <a:gd name="connsiteY4" fmla="*/ 4483837 h 13213890"/>
            <a:gd name="connsiteX5" fmla="*/ 1273411 w 17053288"/>
            <a:gd name="connsiteY5" fmla="*/ 4229837 h 13213890"/>
            <a:gd name="connsiteX6" fmla="*/ 1273411 w 17053288"/>
            <a:gd name="connsiteY6" fmla="*/ 3213837 h 13213890"/>
            <a:gd name="connsiteX7" fmla="*/ 636706 w 17053288"/>
            <a:gd name="connsiteY7" fmla="*/ 2578837 h 13213890"/>
            <a:gd name="connsiteX8" fmla="*/ 0 w 17053288"/>
            <a:gd name="connsiteY8" fmla="*/ 2578837 h 13213890"/>
            <a:gd name="connsiteX9" fmla="*/ 0 w 17053288"/>
            <a:gd name="connsiteY9" fmla="*/ 673837 h 13213890"/>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273411 w 17053288"/>
            <a:gd name="connsiteY5" fmla="*/ 4229837 h 14134298"/>
            <a:gd name="connsiteX6" fmla="*/ 1273411 w 17053288"/>
            <a:gd name="connsiteY6" fmla="*/ 3213837 h 14134298"/>
            <a:gd name="connsiteX7" fmla="*/ 636706 w 17053288"/>
            <a:gd name="connsiteY7" fmla="*/ 2578837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273411 w 17053288"/>
            <a:gd name="connsiteY6" fmla="*/ 3213837 h 14134298"/>
            <a:gd name="connsiteX7" fmla="*/ 636706 w 17053288"/>
            <a:gd name="connsiteY7" fmla="*/ 2578837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6956263 w 17053288"/>
            <a:gd name="connsiteY6" fmla="*/ 1111034 h 14134298"/>
            <a:gd name="connsiteX7" fmla="*/ 636706 w 17053288"/>
            <a:gd name="connsiteY7" fmla="*/ 2578837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6956263 w 17053288"/>
            <a:gd name="connsiteY6" fmla="*/ 1111034 h 14134298"/>
            <a:gd name="connsiteX7" fmla="*/ 636706 w 17053288"/>
            <a:gd name="connsiteY7" fmla="*/ 2578837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6956263 w 17053288"/>
            <a:gd name="connsiteY6" fmla="*/ 1111034 h 14134298"/>
            <a:gd name="connsiteX7" fmla="*/ 636706 w 17053288"/>
            <a:gd name="connsiteY7" fmla="*/ 2578837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6956263 w 17053288"/>
            <a:gd name="connsiteY6" fmla="*/ 1111034 h 14134298"/>
            <a:gd name="connsiteX7" fmla="*/ 16309432 w 17053288"/>
            <a:gd name="connsiteY7" fmla="*/ 190626 h 14134298"/>
            <a:gd name="connsiteX8" fmla="*/ 0 w 17053288"/>
            <a:gd name="connsiteY8" fmla="*/ 2578837 h 14134298"/>
            <a:gd name="connsiteX9" fmla="*/ 0 w 17053288"/>
            <a:gd name="connsiteY9" fmla="*/ 673837 h 14134298"/>
            <a:gd name="connsiteX0" fmla="*/ 14149438 w 17053288"/>
            <a:gd name="connsiteY0" fmla="*/ 0 h 14134298"/>
            <a:gd name="connsiteX1" fmla="*/ 16406459 w 17053288"/>
            <a:gd name="connsiteY1" fmla="*/ 0 h 14134298"/>
            <a:gd name="connsiteX2" fmla="*/ 17053288 w 17053288"/>
            <a:gd name="connsiteY2" fmla="*/ 920408 h 14134298"/>
            <a:gd name="connsiteX3" fmla="*/ 17053288 w 17053288"/>
            <a:gd name="connsiteY3" fmla="*/ 13213890 h 14134298"/>
            <a:gd name="connsiteX4" fmla="*/ 17004776 w 17053288"/>
            <a:gd name="connsiteY4" fmla="*/ 14134298 h 14134298"/>
            <a:gd name="connsiteX5" fmla="*/ 16956263 w 17053288"/>
            <a:gd name="connsiteY5" fmla="*/ 13213890 h 14134298"/>
            <a:gd name="connsiteX6" fmla="*/ 16956263 w 17053288"/>
            <a:gd name="connsiteY6" fmla="*/ 1111034 h 14134298"/>
            <a:gd name="connsiteX7" fmla="*/ 16309432 w 17053288"/>
            <a:gd name="connsiteY7" fmla="*/ 190626 h 14134298"/>
            <a:gd name="connsiteX8" fmla="*/ 14149435 w 17053288"/>
            <a:gd name="connsiteY8" fmla="*/ 190626 h 14134298"/>
            <a:gd name="connsiteX9" fmla="*/ 0 w 17053288"/>
            <a:gd name="connsiteY9" fmla="*/ 673837 h 14134298"/>
            <a:gd name="connsiteX0" fmla="*/ 3 w 2903853"/>
            <a:gd name="connsiteY0" fmla="*/ 0 h 14134298"/>
            <a:gd name="connsiteX1" fmla="*/ 2257024 w 2903853"/>
            <a:gd name="connsiteY1" fmla="*/ 0 h 14134298"/>
            <a:gd name="connsiteX2" fmla="*/ 2903853 w 2903853"/>
            <a:gd name="connsiteY2" fmla="*/ 920408 h 14134298"/>
            <a:gd name="connsiteX3" fmla="*/ 2903853 w 2903853"/>
            <a:gd name="connsiteY3" fmla="*/ 13213890 h 14134298"/>
            <a:gd name="connsiteX4" fmla="*/ 2855341 w 2903853"/>
            <a:gd name="connsiteY4" fmla="*/ 14134298 h 14134298"/>
            <a:gd name="connsiteX5" fmla="*/ 2806828 w 2903853"/>
            <a:gd name="connsiteY5" fmla="*/ 13213890 h 14134298"/>
            <a:gd name="connsiteX6" fmla="*/ 2806828 w 2903853"/>
            <a:gd name="connsiteY6" fmla="*/ 1111034 h 14134298"/>
            <a:gd name="connsiteX7" fmla="*/ 2159997 w 2903853"/>
            <a:gd name="connsiteY7" fmla="*/ 190626 h 14134298"/>
            <a:gd name="connsiteX8" fmla="*/ 0 w 2903853"/>
            <a:gd name="connsiteY8" fmla="*/ 190626 h 14134298"/>
            <a:gd name="connsiteX9" fmla="*/ 0 w 2903853"/>
            <a:gd name="connsiteY9" fmla="*/ 0 h 141342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2903853" h="14134298">
              <a:moveTo>
                <a:pt x="3" y="0"/>
              </a:moveTo>
              <a:lnTo>
                <a:pt x="2257024" y="0"/>
              </a:lnTo>
              <a:cubicBezTo>
                <a:pt x="2580437" y="0"/>
                <a:pt x="2903853" y="460204"/>
                <a:pt x="2903853" y="920408"/>
              </a:cubicBezTo>
              <a:lnTo>
                <a:pt x="2903853" y="13213890"/>
              </a:lnTo>
              <a:lnTo>
                <a:pt x="2855341" y="14134298"/>
              </a:lnTo>
              <a:lnTo>
                <a:pt x="2806828" y="13213890"/>
              </a:lnTo>
              <a:lnTo>
                <a:pt x="2806828" y="1111034"/>
              </a:lnTo>
              <a:cubicBezTo>
                <a:pt x="2806828" y="650830"/>
                <a:pt x="2483413" y="190626"/>
                <a:pt x="2159997" y="190626"/>
              </a:cubicBezTo>
              <a:lnTo>
                <a:pt x="0" y="190626"/>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11</xdr:col>
      <xdr:colOff>398463</xdr:colOff>
      <xdr:row>8</xdr:row>
      <xdr:rowOff>61092</xdr:rowOff>
    </xdr:from>
    <xdr:to>
      <xdr:col>12</xdr:col>
      <xdr:colOff>523714</xdr:colOff>
      <xdr:row>31</xdr:row>
      <xdr:rowOff>107950</xdr:rowOff>
    </xdr:to>
    <xdr:sp macro="" textlink="">
      <xdr:nvSpPr>
        <xdr:cNvPr id="101" name="Arrow $R$124">
          <a:extLst>
            <a:ext uri="{FF2B5EF4-FFF2-40B4-BE49-F238E27FC236}">
              <a16:creationId xmlns:a16="http://schemas.microsoft.com/office/drawing/2014/main" id="{00000000-0008-0000-0400-000006000000}"/>
            </a:ext>
          </a:extLst>
        </xdr:cNvPr>
        <xdr:cNvSpPr/>
      </xdr:nvSpPr>
      <xdr:spPr>
        <a:xfrm>
          <a:off x="7104063" y="2169292"/>
          <a:ext cx="734851" cy="4282308"/>
        </a:xfrm>
        <a:custGeom>
          <a:avLst/>
          <a:gdLst>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2370667"/>
            <a:gd name="connsiteY0" fmla="*/ 10584 h 4116917"/>
            <a:gd name="connsiteX1" fmla="*/ 1767417 w 2370667"/>
            <a:gd name="connsiteY1" fmla="*/ 0 h 4116917"/>
            <a:gd name="connsiteX2" fmla="*/ 2370667 w 2370667"/>
            <a:gd name="connsiteY2" fmla="*/ 508000 h 4116917"/>
            <a:gd name="connsiteX3" fmla="*/ 2370667 w 2370667"/>
            <a:gd name="connsiteY3" fmla="*/ 3312584 h 4116917"/>
            <a:gd name="connsiteX4" fmla="*/ 1725083 w 2370667"/>
            <a:gd name="connsiteY4" fmla="*/ 4116917 h 4116917"/>
            <a:gd name="connsiteX5" fmla="*/ 994833 w 2370667"/>
            <a:gd name="connsiteY5" fmla="*/ 3333750 h 4116917"/>
            <a:gd name="connsiteX6" fmla="*/ 1068917 w 2370667"/>
            <a:gd name="connsiteY6" fmla="*/ 1703917 h 4116917"/>
            <a:gd name="connsiteX7" fmla="*/ 846667 w 2370667"/>
            <a:gd name="connsiteY7" fmla="*/ 1322917 h 4116917"/>
            <a:gd name="connsiteX8" fmla="*/ 42333 w 2370667"/>
            <a:gd name="connsiteY8" fmla="*/ 1322917 h 4116917"/>
            <a:gd name="connsiteX9" fmla="*/ 31750 w 2370667"/>
            <a:gd name="connsiteY9" fmla="*/ 1322917 h 4116917"/>
            <a:gd name="connsiteX10" fmla="*/ 0 w 2370667"/>
            <a:gd name="connsiteY10" fmla="*/ 10584 h 411691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2433835 w 3037085"/>
            <a:gd name="connsiteY1" fmla="*/ 15875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3037085 w 3037085"/>
            <a:gd name="connsiteY2" fmla="*/ 66675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3037085"/>
            <a:gd name="connsiteY0" fmla="*/ 0 h 4275667"/>
            <a:gd name="connsiteX1" fmla="*/ 1273411 w 3037085"/>
            <a:gd name="connsiteY1" fmla="*/ 0 h 4275667"/>
            <a:gd name="connsiteX2" fmla="*/ 2546822 w 3037085"/>
            <a:gd name="connsiteY2" fmla="*/ 1270000 h 4275667"/>
            <a:gd name="connsiteX3" fmla="*/ 3037085 w 3037085"/>
            <a:gd name="connsiteY3" fmla="*/ 3471334 h 4275667"/>
            <a:gd name="connsiteX4" fmla="*/ 2391501 w 3037085"/>
            <a:gd name="connsiteY4" fmla="*/ 4275667 h 4275667"/>
            <a:gd name="connsiteX5" fmla="*/ 1661251 w 3037085"/>
            <a:gd name="connsiteY5" fmla="*/ 3492500 h 4275667"/>
            <a:gd name="connsiteX6" fmla="*/ 1735335 w 3037085"/>
            <a:gd name="connsiteY6" fmla="*/ 1862667 h 4275667"/>
            <a:gd name="connsiteX7" fmla="*/ 1513085 w 3037085"/>
            <a:gd name="connsiteY7" fmla="*/ 1481667 h 4275667"/>
            <a:gd name="connsiteX8" fmla="*/ 708751 w 3037085"/>
            <a:gd name="connsiteY8" fmla="*/ 1481667 h 4275667"/>
            <a:gd name="connsiteX9" fmla="*/ 698168 w 3037085"/>
            <a:gd name="connsiteY9" fmla="*/ 1481667 h 4275667"/>
            <a:gd name="connsiteX10" fmla="*/ 666418 w 3037085"/>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302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4275667"/>
            <a:gd name="connsiteX1" fmla="*/ 1273411 w 2546822"/>
            <a:gd name="connsiteY1" fmla="*/ 0 h 4275667"/>
            <a:gd name="connsiteX2" fmla="*/ 2546822 w 2546822"/>
            <a:gd name="connsiteY2" fmla="*/ 1270000 h 4275667"/>
            <a:gd name="connsiteX3" fmla="*/ 2546822 w 2546822"/>
            <a:gd name="connsiteY3" fmla="*/ 3556000 h 4275667"/>
            <a:gd name="connsiteX4" fmla="*/ 2391501 w 2546822"/>
            <a:gd name="connsiteY4" fmla="*/ 4275667 h 4275667"/>
            <a:gd name="connsiteX5" fmla="*/ 1661251 w 2546822"/>
            <a:gd name="connsiteY5" fmla="*/ 3492500 h 4275667"/>
            <a:gd name="connsiteX6" fmla="*/ 1735335 w 2546822"/>
            <a:gd name="connsiteY6" fmla="*/ 1862667 h 4275667"/>
            <a:gd name="connsiteX7" fmla="*/ 1513085 w 2546822"/>
            <a:gd name="connsiteY7" fmla="*/ 1481667 h 4275667"/>
            <a:gd name="connsiteX8" fmla="*/ 708751 w 2546822"/>
            <a:gd name="connsiteY8" fmla="*/ 1481667 h 4275667"/>
            <a:gd name="connsiteX9" fmla="*/ 698168 w 2546822"/>
            <a:gd name="connsiteY9" fmla="*/ 1481667 h 4275667"/>
            <a:gd name="connsiteX10" fmla="*/ 666418 w 2546822"/>
            <a:gd name="connsiteY10" fmla="*/ 169334 h 4275667"/>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661251 w 2546822"/>
            <a:gd name="connsiteY5" fmla="*/ 34925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735335 w 2546822"/>
            <a:gd name="connsiteY6" fmla="*/ 1862667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1513085 w 2546822"/>
            <a:gd name="connsiteY7" fmla="*/ 1481667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708751 w 2546822"/>
            <a:gd name="connsiteY8" fmla="*/ 1481667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636706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98168 w 2546822"/>
            <a:gd name="connsiteY9" fmla="*/ 1481667 h 3810000"/>
            <a:gd name="connsiteX10" fmla="*/ 666418 w 2546822"/>
            <a:gd name="connsiteY10" fmla="*/ 169334 h 3810000"/>
            <a:gd name="connsiteX11" fmla="*/ 0 w 2546822"/>
            <a:gd name="connsiteY11"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666418 w 2546822"/>
            <a:gd name="connsiteY9" fmla="*/ 169334 h 3810000"/>
            <a:gd name="connsiteX10" fmla="*/ 0 w 2546822"/>
            <a:gd name="connsiteY10"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692892 w 3692892"/>
            <a:gd name="connsiteY0" fmla="*/ 0 h 3810000"/>
            <a:gd name="connsiteX1" fmla="*/ 1273411 w 3692892"/>
            <a:gd name="connsiteY1" fmla="*/ 0 h 3810000"/>
            <a:gd name="connsiteX2" fmla="*/ 2546822 w 3692892"/>
            <a:gd name="connsiteY2" fmla="*/ 1270000 h 3810000"/>
            <a:gd name="connsiteX3" fmla="*/ 2546822 w 3692892"/>
            <a:gd name="connsiteY3" fmla="*/ 3556000 h 3810000"/>
            <a:gd name="connsiteX4" fmla="*/ 1910117 w 3692892"/>
            <a:gd name="connsiteY4" fmla="*/ 3810000 h 3810000"/>
            <a:gd name="connsiteX5" fmla="*/ 1273411 w 3692892"/>
            <a:gd name="connsiteY5" fmla="*/ 3556000 h 3810000"/>
            <a:gd name="connsiteX6" fmla="*/ 1273411 w 3692892"/>
            <a:gd name="connsiteY6" fmla="*/ 2540000 h 3810000"/>
            <a:gd name="connsiteX7" fmla="*/ 636706 w 3692892"/>
            <a:gd name="connsiteY7" fmla="*/ 1905000 h 3810000"/>
            <a:gd name="connsiteX8" fmla="*/ 0 w 3692892"/>
            <a:gd name="connsiteY8" fmla="*/ 1905000 h 3810000"/>
            <a:gd name="connsiteX9" fmla="*/ 0 w 369289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0 w 2546822"/>
            <a:gd name="connsiteY0" fmla="*/ 0 h 3810000"/>
            <a:gd name="connsiteX1" fmla="*/ 1273411 w 2546822"/>
            <a:gd name="connsiteY1" fmla="*/ 0 h 3810000"/>
            <a:gd name="connsiteX2" fmla="*/ 2546822 w 2546822"/>
            <a:gd name="connsiteY2" fmla="*/ 1270000 h 3810000"/>
            <a:gd name="connsiteX3" fmla="*/ 2546822 w 2546822"/>
            <a:gd name="connsiteY3" fmla="*/ 3556000 h 3810000"/>
            <a:gd name="connsiteX4" fmla="*/ 1910117 w 2546822"/>
            <a:gd name="connsiteY4" fmla="*/ 3810000 h 3810000"/>
            <a:gd name="connsiteX5" fmla="*/ 1273411 w 2546822"/>
            <a:gd name="connsiteY5" fmla="*/ 3556000 h 3810000"/>
            <a:gd name="connsiteX6" fmla="*/ 1273411 w 2546822"/>
            <a:gd name="connsiteY6" fmla="*/ 2540000 h 3810000"/>
            <a:gd name="connsiteX7" fmla="*/ 636706 w 2546822"/>
            <a:gd name="connsiteY7" fmla="*/ 1905000 h 3810000"/>
            <a:gd name="connsiteX8" fmla="*/ 0 w 2546822"/>
            <a:gd name="connsiteY8" fmla="*/ 1905000 h 3810000"/>
            <a:gd name="connsiteX9" fmla="*/ 0 w 2546822"/>
            <a:gd name="connsiteY9" fmla="*/ 0 h 3810000"/>
            <a:gd name="connsiteX0" fmla="*/ 3573742 w 3573742"/>
            <a:gd name="connsiteY0" fmla="*/ 0 h 5250830"/>
            <a:gd name="connsiteX1" fmla="*/ 1273411 w 3573742"/>
            <a:gd name="connsiteY1" fmla="*/ 1440830 h 5250830"/>
            <a:gd name="connsiteX2" fmla="*/ 2546822 w 3573742"/>
            <a:gd name="connsiteY2" fmla="*/ 2710830 h 5250830"/>
            <a:gd name="connsiteX3" fmla="*/ 2546822 w 3573742"/>
            <a:gd name="connsiteY3" fmla="*/ 4996830 h 5250830"/>
            <a:gd name="connsiteX4" fmla="*/ 1910117 w 3573742"/>
            <a:gd name="connsiteY4" fmla="*/ 5250830 h 5250830"/>
            <a:gd name="connsiteX5" fmla="*/ 1273411 w 3573742"/>
            <a:gd name="connsiteY5" fmla="*/ 4996830 h 5250830"/>
            <a:gd name="connsiteX6" fmla="*/ 1273411 w 3573742"/>
            <a:gd name="connsiteY6" fmla="*/ 3980830 h 5250830"/>
            <a:gd name="connsiteX7" fmla="*/ 636706 w 3573742"/>
            <a:gd name="connsiteY7" fmla="*/ 3345830 h 5250830"/>
            <a:gd name="connsiteX8" fmla="*/ 0 w 3573742"/>
            <a:gd name="connsiteY8" fmla="*/ 3345830 h 5250830"/>
            <a:gd name="connsiteX9" fmla="*/ 0 w 3573742"/>
            <a:gd name="connsiteY9" fmla="*/ 1440830 h 5250830"/>
            <a:gd name="connsiteX0" fmla="*/ 3573742 w 4798266"/>
            <a:gd name="connsiteY0" fmla="*/ 0 h 5250830"/>
            <a:gd name="connsiteX1" fmla="*/ 4798266 w 4798266"/>
            <a:gd name="connsiteY1" fmla="*/ 0 h 5250830"/>
            <a:gd name="connsiteX2" fmla="*/ 2546822 w 4798266"/>
            <a:gd name="connsiteY2" fmla="*/ 2710830 h 5250830"/>
            <a:gd name="connsiteX3" fmla="*/ 2546822 w 4798266"/>
            <a:gd name="connsiteY3" fmla="*/ 4996830 h 5250830"/>
            <a:gd name="connsiteX4" fmla="*/ 1910117 w 4798266"/>
            <a:gd name="connsiteY4" fmla="*/ 5250830 h 5250830"/>
            <a:gd name="connsiteX5" fmla="*/ 1273411 w 4798266"/>
            <a:gd name="connsiteY5" fmla="*/ 4996830 h 5250830"/>
            <a:gd name="connsiteX6" fmla="*/ 1273411 w 4798266"/>
            <a:gd name="connsiteY6" fmla="*/ 3980830 h 5250830"/>
            <a:gd name="connsiteX7" fmla="*/ 636706 w 4798266"/>
            <a:gd name="connsiteY7" fmla="*/ 3345830 h 5250830"/>
            <a:gd name="connsiteX8" fmla="*/ 0 w 4798266"/>
            <a:gd name="connsiteY8" fmla="*/ 3345830 h 5250830"/>
            <a:gd name="connsiteX9" fmla="*/ 0 w 4798266"/>
            <a:gd name="connsiteY9" fmla="*/ 1440830 h 5250830"/>
            <a:gd name="connsiteX0" fmla="*/ 3573742 w 4826367"/>
            <a:gd name="connsiteY0" fmla="*/ 0 h 5250830"/>
            <a:gd name="connsiteX1" fmla="*/ 4798266 w 4826367"/>
            <a:gd name="connsiteY1" fmla="*/ 0 h 5250830"/>
            <a:gd name="connsiteX2" fmla="*/ 2546822 w 4826367"/>
            <a:gd name="connsiteY2" fmla="*/ 2710830 h 5250830"/>
            <a:gd name="connsiteX3" fmla="*/ 2546822 w 4826367"/>
            <a:gd name="connsiteY3" fmla="*/ 4996830 h 5250830"/>
            <a:gd name="connsiteX4" fmla="*/ 1910117 w 4826367"/>
            <a:gd name="connsiteY4" fmla="*/ 5250830 h 5250830"/>
            <a:gd name="connsiteX5" fmla="*/ 1273411 w 4826367"/>
            <a:gd name="connsiteY5" fmla="*/ 4996830 h 5250830"/>
            <a:gd name="connsiteX6" fmla="*/ 1273411 w 4826367"/>
            <a:gd name="connsiteY6" fmla="*/ 3980830 h 5250830"/>
            <a:gd name="connsiteX7" fmla="*/ 636706 w 4826367"/>
            <a:gd name="connsiteY7" fmla="*/ 3345830 h 5250830"/>
            <a:gd name="connsiteX8" fmla="*/ 0 w 4826367"/>
            <a:gd name="connsiteY8" fmla="*/ 3345830 h 5250830"/>
            <a:gd name="connsiteX9" fmla="*/ 0 w 4826367"/>
            <a:gd name="connsiteY9" fmla="*/ 1440830 h 5250830"/>
            <a:gd name="connsiteX0" fmla="*/ 3573742 w 5003204"/>
            <a:gd name="connsiteY0" fmla="*/ 0 h 5250830"/>
            <a:gd name="connsiteX1" fmla="*/ 4798266 w 5003204"/>
            <a:gd name="connsiteY1" fmla="*/ 0 h 5250830"/>
            <a:gd name="connsiteX2" fmla="*/ 2546822 w 5003204"/>
            <a:gd name="connsiteY2" fmla="*/ 2710830 h 5250830"/>
            <a:gd name="connsiteX3" fmla="*/ 2546822 w 5003204"/>
            <a:gd name="connsiteY3" fmla="*/ 4996830 h 5250830"/>
            <a:gd name="connsiteX4" fmla="*/ 1910117 w 5003204"/>
            <a:gd name="connsiteY4" fmla="*/ 5250830 h 5250830"/>
            <a:gd name="connsiteX5" fmla="*/ 1273411 w 5003204"/>
            <a:gd name="connsiteY5" fmla="*/ 4996830 h 5250830"/>
            <a:gd name="connsiteX6" fmla="*/ 1273411 w 5003204"/>
            <a:gd name="connsiteY6" fmla="*/ 3980830 h 5250830"/>
            <a:gd name="connsiteX7" fmla="*/ 636706 w 5003204"/>
            <a:gd name="connsiteY7" fmla="*/ 3345830 h 5250830"/>
            <a:gd name="connsiteX8" fmla="*/ 0 w 5003204"/>
            <a:gd name="connsiteY8" fmla="*/ 3345830 h 5250830"/>
            <a:gd name="connsiteX9" fmla="*/ 0 w 5003204"/>
            <a:gd name="connsiteY9" fmla="*/ 1440830 h 5250830"/>
            <a:gd name="connsiteX0" fmla="*/ 3573742 w 5445091"/>
            <a:gd name="connsiteY0" fmla="*/ 0 h 5250830"/>
            <a:gd name="connsiteX1" fmla="*/ 4798266 w 5445091"/>
            <a:gd name="connsiteY1" fmla="*/ 0 h 5250830"/>
            <a:gd name="connsiteX2" fmla="*/ 5445091 w 5445091"/>
            <a:gd name="connsiteY2" fmla="*/ 920408 h 5250830"/>
            <a:gd name="connsiteX3" fmla="*/ 2546822 w 5445091"/>
            <a:gd name="connsiteY3" fmla="*/ 4996830 h 5250830"/>
            <a:gd name="connsiteX4" fmla="*/ 1910117 w 5445091"/>
            <a:gd name="connsiteY4" fmla="*/ 5250830 h 5250830"/>
            <a:gd name="connsiteX5" fmla="*/ 1273411 w 5445091"/>
            <a:gd name="connsiteY5" fmla="*/ 4996830 h 5250830"/>
            <a:gd name="connsiteX6" fmla="*/ 1273411 w 5445091"/>
            <a:gd name="connsiteY6" fmla="*/ 3980830 h 5250830"/>
            <a:gd name="connsiteX7" fmla="*/ 636706 w 5445091"/>
            <a:gd name="connsiteY7" fmla="*/ 3345830 h 5250830"/>
            <a:gd name="connsiteX8" fmla="*/ 0 w 5445091"/>
            <a:gd name="connsiteY8" fmla="*/ 3345830 h 5250830"/>
            <a:gd name="connsiteX9" fmla="*/ 0 w 5445091"/>
            <a:gd name="connsiteY9" fmla="*/ 1440830 h 5250830"/>
            <a:gd name="connsiteX0" fmla="*/ 3573742 w 5445091"/>
            <a:gd name="connsiteY0" fmla="*/ 0 h 14597193"/>
            <a:gd name="connsiteX1" fmla="*/ 4798266 w 5445091"/>
            <a:gd name="connsiteY1" fmla="*/ 0 h 14597193"/>
            <a:gd name="connsiteX2" fmla="*/ 5445091 w 5445091"/>
            <a:gd name="connsiteY2" fmla="*/ 920408 h 14597193"/>
            <a:gd name="connsiteX3" fmla="*/ 5445091 w 5445091"/>
            <a:gd name="connsiteY3" fmla="*/ 14597193 h 14597193"/>
            <a:gd name="connsiteX4" fmla="*/ 1910117 w 5445091"/>
            <a:gd name="connsiteY4" fmla="*/ 5250830 h 14597193"/>
            <a:gd name="connsiteX5" fmla="*/ 1273411 w 5445091"/>
            <a:gd name="connsiteY5" fmla="*/ 4996830 h 14597193"/>
            <a:gd name="connsiteX6" fmla="*/ 1273411 w 5445091"/>
            <a:gd name="connsiteY6" fmla="*/ 3980830 h 14597193"/>
            <a:gd name="connsiteX7" fmla="*/ 636706 w 5445091"/>
            <a:gd name="connsiteY7" fmla="*/ 3345830 h 14597193"/>
            <a:gd name="connsiteX8" fmla="*/ 0 w 5445091"/>
            <a:gd name="connsiteY8" fmla="*/ 3345830 h 14597193"/>
            <a:gd name="connsiteX9" fmla="*/ 0 w 5445091"/>
            <a:gd name="connsiteY9" fmla="*/ 1440830 h 14597193"/>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1273411 w 5445091"/>
            <a:gd name="connsiteY5" fmla="*/ 4996830 h 15517597"/>
            <a:gd name="connsiteX6" fmla="*/ 1273411 w 5445091"/>
            <a:gd name="connsiteY6" fmla="*/ 3980830 h 15517597"/>
            <a:gd name="connsiteX7" fmla="*/ 636706 w 5445091"/>
            <a:gd name="connsiteY7" fmla="*/ 334583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1273411 w 5445091"/>
            <a:gd name="connsiteY6" fmla="*/ 3980830 h 15517597"/>
            <a:gd name="connsiteX7" fmla="*/ 636706 w 5445091"/>
            <a:gd name="connsiteY7" fmla="*/ 334583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5310071 w 5445091"/>
            <a:gd name="connsiteY6" fmla="*/ 2257688 h 15517597"/>
            <a:gd name="connsiteX7" fmla="*/ 636706 w 5445091"/>
            <a:gd name="connsiteY7" fmla="*/ 334583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5310071 w 5445091"/>
            <a:gd name="connsiteY6" fmla="*/ 2257688 h 15517597"/>
            <a:gd name="connsiteX7" fmla="*/ 636706 w 5445091"/>
            <a:gd name="connsiteY7" fmla="*/ 334583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5310071 w 5445091"/>
            <a:gd name="connsiteY6" fmla="*/ 2257688 h 15517597"/>
            <a:gd name="connsiteX7" fmla="*/ 636706 w 5445091"/>
            <a:gd name="connsiteY7" fmla="*/ 334583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5310071 w 5445091"/>
            <a:gd name="connsiteY6" fmla="*/ 2257688 h 15517597"/>
            <a:gd name="connsiteX7" fmla="*/ 4663241 w 5445091"/>
            <a:gd name="connsiteY7" fmla="*/ 1337280 h 15517597"/>
            <a:gd name="connsiteX8" fmla="*/ 0 w 5445091"/>
            <a:gd name="connsiteY8" fmla="*/ 3345830 h 15517597"/>
            <a:gd name="connsiteX9" fmla="*/ 0 w 5445091"/>
            <a:gd name="connsiteY9" fmla="*/ 1440830 h 15517597"/>
            <a:gd name="connsiteX0" fmla="*/ 3573742 w 5445091"/>
            <a:gd name="connsiteY0" fmla="*/ 0 h 15517597"/>
            <a:gd name="connsiteX1" fmla="*/ 4798266 w 5445091"/>
            <a:gd name="connsiteY1" fmla="*/ 0 h 15517597"/>
            <a:gd name="connsiteX2" fmla="*/ 5445091 w 5445091"/>
            <a:gd name="connsiteY2" fmla="*/ 920408 h 15517597"/>
            <a:gd name="connsiteX3" fmla="*/ 5445091 w 5445091"/>
            <a:gd name="connsiteY3" fmla="*/ 14597193 h 15517597"/>
            <a:gd name="connsiteX4" fmla="*/ 5377581 w 5445091"/>
            <a:gd name="connsiteY4" fmla="*/ 15517597 h 15517597"/>
            <a:gd name="connsiteX5" fmla="*/ 5310071 w 5445091"/>
            <a:gd name="connsiteY5" fmla="*/ 14597189 h 15517597"/>
            <a:gd name="connsiteX6" fmla="*/ 5310071 w 5445091"/>
            <a:gd name="connsiteY6" fmla="*/ 2257688 h 15517597"/>
            <a:gd name="connsiteX7" fmla="*/ 4663241 w 5445091"/>
            <a:gd name="connsiteY7" fmla="*/ 1337280 h 15517597"/>
            <a:gd name="connsiteX8" fmla="*/ 3573736 w 5445091"/>
            <a:gd name="connsiteY8" fmla="*/ 1337280 h 15517597"/>
            <a:gd name="connsiteX9" fmla="*/ 0 w 5445091"/>
            <a:gd name="connsiteY9" fmla="*/ 1440830 h 15517597"/>
            <a:gd name="connsiteX0" fmla="*/ 6 w 1871355"/>
            <a:gd name="connsiteY0" fmla="*/ 4 h 15517601"/>
            <a:gd name="connsiteX1" fmla="*/ 1224530 w 1871355"/>
            <a:gd name="connsiteY1" fmla="*/ 4 h 15517601"/>
            <a:gd name="connsiteX2" fmla="*/ 1871355 w 1871355"/>
            <a:gd name="connsiteY2" fmla="*/ 920412 h 15517601"/>
            <a:gd name="connsiteX3" fmla="*/ 1871355 w 1871355"/>
            <a:gd name="connsiteY3" fmla="*/ 14597197 h 15517601"/>
            <a:gd name="connsiteX4" fmla="*/ 1803845 w 1871355"/>
            <a:gd name="connsiteY4" fmla="*/ 15517601 h 15517601"/>
            <a:gd name="connsiteX5" fmla="*/ 1736335 w 1871355"/>
            <a:gd name="connsiteY5" fmla="*/ 14597193 h 15517601"/>
            <a:gd name="connsiteX6" fmla="*/ 1736335 w 1871355"/>
            <a:gd name="connsiteY6" fmla="*/ 2257692 h 15517601"/>
            <a:gd name="connsiteX7" fmla="*/ 1089505 w 1871355"/>
            <a:gd name="connsiteY7" fmla="*/ 1337284 h 15517601"/>
            <a:gd name="connsiteX8" fmla="*/ 0 w 1871355"/>
            <a:gd name="connsiteY8" fmla="*/ 1337284 h 15517601"/>
            <a:gd name="connsiteX9" fmla="*/ 0 w 1871355"/>
            <a:gd name="connsiteY9" fmla="*/ 0 h 1551760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871355" h="15517601">
              <a:moveTo>
                <a:pt x="6" y="4"/>
              </a:moveTo>
              <a:lnTo>
                <a:pt x="1224530" y="4"/>
              </a:lnTo>
              <a:cubicBezTo>
                <a:pt x="1547943" y="4"/>
                <a:pt x="1871358" y="460208"/>
                <a:pt x="1871355" y="920412"/>
              </a:cubicBezTo>
              <a:lnTo>
                <a:pt x="1871355" y="14597197"/>
              </a:lnTo>
              <a:lnTo>
                <a:pt x="1803845" y="15517601"/>
              </a:lnTo>
              <a:lnTo>
                <a:pt x="1736335" y="14597193"/>
              </a:lnTo>
              <a:lnTo>
                <a:pt x="1736335" y="2257692"/>
              </a:lnTo>
              <a:cubicBezTo>
                <a:pt x="1736335" y="1797488"/>
                <a:pt x="1412920" y="1337284"/>
                <a:pt x="1089505" y="1337284"/>
              </a:cubicBezTo>
              <a:lnTo>
                <a:pt x="0" y="1337284"/>
              </a:lnTo>
              <a:lnTo>
                <a:pt x="0" y="0"/>
              </a:lnTo>
              <a:close/>
            </a:path>
          </a:pathLst>
        </a:custGeom>
        <a:solidFill>
          <a:srgbClr val="E62733"/>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8</xdr:row>
      <xdr:rowOff>61092</xdr:rowOff>
    </xdr:from>
    <xdr:to>
      <xdr:col>12</xdr:col>
      <xdr:colOff>483394</xdr:colOff>
      <xdr:row>10</xdr:row>
      <xdr:rowOff>74536</xdr:rowOff>
    </xdr:to>
    <xdr:sp macro="" textlink="">
      <xdr:nvSpPr>
        <xdr:cNvPr id="15" name="Arrow Text $R$124"/>
        <xdr:cNvSpPr txBox="1"/>
      </xdr:nvSpPr>
      <xdr:spPr>
        <a:xfrm>
          <a:off x="7358063" y="2169292"/>
          <a:ext cx="440531" cy="381744"/>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10.3%</a:t>
          </a:r>
        </a:p>
      </xdr:txBody>
    </xdr:sp>
    <xdr:clientData/>
  </xdr:twoCellAnchor>
  <xdr:twoCellAnchor>
    <xdr:from>
      <xdr:col>13</xdr:col>
      <xdr:colOff>568325</xdr:colOff>
      <xdr:row>7</xdr:row>
      <xdr:rowOff>39686</xdr:rowOff>
    </xdr:from>
    <xdr:to>
      <xdr:col>16</xdr:col>
      <xdr:colOff>369888</xdr:colOff>
      <xdr:row>8</xdr:row>
      <xdr:rowOff>48391</xdr:rowOff>
    </xdr:to>
    <xdr:sp macro="" textlink="">
      <xdr:nvSpPr>
        <xdr:cNvPr id="103" name="Arrow $T$122">
          <a:extLst>
            <a:ext uri="{FF2B5EF4-FFF2-40B4-BE49-F238E27FC236}">
              <a16:creationId xmlns:a16="http://schemas.microsoft.com/office/drawing/2014/main" id="{00000000-0008-0000-0400-000007000000}"/>
            </a:ext>
          </a:extLst>
        </xdr:cNvPr>
        <xdr:cNvSpPr/>
      </xdr:nvSpPr>
      <xdr:spPr>
        <a:xfrm>
          <a:off x="8493125" y="1963736"/>
          <a:ext cx="1630363" cy="192855"/>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3586220 w 3586220"/>
            <a:gd name="connsiteY0" fmla="*/ 0 h 4600882"/>
            <a:gd name="connsiteX1" fmla="*/ 2291308 w 3586220"/>
            <a:gd name="connsiteY1" fmla="*/ 790882 h 4600882"/>
            <a:gd name="connsiteX2" fmla="*/ 2545898 w 3586220"/>
            <a:gd name="connsiteY2" fmla="*/ 2695882 h 4600882"/>
            <a:gd name="connsiteX3" fmla="*/ 2291308 w 3586220"/>
            <a:gd name="connsiteY3" fmla="*/ 4600882 h 4600882"/>
            <a:gd name="connsiteX4" fmla="*/ 0 w 3586220"/>
            <a:gd name="connsiteY4" fmla="*/ 4600882 h 4600882"/>
            <a:gd name="connsiteX5" fmla="*/ 0 w 3586220"/>
            <a:gd name="connsiteY5" fmla="*/ 790882 h 4600882"/>
            <a:gd name="connsiteX0" fmla="*/ 3586220 w 7095536"/>
            <a:gd name="connsiteY0" fmla="*/ 0 h 4600882"/>
            <a:gd name="connsiteX1" fmla="*/ 7095536 w 7095536"/>
            <a:gd name="connsiteY1" fmla="*/ 0 h 4600882"/>
            <a:gd name="connsiteX2" fmla="*/ 2545898 w 7095536"/>
            <a:gd name="connsiteY2" fmla="*/ 2695882 h 4600882"/>
            <a:gd name="connsiteX3" fmla="*/ 2291308 w 7095536"/>
            <a:gd name="connsiteY3" fmla="*/ 4600882 h 4600882"/>
            <a:gd name="connsiteX4" fmla="*/ 0 w 7095536"/>
            <a:gd name="connsiteY4" fmla="*/ 4600882 h 4600882"/>
            <a:gd name="connsiteX5" fmla="*/ 0 w 7095536"/>
            <a:gd name="connsiteY5" fmla="*/ 790882 h 4600882"/>
            <a:gd name="connsiteX0" fmla="*/ 3586220 w 7743158"/>
            <a:gd name="connsiteY0" fmla="*/ 0 h 4600882"/>
            <a:gd name="connsiteX1" fmla="*/ 7095536 w 7743158"/>
            <a:gd name="connsiteY1" fmla="*/ 0 h 4600882"/>
            <a:gd name="connsiteX2" fmla="*/ 7743158 w 7743158"/>
            <a:gd name="connsiteY2" fmla="*/ 372428 h 4600882"/>
            <a:gd name="connsiteX3" fmla="*/ 2291308 w 7743158"/>
            <a:gd name="connsiteY3" fmla="*/ 4600882 h 4600882"/>
            <a:gd name="connsiteX4" fmla="*/ 0 w 7743158"/>
            <a:gd name="connsiteY4" fmla="*/ 4600882 h 4600882"/>
            <a:gd name="connsiteX5" fmla="*/ 0 w 7743158"/>
            <a:gd name="connsiteY5" fmla="*/ 790882 h 4600882"/>
            <a:gd name="connsiteX0" fmla="*/ 3586220 w 7743158"/>
            <a:gd name="connsiteY0" fmla="*/ 0 h 4600882"/>
            <a:gd name="connsiteX1" fmla="*/ 7095536 w 7743158"/>
            <a:gd name="connsiteY1" fmla="*/ 0 h 4600882"/>
            <a:gd name="connsiteX2" fmla="*/ 7743158 w 7743158"/>
            <a:gd name="connsiteY2" fmla="*/ 372428 h 4600882"/>
            <a:gd name="connsiteX3" fmla="*/ 7095534 w 7743158"/>
            <a:gd name="connsiteY3" fmla="*/ 698840 h 4600882"/>
            <a:gd name="connsiteX4" fmla="*/ 0 w 7743158"/>
            <a:gd name="connsiteY4" fmla="*/ 4600882 h 4600882"/>
            <a:gd name="connsiteX5" fmla="*/ 0 w 7743158"/>
            <a:gd name="connsiteY5" fmla="*/ 790882 h 4600882"/>
            <a:gd name="connsiteX0" fmla="*/ 3586220 w 7743158"/>
            <a:gd name="connsiteY0" fmla="*/ 0 h 790881"/>
            <a:gd name="connsiteX1" fmla="*/ 7095536 w 7743158"/>
            <a:gd name="connsiteY1" fmla="*/ 0 h 790881"/>
            <a:gd name="connsiteX2" fmla="*/ 7743158 w 7743158"/>
            <a:gd name="connsiteY2" fmla="*/ 372428 h 790881"/>
            <a:gd name="connsiteX3" fmla="*/ 7095534 w 7743158"/>
            <a:gd name="connsiteY3" fmla="*/ 698840 h 790881"/>
            <a:gd name="connsiteX4" fmla="*/ 3586218 w 7743158"/>
            <a:gd name="connsiteY4" fmla="*/ 698840 h 790881"/>
            <a:gd name="connsiteX5" fmla="*/ 0 w 7743158"/>
            <a:gd name="connsiteY5" fmla="*/ 790882 h 790881"/>
            <a:gd name="connsiteX0" fmla="*/ 2 w 4156940"/>
            <a:gd name="connsiteY0" fmla="*/ 0 h 698840"/>
            <a:gd name="connsiteX1" fmla="*/ 3509318 w 4156940"/>
            <a:gd name="connsiteY1" fmla="*/ 0 h 698840"/>
            <a:gd name="connsiteX2" fmla="*/ 4156940 w 4156940"/>
            <a:gd name="connsiteY2" fmla="*/ 372428 h 698840"/>
            <a:gd name="connsiteX3" fmla="*/ 3509316 w 4156940"/>
            <a:gd name="connsiteY3" fmla="*/ 698840 h 698840"/>
            <a:gd name="connsiteX4" fmla="*/ 0 w 4156940"/>
            <a:gd name="connsiteY4" fmla="*/ 698840 h 698840"/>
            <a:gd name="connsiteX5" fmla="*/ 0 w 4156940"/>
            <a:gd name="connsiteY5" fmla="*/ 4 h 69884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698840">
              <a:moveTo>
                <a:pt x="2" y="0"/>
              </a:moveTo>
              <a:lnTo>
                <a:pt x="3509318" y="0"/>
              </a:lnTo>
              <a:lnTo>
                <a:pt x="4156940" y="372428"/>
              </a:lnTo>
              <a:lnTo>
                <a:pt x="3509316" y="698840"/>
              </a:lnTo>
              <a:lnTo>
                <a:pt x="0" y="698840"/>
              </a:lnTo>
              <a:lnTo>
                <a:pt x="0"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14</xdr:col>
      <xdr:colOff>212725</xdr:colOff>
      <xdr:row>7</xdr:row>
      <xdr:rowOff>39687</xdr:rowOff>
    </xdr:from>
    <xdr:to>
      <xdr:col>15</xdr:col>
      <xdr:colOff>43656</xdr:colOff>
      <xdr:row>8</xdr:row>
      <xdr:rowOff>61091</xdr:rowOff>
    </xdr:to>
    <xdr:sp macro="" textlink="">
      <xdr:nvSpPr>
        <xdr:cNvPr id="16" name="Arrow Text $T$122"/>
        <xdr:cNvSpPr txBox="1"/>
      </xdr:nvSpPr>
      <xdr:spPr>
        <a:xfrm>
          <a:off x="8747125" y="1963737"/>
          <a:ext cx="440531" cy="205554"/>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5.5%</a:t>
          </a:r>
        </a:p>
      </xdr:txBody>
    </xdr:sp>
    <xdr:clientData/>
  </xdr:twoCellAnchor>
  <xdr:twoCellAnchor>
    <xdr:from>
      <xdr:col>11</xdr:col>
      <xdr:colOff>398462</xdr:colOff>
      <xdr:row>7</xdr:row>
      <xdr:rowOff>39686</xdr:rowOff>
    </xdr:from>
    <xdr:to>
      <xdr:col>14</xdr:col>
      <xdr:colOff>200024</xdr:colOff>
      <xdr:row>8</xdr:row>
      <xdr:rowOff>48392</xdr:rowOff>
    </xdr:to>
    <xdr:sp macro="" textlink="">
      <xdr:nvSpPr>
        <xdr:cNvPr id="105" name="Arrow $R$122">
          <a:extLst>
            <a:ext uri="{FF2B5EF4-FFF2-40B4-BE49-F238E27FC236}">
              <a16:creationId xmlns:a16="http://schemas.microsoft.com/office/drawing/2014/main" id="{00000000-0008-0000-0400-000007000000}"/>
            </a:ext>
          </a:extLst>
        </xdr:cNvPr>
        <xdr:cNvSpPr/>
      </xdr:nvSpPr>
      <xdr:spPr>
        <a:xfrm>
          <a:off x="7104062" y="1963736"/>
          <a:ext cx="1630362" cy="192856"/>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34972"/>
            <a:gd name="connsiteY0" fmla="*/ 0 h 3850324"/>
            <a:gd name="connsiteX1" fmla="*/ 5780382 w 6034972"/>
            <a:gd name="connsiteY1" fmla="*/ 40324 h 3850324"/>
            <a:gd name="connsiteX2" fmla="*/ 6034972 w 6034972"/>
            <a:gd name="connsiteY2" fmla="*/ 1945324 h 3850324"/>
            <a:gd name="connsiteX3" fmla="*/ 5780382 w 6034972"/>
            <a:gd name="connsiteY3" fmla="*/ 3850324 h 3850324"/>
            <a:gd name="connsiteX4" fmla="*/ 3489074 w 6034972"/>
            <a:gd name="connsiteY4" fmla="*/ 3850324 h 3850324"/>
            <a:gd name="connsiteX5" fmla="*/ 3489074 w 6034972"/>
            <a:gd name="connsiteY5" fmla="*/ 40324 h 3850324"/>
            <a:gd name="connsiteX0" fmla="*/ 0 w 6034972"/>
            <a:gd name="connsiteY0" fmla="*/ 0 h 3850324"/>
            <a:gd name="connsiteX1" fmla="*/ 3509313 w 6034972"/>
            <a:gd name="connsiteY1" fmla="*/ 4 h 3850324"/>
            <a:gd name="connsiteX2" fmla="*/ 6034972 w 6034972"/>
            <a:gd name="connsiteY2" fmla="*/ 1945324 h 3850324"/>
            <a:gd name="connsiteX3" fmla="*/ 5780382 w 6034972"/>
            <a:gd name="connsiteY3" fmla="*/ 3850324 h 3850324"/>
            <a:gd name="connsiteX4" fmla="*/ 3489074 w 6034972"/>
            <a:gd name="connsiteY4" fmla="*/ 3850324 h 3850324"/>
            <a:gd name="connsiteX5" fmla="*/ 3489074 w 6034972"/>
            <a:gd name="connsiteY5" fmla="*/ 40324 h 3850324"/>
            <a:gd name="connsiteX0" fmla="*/ 0 w 5780382"/>
            <a:gd name="connsiteY0" fmla="*/ 0 h 3850324"/>
            <a:gd name="connsiteX1" fmla="*/ 3509313 w 5780382"/>
            <a:gd name="connsiteY1" fmla="*/ 4 h 3850324"/>
            <a:gd name="connsiteX2" fmla="*/ 4156938 w 5780382"/>
            <a:gd name="connsiteY2" fmla="*/ 372995 h 3850324"/>
            <a:gd name="connsiteX3" fmla="*/ 5780382 w 5780382"/>
            <a:gd name="connsiteY3" fmla="*/ 3850324 h 3850324"/>
            <a:gd name="connsiteX4" fmla="*/ 3489074 w 5780382"/>
            <a:gd name="connsiteY4" fmla="*/ 3850324 h 3850324"/>
            <a:gd name="connsiteX5" fmla="*/ 3489074 w 5780382"/>
            <a:gd name="connsiteY5" fmla="*/ 40324 h 3850324"/>
            <a:gd name="connsiteX0" fmla="*/ 0 w 4156938"/>
            <a:gd name="connsiteY0" fmla="*/ 0 h 3850324"/>
            <a:gd name="connsiteX1" fmla="*/ 3509313 w 4156938"/>
            <a:gd name="connsiteY1" fmla="*/ 4 h 3850324"/>
            <a:gd name="connsiteX2" fmla="*/ 4156938 w 4156938"/>
            <a:gd name="connsiteY2" fmla="*/ 372995 h 3850324"/>
            <a:gd name="connsiteX3" fmla="*/ 3509316 w 4156938"/>
            <a:gd name="connsiteY3" fmla="*/ 699900 h 3850324"/>
            <a:gd name="connsiteX4" fmla="*/ 3489074 w 4156938"/>
            <a:gd name="connsiteY4" fmla="*/ 3850324 h 3850324"/>
            <a:gd name="connsiteX5" fmla="*/ 3489074 w 4156938"/>
            <a:gd name="connsiteY5" fmla="*/ 40324 h 3850324"/>
            <a:gd name="connsiteX0" fmla="*/ 0 w 4156938"/>
            <a:gd name="connsiteY0" fmla="*/ 0 h 699900"/>
            <a:gd name="connsiteX1" fmla="*/ 3509313 w 4156938"/>
            <a:gd name="connsiteY1" fmla="*/ 4 h 699900"/>
            <a:gd name="connsiteX2" fmla="*/ 4156938 w 4156938"/>
            <a:gd name="connsiteY2" fmla="*/ 372995 h 699900"/>
            <a:gd name="connsiteX3" fmla="*/ 3509316 w 4156938"/>
            <a:gd name="connsiteY3" fmla="*/ 699900 h 699900"/>
            <a:gd name="connsiteX4" fmla="*/ 3 w 4156938"/>
            <a:gd name="connsiteY4" fmla="*/ 699900 h 699900"/>
            <a:gd name="connsiteX5" fmla="*/ 3489074 w 4156938"/>
            <a:gd name="connsiteY5" fmla="*/ 40324 h 699900"/>
            <a:gd name="connsiteX0" fmla="*/ 0 w 4156938"/>
            <a:gd name="connsiteY0" fmla="*/ 0 h 699900"/>
            <a:gd name="connsiteX1" fmla="*/ 3509313 w 4156938"/>
            <a:gd name="connsiteY1" fmla="*/ 4 h 699900"/>
            <a:gd name="connsiteX2" fmla="*/ 4156938 w 4156938"/>
            <a:gd name="connsiteY2" fmla="*/ 372995 h 699900"/>
            <a:gd name="connsiteX3" fmla="*/ 3509316 w 4156938"/>
            <a:gd name="connsiteY3" fmla="*/ 699900 h 699900"/>
            <a:gd name="connsiteX4" fmla="*/ 3 w 4156938"/>
            <a:gd name="connsiteY4" fmla="*/ 699900 h 699900"/>
            <a:gd name="connsiteX5" fmla="*/ 3 w 4156938"/>
            <a:gd name="connsiteY5" fmla="*/ 4 h 6999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38" h="699900">
              <a:moveTo>
                <a:pt x="0" y="0"/>
              </a:moveTo>
              <a:lnTo>
                <a:pt x="3509313" y="4"/>
              </a:lnTo>
              <a:lnTo>
                <a:pt x="4156938" y="372995"/>
              </a:lnTo>
              <a:lnTo>
                <a:pt x="3509316" y="699900"/>
              </a:lnTo>
              <a:lnTo>
                <a:pt x="3" y="699900"/>
              </a:lnTo>
              <a:lnTo>
                <a:pt x="3"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12</xdr:col>
      <xdr:colOff>42863</xdr:colOff>
      <xdr:row>7</xdr:row>
      <xdr:rowOff>39687</xdr:rowOff>
    </xdr:from>
    <xdr:to>
      <xdr:col>12</xdr:col>
      <xdr:colOff>483394</xdr:colOff>
      <xdr:row>8</xdr:row>
      <xdr:rowOff>61091</xdr:rowOff>
    </xdr:to>
    <xdr:sp macro="" textlink="">
      <xdr:nvSpPr>
        <xdr:cNvPr id="17" name="Arrow Text $R$122"/>
        <xdr:cNvSpPr txBox="1"/>
      </xdr:nvSpPr>
      <xdr:spPr>
        <a:xfrm>
          <a:off x="7358063" y="1963737"/>
          <a:ext cx="440531" cy="205554"/>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5.5%</a:t>
          </a:r>
        </a:p>
      </xdr:txBody>
    </xdr:sp>
    <xdr:clientData/>
  </xdr:twoCellAnchor>
  <xdr:twoCellAnchor>
    <xdr:from>
      <xdr:col>9</xdr:col>
      <xdr:colOff>228599</xdr:colOff>
      <xdr:row>7</xdr:row>
      <xdr:rowOff>39686</xdr:rowOff>
    </xdr:from>
    <xdr:to>
      <xdr:col>12</xdr:col>
      <xdr:colOff>30163</xdr:colOff>
      <xdr:row>10</xdr:row>
      <xdr:rowOff>61835</xdr:rowOff>
    </xdr:to>
    <xdr:sp macro="" textlink="">
      <xdr:nvSpPr>
        <xdr:cNvPr id="107" name="Arrow $P$122">
          <a:extLst>
            <a:ext uri="{FF2B5EF4-FFF2-40B4-BE49-F238E27FC236}">
              <a16:creationId xmlns:a16="http://schemas.microsoft.com/office/drawing/2014/main" id="{00000000-0008-0000-0400-000007000000}"/>
            </a:ext>
          </a:extLst>
        </xdr:cNvPr>
        <xdr:cNvSpPr/>
      </xdr:nvSpPr>
      <xdr:spPr>
        <a:xfrm>
          <a:off x="5714999" y="1963736"/>
          <a:ext cx="1630364" cy="574599"/>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3067"/>
            <a:gd name="connsiteY0" fmla="*/ 0 h 3850324"/>
            <a:gd name="connsiteX1" fmla="*/ 5788477 w 6043067"/>
            <a:gd name="connsiteY1" fmla="*/ 40324 h 3850324"/>
            <a:gd name="connsiteX2" fmla="*/ 6043067 w 6043067"/>
            <a:gd name="connsiteY2" fmla="*/ 1945324 h 3850324"/>
            <a:gd name="connsiteX3" fmla="*/ 5788477 w 6043067"/>
            <a:gd name="connsiteY3" fmla="*/ 3850324 h 3850324"/>
            <a:gd name="connsiteX4" fmla="*/ 3497169 w 6043067"/>
            <a:gd name="connsiteY4" fmla="*/ 3850324 h 3850324"/>
            <a:gd name="connsiteX5" fmla="*/ 3497169 w 6043067"/>
            <a:gd name="connsiteY5" fmla="*/ 40324 h 3850324"/>
            <a:gd name="connsiteX0" fmla="*/ 0 w 6043067"/>
            <a:gd name="connsiteY0" fmla="*/ 0 h 3850324"/>
            <a:gd name="connsiteX1" fmla="*/ 3509318 w 6043067"/>
            <a:gd name="connsiteY1" fmla="*/ 4 h 3850324"/>
            <a:gd name="connsiteX2" fmla="*/ 6043067 w 6043067"/>
            <a:gd name="connsiteY2" fmla="*/ 1945324 h 3850324"/>
            <a:gd name="connsiteX3" fmla="*/ 5788477 w 6043067"/>
            <a:gd name="connsiteY3" fmla="*/ 3850324 h 3850324"/>
            <a:gd name="connsiteX4" fmla="*/ 3497169 w 6043067"/>
            <a:gd name="connsiteY4" fmla="*/ 3850324 h 3850324"/>
            <a:gd name="connsiteX5" fmla="*/ 3497169 w 6043067"/>
            <a:gd name="connsiteY5" fmla="*/ 40324 h 3850324"/>
            <a:gd name="connsiteX0" fmla="*/ 0 w 5788477"/>
            <a:gd name="connsiteY0" fmla="*/ 0 h 3850324"/>
            <a:gd name="connsiteX1" fmla="*/ 3509318 w 5788477"/>
            <a:gd name="connsiteY1" fmla="*/ 4 h 3850324"/>
            <a:gd name="connsiteX2" fmla="*/ 4156943 w 5788477"/>
            <a:gd name="connsiteY2" fmla="*/ 1065695 h 3850324"/>
            <a:gd name="connsiteX3" fmla="*/ 5788477 w 5788477"/>
            <a:gd name="connsiteY3" fmla="*/ 3850324 h 3850324"/>
            <a:gd name="connsiteX4" fmla="*/ 3497169 w 5788477"/>
            <a:gd name="connsiteY4" fmla="*/ 3850324 h 3850324"/>
            <a:gd name="connsiteX5" fmla="*/ 3497169 w 5788477"/>
            <a:gd name="connsiteY5" fmla="*/ 40324 h 3850324"/>
            <a:gd name="connsiteX0" fmla="*/ 0 w 4156943"/>
            <a:gd name="connsiteY0" fmla="*/ 0 h 3850324"/>
            <a:gd name="connsiteX1" fmla="*/ 3509318 w 4156943"/>
            <a:gd name="connsiteY1" fmla="*/ 4 h 3850324"/>
            <a:gd name="connsiteX2" fmla="*/ 4156943 w 4156943"/>
            <a:gd name="connsiteY2" fmla="*/ 1065695 h 3850324"/>
            <a:gd name="connsiteX3" fmla="*/ 3509318 w 4156943"/>
            <a:gd name="connsiteY3" fmla="*/ 2085296 h 3850324"/>
            <a:gd name="connsiteX4" fmla="*/ 3497169 w 4156943"/>
            <a:gd name="connsiteY4" fmla="*/ 3850324 h 3850324"/>
            <a:gd name="connsiteX5" fmla="*/ 3497169 w 4156943"/>
            <a:gd name="connsiteY5" fmla="*/ 40324 h 3850324"/>
            <a:gd name="connsiteX0" fmla="*/ 0 w 4156943"/>
            <a:gd name="connsiteY0" fmla="*/ 0 h 2085296"/>
            <a:gd name="connsiteX1" fmla="*/ 3509318 w 4156943"/>
            <a:gd name="connsiteY1" fmla="*/ 4 h 2085296"/>
            <a:gd name="connsiteX2" fmla="*/ 4156943 w 4156943"/>
            <a:gd name="connsiteY2" fmla="*/ 1065695 h 2085296"/>
            <a:gd name="connsiteX3" fmla="*/ 3509318 w 4156943"/>
            <a:gd name="connsiteY3" fmla="*/ 2085296 h 2085296"/>
            <a:gd name="connsiteX4" fmla="*/ 3 w 4156943"/>
            <a:gd name="connsiteY4" fmla="*/ 2085296 h 2085296"/>
            <a:gd name="connsiteX5" fmla="*/ 3497169 w 4156943"/>
            <a:gd name="connsiteY5" fmla="*/ 40324 h 2085296"/>
            <a:gd name="connsiteX0" fmla="*/ 0 w 4156943"/>
            <a:gd name="connsiteY0" fmla="*/ 0 h 2085296"/>
            <a:gd name="connsiteX1" fmla="*/ 3509318 w 4156943"/>
            <a:gd name="connsiteY1" fmla="*/ 4 h 2085296"/>
            <a:gd name="connsiteX2" fmla="*/ 4156943 w 4156943"/>
            <a:gd name="connsiteY2" fmla="*/ 1065695 h 2085296"/>
            <a:gd name="connsiteX3" fmla="*/ 3509318 w 4156943"/>
            <a:gd name="connsiteY3" fmla="*/ 2085296 h 2085296"/>
            <a:gd name="connsiteX4" fmla="*/ 3 w 4156943"/>
            <a:gd name="connsiteY4" fmla="*/ 2085296 h 2085296"/>
            <a:gd name="connsiteX5" fmla="*/ 3 w 4156943"/>
            <a:gd name="connsiteY5" fmla="*/ 4 h 208529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3" h="2085296">
              <a:moveTo>
                <a:pt x="0" y="0"/>
              </a:moveTo>
              <a:lnTo>
                <a:pt x="3509318" y="4"/>
              </a:lnTo>
              <a:lnTo>
                <a:pt x="4156943" y="1065695"/>
              </a:lnTo>
              <a:lnTo>
                <a:pt x="3509318" y="2085296"/>
              </a:lnTo>
              <a:lnTo>
                <a:pt x="3" y="2085296"/>
              </a:lnTo>
              <a:lnTo>
                <a:pt x="3"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9</xdr:col>
      <xdr:colOff>482600</xdr:colOff>
      <xdr:row>7</xdr:row>
      <xdr:rowOff>39687</xdr:rowOff>
    </xdr:from>
    <xdr:to>
      <xdr:col>10</xdr:col>
      <xdr:colOff>313531</xdr:colOff>
      <xdr:row>10</xdr:row>
      <xdr:rowOff>74535</xdr:rowOff>
    </xdr:to>
    <xdr:sp macro="" textlink="">
      <xdr:nvSpPr>
        <xdr:cNvPr id="18" name="Arrow Text $P$122"/>
        <xdr:cNvSpPr txBox="1"/>
      </xdr:nvSpPr>
      <xdr:spPr>
        <a:xfrm>
          <a:off x="5969000" y="1963737"/>
          <a:ext cx="440531" cy="587298"/>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15.8%</a:t>
          </a:r>
        </a:p>
      </xdr:txBody>
    </xdr:sp>
    <xdr:clientData/>
  </xdr:twoCellAnchor>
  <xdr:twoCellAnchor>
    <xdr:from>
      <xdr:col>7</xdr:col>
      <xdr:colOff>58737</xdr:colOff>
      <xdr:row>7</xdr:row>
      <xdr:rowOff>39686</xdr:rowOff>
    </xdr:from>
    <xdr:to>
      <xdr:col>9</xdr:col>
      <xdr:colOff>469900</xdr:colOff>
      <xdr:row>10</xdr:row>
      <xdr:rowOff>127141</xdr:rowOff>
    </xdr:to>
    <xdr:sp macro="" textlink="">
      <xdr:nvSpPr>
        <xdr:cNvPr id="109" name="Arrow $N$122">
          <a:extLst>
            <a:ext uri="{FF2B5EF4-FFF2-40B4-BE49-F238E27FC236}">
              <a16:creationId xmlns:a16="http://schemas.microsoft.com/office/drawing/2014/main" id="{00000000-0008-0000-0400-000007000000}"/>
            </a:ext>
          </a:extLst>
        </xdr:cNvPr>
        <xdr:cNvSpPr/>
      </xdr:nvSpPr>
      <xdr:spPr>
        <a:xfrm>
          <a:off x="4325937" y="1963736"/>
          <a:ext cx="1630363" cy="639905"/>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45594"/>
            <a:gd name="connsiteY0" fmla="*/ 0 h 3850324"/>
            <a:gd name="connsiteX1" fmla="*/ 5791004 w 6045594"/>
            <a:gd name="connsiteY1" fmla="*/ 40324 h 3850324"/>
            <a:gd name="connsiteX2" fmla="*/ 6045594 w 6045594"/>
            <a:gd name="connsiteY2" fmla="*/ 1945324 h 3850324"/>
            <a:gd name="connsiteX3" fmla="*/ 5791004 w 6045594"/>
            <a:gd name="connsiteY3" fmla="*/ 3850324 h 3850324"/>
            <a:gd name="connsiteX4" fmla="*/ 3499696 w 6045594"/>
            <a:gd name="connsiteY4" fmla="*/ 3850324 h 3850324"/>
            <a:gd name="connsiteX5" fmla="*/ 3499696 w 6045594"/>
            <a:gd name="connsiteY5" fmla="*/ 40324 h 3850324"/>
            <a:gd name="connsiteX0" fmla="*/ 0 w 6045594"/>
            <a:gd name="connsiteY0" fmla="*/ 0 h 3850324"/>
            <a:gd name="connsiteX1" fmla="*/ 3503744 w 6045594"/>
            <a:gd name="connsiteY1" fmla="*/ 4 h 3850324"/>
            <a:gd name="connsiteX2" fmla="*/ 6045594 w 6045594"/>
            <a:gd name="connsiteY2" fmla="*/ 1945324 h 3850324"/>
            <a:gd name="connsiteX3" fmla="*/ 5791004 w 6045594"/>
            <a:gd name="connsiteY3" fmla="*/ 3850324 h 3850324"/>
            <a:gd name="connsiteX4" fmla="*/ 3499696 w 6045594"/>
            <a:gd name="connsiteY4" fmla="*/ 3850324 h 3850324"/>
            <a:gd name="connsiteX5" fmla="*/ 3499696 w 6045594"/>
            <a:gd name="connsiteY5" fmla="*/ 40324 h 3850324"/>
            <a:gd name="connsiteX0" fmla="*/ 0 w 5791003"/>
            <a:gd name="connsiteY0" fmla="*/ 0 h 3850324"/>
            <a:gd name="connsiteX1" fmla="*/ 3503744 w 5791003"/>
            <a:gd name="connsiteY1" fmla="*/ 4 h 3850324"/>
            <a:gd name="connsiteX2" fmla="*/ 4150340 w 5791003"/>
            <a:gd name="connsiteY2" fmla="*/ 1184197 h 3850324"/>
            <a:gd name="connsiteX3" fmla="*/ 5791004 w 5791003"/>
            <a:gd name="connsiteY3" fmla="*/ 3850324 h 3850324"/>
            <a:gd name="connsiteX4" fmla="*/ 3499696 w 5791003"/>
            <a:gd name="connsiteY4" fmla="*/ 3850324 h 3850324"/>
            <a:gd name="connsiteX5" fmla="*/ 3499696 w 5791003"/>
            <a:gd name="connsiteY5" fmla="*/ 40324 h 3850324"/>
            <a:gd name="connsiteX0" fmla="*/ 0 w 4150339"/>
            <a:gd name="connsiteY0" fmla="*/ 0 h 3850324"/>
            <a:gd name="connsiteX1" fmla="*/ 3503744 w 4150339"/>
            <a:gd name="connsiteY1" fmla="*/ 4 h 3850324"/>
            <a:gd name="connsiteX2" fmla="*/ 4150340 w 4150339"/>
            <a:gd name="connsiteY2" fmla="*/ 1184197 h 3850324"/>
            <a:gd name="connsiteX3" fmla="*/ 3503743 w 4150339"/>
            <a:gd name="connsiteY3" fmla="*/ 2322300 h 3850324"/>
            <a:gd name="connsiteX4" fmla="*/ 3499696 w 4150339"/>
            <a:gd name="connsiteY4" fmla="*/ 3850324 h 3850324"/>
            <a:gd name="connsiteX5" fmla="*/ 3499696 w 4150339"/>
            <a:gd name="connsiteY5" fmla="*/ 40324 h 3850324"/>
            <a:gd name="connsiteX0" fmla="*/ 0 w 4150339"/>
            <a:gd name="connsiteY0" fmla="*/ 0 h 2322300"/>
            <a:gd name="connsiteX1" fmla="*/ 3503744 w 4150339"/>
            <a:gd name="connsiteY1" fmla="*/ 4 h 2322300"/>
            <a:gd name="connsiteX2" fmla="*/ 4150340 w 4150339"/>
            <a:gd name="connsiteY2" fmla="*/ 1184197 h 2322300"/>
            <a:gd name="connsiteX3" fmla="*/ 3503743 w 4150339"/>
            <a:gd name="connsiteY3" fmla="*/ 2322300 h 2322300"/>
            <a:gd name="connsiteX4" fmla="*/ 3 w 4150339"/>
            <a:gd name="connsiteY4" fmla="*/ 2322300 h 2322300"/>
            <a:gd name="connsiteX5" fmla="*/ 3499696 w 4150339"/>
            <a:gd name="connsiteY5" fmla="*/ 40324 h 2322300"/>
            <a:gd name="connsiteX0" fmla="*/ 0 w 4150339"/>
            <a:gd name="connsiteY0" fmla="*/ 0 h 2322300"/>
            <a:gd name="connsiteX1" fmla="*/ 3503744 w 4150339"/>
            <a:gd name="connsiteY1" fmla="*/ 4 h 2322300"/>
            <a:gd name="connsiteX2" fmla="*/ 4150340 w 4150339"/>
            <a:gd name="connsiteY2" fmla="*/ 1184197 h 2322300"/>
            <a:gd name="connsiteX3" fmla="*/ 3503743 w 4150339"/>
            <a:gd name="connsiteY3" fmla="*/ 2322300 h 2322300"/>
            <a:gd name="connsiteX4" fmla="*/ 3 w 4150339"/>
            <a:gd name="connsiteY4" fmla="*/ 2322300 h 2322300"/>
            <a:gd name="connsiteX5" fmla="*/ 3 w 4150339"/>
            <a:gd name="connsiteY5" fmla="*/ 4 h 23223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39" h="2322300">
              <a:moveTo>
                <a:pt x="0" y="0"/>
              </a:moveTo>
              <a:lnTo>
                <a:pt x="3503744" y="4"/>
              </a:lnTo>
              <a:lnTo>
                <a:pt x="4150340" y="1184197"/>
              </a:lnTo>
              <a:lnTo>
                <a:pt x="3503743" y="2322300"/>
              </a:lnTo>
              <a:lnTo>
                <a:pt x="3" y="2322300"/>
              </a:lnTo>
              <a:lnTo>
                <a:pt x="3"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7</xdr:col>
      <xdr:colOff>312738</xdr:colOff>
      <xdr:row>7</xdr:row>
      <xdr:rowOff>39687</xdr:rowOff>
    </xdr:from>
    <xdr:to>
      <xdr:col>8</xdr:col>
      <xdr:colOff>143669</xdr:colOff>
      <xdr:row>10</xdr:row>
      <xdr:rowOff>139840</xdr:rowOff>
    </xdr:to>
    <xdr:sp macro="" textlink="">
      <xdr:nvSpPr>
        <xdr:cNvPr id="19" name="Arrow Text $N$122"/>
        <xdr:cNvSpPr txBox="1"/>
      </xdr:nvSpPr>
      <xdr:spPr>
        <a:xfrm>
          <a:off x="4579938" y="1963737"/>
          <a:ext cx="440531" cy="65260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17.6%</a:t>
          </a:r>
        </a:p>
      </xdr:txBody>
    </xdr:sp>
    <xdr:clientData/>
  </xdr:twoCellAnchor>
  <xdr:twoCellAnchor>
    <xdr:from>
      <xdr:col>4</xdr:col>
      <xdr:colOff>498474</xdr:colOff>
      <xdr:row>7</xdr:row>
      <xdr:rowOff>39686</xdr:rowOff>
    </xdr:from>
    <xdr:to>
      <xdr:col>7</xdr:col>
      <xdr:colOff>300038</xdr:colOff>
      <xdr:row>10</xdr:row>
      <xdr:rowOff>127141</xdr:rowOff>
    </xdr:to>
    <xdr:sp macro="" textlink="">
      <xdr:nvSpPr>
        <xdr:cNvPr id="111" name="Arrow $L$122">
          <a:extLst>
            <a:ext uri="{FF2B5EF4-FFF2-40B4-BE49-F238E27FC236}">
              <a16:creationId xmlns:a16="http://schemas.microsoft.com/office/drawing/2014/main" id="{00000000-0008-0000-0400-000007000000}"/>
            </a:ext>
          </a:extLst>
        </xdr:cNvPr>
        <xdr:cNvSpPr/>
      </xdr:nvSpPr>
      <xdr:spPr>
        <a:xfrm>
          <a:off x="2936874" y="1963736"/>
          <a:ext cx="1630364" cy="639905"/>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53679"/>
            <a:gd name="connsiteY0" fmla="*/ 0 h 3850324"/>
            <a:gd name="connsiteX1" fmla="*/ 5799089 w 6053679"/>
            <a:gd name="connsiteY1" fmla="*/ 40324 h 3850324"/>
            <a:gd name="connsiteX2" fmla="*/ 6053679 w 6053679"/>
            <a:gd name="connsiteY2" fmla="*/ 1945324 h 3850324"/>
            <a:gd name="connsiteX3" fmla="*/ 5799089 w 6053679"/>
            <a:gd name="connsiteY3" fmla="*/ 3850324 h 3850324"/>
            <a:gd name="connsiteX4" fmla="*/ 3507781 w 6053679"/>
            <a:gd name="connsiteY4" fmla="*/ 3850324 h 3850324"/>
            <a:gd name="connsiteX5" fmla="*/ 3507781 w 6053679"/>
            <a:gd name="connsiteY5" fmla="*/ 40324 h 3850324"/>
            <a:gd name="connsiteX0" fmla="*/ 0 w 6053679"/>
            <a:gd name="connsiteY0" fmla="*/ 0 h 3850324"/>
            <a:gd name="connsiteX1" fmla="*/ 3503746 w 6053679"/>
            <a:gd name="connsiteY1" fmla="*/ 4 h 3850324"/>
            <a:gd name="connsiteX2" fmla="*/ 6053679 w 6053679"/>
            <a:gd name="connsiteY2" fmla="*/ 1945324 h 3850324"/>
            <a:gd name="connsiteX3" fmla="*/ 5799089 w 6053679"/>
            <a:gd name="connsiteY3" fmla="*/ 3850324 h 3850324"/>
            <a:gd name="connsiteX4" fmla="*/ 3507781 w 6053679"/>
            <a:gd name="connsiteY4" fmla="*/ 3850324 h 3850324"/>
            <a:gd name="connsiteX5" fmla="*/ 3507781 w 6053679"/>
            <a:gd name="connsiteY5" fmla="*/ 40324 h 3850324"/>
            <a:gd name="connsiteX0" fmla="*/ 0 w 5799088"/>
            <a:gd name="connsiteY0" fmla="*/ 0 h 3850324"/>
            <a:gd name="connsiteX1" fmla="*/ 3503746 w 5799088"/>
            <a:gd name="connsiteY1" fmla="*/ 4 h 3850324"/>
            <a:gd name="connsiteX2" fmla="*/ 4150342 w 5799088"/>
            <a:gd name="connsiteY2" fmla="*/ 1184197 h 3850324"/>
            <a:gd name="connsiteX3" fmla="*/ 5799089 w 5799088"/>
            <a:gd name="connsiteY3" fmla="*/ 3850324 h 3850324"/>
            <a:gd name="connsiteX4" fmla="*/ 3507781 w 5799088"/>
            <a:gd name="connsiteY4" fmla="*/ 3850324 h 3850324"/>
            <a:gd name="connsiteX5" fmla="*/ 3507781 w 5799088"/>
            <a:gd name="connsiteY5" fmla="*/ 40324 h 3850324"/>
            <a:gd name="connsiteX0" fmla="*/ 0 w 4150342"/>
            <a:gd name="connsiteY0" fmla="*/ 0 h 3850324"/>
            <a:gd name="connsiteX1" fmla="*/ 3503746 w 4150342"/>
            <a:gd name="connsiteY1" fmla="*/ 4 h 3850324"/>
            <a:gd name="connsiteX2" fmla="*/ 4150342 w 4150342"/>
            <a:gd name="connsiteY2" fmla="*/ 1184197 h 3850324"/>
            <a:gd name="connsiteX3" fmla="*/ 3503746 w 4150342"/>
            <a:gd name="connsiteY3" fmla="*/ 2322300 h 3850324"/>
            <a:gd name="connsiteX4" fmla="*/ 3507781 w 4150342"/>
            <a:gd name="connsiteY4" fmla="*/ 3850324 h 3850324"/>
            <a:gd name="connsiteX5" fmla="*/ 3507781 w 4150342"/>
            <a:gd name="connsiteY5" fmla="*/ 40324 h 3850324"/>
            <a:gd name="connsiteX0" fmla="*/ 0 w 4150342"/>
            <a:gd name="connsiteY0" fmla="*/ 0 h 2322300"/>
            <a:gd name="connsiteX1" fmla="*/ 3503746 w 4150342"/>
            <a:gd name="connsiteY1" fmla="*/ 4 h 2322300"/>
            <a:gd name="connsiteX2" fmla="*/ 4150342 w 4150342"/>
            <a:gd name="connsiteY2" fmla="*/ 1184197 h 2322300"/>
            <a:gd name="connsiteX3" fmla="*/ 3503746 w 4150342"/>
            <a:gd name="connsiteY3" fmla="*/ 2322300 h 2322300"/>
            <a:gd name="connsiteX4" fmla="*/ 3 w 4150342"/>
            <a:gd name="connsiteY4" fmla="*/ 2322300 h 2322300"/>
            <a:gd name="connsiteX5" fmla="*/ 3507781 w 4150342"/>
            <a:gd name="connsiteY5" fmla="*/ 40324 h 2322300"/>
            <a:gd name="connsiteX0" fmla="*/ 0 w 4150342"/>
            <a:gd name="connsiteY0" fmla="*/ 0 h 2322300"/>
            <a:gd name="connsiteX1" fmla="*/ 3503746 w 4150342"/>
            <a:gd name="connsiteY1" fmla="*/ 4 h 2322300"/>
            <a:gd name="connsiteX2" fmla="*/ 4150342 w 4150342"/>
            <a:gd name="connsiteY2" fmla="*/ 1184197 h 2322300"/>
            <a:gd name="connsiteX3" fmla="*/ 3503746 w 4150342"/>
            <a:gd name="connsiteY3" fmla="*/ 2322300 h 2322300"/>
            <a:gd name="connsiteX4" fmla="*/ 3 w 4150342"/>
            <a:gd name="connsiteY4" fmla="*/ 2322300 h 2322300"/>
            <a:gd name="connsiteX5" fmla="*/ 3 w 4150342"/>
            <a:gd name="connsiteY5" fmla="*/ 4 h 23223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0342" h="2322300">
              <a:moveTo>
                <a:pt x="0" y="0"/>
              </a:moveTo>
              <a:lnTo>
                <a:pt x="3503746" y="4"/>
              </a:lnTo>
              <a:lnTo>
                <a:pt x="4150342" y="1184197"/>
              </a:lnTo>
              <a:lnTo>
                <a:pt x="3503746" y="2322300"/>
              </a:lnTo>
              <a:lnTo>
                <a:pt x="3" y="2322300"/>
              </a:lnTo>
              <a:lnTo>
                <a:pt x="3"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5</xdr:col>
      <xdr:colOff>142875</xdr:colOff>
      <xdr:row>7</xdr:row>
      <xdr:rowOff>39687</xdr:rowOff>
    </xdr:from>
    <xdr:to>
      <xdr:col>5</xdr:col>
      <xdr:colOff>583406</xdr:colOff>
      <xdr:row>10</xdr:row>
      <xdr:rowOff>139840</xdr:rowOff>
    </xdr:to>
    <xdr:sp macro="" textlink="">
      <xdr:nvSpPr>
        <xdr:cNvPr id="20" name="Arrow Text $L$122"/>
        <xdr:cNvSpPr txBox="1"/>
      </xdr:nvSpPr>
      <xdr:spPr>
        <a:xfrm>
          <a:off x="3190875" y="1963737"/>
          <a:ext cx="440531" cy="65260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17.6%</a:t>
          </a:r>
        </a:p>
      </xdr:txBody>
    </xdr:sp>
    <xdr:clientData/>
  </xdr:twoCellAnchor>
  <xdr:twoCellAnchor>
    <xdr:from>
      <xdr:col>2</xdr:col>
      <xdr:colOff>328611</xdr:colOff>
      <xdr:row>7</xdr:row>
      <xdr:rowOff>39686</xdr:rowOff>
    </xdr:from>
    <xdr:to>
      <xdr:col>5</xdr:col>
      <xdr:colOff>130174</xdr:colOff>
      <xdr:row>10</xdr:row>
      <xdr:rowOff>127141</xdr:rowOff>
    </xdr:to>
    <xdr:sp macro="" textlink="">
      <xdr:nvSpPr>
        <xdr:cNvPr id="113" name="Arrow $J$122">
          <a:extLst>
            <a:ext uri="{FF2B5EF4-FFF2-40B4-BE49-F238E27FC236}">
              <a16:creationId xmlns:a16="http://schemas.microsoft.com/office/drawing/2014/main" id="{00000000-0008-0000-0400-000007000000}"/>
            </a:ext>
          </a:extLst>
        </xdr:cNvPr>
        <xdr:cNvSpPr/>
      </xdr:nvSpPr>
      <xdr:spPr>
        <a:xfrm>
          <a:off x="1547811" y="1963736"/>
          <a:ext cx="1630363" cy="639905"/>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1399"/>
            <a:gd name="connsiteY0" fmla="*/ 0 h 3850324"/>
            <a:gd name="connsiteX1" fmla="*/ 5816809 w 6071399"/>
            <a:gd name="connsiteY1" fmla="*/ 40324 h 3850324"/>
            <a:gd name="connsiteX2" fmla="*/ 6071399 w 6071399"/>
            <a:gd name="connsiteY2" fmla="*/ 1945324 h 3850324"/>
            <a:gd name="connsiteX3" fmla="*/ 5816809 w 6071399"/>
            <a:gd name="connsiteY3" fmla="*/ 3850324 h 3850324"/>
            <a:gd name="connsiteX4" fmla="*/ 3525501 w 6071399"/>
            <a:gd name="connsiteY4" fmla="*/ 3850324 h 3850324"/>
            <a:gd name="connsiteX5" fmla="*/ 3525501 w 6071399"/>
            <a:gd name="connsiteY5" fmla="*/ 40324 h 3850324"/>
            <a:gd name="connsiteX0" fmla="*/ 0 w 6071399"/>
            <a:gd name="connsiteY0" fmla="*/ 0 h 3850324"/>
            <a:gd name="connsiteX1" fmla="*/ 3509316 w 6071399"/>
            <a:gd name="connsiteY1" fmla="*/ 4 h 3850324"/>
            <a:gd name="connsiteX2" fmla="*/ 6071399 w 6071399"/>
            <a:gd name="connsiteY2" fmla="*/ 1945324 h 3850324"/>
            <a:gd name="connsiteX3" fmla="*/ 5816809 w 6071399"/>
            <a:gd name="connsiteY3" fmla="*/ 3850324 h 3850324"/>
            <a:gd name="connsiteX4" fmla="*/ 3525501 w 6071399"/>
            <a:gd name="connsiteY4" fmla="*/ 3850324 h 3850324"/>
            <a:gd name="connsiteX5" fmla="*/ 3525501 w 6071399"/>
            <a:gd name="connsiteY5" fmla="*/ 40324 h 3850324"/>
            <a:gd name="connsiteX0" fmla="*/ 0 w 5816809"/>
            <a:gd name="connsiteY0" fmla="*/ 0 h 3850324"/>
            <a:gd name="connsiteX1" fmla="*/ 3509316 w 5816809"/>
            <a:gd name="connsiteY1" fmla="*/ 4 h 3850324"/>
            <a:gd name="connsiteX2" fmla="*/ 4156940 w 5816809"/>
            <a:gd name="connsiteY2" fmla="*/ 1184197 h 3850324"/>
            <a:gd name="connsiteX3" fmla="*/ 5816809 w 5816809"/>
            <a:gd name="connsiteY3" fmla="*/ 3850324 h 3850324"/>
            <a:gd name="connsiteX4" fmla="*/ 3525501 w 5816809"/>
            <a:gd name="connsiteY4" fmla="*/ 3850324 h 3850324"/>
            <a:gd name="connsiteX5" fmla="*/ 3525501 w 5816809"/>
            <a:gd name="connsiteY5" fmla="*/ 40324 h 3850324"/>
            <a:gd name="connsiteX0" fmla="*/ 0 w 4156940"/>
            <a:gd name="connsiteY0" fmla="*/ 0 h 3850324"/>
            <a:gd name="connsiteX1" fmla="*/ 3509316 w 4156940"/>
            <a:gd name="connsiteY1" fmla="*/ 4 h 3850324"/>
            <a:gd name="connsiteX2" fmla="*/ 4156940 w 4156940"/>
            <a:gd name="connsiteY2" fmla="*/ 1184197 h 3850324"/>
            <a:gd name="connsiteX3" fmla="*/ 3509316 w 4156940"/>
            <a:gd name="connsiteY3" fmla="*/ 2322300 h 3850324"/>
            <a:gd name="connsiteX4" fmla="*/ 3525501 w 4156940"/>
            <a:gd name="connsiteY4" fmla="*/ 3850324 h 3850324"/>
            <a:gd name="connsiteX5" fmla="*/ 3525501 w 4156940"/>
            <a:gd name="connsiteY5" fmla="*/ 40324 h 3850324"/>
            <a:gd name="connsiteX0" fmla="*/ 0 w 4156940"/>
            <a:gd name="connsiteY0" fmla="*/ 0 h 2322300"/>
            <a:gd name="connsiteX1" fmla="*/ 3509316 w 4156940"/>
            <a:gd name="connsiteY1" fmla="*/ 4 h 2322300"/>
            <a:gd name="connsiteX2" fmla="*/ 4156940 w 4156940"/>
            <a:gd name="connsiteY2" fmla="*/ 1184197 h 2322300"/>
            <a:gd name="connsiteX3" fmla="*/ 3509316 w 4156940"/>
            <a:gd name="connsiteY3" fmla="*/ 2322300 h 2322300"/>
            <a:gd name="connsiteX4" fmla="*/ 5 w 4156940"/>
            <a:gd name="connsiteY4" fmla="*/ 2322300 h 2322300"/>
            <a:gd name="connsiteX5" fmla="*/ 3525501 w 4156940"/>
            <a:gd name="connsiteY5" fmla="*/ 40324 h 2322300"/>
            <a:gd name="connsiteX0" fmla="*/ 0 w 4156940"/>
            <a:gd name="connsiteY0" fmla="*/ 0 h 2322300"/>
            <a:gd name="connsiteX1" fmla="*/ 3509316 w 4156940"/>
            <a:gd name="connsiteY1" fmla="*/ 4 h 2322300"/>
            <a:gd name="connsiteX2" fmla="*/ 4156940 w 4156940"/>
            <a:gd name="connsiteY2" fmla="*/ 1184197 h 2322300"/>
            <a:gd name="connsiteX3" fmla="*/ 3509316 w 4156940"/>
            <a:gd name="connsiteY3" fmla="*/ 2322300 h 2322300"/>
            <a:gd name="connsiteX4" fmla="*/ 5 w 4156940"/>
            <a:gd name="connsiteY4" fmla="*/ 2322300 h 2322300"/>
            <a:gd name="connsiteX5" fmla="*/ 5 w 4156940"/>
            <a:gd name="connsiteY5" fmla="*/ 4 h 23223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0" h="2322300">
              <a:moveTo>
                <a:pt x="0" y="0"/>
              </a:moveTo>
              <a:lnTo>
                <a:pt x="3509316" y="4"/>
              </a:lnTo>
              <a:lnTo>
                <a:pt x="4156940" y="1184197"/>
              </a:lnTo>
              <a:lnTo>
                <a:pt x="3509316" y="2322300"/>
              </a:lnTo>
              <a:lnTo>
                <a:pt x="5" y="2322300"/>
              </a:lnTo>
              <a:lnTo>
                <a:pt x="5" y="4"/>
              </a:lnTo>
              <a:close/>
            </a:path>
          </a:pathLst>
        </a:custGeom>
        <a:solidFill>
          <a:srgbClr val="039579"/>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2</xdr:col>
      <xdr:colOff>582613</xdr:colOff>
      <xdr:row>7</xdr:row>
      <xdr:rowOff>39687</xdr:rowOff>
    </xdr:from>
    <xdr:to>
      <xdr:col>3</xdr:col>
      <xdr:colOff>413544</xdr:colOff>
      <xdr:row>10</xdr:row>
      <xdr:rowOff>139840</xdr:rowOff>
    </xdr:to>
    <xdr:sp macro="" textlink="">
      <xdr:nvSpPr>
        <xdr:cNvPr id="21" name="Arrow Text $J$122"/>
        <xdr:cNvSpPr txBox="1"/>
      </xdr:nvSpPr>
      <xdr:spPr>
        <a:xfrm>
          <a:off x="1801813" y="1963737"/>
          <a:ext cx="440531" cy="65260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17.6%</a:t>
          </a:r>
        </a:p>
      </xdr:txBody>
    </xdr:sp>
    <xdr:clientData/>
  </xdr:twoCellAnchor>
  <xdr:twoCellAnchor>
    <xdr:from>
      <xdr:col>0</xdr:col>
      <xdr:colOff>158749</xdr:colOff>
      <xdr:row>7</xdr:row>
      <xdr:rowOff>39686</xdr:rowOff>
    </xdr:from>
    <xdr:to>
      <xdr:col>2</xdr:col>
      <xdr:colOff>569912</xdr:colOff>
      <xdr:row>10</xdr:row>
      <xdr:rowOff>127141</xdr:rowOff>
    </xdr:to>
    <xdr:sp macro="" textlink="">
      <xdr:nvSpPr>
        <xdr:cNvPr id="115" name="Arrow $H$122">
          <a:extLst>
            <a:ext uri="{FF2B5EF4-FFF2-40B4-BE49-F238E27FC236}">
              <a16:creationId xmlns:a16="http://schemas.microsoft.com/office/drawing/2014/main" id="{00000000-0008-0000-0400-000007000000}"/>
            </a:ext>
          </a:extLst>
        </xdr:cNvPr>
        <xdr:cNvSpPr/>
      </xdr:nvSpPr>
      <xdr:spPr>
        <a:xfrm>
          <a:off x="158749" y="1963736"/>
          <a:ext cx="1630363" cy="639905"/>
        </a:xfrm>
        <a:custGeom>
          <a:avLst/>
          <a:gdLst>
            <a:gd name="connsiteX0" fmla="*/ 137584 w 2741084"/>
            <a:gd name="connsiteY0" fmla="*/ 31750 h 2264833"/>
            <a:gd name="connsiteX1" fmla="*/ 1852084 w 2741084"/>
            <a:gd name="connsiteY1" fmla="*/ 0 h 2264833"/>
            <a:gd name="connsiteX2" fmla="*/ 2741084 w 2741084"/>
            <a:gd name="connsiteY2" fmla="*/ 1037167 h 2264833"/>
            <a:gd name="connsiteX3" fmla="*/ 1936750 w 2741084"/>
            <a:gd name="connsiteY3" fmla="*/ 2264833 h 2264833"/>
            <a:gd name="connsiteX4" fmla="*/ 0 w 2741084"/>
            <a:gd name="connsiteY4" fmla="*/ 2233083 h 2264833"/>
            <a:gd name="connsiteX5" fmla="*/ 137584 w 2741084"/>
            <a:gd name="connsiteY5" fmla="*/ 31750 h 22648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1852084 w 2741084"/>
            <a:gd name="connsiteY1" fmla="*/ 6350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741084"/>
            <a:gd name="connsiteY0" fmla="*/ 0 h 2328333"/>
            <a:gd name="connsiteX1" fmla="*/ 2673193 w 2741084"/>
            <a:gd name="connsiteY1" fmla="*/ 0 h 2328333"/>
            <a:gd name="connsiteX2" fmla="*/ 2741084 w 2741084"/>
            <a:gd name="connsiteY2" fmla="*/ 1100667 h 2328333"/>
            <a:gd name="connsiteX3" fmla="*/ 1936750 w 2741084"/>
            <a:gd name="connsiteY3" fmla="*/ 2328333 h 2328333"/>
            <a:gd name="connsiteX4" fmla="*/ 0 w 2741084"/>
            <a:gd name="connsiteY4" fmla="*/ 2296583 h 2328333"/>
            <a:gd name="connsiteX5" fmla="*/ 137584 w 2741084"/>
            <a:gd name="connsiteY5" fmla="*/ 95250 h 2328333"/>
            <a:gd name="connsiteX0" fmla="*/ 381885 w 2927783"/>
            <a:gd name="connsiteY0" fmla="*/ 0 h 5588000"/>
            <a:gd name="connsiteX1" fmla="*/ 2673193 w 2927783"/>
            <a:gd name="connsiteY1" fmla="*/ 0 h 5588000"/>
            <a:gd name="connsiteX2" fmla="*/ 2927783 w 2927783"/>
            <a:gd name="connsiteY2" fmla="*/ 5588000 h 5588000"/>
            <a:gd name="connsiteX3" fmla="*/ 1936750 w 2927783"/>
            <a:gd name="connsiteY3" fmla="*/ 2328333 h 5588000"/>
            <a:gd name="connsiteX4" fmla="*/ 0 w 2927783"/>
            <a:gd name="connsiteY4" fmla="*/ 2296583 h 5588000"/>
            <a:gd name="connsiteX5" fmla="*/ 137584 w 2927783"/>
            <a:gd name="connsiteY5" fmla="*/ 95250 h 5588000"/>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5588001"/>
            <a:gd name="connsiteX1" fmla="*/ 2673193 w 2927783"/>
            <a:gd name="connsiteY1" fmla="*/ 1 h 5588001"/>
            <a:gd name="connsiteX2" fmla="*/ 2927783 w 2927783"/>
            <a:gd name="connsiteY2" fmla="*/ 5588001 h 5588001"/>
            <a:gd name="connsiteX3" fmla="*/ 1936750 w 2927783"/>
            <a:gd name="connsiteY3" fmla="*/ 2328334 h 5588001"/>
            <a:gd name="connsiteX4" fmla="*/ 0 w 2927783"/>
            <a:gd name="connsiteY4" fmla="*/ 2296584 h 5588001"/>
            <a:gd name="connsiteX5" fmla="*/ 137584 w 2927783"/>
            <a:gd name="connsiteY5" fmla="*/ 95251 h 5588001"/>
            <a:gd name="connsiteX0" fmla="*/ 381885 w 2927783"/>
            <a:gd name="connsiteY0" fmla="*/ 0 h 2328334"/>
            <a:gd name="connsiteX1" fmla="*/ 2673193 w 2927783"/>
            <a:gd name="connsiteY1" fmla="*/ 1 h 2328334"/>
            <a:gd name="connsiteX2" fmla="*/ 2927783 w 2927783"/>
            <a:gd name="connsiteY2" fmla="*/ 1905001 h 2328334"/>
            <a:gd name="connsiteX3" fmla="*/ 1936750 w 2927783"/>
            <a:gd name="connsiteY3" fmla="*/ 2328334 h 2328334"/>
            <a:gd name="connsiteX4" fmla="*/ 0 w 2927783"/>
            <a:gd name="connsiteY4" fmla="*/ 2296584 h 2328334"/>
            <a:gd name="connsiteX5" fmla="*/ 137584 w 2927783"/>
            <a:gd name="connsiteY5" fmla="*/ 95251 h 2328334"/>
            <a:gd name="connsiteX0" fmla="*/ 381885 w 2927783"/>
            <a:gd name="connsiteY0" fmla="*/ 0 h 3810001"/>
            <a:gd name="connsiteX1" fmla="*/ 2673193 w 2927783"/>
            <a:gd name="connsiteY1" fmla="*/ 1 h 3810001"/>
            <a:gd name="connsiteX2" fmla="*/ 2927783 w 2927783"/>
            <a:gd name="connsiteY2" fmla="*/ 1905001 h 3810001"/>
            <a:gd name="connsiteX3" fmla="*/ 2673193 w 2927783"/>
            <a:gd name="connsiteY3" fmla="*/ 3810001 h 3810001"/>
            <a:gd name="connsiteX4" fmla="*/ 0 w 2927783"/>
            <a:gd name="connsiteY4" fmla="*/ 2296584 h 3810001"/>
            <a:gd name="connsiteX5" fmla="*/ 137584 w 2927783"/>
            <a:gd name="connsiteY5" fmla="*/ 95251 h 3810001"/>
            <a:gd name="connsiteX0" fmla="*/ 244301 w 2790199"/>
            <a:gd name="connsiteY0" fmla="*/ 0 h 3810001"/>
            <a:gd name="connsiteX1" fmla="*/ 2535609 w 2790199"/>
            <a:gd name="connsiteY1" fmla="*/ 1 h 3810001"/>
            <a:gd name="connsiteX2" fmla="*/ 2790199 w 2790199"/>
            <a:gd name="connsiteY2" fmla="*/ 1905001 h 3810001"/>
            <a:gd name="connsiteX3" fmla="*/ 2535609 w 2790199"/>
            <a:gd name="connsiteY3" fmla="*/ 3810001 h 3810001"/>
            <a:gd name="connsiteX4" fmla="*/ 244301 w 2790199"/>
            <a:gd name="connsiteY4" fmla="*/ 3810001 h 3810001"/>
            <a:gd name="connsiteX5" fmla="*/ 0 w 2790199"/>
            <a:gd name="connsiteY5" fmla="*/ 95251 h 3810001"/>
            <a:gd name="connsiteX0" fmla="*/ 0 w 2545898"/>
            <a:gd name="connsiteY0" fmla="*/ 0 h 3810001"/>
            <a:gd name="connsiteX1" fmla="*/ 2291308 w 2545898"/>
            <a:gd name="connsiteY1" fmla="*/ 1 h 3810001"/>
            <a:gd name="connsiteX2" fmla="*/ 2545898 w 2545898"/>
            <a:gd name="connsiteY2" fmla="*/ 1905001 h 3810001"/>
            <a:gd name="connsiteX3" fmla="*/ 2291308 w 2545898"/>
            <a:gd name="connsiteY3" fmla="*/ 3810001 h 3810001"/>
            <a:gd name="connsiteX4" fmla="*/ 0 w 2545898"/>
            <a:gd name="connsiteY4" fmla="*/ 3810001 h 3810001"/>
            <a:gd name="connsiteX5" fmla="*/ 0 w 2545898"/>
            <a:gd name="connsiteY5" fmla="*/ 1 h 3810001"/>
            <a:gd name="connsiteX0" fmla="*/ 0 w 6079495"/>
            <a:gd name="connsiteY0" fmla="*/ 0 h 3850324"/>
            <a:gd name="connsiteX1" fmla="*/ 5824905 w 6079495"/>
            <a:gd name="connsiteY1" fmla="*/ 40324 h 3850324"/>
            <a:gd name="connsiteX2" fmla="*/ 6079495 w 6079495"/>
            <a:gd name="connsiteY2" fmla="*/ 1945324 h 3850324"/>
            <a:gd name="connsiteX3" fmla="*/ 5824905 w 6079495"/>
            <a:gd name="connsiteY3" fmla="*/ 3850324 h 3850324"/>
            <a:gd name="connsiteX4" fmla="*/ 3533597 w 6079495"/>
            <a:gd name="connsiteY4" fmla="*/ 3850324 h 3850324"/>
            <a:gd name="connsiteX5" fmla="*/ 3533597 w 6079495"/>
            <a:gd name="connsiteY5" fmla="*/ 40324 h 3850324"/>
            <a:gd name="connsiteX0" fmla="*/ 0 w 6079495"/>
            <a:gd name="connsiteY0" fmla="*/ 0 h 3850324"/>
            <a:gd name="connsiteX1" fmla="*/ 3509316 w 6079495"/>
            <a:gd name="connsiteY1" fmla="*/ 4 h 3850324"/>
            <a:gd name="connsiteX2" fmla="*/ 6079495 w 6079495"/>
            <a:gd name="connsiteY2" fmla="*/ 1945324 h 3850324"/>
            <a:gd name="connsiteX3" fmla="*/ 5824905 w 6079495"/>
            <a:gd name="connsiteY3" fmla="*/ 3850324 h 3850324"/>
            <a:gd name="connsiteX4" fmla="*/ 3533597 w 6079495"/>
            <a:gd name="connsiteY4" fmla="*/ 3850324 h 3850324"/>
            <a:gd name="connsiteX5" fmla="*/ 3533597 w 6079495"/>
            <a:gd name="connsiteY5" fmla="*/ 40324 h 3850324"/>
            <a:gd name="connsiteX0" fmla="*/ 0 w 5824905"/>
            <a:gd name="connsiteY0" fmla="*/ 0 h 3850324"/>
            <a:gd name="connsiteX1" fmla="*/ 3509316 w 5824905"/>
            <a:gd name="connsiteY1" fmla="*/ 4 h 3850324"/>
            <a:gd name="connsiteX2" fmla="*/ 4156940 w 5824905"/>
            <a:gd name="connsiteY2" fmla="*/ 1184197 h 3850324"/>
            <a:gd name="connsiteX3" fmla="*/ 5824905 w 5824905"/>
            <a:gd name="connsiteY3" fmla="*/ 3850324 h 3850324"/>
            <a:gd name="connsiteX4" fmla="*/ 3533597 w 5824905"/>
            <a:gd name="connsiteY4" fmla="*/ 3850324 h 3850324"/>
            <a:gd name="connsiteX5" fmla="*/ 3533597 w 5824905"/>
            <a:gd name="connsiteY5" fmla="*/ 40324 h 3850324"/>
            <a:gd name="connsiteX0" fmla="*/ 0 w 4156941"/>
            <a:gd name="connsiteY0" fmla="*/ 0 h 3850324"/>
            <a:gd name="connsiteX1" fmla="*/ 3509316 w 4156941"/>
            <a:gd name="connsiteY1" fmla="*/ 4 h 3850324"/>
            <a:gd name="connsiteX2" fmla="*/ 4156940 w 4156941"/>
            <a:gd name="connsiteY2" fmla="*/ 1184197 h 3850324"/>
            <a:gd name="connsiteX3" fmla="*/ 3509319 w 4156941"/>
            <a:gd name="connsiteY3" fmla="*/ 2322300 h 3850324"/>
            <a:gd name="connsiteX4" fmla="*/ 3533597 w 4156941"/>
            <a:gd name="connsiteY4" fmla="*/ 3850324 h 3850324"/>
            <a:gd name="connsiteX5" fmla="*/ 3533597 w 4156941"/>
            <a:gd name="connsiteY5" fmla="*/ 40324 h 3850324"/>
            <a:gd name="connsiteX0" fmla="*/ 0 w 4156941"/>
            <a:gd name="connsiteY0" fmla="*/ 0 h 2322300"/>
            <a:gd name="connsiteX1" fmla="*/ 3509316 w 4156941"/>
            <a:gd name="connsiteY1" fmla="*/ 4 h 2322300"/>
            <a:gd name="connsiteX2" fmla="*/ 4156940 w 4156941"/>
            <a:gd name="connsiteY2" fmla="*/ 1184197 h 2322300"/>
            <a:gd name="connsiteX3" fmla="*/ 3509319 w 4156941"/>
            <a:gd name="connsiteY3" fmla="*/ 2322300 h 2322300"/>
            <a:gd name="connsiteX4" fmla="*/ 3 w 4156941"/>
            <a:gd name="connsiteY4" fmla="*/ 2322300 h 2322300"/>
            <a:gd name="connsiteX5" fmla="*/ 3533597 w 4156941"/>
            <a:gd name="connsiteY5" fmla="*/ 40324 h 2322300"/>
            <a:gd name="connsiteX0" fmla="*/ 0 w 4156941"/>
            <a:gd name="connsiteY0" fmla="*/ 0 h 2322300"/>
            <a:gd name="connsiteX1" fmla="*/ 3509316 w 4156941"/>
            <a:gd name="connsiteY1" fmla="*/ 4 h 2322300"/>
            <a:gd name="connsiteX2" fmla="*/ 4156940 w 4156941"/>
            <a:gd name="connsiteY2" fmla="*/ 1184197 h 2322300"/>
            <a:gd name="connsiteX3" fmla="*/ 3509319 w 4156941"/>
            <a:gd name="connsiteY3" fmla="*/ 2322300 h 2322300"/>
            <a:gd name="connsiteX4" fmla="*/ 3 w 4156941"/>
            <a:gd name="connsiteY4" fmla="*/ 2322300 h 2322300"/>
            <a:gd name="connsiteX5" fmla="*/ 3 w 4156941"/>
            <a:gd name="connsiteY5" fmla="*/ 4 h 23223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156941" h="2322300">
              <a:moveTo>
                <a:pt x="0" y="0"/>
              </a:moveTo>
              <a:lnTo>
                <a:pt x="3509316" y="4"/>
              </a:lnTo>
              <a:lnTo>
                <a:pt x="4156940" y="1184197"/>
              </a:lnTo>
              <a:lnTo>
                <a:pt x="3509319" y="2322300"/>
              </a:lnTo>
              <a:lnTo>
                <a:pt x="3" y="2322300"/>
              </a:lnTo>
              <a:lnTo>
                <a:pt x="3" y="4"/>
              </a:lnTo>
              <a:close/>
            </a:path>
          </a:pathLst>
        </a:custGeom>
        <a:solidFill>
          <a:srgbClr val="007E97"/>
        </a:solidFill>
        <a:ln>
          <a:noFill/>
        </a:ln>
        <a:scene3d>
          <a:camera prst="orthographicFront"/>
          <a:lightRig rig="threePt" dir="t"/>
        </a:scene3d>
        <a:sp3d>
          <a:bevelT w="381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chorCtr="1"/>
        <a:lstStyle/>
        <a:p>
          <a:pPr algn="l"/>
          <a:endParaRPr lang="en-GB" sz="1100"/>
        </a:p>
      </xdr:txBody>
    </xdr:sp>
    <xdr:clientData/>
  </xdr:twoCellAnchor>
  <xdr:twoCellAnchor>
    <xdr:from>
      <xdr:col>0</xdr:col>
      <xdr:colOff>158750</xdr:colOff>
      <xdr:row>7</xdr:row>
      <xdr:rowOff>39687</xdr:rowOff>
    </xdr:from>
    <xdr:to>
      <xdr:col>2</xdr:col>
      <xdr:colOff>328613</xdr:colOff>
      <xdr:row>10</xdr:row>
      <xdr:rowOff>139840</xdr:rowOff>
    </xdr:to>
    <xdr:sp macro="" textlink="">
      <xdr:nvSpPr>
        <xdr:cNvPr id="22" name="Arrow Text $H$122"/>
        <xdr:cNvSpPr txBox="1"/>
      </xdr:nvSpPr>
      <xdr:spPr>
        <a:xfrm>
          <a:off x="158750" y="1963737"/>
          <a:ext cx="1389063" cy="652603"/>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bg1"/>
              </a:solidFill>
            </a:rPr>
            <a:t>WC CONNECTED TO SEWER</a:t>
          </a:r>
        </a:p>
      </xdr:txBody>
    </xdr:sp>
    <xdr:clientData/>
  </xdr:twoCellAnchor>
  <xdr:twoCellAnchor>
    <xdr:from>
      <xdr:col>2</xdr:col>
      <xdr:colOff>328613</xdr:colOff>
      <xdr:row>32</xdr:row>
      <xdr:rowOff>138747</xdr:rowOff>
    </xdr:from>
    <xdr:to>
      <xdr:col>4</xdr:col>
      <xdr:colOff>498475</xdr:colOff>
      <xdr:row>34</xdr:row>
      <xdr:rowOff>57150</xdr:rowOff>
    </xdr:to>
    <xdr:sp macro="" textlink="">
      <xdr:nvSpPr>
        <xdr:cNvPr id="23" name="Flow Summary"/>
        <xdr:cNvSpPr/>
      </xdr:nvSpPr>
      <xdr:spPr>
        <a:xfrm>
          <a:off x="1547813" y="6666547"/>
          <a:ext cx="1389062" cy="286703"/>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90.3%</a:t>
          </a:r>
        </a:p>
      </xdr:txBody>
    </xdr:sp>
    <xdr:clientData/>
  </xdr:twoCellAnchor>
  <xdr:twoCellAnchor>
    <xdr:from>
      <xdr:col>2</xdr:col>
      <xdr:colOff>328613</xdr:colOff>
      <xdr:row>34</xdr:row>
      <xdr:rowOff>57150</xdr:rowOff>
    </xdr:from>
    <xdr:to>
      <xdr:col>4</xdr:col>
      <xdr:colOff>498475</xdr:colOff>
      <xdr:row>34</xdr:row>
      <xdr:rowOff>87947</xdr:rowOff>
    </xdr:to>
    <xdr:sp macro="" textlink="">
      <xdr:nvSpPr>
        <xdr:cNvPr id="24" name="Flow Summary"/>
        <xdr:cNvSpPr/>
      </xdr:nvSpPr>
      <xdr:spPr>
        <a:xfrm>
          <a:off x="1547813" y="6953250"/>
          <a:ext cx="1389062" cy="30797"/>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328613</xdr:colOff>
      <xdr:row>34</xdr:row>
      <xdr:rowOff>87947</xdr:rowOff>
    </xdr:from>
    <xdr:to>
      <xdr:col>4</xdr:col>
      <xdr:colOff>498476</xdr:colOff>
      <xdr:row>35</xdr:row>
      <xdr:rowOff>56197</xdr:rowOff>
    </xdr:to>
    <xdr:sp macro="" textlink="">
      <xdr:nvSpPr>
        <xdr:cNvPr id="25" name="Flow Summary Value"/>
        <xdr:cNvSpPr txBox="1"/>
      </xdr:nvSpPr>
      <xdr:spPr>
        <a:xfrm>
          <a:off x="1547813" y="6984047"/>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9.7%</a:t>
          </a:r>
        </a:p>
      </xdr:txBody>
    </xdr:sp>
    <xdr:clientData/>
  </xdr:twoCellAnchor>
  <xdr:twoCellAnchor>
    <xdr:from>
      <xdr:col>2</xdr:col>
      <xdr:colOff>328613</xdr:colOff>
      <xdr:row>31</xdr:row>
      <xdr:rowOff>127000</xdr:rowOff>
    </xdr:from>
    <xdr:to>
      <xdr:col>4</xdr:col>
      <xdr:colOff>498476</xdr:colOff>
      <xdr:row>32</xdr:row>
      <xdr:rowOff>95250</xdr:rowOff>
    </xdr:to>
    <xdr:sp macro="" textlink="">
      <xdr:nvSpPr>
        <xdr:cNvPr id="26" name="Flow Summary Label"/>
        <xdr:cNvSpPr txBox="1"/>
      </xdr:nvSpPr>
      <xdr:spPr>
        <a:xfrm>
          <a:off x="1547813"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CAPTURE</a:t>
          </a:r>
        </a:p>
      </xdr:txBody>
    </xdr:sp>
    <xdr:clientData/>
  </xdr:twoCellAnchor>
  <xdr:twoCellAnchor>
    <xdr:from>
      <xdr:col>4</xdr:col>
      <xdr:colOff>498475</xdr:colOff>
      <xdr:row>32</xdr:row>
      <xdr:rowOff>142240</xdr:rowOff>
    </xdr:from>
    <xdr:to>
      <xdr:col>7</xdr:col>
      <xdr:colOff>58738</xdr:colOff>
      <xdr:row>34</xdr:row>
      <xdr:rowOff>57150</xdr:rowOff>
    </xdr:to>
    <xdr:sp macro="" textlink="">
      <xdr:nvSpPr>
        <xdr:cNvPr id="27" name="Flow Summary"/>
        <xdr:cNvSpPr/>
      </xdr:nvSpPr>
      <xdr:spPr>
        <a:xfrm>
          <a:off x="2936875" y="6670040"/>
          <a:ext cx="1389063" cy="283210"/>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89.2%</a:t>
          </a:r>
        </a:p>
      </xdr:txBody>
    </xdr:sp>
    <xdr:clientData/>
  </xdr:twoCellAnchor>
  <xdr:twoCellAnchor>
    <xdr:from>
      <xdr:col>4</xdr:col>
      <xdr:colOff>498475</xdr:colOff>
      <xdr:row>34</xdr:row>
      <xdr:rowOff>57150</xdr:rowOff>
    </xdr:from>
    <xdr:to>
      <xdr:col>7</xdr:col>
      <xdr:colOff>58738</xdr:colOff>
      <xdr:row>34</xdr:row>
      <xdr:rowOff>60643</xdr:rowOff>
    </xdr:to>
    <xdr:sp macro="" textlink="">
      <xdr:nvSpPr>
        <xdr:cNvPr id="28" name="Flow Summary"/>
        <xdr:cNvSpPr/>
      </xdr:nvSpPr>
      <xdr:spPr>
        <a:xfrm>
          <a:off x="2936875" y="6953250"/>
          <a:ext cx="1389063" cy="3493"/>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498475</xdr:colOff>
      <xdr:row>34</xdr:row>
      <xdr:rowOff>60643</xdr:rowOff>
    </xdr:from>
    <xdr:to>
      <xdr:col>7</xdr:col>
      <xdr:colOff>58738</xdr:colOff>
      <xdr:row>35</xdr:row>
      <xdr:rowOff>28893</xdr:rowOff>
    </xdr:to>
    <xdr:sp macro="" textlink="">
      <xdr:nvSpPr>
        <xdr:cNvPr id="29" name="Flow Summary Value"/>
        <xdr:cNvSpPr txBox="1"/>
      </xdr:nvSpPr>
      <xdr:spPr>
        <a:xfrm>
          <a:off x="2936875" y="6956743"/>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1.1%</a:t>
          </a:r>
        </a:p>
      </xdr:txBody>
    </xdr:sp>
    <xdr:clientData/>
  </xdr:twoCellAnchor>
  <xdr:twoCellAnchor>
    <xdr:from>
      <xdr:col>4</xdr:col>
      <xdr:colOff>498475</xdr:colOff>
      <xdr:row>31</xdr:row>
      <xdr:rowOff>127000</xdr:rowOff>
    </xdr:from>
    <xdr:to>
      <xdr:col>7</xdr:col>
      <xdr:colOff>58738</xdr:colOff>
      <xdr:row>32</xdr:row>
      <xdr:rowOff>95250</xdr:rowOff>
    </xdr:to>
    <xdr:sp macro="" textlink="">
      <xdr:nvSpPr>
        <xdr:cNvPr id="30" name="Flow Summary Label"/>
        <xdr:cNvSpPr txBox="1"/>
      </xdr:nvSpPr>
      <xdr:spPr>
        <a:xfrm>
          <a:off x="2936875"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CONTAINMENT</a:t>
          </a:r>
        </a:p>
      </xdr:txBody>
    </xdr:sp>
    <xdr:clientData/>
  </xdr:twoCellAnchor>
  <xdr:twoCellAnchor>
    <xdr:from>
      <xdr:col>7</xdr:col>
      <xdr:colOff>58738</xdr:colOff>
      <xdr:row>32</xdr:row>
      <xdr:rowOff>142240</xdr:rowOff>
    </xdr:from>
    <xdr:to>
      <xdr:col>9</xdr:col>
      <xdr:colOff>228600</xdr:colOff>
      <xdr:row>34</xdr:row>
      <xdr:rowOff>57150</xdr:rowOff>
    </xdr:to>
    <xdr:sp macro="" textlink="">
      <xdr:nvSpPr>
        <xdr:cNvPr id="31" name="Flow Summary"/>
        <xdr:cNvSpPr/>
      </xdr:nvSpPr>
      <xdr:spPr>
        <a:xfrm>
          <a:off x="4325938" y="6670040"/>
          <a:ext cx="1389062" cy="283210"/>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89.2%</a:t>
          </a:r>
        </a:p>
      </xdr:txBody>
    </xdr:sp>
    <xdr:clientData/>
  </xdr:twoCellAnchor>
  <xdr:twoCellAnchor>
    <xdr:from>
      <xdr:col>7</xdr:col>
      <xdr:colOff>58738</xdr:colOff>
      <xdr:row>34</xdr:row>
      <xdr:rowOff>57150</xdr:rowOff>
    </xdr:from>
    <xdr:to>
      <xdr:col>9</xdr:col>
      <xdr:colOff>228600</xdr:colOff>
      <xdr:row>34</xdr:row>
      <xdr:rowOff>57150</xdr:rowOff>
    </xdr:to>
    <xdr:sp macro="" textlink="">
      <xdr:nvSpPr>
        <xdr:cNvPr id="32" name="Flow Summary"/>
        <xdr:cNvSpPr/>
      </xdr:nvSpPr>
      <xdr:spPr>
        <a:xfrm>
          <a:off x="4325938" y="6953250"/>
          <a:ext cx="1389062" cy="0"/>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58738</xdr:colOff>
      <xdr:row>34</xdr:row>
      <xdr:rowOff>57150</xdr:rowOff>
    </xdr:from>
    <xdr:to>
      <xdr:col>9</xdr:col>
      <xdr:colOff>228601</xdr:colOff>
      <xdr:row>35</xdr:row>
      <xdr:rowOff>25400</xdr:rowOff>
    </xdr:to>
    <xdr:sp macro="" textlink="">
      <xdr:nvSpPr>
        <xdr:cNvPr id="33" name="Flow Summary Value"/>
        <xdr:cNvSpPr txBox="1"/>
      </xdr:nvSpPr>
      <xdr:spPr>
        <a:xfrm>
          <a:off x="4325938" y="69532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0.0%</a:t>
          </a:r>
        </a:p>
      </xdr:txBody>
    </xdr:sp>
    <xdr:clientData/>
  </xdr:twoCellAnchor>
  <xdr:twoCellAnchor>
    <xdr:from>
      <xdr:col>7</xdr:col>
      <xdr:colOff>58738</xdr:colOff>
      <xdr:row>31</xdr:row>
      <xdr:rowOff>127000</xdr:rowOff>
    </xdr:from>
    <xdr:to>
      <xdr:col>9</xdr:col>
      <xdr:colOff>228601</xdr:colOff>
      <xdr:row>32</xdr:row>
      <xdr:rowOff>95250</xdr:rowOff>
    </xdr:to>
    <xdr:sp macro="" textlink="">
      <xdr:nvSpPr>
        <xdr:cNvPr id="34" name="Flow Summary Label"/>
        <xdr:cNvSpPr txBox="1"/>
      </xdr:nvSpPr>
      <xdr:spPr>
        <a:xfrm>
          <a:off x="4325938"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EMPTYING</a:t>
          </a:r>
        </a:p>
      </xdr:txBody>
    </xdr:sp>
    <xdr:clientData/>
  </xdr:twoCellAnchor>
  <xdr:twoCellAnchor>
    <xdr:from>
      <xdr:col>9</xdr:col>
      <xdr:colOff>228600</xdr:colOff>
      <xdr:row>34</xdr:row>
      <xdr:rowOff>6985</xdr:rowOff>
    </xdr:from>
    <xdr:to>
      <xdr:col>11</xdr:col>
      <xdr:colOff>398463</xdr:colOff>
      <xdr:row>34</xdr:row>
      <xdr:rowOff>57150</xdr:rowOff>
    </xdr:to>
    <xdr:sp macro="" textlink="">
      <xdr:nvSpPr>
        <xdr:cNvPr id="35" name="Flow Summary"/>
        <xdr:cNvSpPr/>
      </xdr:nvSpPr>
      <xdr:spPr>
        <a:xfrm>
          <a:off x="5715000" y="6903085"/>
          <a:ext cx="1389063" cy="50165"/>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228600</xdr:colOff>
      <xdr:row>33</xdr:row>
      <xdr:rowOff>38735</xdr:rowOff>
    </xdr:from>
    <xdr:to>
      <xdr:col>11</xdr:col>
      <xdr:colOff>398463</xdr:colOff>
      <xdr:row>34</xdr:row>
      <xdr:rowOff>6985</xdr:rowOff>
    </xdr:to>
    <xdr:sp macro="" textlink="">
      <xdr:nvSpPr>
        <xdr:cNvPr id="36" name="Flow Summary Value"/>
        <xdr:cNvSpPr txBox="1"/>
      </xdr:nvSpPr>
      <xdr:spPr>
        <a:xfrm>
          <a:off x="5715000" y="6750685"/>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15.8%</a:t>
          </a:r>
        </a:p>
      </xdr:txBody>
    </xdr:sp>
    <xdr:clientData/>
  </xdr:twoCellAnchor>
  <xdr:twoCellAnchor>
    <xdr:from>
      <xdr:col>9</xdr:col>
      <xdr:colOff>228600</xdr:colOff>
      <xdr:row>34</xdr:row>
      <xdr:rowOff>57150</xdr:rowOff>
    </xdr:from>
    <xdr:to>
      <xdr:col>11</xdr:col>
      <xdr:colOff>398463</xdr:colOff>
      <xdr:row>35</xdr:row>
      <xdr:rowOff>106045</xdr:rowOff>
    </xdr:to>
    <xdr:sp macro="" textlink="">
      <xdr:nvSpPr>
        <xdr:cNvPr id="37" name="Flow Summary"/>
        <xdr:cNvSpPr/>
      </xdr:nvSpPr>
      <xdr:spPr>
        <a:xfrm>
          <a:off x="5715000" y="6953250"/>
          <a:ext cx="1389063" cy="233045"/>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73.4%</a:t>
          </a:r>
        </a:p>
      </xdr:txBody>
    </xdr:sp>
    <xdr:clientData/>
  </xdr:twoCellAnchor>
  <xdr:twoCellAnchor>
    <xdr:from>
      <xdr:col>9</xdr:col>
      <xdr:colOff>228600</xdr:colOff>
      <xdr:row>31</xdr:row>
      <xdr:rowOff>127000</xdr:rowOff>
    </xdr:from>
    <xdr:to>
      <xdr:col>11</xdr:col>
      <xdr:colOff>398463</xdr:colOff>
      <xdr:row>32</xdr:row>
      <xdr:rowOff>95250</xdr:rowOff>
    </xdr:to>
    <xdr:sp macro="" textlink="">
      <xdr:nvSpPr>
        <xdr:cNvPr id="38" name="Flow Summary Label"/>
        <xdr:cNvSpPr txBox="1"/>
      </xdr:nvSpPr>
      <xdr:spPr>
        <a:xfrm>
          <a:off x="5715000"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TRANSPORT</a:t>
          </a:r>
        </a:p>
      </xdr:txBody>
    </xdr:sp>
    <xdr:clientData/>
  </xdr:twoCellAnchor>
  <xdr:twoCellAnchor>
    <xdr:from>
      <xdr:col>11</xdr:col>
      <xdr:colOff>398463</xdr:colOff>
      <xdr:row>34</xdr:row>
      <xdr:rowOff>39688</xdr:rowOff>
    </xdr:from>
    <xdr:to>
      <xdr:col>13</xdr:col>
      <xdr:colOff>568325</xdr:colOff>
      <xdr:row>34</xdr:row>
      <xdr:rowOff>57150</xdr:rowOff>
    </xdr:to>
    <xdr:sp macro="" textlink="">
      <xdr:nvSpPr>
        <xdr:cNvPr id="39" name="Flow Summary"/>
        <xdr:cNvSpPr/>
      </xdr:nvSpPr>
      <xdr:spPr>
        <a:xfrm>
          <a:off x="7104063" y="6935788"/>
          <a:ext cx="1389062" cy="17462"/>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398463</xdr:colOff>
      <xdr:row>33</xdr:row>
      <xdr:rowOff>71438</xdr:rowOff>
    </xdr:from>
    <xdr:to>
      <xdr:col>13</xdr:col>
      <xdr:colOff>568326</xdr:colOff>
      <xdr:row>34</xdr:row>
      <xdr:rowOff>39688</xdr:rowOff>
    </xdr:to>
    <xdr:sp macro="" textlink="">
      <xdr:nvSpPr>
        <xdr:cNvPr id="40" name="Flow Summary Value"/>
        <xdr:cNvSpPr txBox="1"/>
      </xdr:nvSpPr>
      <xdr:spPr>
        <a:xfrm>
          <a:off x="7104063" y="6783388"/>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5.5%</a:t>
          </a:r>
        </a:p>
      </xdr:txBody>
    </xdr:sp>
    <xdr:clientData/>
  </xdr:twoCellAnchor>
  <xdr:twoCellAnchor>
    <xdr:from>
      <xdr:col>11</xdr:col>
      <xdr:colOff>398463</xdr:colOff>
      <xdr:row>34</xdr:row>
      <xdr:rowOff>57150</xdr:rowOff>
    </xdr:from>
    <xdr:to>
      <xdr:col>13</xdr:col>
      <xdr:colOff>568325</xdr:colOff>
      <xdr:row>34</xdr:row>
      <xdr:rowOff>89853</xdr:rowOff>
    </xdr:to>
    <xdr:sp macro="" textlink="">
      <xdr:nvSpPr>
        <xdr:cNvPr id="41" name="Flow Summary"/>
        <xdr:cNvSpPr/>
      </xdr:nvSpPr>
      <xdr:spPr>
        <a:xfrm>
          <a:off x="7104063" y="6953250"/>
          <a:ext cx="1389062" cy="32703"/>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11</xdr:col>
      <xdr:colOff>398463</xdr:colOff>
      <xdr:row>34</xdr:row>
      <xdr:rowOff>89853</xdr:rowOff>
    </xdr:from>
    <xdr:to>
      <xdr:col>13</xdr:col>
      <xdr:colOff>568326</xdr:colOff>
      <xdr:row>35</xdr:row>
      <xdr:rowOff>58103</xdr:rowOff>
    </xdr:to>
    <xdr:sp macro="" textlink="">
      <xdr:nvSpPr>
        <xdr:cNvPr id="42" name="Flow Summary Value"/>
        <xdr:cNvSpPr txBox="1"/>
      </xdr:nvSpPr>
      <xdr:spPr>
        <a:xfrm>
          <a:off x="7104063" y="6985953"/>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10.3%</a:t>
          </a:r>
        </a:p>
      </xdr:txBody>
    </xdr:sp>
    <xdr:clientData/>
  </xdr:twoCellAnchor>
  <xdr:twoCellAnchor>
    <xdr:from>
      <xdr:col>11</xdr:col>
      <xdr:colOff>398463</xdr:colOff>
      <xdr:row>31</xdr:row>
      <xdr:rowOff>127000</xdr:rowOff>
    </xdr:from>
    <xdr:to>
      <xdr:col>13</xdr:col>
      <xdr:colOff>568326</xdr:colOff>
      <xdr:row>32</xdr:row>
      <xdr:rowOff>95250</xdr:rowOff>
    </xdr:to>
    <xdr:sp macro="" textlink="">
      <xdr:nvSpPr>
        <xdr:cNvPr id="43" name="Flow Summary Label"/>
        <xdr:cNvSpPr txBox="1"/>
      </xdr:nvSpPr>
      <xdr:spPr>
        <a:xfrm>
          <a:off x="7104063"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TREATMENT</a:t>
          </a:r>
        </a:p>
      </xdr:txBody>
    </xdr:sp>
    <xdr:clientData/>
  </xdr:twoCellAnchor>
  <xdr:twoCellAnchor>
    <xdr:from>
      <xdr:col>13</xdr:col>
      <xdr:colOff>568325</xdr:colOff>
      <xdr:row>34</xdr:row>
      <xdr:rowOff>39688</xdr:rowOff>
    </xdr:from>
    <xdr:to>
      <xdr:col>16</xdr:col>
      <xdr:colOff>128588</xdr:colOff>
      <xdr:row>34</xdr:row>
      <xdr:rowOff>57150</xdr:rowOff>
    </xdr:to>
    <xdr:sp macro="" textlink="">
      <xdr:nvSpPr>
        <xdr:cNvPr id="44" name="Flow Summary"/>
        <xdr:cNvSpPr/>
      </xdr:nvSpPr>
      <xdr:spPr>
        <a:xfrm>
          <a:off x="8493125" y="6935788"/>
          <a:ext cx="1389063" cy="17462"/>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568325</xdr:colOff>
      <xdr:row>33</xdr:row>
      <xdr:rowOff>71438</xdr:rowOff>
    </xdr:from>
    <xdr:to>
      <xdr:col>16</xdr:col>
      <xdr:colOff>128588</xdr:colOff>
      <xdr:row>34</xdr:row>
      <xdr:rowOff>39688</xdr:rowOff>
    </xdr:to>
    <xdr:sp macro="" textlink="">
      <xdr:nvSpPr>
        <xdr:cNvPr id="45" name="Flow Summary Value"/>
        <xdr:cNvSpPr txBox="1"/>
      </xdr:nvSpPr>
      <xdr:spPr>
        <a:xfrm>
          <a:off x="8493125" y="6783388"/>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5.5%</a:t>
          </a:r>
        </a:p>
      </xdr:txBody>
    </xdr:sp>
    <xdr:clientData/>
  </xdr:twoCellAnchor>
  <xdr:twoCellAnchor>
    <xdr:from>
      <xdr:col>13</xdr:col>
      <xdr:colOff>568325</xdr:colOff>
      <xdr:row>34</xdr:row>
      <xdr:rowOff>57150</xdr:rowOff>
    </xdr:from>
    <xdr:to>
      <xdr:col>16</xdr:col>
      <xdr:colOff>128588</xdr:colOff>
      <xdr:row>34</xdr:row>
      <xdr:rowOff>57150</xdr:rowOff>
    </xdr:to>
    <xdr:sp macro="" textlink="">
      <xdr:nvSpPr>
        <xdr:cNvPr id="46" name="Flow Summary"/>
        <xdr:cNvSpPr/>
      </xdr:nvSpPr>
      <xdr:spPr>
        <a:xfrm>
          <a:off x="8493125" y="6953250"/>
          <a:ext cx="1389063" cy="0"/>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13</xdr:col>
      <xdr:colOff>568325</xdr:colOff>
      <xdr:row>34</xdr:row>
      <xdr:rowOff>57150</xdr:rowOff>
    </xdr:from>
    <xdr:to>
      <xdr:col>16</xdr:col>
      <xdr:colOff>128588</xdr:colOff>
      <xdr:row>35</xdr:row>
      <xdr:rowOff>25400</xdr:rowOff>
    </xdr:to>
    <xdr:sp macro="" textlink="">
      <xdr:nvSpPr>
        <xdr:cNvPr id="47" name="Flow Summary Value"/>
        <xdr:cNvSpPr txBox="1"/>
      </xdr:nvSpPr>
      <xdr:spPr>
        <a:xfrm>
          <a:off x="8493125" y="69532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0.0%</a:t>
          </a:r>
        </a:p>
      </xdr:txBody>
    </xdr:sp>
    <xdr:clientData/>
  </xdr:twoCellAnchor>
  <xdr:twoCellAnchor>
    <xdr:from>
      <xdr:col>13</xdr:col>
      <xdr:colOff>568325</xdr:colOff>
      <xdr:row>31</xdr:row>
      <xdr:rowOff>127000</xdr:rowOff>
    </xdr:from>
    <xdr:to>
      <xdr:col>16</xdr:col>
      <xdr:colOff>128588</xdr:colOff>
      <xdr:row>32</xdr:row>
      <xdr:rowOff>95250</xdr:rowOff>
    </xdr:to>
    <xdr:sp macro="" textlink="">
      <xdr:nvSpPr>
        <xdr:cNvPr id="48" name="Flow Summary Label"/>
        <xdr:cNvSpPr txBox="1"/>
      </xdr:nvSpPr>
      <xdr:spPr>
        <a:xfrm>
          <a:off x="8493125"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DISPOSAL OR REUSE</a:t>
          </a:r>
        </a:p>
      </xdr:txBody>
    </xdr:sp>
    <xdr:clientData/>
  </xdr:twoCellAnchor>
  <xdr:twoCellAnchor>
    <xdr:from>
      <xdr:col>16</xdr:col>
      <xdr:colOff>128588</xdr:colOff>
      <xdr:row>34</xdr:row>
      <xdr:rowOff>39688</xdr:rowOff>
    </xdr:from>
    <xdr:to>
      <xdr:col>18</xdr:col>
      <xdr:colOff>298450</xdr:colOff>
      <xdr:row>34</xdr:row>
      <xdr:rowOff>57150</xdr:rowOff>
    </xdr:to>
    <xdr:sp macro="" textlink="">
      <xdr:nvSpPr>
        <xdr:cNvPr id="49" name="Flow Summary"/>
        <xdr:cNvSpPr/>
      </xdr:nvSpPr>
      <xdr:spPr>
        <a:xfrm>
          <a:off x="9882188" y="6935788"/>
          <a:ext cx="1389062" cy="17462"/>
        </a:xfrm>
        <a:prstGeom prst="rect">
          <a:avLst/>
        </a:prstGeom>
        <a:solidFill>
          <a:srgbClr val="039579"/>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16</xdr:col>
      <xdr:colOff>128588</xdr:colOff>
      <xdr:row>33</xdr:row>
      <xdr:rowOff>71438</xdr:rowOff>
    </xdr:from>
    <xdr:to>
      <xdr:col>18</xdr:col>
      <xdr:colOff>298451</xdr:colOff>
      <xdr:row>34</xdr:row>
      <xdr:rowOff>39688</xdr:rowOff>
    </xdr:to>
    <xdr:sp macro="" textlink="">
      <xdr:nvSpPr>
        <xdr:cNvPr id="50" name="Flow Summary Value"/>
        <xdr:cNvSpPr txBox="1"/>
      </xdr:nvSpPr>
      <xdr:spPr>
        <a:xfrm>
          <a:off x="9882188" y="6783388"/>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5.5%</a:t>
          </a:r>
        </a:p>
      </xdr:txBody>
    </xdr:sp>
    <xdr:clientData/>
  </xdr:twoCellAnchor>
  <xdr:twoCellAnchor>
    <xdr:from>
      <xdr:col>16</xdr:col>
      <xdr:colOff>128588</xdr:colOff>
      <xdr:row>34</xdr:row>
      <xdr:rowOff>57150</xdr:rowOff>
    </xdr:from>
    <xdr:to>
      <xdr:col>18</xdr:col>
      <xdr:colOff>298450</xdr:colOff>
      <xdr:row>35</xdr:row>
      <xdr:rowOff>173038</xdr:rowOff>
    </xdr:to>
    <xdr:sp macro="" textlink="">
      <xdr:nvSpPr>
        <xdr:cNvPr id="51" name="Flow Summary"/>
        <xdr:cNvSpPr/>
      </xdr:nvSpPr>
      <xdr:spPr>
        <a:xfrm>
          <a:off x="9882188" y="6953250"/>
          <a:ext cx="1389062" cy="300038"/>
        </a:xfrm>
        <a:prstGeom prst="rect">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94.5%</a:t>
          </a:r>
        </a:p>
      </xdr:txBody>
    </xdr:sp>
    <xdr:clientData/>
  </xdr:twoCellAnchor>
  <xdr:twoCellAnchor>
    <xdr:from>
      <xdr:col>16</xdr:col>
      <xdr:colOff>128588</xdr:colOff>
      <xdr:row>31</xdr:row>
      <xdr:rowOff>127000</xdr:rowOff>
    </xdr:from>
    <xdr:to>
      <xdr:col>18</xdr:col>
      <xdr:colOff>298451</xdr:colOff>
      <xdr:row>32</xdr:row>
      <xdr:rowOff>95250</xdr:rowOff>
    </xdr:to>
    <xdr:sp macro="" textlink="">
      <xdr:nvSpPr>
        <xdr:cNvPr id="52" name="Flow Summary Label"/>
        <xdr:cNvSpPr txBox="1"/>
      </xdr:nvSpPr>
      <xdr:spPr>
        <a:xfrm>
          <a:off x="9882188" y="6470650"/>
          <a:ext cx="1389063" cy="1524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lIns="12700" rIns="12700" rtlCol="0" anchor="ctr" anchorCtr="1"/>
        <a:lstStyle/>
        <a:p>
          <a:r>
            <a:rPr lang="en-GB" sz="1100">
              <a:solidFill>
                <a:schemeClr val="tx1"/>
              </a:solidFill>
            </a:rPr>
            <a:t>TOTALS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773206</xdr:colOff>
      <xdr:row>31</xdr:row>
      <xdr:rowOff>89647</xdr:rowOff>
    </xdr:from>
    <xdr:to>
      <xdr:col>24</xdr:col>
      <xdr:colOff>201706</xdr:colOff>
      <xdr:row>35</xdr:row>
      <xdr:rowOff>201706</xdr:rowOff>
    </xdr:to>
    <xdr:sp macro="" textlink="">
      <xdr:nvSpPr>
        <xdr:cNvPr id="4" name="Rectangle 3">
          <a:extLst>
            <a:ext uri="{FF2B5EF4-FFF2-40B4-BE49-F238E27FC236}">
              <a16:creationId xmlns:a16="http://schemas.microsoft.com/office/drawing/2014/main" id="{00000000-0008-0000-0700-000004000000}"/>
            </a:ext>
          </a:extLst>
        </xdr:cNvPr>
        <xdr:cNvSpPr/>
      </xdr:nvSpPr>
      <xdr:spPr>
        <a:xfrm>
          <a:off x="19543059" y="7866529"/>
          <a:ext cx="2252382" cy="1098177"/>
        </a:xfrm>
        <a:prstGeom prst="rect">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0</xdr:colOff>
      <xdr:row>22</xdr:row>
      <xdr:rowOff>1</xdr:rowOff>
    </xdr:from>
    <xdr:to>
      <xdr:col>9</xdr:col>
      <xdr:colOff>964406</xdr:colOff>
      <xdr:row>43</xdr:row>
      <xdr:rowOff>1</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23812</xdr:colOff>
      <xdr:row>22</xdr:row>
      <xdr:rowOff>3570</xdr:rowOff>
    </xdr:from>
    <xdr:to>
      <xdr:col>21</xdr:col>
      <xdr:colOff>0</xdr:colOff>
      <xdr:row>42</xdr:row>
      <xdr:rowOff>226219</xdr:rowOff>
    </xdr:to>
    <xdr:graphicFrame macro="">
      <xdr:nvGraphicFramePr>
        <xdr:cNvPr id="3" name="Chart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787182</xdr:colOff>
      <xdr:row>0</xdr:row>
      <xdr:rowOff>142876</xdr:rowOff>
    </xdr:from>
    <xdr:to>
      <xdr:col>13</xdr:col>
      <xdr:colOff>925425</xdr:colOff>
      <xdr:row>1</xdr:row>
      <xdr:rowOff>571499</xdr:rowOff>
    </xdr:to>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14</xdr:col>
      <xdr:colOff>125344</xdr:colOff>
      <xdr:row>0</xdr:row>
      <xdr:rowOff>403566</xdr:rowOff>
    </xdr:from>
    <xdr:to>
      <xdr:col>15</xdr:col>
      <xdr:colOff>52409</xdr:colOff>
      <xdr:row>1</xdr:row>
      <xdr:rowOff>292894</xdr:rowOff>
    </xdr:to>
    <xdr:sp macro="" textlink="">
      <xdr:nvSpPr>
        <xdr:cNvPr id="10" name="Rounded Rectangle 9">
          <a:extLst>
            <a:ext uri="{FF2B5EF4-FFF2-40B4-BE49-F238E27FC236}">
              <a16:creationId xmlns:a16="http://schemas.microsoft.com/office/drawing/2014/main" id="{00000000-0008-0000-0700-00000A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14</xdr:col>
      <xdr:colOff>157183</xdr:colOff>
      <xdr:row>0</xdr:row>
      <xdr:rowOff>423523</xdr:rowOff>
    </xdr:from>
    <xdr:to>
      <xdr:col>15</xdr:col>
      <xdr:colOff>11587</xdr:colOff>
      <xdr:row>1</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07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120432</xdr:colOff>
      <xdr:row>0</xdr:row>
      <xdr:rowOff>142876</xdr:rowOff>
    </xdr:from>
    <xdr:to>
      <xdr:col>13</xdr:col>
      <xdr:colOff>1377863</xdr:colOff>
      <xdr:row>1</xdr:row>
      <xdr:rowOff>571499</xdr:rowOff>
    </xdr:to>
    <xdr:pic>
      <xdr:nvPicPr>
        <xdr:cNvPr id="8" name="Picture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13</xdr:col>
      <xdr:colOff>1554094</xdr:colOff>
      <xdr:row>0</xdr:row>
      <xdr:rowOff>403566</xdr:rowOff>
    </xdr:from>
    <xdr:to>
      <xdr:col>14</xdr:col>
      <xdr:colOff>409597</xdr:colOff>
      <xdr:row>1</xdr:row>
      <xdr:rowOff>292894</xdr:rowOff>
    </xdr:to>
    <xdr:sp macro="" textlink="">
      <xdr:nvSpPr>
        <xdr:cNvPr id="9" name="Rounded Rectangle 8">
          <a:extLst>
            <a:ext uri="{FF2B5EF4-FFF2-40B4-BE49-F238E27FC236}">
              <a16:creationId xmlns:a16="http://schemas.microsoft.com/office/drawing/2014/main" id="{00000000-0008-0000-0800-000009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13</xdr:col>
      <xdr:colOff>1585933</xdr:colOff>
      <xdr:row>0</xdr:row>
      <xdr:rowOff>423523</xdr:rowOff>
    </xdr:from>
    <xdr:to>
      <xdr:col>14</xdr:col>
      <xdr:colOff>368775</xdr:colOff>
      <xdr:row>1</xdr:row>
      <xdr:rowOff>264913</xdr:rowOff>
    </xdr:to>
    <xdr:pic>
      <xdr:nvPicPr>
        <xdr:cNvPr id="10" name="Picture 9">
          <a:hlinkClick xmlns:r="http://schemas.openxmlformats.org/officeDocument/2006/relationships" r:id="rId2"/>
          <a:extLst>
            <a:ext uri="{FF2B5EF4-FFF2-40B4-BE49-F238E27FC236}">
              <a16:creationId xmlns:a16="http://schemas.microsoft.com/office/drawing/2014/main" id="{00000000-0008-0000-08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416718</xdr:colOff>
      <xdr:row>31</xdr:row>
      <xdr:rowOff>35719</xdr:rowOff>
    </xdr:from>
    <xdr:to>
      <xdr:col>24</xdr:col>
      <xdr:colOff>178594</xdr:colOff>
      <xdr:row>36</xdr:row>
      <xdr:rowOff>119063</xdr:rowOff>
    </xdr:to>
    <xdr:sp macro="" textlink="">
      <xdr:nvSpPr>
        <xdr:cNvPr id="4" name="Rectangle 3">
          <a:extLst>
            <a:ext uri="{FF2B5EF4-FFF2-40B4-BE49-F238E27FC236}">
              <a16:creationId xmlns:a16="http://schemas.microsoft.com/office/drawing/2014/main" id="{00000000-0008-0000-0900-000004000000}"/>
            </a:ext>
          </a:extLst>
        </xdr:cNvPr>
        <xdr:cNvSpPr/>
      </xdr:nvSpPr>
      <xdr:spPr>
        <a:xfrm>
          <a:off x="19014281" y="7834313"/>
          <a:ext cx="2583657" cy="1333500"/>
        </a:xfrm>
        <a:prstGeom prst="rect">
          <a:avLst/>
        </a:prstGeom>
        <a:solidFill>
          <a:schemeClr val="accent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250030</xdr:colOff>
      <xdr:row>22</xdr:row>
      <xdr:rowOff>0</xdr:rowOff>
    </xdr:from>
    <xdr:to>
      <xdr:col>9</xdr:col>
      <xdr:colOff>1107280</xdr:colOff>
      <xdr:row>43</xdr:row>
      <xdr:rowOff>0</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23812</xdr:colOff>
      <xdr:row>22</xdr:row>
      <xdr:rowOff>3570</xdr:rowOff>
    </xdr:from>
    <xdr:to>
      <xdr:col>21</xdr:col>
      <xdr:colOff>0</xdr:colOff>
      <xdr:row>42</xdr:row>
      <xdr:rowOff>226219</xdr:rowOff>
    </xdr:to>
    <xdr:graphicFrame macro="">
      <xdr:nvGraphicFramePr>
        <xdr:cNvPr id="3" name="Chart 2">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787182</xdr:colOff>
      <xdr:row>0</xdr:row>
      <xdr:rowOff>142876</xdr:rowOff>
    </xdr:from>
    <xdr:to>
      <xdr:col>13</xdr:col>
      <xdr:colOff>925425</xdr:colOff>
      <xdr:row>1</xdr:row>
      <xdr:rowOff>571499</xdr:rowOff>
    </xdr:to>
    <xdr:pic>
      <xdr:nvPicPr>
        <xdr:cNvPr id="11" name="Picture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14</xdr:col>
      <xdr:colOff>125344</xdr:colOff>
      <xdr:row>0</xdr:row>
      <xdr:rowOff>403566</xdr:rowOff>
    </xdr:from>
    <xdr:to>
      <xdr:col>15</xdr:col>
      <xdr:colOff>52409</xdr:colOff>
      <xdr:row>1</xdr:row>
      <xdr:rowOff>292894</xdr:rowOff>
    </xdr:to>
    <xdr:sp macro="" textlink="">
      <xdr:nvSpPr>
        <xdr:cNvPr id="12" name="Rounded Rectangle 11">
          <a:extLst>
            <a:ext uri="{FF2B5EF4-FFF2-40B4-BE49-F238E27FC236}">
              <a16:creationId xmlns:a16="http://schemas.microsoft.com/office/drawing/2014/main" id="{00000000-0008-0000-0900-00000C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14</xdr:col>
      <xdr:colOff>157183</xdr:colOff>
      <xdr:row>0</xdr:row>
      <xdr:rowOff>423523</xdr:rowOff>
    </xdr:from>
    <xdr:to>
      <xdr:col>15</xdr:col>
      <xdr:colOff>11587</xdr:colOff>
      <xdr:row>1</xdr:row>
      <xdr:rowOff>264913</xdr:rowOff>
    </xdr:to>
    <xdr:pic>
      <xdr:nvPicPr>
        <xdr:cNvPr id="13" name="Picture 12">
          <a:hlinkClick xmlns:r="http://schemas.openxmlformats.org/officeDocument/2006/relationships" r:id="rId4"/>
          <a:extLst>
            <a:ext uri="{FF2B5EF4-FFF2-40B4-BE49-F238E27FC236}">
              <a16:creationId xmlns:a16="http://schemas.microsoft.com/office/drawing/2014/main" id="{00000000-0008-0000-0900-00000D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120432</xdr:colOff>
      <xdr:row>0</xdr:row>
      <xdr:rowOff>142876</xdr:rowOff>
    </xdr:from>
    <xdr:to>
      <xdr:col>13</xdr:col>
      <xdr:colOff>1377863</xdr:colOff>
      <xdr:row>1</xdr:row>
      <xdr:rowOff>571499</xdr:rowOff>
    </xdr:to>
    <xdr:pic>
      <xdr:nvPicPr>
        <xdr:cNvPr id="8" name="Picture 7">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13</xdr:col>
      <xdr:colOff>1554094</xdr:colOff>
      <xdr:row>0</xdr:row>
      <xdr:rowOff>403566</xdr:rowOff>
    </xdr:from>
    <xdr:to>
      <xdr:col>14</xdr:col>
      <xdr:colOff>409597</xdr:colOff>
      <xdr:row>1</xdr:row>
      <xdr:rowOff>292894</xdr:rowOff>
    </xdr:to>
    <xdr:sp macro="" textlink="">
      <xdr:nvSpPr>
        <xdr:cNvPr id="9" name="Rounded Rectangle 8">
          <a:extLst>
            <a:ext uri="{FF2B5EF4-FFF2-40B4-BE49-F238E27FC236}">
              <a16:creationId xmlns:a16="http://schemas.microsoft.com/office/drawing/2014/main" id="{00000000-0008-0000-0A00-000009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13</xdr:col>
      <xdr:colOff>1585933</xdr:colOff>
      <xdr:row>0</xdr:row>
      <xdr:rowOff>423523</xdr:rowOff>
    </xdr:from>
    <xdr:to>
      <xdr:col>14</xdr:col>
      <xdr:colOff>368775</xdr:colOff>
      <xdr:row>1</xdr:row>
      <xdr:rowOff>264913</xdr:rowOff>
    </xdr:to>
    <xdr:pic>
      <xdr:nvPicPr>
        <xdr:cNvPr id="10" name="Picture 9">
          <a:hlinkClick xmlns:r="http://schemas.openxmlformats.org/officeDocument/2006/relationships" r:id="rId2"/>
          <a:extLst>
            <a:ext uri="{FF2B5EF4-FFF2-40B4-BE49-F238E27FC236}">
              <a16:creationId xmlns:a16="http://schemas.microsoft.com/office/drawing/2014/main" id="{00000000-0008-0000-0A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10</xdr:col>
      <xdr:colOff>25182</xdr:colOff>
      <xdr:row>0</xdr:row>
      <xdr:rowOff>142876</xdr:rowOff>
    </xdr:from>
    <xdr:to>
      <xdr:col>21</xdr:col>
      <xdr:colOff>68175</xdr:colOff>
      <xdr:row>1</xdr:row>
      <xdr:rowOff>571499</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1157" y="142876"/>
          <a:ext cx="6262818" cy="895348"/>
        </a:xfrm>
        <a:prstGeom prst="rect">
          <a:avLst/>
        </a:prstGeom>
      </xdr:spPr>
    </xdr:pic>
    <xdr:clientData/>
  </xdr:twoCellAnchor>
  <xdr:twoCellAnchor>
    <xdr:from>
      <xdr:col>21</xdr:col>
      <xdr:colOff>244406</xdr:colOff>
      <xdr:row>0</xdr:row>
      <xdr:rowOff>403566</xdr:rowOff>
    </xdr:from>
    <xdr:to>
      <xdr:col>23</xdr:col>
      <xdr:colOff>576284</xdr:colOff>
      <xdr:row>1</xdr:row>
      <xdr:rowOff>292894</xdr:rowOff>
    </xdr:to>
    <xdr:sp macro="" textlink="">
      <xdr:nvSpPr>
        <xdr:cNvPr id="3" name="Rounded Rectangle 2">
          <a:extLst>
            <a:ext uri="{FF2B5EF4-FFF2-40B4-BE49-F238E27FC236}">
              <a16:creationId xmlns:a16="http://schemas.microsoft.com/office/drawing/2014/main" id="{00000000-0008-0000-0B00-000003000000}"/>
            </a:ext>
          </a:extLst>
        </xdr:cNvPr>
        <xdr:cNvSpPr/>
      </xdr:nvSpPr>
      <xdr:spPr>
        <a:xfrm>
          <a:off x="12360206" y="403566"/>
          <a:ext cx="903378" cy="356053"/>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21</xdr:col>
      <xdr:colOff>276245</xdr:colOff>
      <xdr:row>0</xdr:row>
      <xdr:rowOff>423523</xdr:rowOff>
    </xdr:from>
    <xdr:to>
      <xdr:col>23</xdr:col>
      <xdr:colOff>535462</xdr:colOff>
      <xdr:row>1</xdr:row>
      <xdr:rowOff>264913</xdr:rowOff>
    </xdr:to>
    <xdr:pic>
      <xdr:nvPicPr>
        <xdr:cNvPr id="4" name="Picture 3">
          <a:hlinkClick xmlns:r="http://schemas.openxmlformats.org/officeDocument/2006/relationships" r:id="rId2"/>
          <a:extLst>
            <a:ext uri="{FF2B5EF4-FFF2-40B4-BE49-F238E27FC236}">
              <a16:creationId xmlns:a16="http://schemas.microsoft.com/office/drawing/2014/main" id="{00000000-0008-0000-0B00-00000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92045" y="423523"/>
          <a:ext cx="830717" cy="30811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10</xdr:col>
      <xdr:colOff>25182</xdr:colOff>
      <xdr:row>0</xdr:row>
      <xdr:rowOff>142876</xdr:rowOff>
    </xdr:from>
    <xdr:to>
      <xdr:col>21</xdr:col>
      <xdr:colOff>68175</xdr:colOff>
      <xdr:row>1</xdr:row>
      <xdr:rowOff>571499</xdr:rowOff>
    </xdr:to>
    <xdr:pic>
      <xdr:nvPicPr>
        <xdr:cNvPr id="8" name="Picture 7">
          <a:extLst>
            <a:ext uri="{FF2B5EF4-FFF2-40B4-BE49-F238E27FC236}">
              <a16:creationId xmlns:a16="http://schemas.microsoft.com/office/drawing/2014/main" id="{00000000-0008-0000-0C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21</xdr:col>
      <xdr:colOff>244406</xdr:colOff>
      <xdr:row>0</xdr:row>
      <xdr:rowOff>403566</xdr:rowOff>
    </xdr:from>
    <xdr:to>
      <xdr:col>23</xdr:col>
      <xdr:colOff>576284</xdr:colOff>
      <xdr:row>1</xdr:row>
      <xdr:rowOff>292894</xdr:rowOff>
    </xdr:to>
    <xdr:sp macro="" textlink="">
      <xdr:nvSpPr>
        <xdr:cNvPr id="9" name="Rounded Rectangle 8">
          <a:extLst>
            <a:ext uri="{FF2B5EF4-FFF2-40B4-BE49-F238E27FC236}">
              <a16:creationId xmlns:a16="http://schemas.microsoft.com/office/drawing/2014/main" id="{00000000-0008-0000-0C00-000009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21</xdr:col>
      <xdr:colOff>276245</xdr:colOff>
      <xdr:row>0</xdr:row>
      <xdr:rowOff>423523</xdr:rowOff>
    </xdr:from>
    <xdr:to>
      <xdr:col>23</xdr:col>
      <xdr:colOff>535462</xdr:colOff>
      <xdr:row>1</xdr:row>
      <xdr:rowOff>264913</xdr:rowOff>
    </xdr:to>
    <xdr:pic>
      <xdr:nvPicPr>
        <xdr:cNvPr id="10" name="Picture 9">
          <a:hlinkClick xmlns:r="http://schemas.openxmlformats.org/officeDocument/2006/relationships" r:id="rId2"/>
          <a:extLst>
            <a:ext uri="{FF2B5EF4-FFF2-40B4-BE49-F238E27FC236}">
              <a16:creationId xmlns:a16="http://schemas.microsoft.com/office/drawing/2014/main" id="{00000000-0008-0000-0C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10</xdr:col>
      <xdr:colOff>25182</xdr:colOff>
      <xdr:row>0</xdr:row>
      <xdr:rowOff>142876</xdr:rowOff>
    </xdr:from>
    <xdr:to>
      <xdr:col>21</xdr:col>
      <xdr:colOff>68175</xdr:colOff>
      <xdr:row>1</xdr:row>
      <xdr:rowOff>571499</xdr:rowOff>
    </xdr:to>
    <xdr:pic>
      <xdr:nvPicPr>
        <xdr:cNvPr id="8" name="Picture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21</xdr:col>
      <xdr:colOff>244406</xdr:colOff>
      <xdr:row>0</xdr:row>
      <xdr:rowOff>403566</xdr:rowOff>
    </xdr:from>
    <xdr:to>
      <xdr:col>23</xdr:col>
      <xdr:colOff>576284</xdr:colOff>
      <xdr:row>1</xdr:row>
      <xdr:rowOff>292894</xdr:rowOff>
    </xdr:to>
    <xdr:sp macro="" textlink="">
      <xdr:nvSpPr>
        <xdr:cNvPr id="9" name="Rounded Rectangle 8">
          <a:extLst>
            <a:ext uri="{FF2B5EF4-FFF2-40B4-BE49-F238E27FC236}">
              <a16:creationId xmlns:a16="http://schemas.microsoft.com/office/drawing/2014/main" id="{00000000-0008-0000-0D00-000009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21</xdr:col>
      <xdr:colOff>276245</xdr:colOff>
      <xdr:row>0</xdr:row>
      <xdr:rowOff>423523</xdr:rowOff>
    </xdr:from>
    <xdr:to>
      <xdr:col>23</xdr:col>
      <xdr:colOff>535462</xdr:colOff>
      <xdr:row>1</xdr:row>
      <xdr:rowOff>264913</xdr:rowOff>
    </xdr:to>
    <xdr:pic>
      <xdr:nvPicPr>
        <xdr:cNvPr id="10" name="Picture 9">
          <a:hlinkClick xmlns:r="http://schemas.openxmlformats.org/officeDocument/2006/relationships" r:id="rId2"/>
          <a:extLst>
            <a:ext uri="{FF2B5EF4-FFF2-40B4-BE49-F238E27FC236}">
              <a16:creationId xmlns:a16="http://schemas.microsoft.com/office/drawing/2014/main" id="{00000000-0008-0000-0D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441901</xdr:colOff>
      <xdr:row>1</xdr:row>
      <xdr:rowOff>142876</xdr:rowOff>
    </xdr:from>
    <xdr:to>
      <xdr:col>19</xdr:col>
      <xdr:colOff>472988</xdr:colOff>
      <xdr:row>3</xdr:row>
      <xdr:rowOff>571499</xdr:rowOff>
    </xdr:to>
    <xdr:pic>
      <xdr:nvPicPr>
        <xdr:cNvPr id="8" name="Picture 7">
          <a:extLst>
            <a:ext uri="{FF2B5EF4-FFF2-40B4-BE49-F238E27FC236}">
              <a16:creationId xmlns:a16="http://schemas.microsoft.com/office/drawing/2014/main" id="{00000000-0008-0000-0E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20</xdr:col>
      <xdr:colOff>42000</xdr:colOff>
      <xdr:row>1</xdr:row>
      <xdr:rowOff>403566</xdr:rowOff>
    </xdr:from>
    <xdr:to>
      <xdr:col>21</xdr:col>
      <xdr:colOff>338159</xdr:colOff>
      <xdr:row>3</xdr:row>
      <xdr:rowOff>292894</xdr:rowOff>
    </xdr:to>
    <xdr:sp macro="" textlink="">
      <xdr:nvSpPr>
        <xdr:cNvPr id="9" name="Rounded Rectangle 8">
          <a:extLst>
            <a:ext uri="{FF2B5EF4-FFF2-40B4-BE49-F238E27FC236}">
              <a16:creationId xmlns:a16="http://schemas.microsoft.com/office/drawing/2014/main" id="{00000000-0008-0000-0E00-000009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20</xdr:col>
      <xdr:colOff>73839</xdr:colOff>
      <xdr:row>1</xdr:row>
      <xdr:rowOff>423523</xdr:rowOff>
    </xdr:from>
    <xdr:to>
      <xdr:col>21</xdr:col>
      <xdr:colOff>297337</xdr:colOff>
      <xdr:row>3</xdr:row>
      <xdr:rowOff>264913</xdr:rowOff>
    </xdr:to>
    <xdr:pic>
      <xdr:nvPicPr>
        <xdr:cNvPr id="10" name="Picture 9">
          <a:hlinkClick xmlns:r="http://schemas.openxmlformats.org/officeDocument/2006/relationships" r:id="rId2"/>
          <a:extLst>
            <a:ext uri="{FF2B5EF4-FFF2-40B4-BE49-F238E27FC236}">
              <a16:creationId xmlns:a16="http://schemas.microsoft.com/office/drawing/2014/main" id="{00000000-0008-0000-0E00-00000A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845344</xdr:colOff>
      <xdr:row>1</xdr:row>
      <xdr:rowOff>403566</xdr:rowOff>
    </xdr:from>
    <xdr:to>
      <xdr:col>12</xdr:col>
      <xdr:colOff>28597</xdr:colOff>
      <xdr:row>3</xdr:row>
      <xdr:rowOff>292894</xdr:rowOff>
    </xdr:to>
    <xdr:sp macro="" textlink="">
      <xdr:nvSpPr>
        <xdr:cNvPr id="3" name="Rounded Rectangle 2">
          <a:extLst>
            <a:ext uri="{FF2B5EF4-FFF2-40B4-BE49-F238E27FC236}">
              <a16:creationId xmlns:a16="http://schemas.microsoft.com/office/drawing/2014/main" id="{00000000-0008-0000-0F00-000003000000}"/>
            </a:ext>
          </a:extLst>
        </xdr:cNvPr>
        <xdr:cNvSpPr/>
      </xdr:nvSpPr>
      <xdr:spPr>
        <a:xfrm>
          <a:off x="10417969" y="403566"/>
          <a:ext cx="1278753"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11</xdr:col>
      <xdr:colOff>0</xdr:colOff>
      <xdr:row>1</xdr:row>
      <xdr:rowOff>423523</xdr:rowOff>
    </xdr:from>
    <xdr:to>
      <xdr:col>11</xdr:col>
      <xdr:colOff>830717</xdr:colOff>
      <xdr:row>3</xdr:row>
      <xdr:rowOff>264913</xdr:rowOff>
    </xdr:to>
    <xdr:pic>
      <xdr:nvPicPr>
        <xdr:cNvPr id="4" name="Picture 3">
          <a:hlinkClick xmlns:r="http://schemas.openxmlformats.org/officeDocument/2006/relationships" r:id="rId1"/>
          <a:extLst>
            <a:ext uri="{FF2B5EF4-FFF2-40B4-BE49-F238E27FC236}">
              <a16:creationId xmlns:a16="http://schemas.microsoft.com/office/drawing/2014/main" id="{00000000-0008-0000-0F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323" r="18951"/>
        <a:stretch/>
      </xdr:blipFill>
      <xdr:spPr>
        <a:xfrm>
          <a:off x="11984852" y="423523"/>
          <a:ext cx="825954" cy="30811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394276</xdr:colOff>
      <xdr:row>1</xdr:row>
      <xdr:rowOff>142876</xdr:rowOff>
    </xdr:from>
    <xdr:to>
      <xdr:col>13</xdr:col>
      <xdr:colOff>20550</xdr:colOff>
      <xdr:row>3</xdr:row>
      <xdr:rowOff>571499</xdr:rowOff>
    </xdr:to>
    <xdr:pic>
      <xdr:nvPicPr>
        <xdr:cNvPr id="5" name="Picture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3057" y="142876"/>
          <a:ext cx="6210431" cy="892967"/>
        </a:xfrm>
        <a:prstGeom prst="rect">
          <a:avLst/>
        </a:prstGeom>
      </xdr:spPr>
    </xdr:pic>
    <xdr:clientData/>
  </xdr:twoCellAnchor>
  <xdr:twoCellAnchor>
    <xdr:from>
      <xdr:col>13</xdr:col>
      <xdr:colOff>542063</xdr:colOff>
      <xdr:row>1</xdr:row>
      <xdr:rowOff>403566</xdr:rowOff>
    </xdr:from>
    <xdr:to>
      <xdr:col>15</xdr:col>
      <xdr:colOff>231003</xdr:colOff>
      <xdr:row>3</xdr:row>
      <xdr:rowOff>292894</xdr:rowOff>
    </xdr:to>
    <xdr:sp macro="" textlink="">
      <xdr:nvSpPr>
        <xdr:cNvPr id="6" name="Rounded Rectangle 5">
          <a:extLst>
            <a:ext uri="{FF2B5EF4-FFF2-40B4-BE49-F238E27FC236}">
              <a16:creationId xmlns:a16="http://schemas.microsoft.com/office/drawing/2014/main" id="{00000000-0008-0000-1000-000006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13</xdr:col>
      <xdr:colOff>573902</xdr:colOff>
      <xdr:row>1</xdr:row>
      <xdr:rowOff>423523</xdr:rowOff>
    </xdr:from>
    <xdr:to>
      <xdr:col>14</xdr:col>
      <xdr:colOff>828357</xdr:colOff>
      <xdr:row>3</xdr:row>
      <xdr:rowOff>264913</xdr:rowOff>
    </xdr:to>
    <xdr:pic>
      <xdr:nvPicPr>
        <xdr:cNvPr id="7" name="Picture 6">
          <a:hlinkClick xmlns:r="http://schemas.openxmlformats.org/officeDocument/2006/relationships" r:id="rId2"/>
          <a:extLst>
            <a:ext uri="{FF2B5EF4-FFF2-40B4-BE49-F238E27FC236}">
              <a16:creationId xmlns:a16="http://schemas.microsoft.com/office/drawing/2014/main" id="{00000000-0008-0000-1000-00000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239501</xdr:colOff>
      <xdr:row>1</xdr:row>
      <xdr:rowOff>142876</xdr:rowOff>
    </xdr:from>
    <xdr:to>
      <xdr:col>11</xdr:col>
      <xdr:colOff>342026</xdr:colOff>
      <xdr:row>3</xdr:row>
      <xdr:rowOff>571499</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21064" y="142876"/>
          <a:ext cx="6210431" cy="892967"/>
        </a:xfrm>
        <a:prstGeom prst="rect">
          <a:avLst/>
        </a:prstGeom>
      </xdr:spPr>
    </xdr:pic>
    <xdr:clientData/>
  </xdr:twoCellAnchor>
  <xdr:twoCellAnchor>
    <xdr:from>
      <xdr:col>17</xdr:col>
      <xdr:colOff>101531</xdr:colOff>
      <xdr:row>1</xdr:row>
      <xdr:rowOff>403566</xdr:rowOff>
    </xdr:from>
    <xdr:to>
      <xdr:col>18</xdr:col>
      <xdr:colOff>397691</xdr:colOff>
      <xdr:row>3</xdr:row>
      <xdr:rowOff>292894</xdr:rowOff>
    </xdr:to>
    <xdr:sp macro="" textlink="">
      <xdr:nvSpPr>
        <xdr:cNvPr id="3" name="Rounded Rectangle 2">
          <a:extLst>
            <a:ext uri="{FF2B5EF4-FFF2-40B4-BE49-F238E27FC236}">
              <a16:creationId xmlns:a16="http://schemas.microsoft.com/office/drawing/2014/main" id="{00000000-0008-0000-1100-000003000000}"/>
            </a:ext>
          </a:extLst>
        </xdr:cNvPr>
        <xdr:cNvSpPr/>
      </xdr:nvSpPr>
      <xdr:spPr>
        <a:xfrm>
          <a:off x="12269719" y="403566"/>
          <a:ext cx="903378"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17</xdr:col>
      <xdr:colOff>133370</xdr:colOff>
      <xdr:row>1</xdr:row>
      <xdr:rowOff>423523</xdr:rowOff>
    </xdr:from>
    <xdr:to>
      <xdr:col>18</xdr:col>
      <xdr:colOff>356868</xdr:colOff>
      <xdr:row>3</xdr:row>
      <xdr:rowOff>264913</xdr:rowOff>
    </xdr:to>
    <xdr:pic>
      <xdr:nvPicPr>
        <xdr:cNvPr id="4" name="Picture 3">
          <a:hlinkClick xmlns:r="http://schemas.openxmlformats.org/officeDocument/2006/relationships" r:id="rId2"/>
          <a:extLst>
            <a:ext uri="{FF2B5EF4-FFF2-40B4-BE49-F238E27FC236}">
              <a16:creationId xmlns:a16="http://schemas.microsoft.com/office/drawing/2014/main" id="{00000000-0008-0000-1100-000004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2301558" y="423523"/>
          <a:ext cx="830717" cy="30573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16</xdr:col>
      <xdr:colOff>101531</xdr:colOff>
      <xdr:row>1</xdr:row>
      <xdr:rowOff>403566</xdr:rowOff>
    </xdr:from>
    <xdr:to>
      <xdr:col>17</xdr:col>
      <xdr:colOff>397691</xdr:colOff>
      <xdr:row>3</xdr:row>
      <xdr:rowOff>292894</xdr:rowOff>
    </xdr:to>
    <xdr:sp macro="" textlink="">
      <xdr:nvSpPr>
        <xdr:cNvPr id="3" name="Rounded Rectangle 2">
          <a:extLst>
            <a:ext uri="{FF2B5EF4-FFF2-40B4-BE49-F238E27FC236}">
              <a16:creationId xmlns:a16="http://schemas.microsoft.com/office/drawing/2014/main" id="{00000000-0008-0000-1200-000003000000}"/>
            </a:ext>
          </a:extLst>
        </xdr:cNvPr>
        <xdr:cNvSpPr/>
      </xdr:nvSpPr>
      <xdr:spPr>
        <a:xfrm>
          <a:off x="15455831" y="403566"/>
          <a:ext cx="905760" cy="356053"/>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16</xdr:col>
      <xdr:colOff>133370</xdr:colOff>
      <xdr:row>1</xdr:row>
      <xdr:rowOff>423523</xdr:rowOff>
    </xdr:from>
    <xdr:to>
      <xdr:col>17</xdr:col>
      <xdr:colOff>356869</xdr:colOff>
      <xdr:row>3</xdr:row>
      <xdr:rowOff>264913</xdr:rowOff>
    </xdr:to>
    <xdr:pic>
      <xdr:nvPicPr>
        <xdr:cNvPr id="4" name="Picture 3">
          <a:hlinkClick xmlns:r="http://schemas.openxmlformats.org/officeDocument/2006/relationships" r:id="rId1"/>
          <a:extLst>
            <a:ext uri="{FF2B5EF4-FFF2-40B4-BE49-F238E27FC236}">
              <a16:creationId xmlns:a16="http://schemas.microsoft.com/office/drawing/2014/main" id="{00000000-0008-0000-12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323" r="18951"/>
        <a:stretch/>
      </xdr:blipFill>
      <xdr:spPr>
        <a:xfrm>
          <a:off x="15487670" y="423523"/>
          <a:ext cx="833098" cy="30811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16</xdr:col>
      <xdr:colOff>101531</xdr:colOff>
      <xdr:row>1</xdr:row>
      <xdr:rowOff>403566</xdr:rowOff>
    </xdr:from>
    <xdr:to>
      <xdr:col>17</xdr:col>
      <xdr:colOff>397691</xdr:colOff>
      <xdr:row>3</xdr:row>
      <xdr:rowOff>292894</xdr:rowOff>
    </xdr:to>
    <xdr:sp macro="" textlink="">
      <xdr:nvSpPr>
        <xdr:cNvPr id="2" name="Rounded Rectangle 1">
          <a:extLst>
            <a:ext uri="{FF2B5EF4-FFF2-40B4-BE49-F238E27FC236}">
              <a16:creationId xmlns:a16="http://schemas.microsoft.com/office/drawing/2014/main" id="{00000000-0008-0000-1300-000002000000}"/>
            </a:ext>
          </a:extLst>
        </xdr:cNvPr>
        <xdr:cNvSpPr/>
      </xdr:nvSpPr>
      <xdr:spPr>
        <a:xfrm>
          <a:off x="14474756" y="403566"/>
          <a:ext cx="905760" cy="356053"/>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16</xdr:col>
      <xdr:colOff>133370</xdr:colOff>
      <xdr:row>1</xdr:row>
      <xdr:rowOff>423523</xdr:rowOff>
    </xdr:from>
    <xdr:to>
      <xdr:col>17</xdr:col>
      <xdr:colOff>356868</xdr:colOff>
      <xdr:row>3</xdr:row>
      <xdr:rowOff>264913</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13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6323" r="18951"/>
        <a:stretch/>
      </xdr:blipFill>
      <xdr:spPr>
        <a:xfrm>
          <a:off x="14506595" y="423523"/>
          <a:ext cx="833099" cy="308115"/>
        </a:xfrm>
        <a:prstGeom prst="rect">
          <a:avLst/>
        </a:prstGeom>
      </xdr:spPr>
    </xdr:pic>
    <xdr:clientData/>
  </xdr:twoCellAnchor>
  <xdr:twoCellAnchor>
    <xdr:from>
      <xdr:col>10</xdr:col>
      <xdr:colOff>79904</xdr:colOff>
      <xdr:row>11</xdr:row>
      <xdr:rowOff>77393</xdr:rowOff>
    </xdr:from>
    <xdr:to>
      <xdr:col>11</xdr:col>
      <xdr:colOff>684742</xdr:colOff>
      <xdr:row>23</xdr:row>
      <xdr:rowOff>29578</xdr:rowOff>
    </xdr:to>
    <xdr:sp macro="" textlink="">
      <xdr:nvSpPr>
        <xdr:cNvPr id="16" name="Curved Down Arrow 15">
          <a:extLst>
            <a:ext uri="{FF2B5EF4-FFF2-40B4-BE49-F238E27FC236}">
              <a16:creationId xmlns:a16="http://schemas.microsoft.com/office/drawing/2014/main" id="{00000000-0008-0000-1300-000010000000}"/>
            </a:ext>
          </a:extLst>
        </xdr:cNvPr>
        <xdr:cNvSpPr/>
      </xdr:nvSpPr>
      <xdr:spPr>
        <a:xfrm rot="5400000">
          <a:off x="6359356" y="3334848"/>
          <a:ext cx="2404872" cy="914400"/>
        </a:xfrm>
        <a:prstGeom prst="curvedDownArrow">
          <a:avLst>
            <a:gd name="adj1" fmla="val 10424"/>
            <a:gd name="adj2" fmla="val 29530"/>
            <a:gd name="adj3" fmla="val 17655"/>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8</xdr:col>
      <xdr:colOff>295275</xdr:colOff>
      <xdr:row>1</xdr:row>
      <xdr:rowOff>209550</xdr:rowOff>
    </xdr:from>
    <xdr:to>
      <xdr:col>11</xdr:col>
      <xdr:colOff>180975</xdr:colOff>
      <xdr:row>1</xdr:row>
      <xdr:rowOff>628650</xdr:rowOff>
    </xdr:to>
    <xdr:sp macro="" textlink="">
      <xdr:nvSpPr>
        <xdr:cNvPr id="4" name="Rounded Rectangle 3">
          <a:extLst>
            <a:ext uri="{FF2B5EF4-FFF2-40B4-BE49-F238E27FC236}">
              <a16:creationId xmlns:a16="http://schemas.microsoft.com/office/drawing/2014/main" id="{00000000-0008-0000-1400-000004000000}"/>
            </a:ext>
          </a:extLst>
        </xdr:cNvPr>
        <xdr:cNvSpPr/>
      </xdr:nvSpPr>
      <xdr:spPr>
        <a:xfrm>
          <a:off x="5172075" y="400050"/>
          <a:ext cx="1714500" cy="419100"/>
        </a:xfrm>
        <a:prstGeom prst="roundRect">
          <a:avLst>
            <a:gd name="adj" fmla="val 50000"/>
          </a:avLst>
        </a:prstGeom>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p>
      </xdr:txBody>
    </xdr:sp>
    <xdr:clientData/>
  </xdr:twoCellAnchor>
  <xdr:twoCellAnchor>
    <xdr:from>
      <xdr:col>11</xdr:col>
      <xdr:colOff>400050</xdr:colOff>
      <xdr:row>1</xdr:row>
      <xdr:rowOff>209550</xdr:rowOff>
    </xdr:from>
    <xdr:to>
      <xdr:col>14</xdr:col>
      <xdr:colOff>285750</xdr:colOff>
      <xdr:row>1</xdr:row>
      <xdr:rowOff>628650</xdr:rowOff>
    </xdr:to>
    <xdr:sp macro="" textlink="">
      <xdr:nvSpPr>
        <xdr:cNvPr id="5" name="Rounded Rectangle 4">
          <a:extLst>
            <a:ext uri="{FF2B5EF4-FFF2-40B4-BE49-F238E27FC236}">
              <a16:creationId xmlns:a16="http://schemas.microsoft.com/office/drawing/2014/main" id="{00000000-0008-0000-1400-000005000000}"/>
            </a:ext>
          </a:extLst>
        </xdr:cNvPr>
        <xdr:cNvSpPr/>
      </xdr:nvSpPr>
      <xdr:spPr>
        <a:xfrm>
          <a:off x="7105650" y="400050"/>
          <a:ext cx="1714500" cy="419100"/>
        </a:xfrm>
        <a:prstGeom prst="roundRect">
          <a:avLst>
            <a:gd name="adj" fmla="val 50000"/>
          </a:avLst>
        </a:prstGeom>
        <a:solidFill>
          <a:schemeClr val="accent2"/>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endParaRPr lang="en-GB" sz="1100" b="1"/>
        </a:p>
      </xdr:txBody>
    </xdr:sp>
    <xdr:clientData/>
  </xdr:twoCellAnchor>
  <xdr:twoCellAnchor editAs="oneCell">
    <xdr:from>
      <xdr:col>11</xdr:col>
      <xdr:colOff>400050</xdr:colOff>
      <xdr:row>1</xdr:row>
      <xdr:rowOff>211073</xdr:rowOff>
    </xdr:from>
    <xdr:to>
      <xdr:col>14</xdr:col>
      <xdr:colOff>284229</xdr:colOff>
      <xdr:row>1</xdr:row>
      <xdr:rowOff>628650</xdr:rowOff>
    </xdr:to>
    <xdr:pic>
      <xdr:nvPicPr>
        <xdr:cNvPr id="15" name="Picture 14">
          <a:hlinkClick xmlns:r="http://schemas.openxmlformats.org/officeDocument/2006/relationships" r:id="rId1"/>
          <a:extLst>
            <a:ext uri="{FF2B5EF4-FFF2-40B4-BE49-F238E27FC236}">
              <a16:creationId xmlns:a16="http://schemas.microsoft.com/office/drawing/2014/main" id="{00000000-0008-0000-14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05650" y="401573"/>
          <a:ext cx="1712979" cy="417577"/>
        </a:xfrm>
        <a:prstGeom prst="rect">
          <a:avLst/>
        </a:prstGeom>
      </xdr:spPr>
    </xdr:pic>
    <xdr:clientData/>
  </xdr:twoCellAnchor>
  <xdr:twoCellAnchor editAs="oneCell">
    <xdr:from>
      <xdr:col>8</xdr:col>
      <xdr:colOff>296796</xdr:colOff>
      <xdr:row>1</xdr:row>
      <xdr:rowOff>211073</xdr:rowOff>
    </xdr:from>
    <xdr:to>
      <xdr:col>11</xdr:col>
      <xdr:colOff>180974</xdr:colOff>
      <xdr:row>1</xdr:row>
      <xdr:rowOff>628650</xdr:rowOff>
    </xdr:to>
    <xdr:pic>
      <xdr:nvPicPr>
        <xdr:cNvPr id="16" name="Picture 15">
          <a:hlinkClick xmlns:r="http://schemas.openxmlformats.org/officeDocument/2006/relationships" r:id="rId3"/>
          <a:extLst>
            <a:ext uri="{FF2B5EF4-FFF2-40B4-BE49-F238E27FC236}">
              <a16:creationId xmlns:a16="http://schemas.microsoft.com/office/drawing/2014/main" id="{00000000-0008-0000-1400-00001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173596" y="401573"/>
          <a:ext cx="1712978" cy="417577"/>
        </a:xfrm>
        <a:prstGeom prst="rect">
          <a:avLst/>
        </a:prstGeom>
      </xdr:spPr>
    </xdr:pic>
    <xdr:clientData/>
  </xdr:twoCellAnchor>
  <xdr:twoCellAnchor>
    <xdr:from>
      <xdr:col>12</xdr:col>
      <xdr:colOff>476251</xdr:colOff>
      <xdr:row>13</xdr:row>
      <xdr:rowOff>47625</xdr:rowOff>
    </xdr:from>
    <xdr:to>
      <xdr:col>15</xdr:col>
      <xdr:colOff>190500</xdr:colOff>
      <xdr:row>15</xdr:row>
      <xdr:rowOff>85725</xdr:rowOff>
    </xdr:to>
    <xdr:sp macro="" textlink="">
      <xdr:nvSpPr>
        <xdr:cNvPr id="20" name="Rounded Rectangle 19">
          <a:extLst>
            <a:ext uri="{FF2B5EF4-FFF2-40B4-BE49-F238E27FC236}">
              <a16:creationId xmlns:a16="http://schemas.microsoft.com/office/drawing/2014/main" id="{00000000-0008-0000-1400-000014000000}"/>
            </a:ext>
          </a:extLst>
        </xdr:cNvPr>
        <xdr:cNvSpPr/>
      </xdr:nvSpPr>
      <xdr:spPr>
        <a:xfrm>
          <a:off x="7762876" y="3048000"/>
          <a:ext cx="1535905" cy="431006"/>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NON RESIDENTS</a:t>
          </a:r>
        </a:p>
      </xdr:txBody>
    </xdr:sp>
    <xdr:clientData/>
  </xdr:twoCellAnchor>
  <xdr:twoCellAnchor>
    <xdr:from>
      <xdr:col>10</xdr:col>
      <xdr:colOff>75525</xdr:colOff>
      <xdr:row>13</xdr:row>
      <xdr:rowOff>47625</xdr:rowOff>
    </xdr:from>
    <xdr:to>
      <xdr:col>12</xdr:col>
      <xdr:colOff>400725</xdr:colOff>
      <xdr:row>15</xdr:row>
      <xdr:rowOff>85725</xdr:rowOff>
    </xdr:to>
    <xdr:sp macro="" textlink="">
      <xdr:nvSpPr>
        <xdr:cNvPr id="21" name="Rounded Rectangle 20">
          <a:extLst>
            <a:ext uri="{FF2B5EF4-FFF2-40B4-BE49-F238E27FC236}">
              <a16:creationId xmlns:a16="http://schemas.microsoft.com/office/drawing/2014/main" id="{00000000-0008-0000-1400-000015000000}"/>
            </a:ext>
          </a:extLst>
        </xdr:cNvPr>
        <xdr:cNvSpPr/>
      </xdr:nvSpPr>
      <xdr:spPr>
        <a:xfrm>
          <a:off x="6147713" y="3048000"/>
          <a:ext cx="1539637" cy="431006"/>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RESIDENTS</a:t>
          </a:r>
        </a:p>
      </xdr:txBody>
    </xdr:sp>
    <xdr:clientData/>
  </xdr:twoCellAnchor>
  <xdr:twoCellAnchor>
    <xdr:from>
      <xdr:col>3</xdr:col>
      <xdr:colOff>428624</xdr:colOff>
      <xdr:row>13</xdr:row>
      <xdr:rowOff>47625</xdr:rowOff>
    </xdr:from>
    <xdr:to>
      <xdr:col>10</xdr:col>
      <xdr:colOff>2380</xdr:colOff>
      <xdr:row>15</xdr:row>
      <xdr:rowOff>85725</xdr:rowOff>
    </xdr:to>
    <xdr:sp macro="" textlink="">
      <xdr:nvSpPr>
        <xdr:cNvPr id="6" name="Rounded Rectangle 5">
          <a:extLst>
            <a:ext uri="{FF2B5EF4-FFF2-40B4-BE49-F238E27FC236}">
              <a16:creationId xmlns:a16="http://schemas.microsoft.com/office/drawing/2014/main" id="{00000000-0008-0000-1400-000006000000}"/>
            </a:ext>
          </a:extLst>
        </xdr:cNvPr>
        <xdr:cNvSpPr/>
      </xdr:nvSpPr>
      <xdr:spPr>
        <a:xfrm>
          <a:off x="2250280" y="3048000"/>
          <a:ext cx="3824288" cy="431006"/>
        </a:xfrm>
        <a:prstGeom prst="roundRect">
          <a:avLst>
            <a:gd name="adj" fmla="val 50000"/>
          </a:avLst>
        </a:prstGeom>
        <a:solidFill>
          <a:schemeClr val="accent1"/>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bg1"/>
              </a:solidFill>
            </a:rPr>
            <a:t>CAPTURE AND</a:t>
          </a:r>
          <a:r>
            <a:rPr lang="en-GB" sz="1400" b="1" baseline="0">
              <a:solidFill>
                <a:schemeClr val="bg1"/>
              </a:solidFill>
            </a:rPr>
            <a:t> CONTAINMENT</a:t>
          </a:r>
          <a:r>
            <a:rPr lang="en-GB" sz="1400" b="1">
              <a:solidFill>
                <a:schemeClr val="bg1"/>
              </a:solidFill>
            </a:rPr>
            <a:t> questions:</a:t>
          </a:r>
        </a:p>
      </xdr:txBody>
    </xdr:sp>
    <xdr:clientData/>
  </xdr:twoCellAnchor>
  <xdr:twoCellAnchor>
    <xdr:from>
      <xdr:col>3</xdr:col>
      <xdr:colOff>428624</xdr:colOff>
      <xdr:row>16</xdr:row>
      <xdr:rowOff>31750</xdr:rowOff>
    </xdr:from>
    <xdr:to>
      <xdr:col>15</xdr:col>
      <xdr:colOff>190500</xdr:colOff>
      <xdr:row>18</xdr:row>
      <xdr:rowOff>69850</xdr:rowOff>
    </xdr:to>
    <xdr:sp macro="" textlink="">
      <xdr:nvSpPr>
        <xdr:cNvPr id="17" name="Rounded Rectangle 16">
          <a:extLst>
            <a:ext uri="{FF2B5EF4-FFF2-40B4-BE49-F238E27FC236}">
              <a16:creationId xmlns:a16="http://schemas.microsoft.com/office/drawing/2014/main" id="{00000000-0008-0000-1400-000011000000}"/>
            </a:ext>
          </a:extLst>
        </xdr:cNvPr>
        <xdr:cNvSpPr/>
      </xdr:nvSpPr>
      <xdr:spPr>
        <a:xfrm>
          <a:off x="2250280" y="3615531"/>
          <a:ext cx="7048501"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EMPTYING and TRANSPORT questions</a:t>
          </a:r>
        </a:p>
      </xdr:txBody>
    </xdr:sp>
    <xdr:clientData/>
  </xdr:twoCellAnchor>
  <xdr:twoCellAnchor>
    <xdr:from>
      <xdr:col>3</xdr:col>
      <xdr:colOff>428624</xdr:colOff>
      <xdr:row>19</xdr:row>
      <xdr:rowOff>15875</xdr:rowOff>
    </xdr:from>
    <xdr:to>
      <xdr:col>15</xdr:col>
      <xdr:colOff>190500</xdr:colOff>
      <xdr:row>21</xdr:row>
      <xdr:rowOff>53975</xdr:rowOff>
    </xdr:to>
    <xdr:sp macro="" textlink="">
      <xdr:nvSpPr>
        <xdr:cNvPr id="22" name="Rounded Rectangle 21">
          <a:extLst>
            <a:ext uri="{FF2B5EF4-FFF2-40B4-BE49-F238E27FC236}">
              <a16:creationId xmlns:a16="http://schemas.microsoft.com/office/drawing/2014/main" id="{00000000-0008-0000-1400-000016000000}"/>
            </a:ext>
          </a:extLst>
        </xdr:cNvPr>
        <xdr:cNvSpPr/>
      </xdr:nvSpPr>
      <xdr:spPr>
        <a:xfrm>
          <a:off x="2257424" y="4149725"/>
          <a:ext cx="7077076"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TREATMENT, DISPOSAL and REUSE questions</a:t>
          </a:r>
        </a:p>
      </xdr:txBody>
    </xdr:sp>
    <xdr:clientData/>
  </xdr:twoCellAnchor>
  <xdr:twoCellAnchor>
    <xdr:from>
      <xdr:col>3</xdr:col>
      <xdr:colOff>428624</xdr:colOff>
      <xdr:row>22</xdr:row>
      <xdr:rowOff>0</xdr:rowOff>
    </xdr:from>
    <xdr:to>
      <xdr:col>15</xdr:col>
      <xdr:colOff>190500</xdr:colOff>
      <xdr:row>24</xdr:row>
      <xdr:rowOff>38100</xdr:rowOff>
    </xdr:to>
    <xdr:sp macro="" textlink="">
      <xdr:nvSpPr>
        <xdr:cNvPr id="24" name="Rounded Rectangle 23">
          <a:extLst>
            <a:ext uri="{FF2B5EF4-FFF2-40B4-BE49-F238E27FC236}">
              <a16:creationId xmlns:a16="http://schemas.microsoft.com/office/drawing/2014/main" id="{00000000-0008-0000-1400-000018000000}"/>
            </a:ext>
          </a:extLst>
        </xdr:cNvPr>
        <xdr:cNvSpPr/>
      </xdr:nvSpPr>
      <xdr:spPr>
        <a:xfrm>
          <a:off x="2257424" y="4705350"/>
          <a:ext cx="7077076"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CITY-WIDE SCORE CARD questions</a:t>
          </a:r>
        </a:p>
      </xdr:txBody>
    </xdr:sp>
    <xdr:clientData/>
  </xdr:twoCellAnchor>
  <xdr:twoCellAnchor>
    <xdr:from>
      <xdr:col>3</xdr:col>
      <xdr:colOff>428624</xdr:colOff>
      <xdr:row>24</xdr:row>
      <xdr:rowOff>174625</xdr:rowOff>
    </xdr:from>
    <xdr:to>
      <xdr:col>15</xdr:col>
      <xdr:colOff>190500</xdr:colOff>
      <xdr:row>27</xdr:row>
      <xdr:rowOff>22225</xdr:rowOff>
    </xdr:to>
    <xdr:sp macro="" textlink="">
      <xdr:nvSpPr>
        <xdr:cNvPr id="25" name="Rounded Rectangle 24">
          <a:extLst>
            <a:ext uri="{FF2B5EF4-FFF2-40B4-BE49-F238E27FC236}">
              <a16:creationId xmlns:a16="http://schemas.microsoft.com/office/drawing/2014/main" id="{00000000-0008-0000-1400-000019000000}"/>
            </a:ext>
          </a:extLst>
        </xdr:cNvPr>
        <xdr:cNvSpPr/>
      </xdr:nvSpPr>
      <xdr:spPr>
        <a:xfrm>
          <a:off x="2257424" y="5260975"/>
          <a:ext cx="7077076"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BUDGET SCORE CARD questions</a:t>
          </a:r>
        </a:p>
      </xdr:txBody>
    </xdr:sp>
    <xdr:clientData/>
  </xdr:twoCellAnchor>
  <xdr:twoCellAnchor>
    <xdr:from>
      <xdr:col>3</xdr:col>
      <xdr:colOff>428624</xdr:colOff>
      <xdr:row>30</xdr:row>
      <xdr:rowOff>142875</xdr:rowOff>
    </xdr:from>
    <xdr:to>
      <xdr:col>15</xdr:col>
      <xdr:colOff>190500</xdr:colOff>
      <xdr:row>32</xdr:row>
      <xdr:rowOff>180975</xdr:rowOff>
    </xdr:to>
    <xdr:sp macro="" textlink="">
      <xdr:nvSpPr>
        <xdr:cNvPr id="26" name="Rounded Rectangle 25">
          <a:extLst>
            <a:ext uri="{FF2B5EF4-FFF2-40B4-BE49-F238E27FC236}">
              <a16:creationId xmlns:a16="http://schemas.microsoft.com/office/drawing/2014/main" id="{00000000-0008-0000-1400-00001A000000}"/>
            </a:ext>
          </a:extLst>
        </xdr:cNvPr>
        <xdr:cNvSpPr/>
      </xdr:nvSpPr>
      <xdr:spPr>
        <a:xfrm>
          <a:off x="2257424" y="6372225"/>
          <a:ext cx="7077076"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NATIONAL STANDARDS for effluent and disposal and reuse</a:t>
          </a:r>
        </a:p>
      </xdr:txBody>
    </xdr:sp>
    <xdr:clientData/>
  </xdr:twoCellAnchor>
  <xdr:twoCellAnchor>
    <xdr:from>
      <xdr:col>3</xdr:col>
      <xdr:colOff>428624</xdr:colOff>
      <xdr:row>27</xdr:row>
      <xdr:rowOff>158750</xdr:rowOff>
    </xdr:from>
    <xdr:to>
      <xdr:col>15</xdr:col>
      <xdr:colOff>190500</xdr:colOff>
      <xdr:row>30</xdr:row>
      <xdr:rowOff>6350</xdr:rowOff>
    </xdr:to>
    <xdr:sp macro="" textlink="">
      <xdr:nvSpPr>
        <xdr:cNvPr id="31" name="Rounded Rectangle 30">
          <a:extLst>
            <a:ext uri="{FF2B5EF4-FFF2-40B4-BE49-F238E27FC236}">
              <a16:creationId xmlns:a16="http://schemas.microsoft.com/office/drawing/2014/main" id="{00000000-0008-0000-1400-00001F000000}"/>
            </a:ext>
          </a:extLst>
        </xdr:cNvPr>
        <xdr:cNvSpPr/>
      </xdr:nvSpPr>
      <xdr:spPr>
        <a:xfrm>
          <a:off x="2257424" y="5816600"/>
          <a:ext cx="7077076" cy="419100"/>
        </a:xfrm>
        <a:prstGeom prst="roundRect">
          <a:avLst>
            <a:gd name="adj" fmla="val 50000"/>
          </a:avLst>
        </a:prstGeom>
        <a:solidFill>
          <a:schemeClr val="accent5"/>
        </a:solidFill>
        <a:ln>
          <a:no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GB" sz="1400" b="1">
              <a:solidFill>
                <a:schemeClr val="tx2"/>
              </a:solidFill>
            </a:rPr>
            <a:t>PERMITS and STANDARDS SCORE CARD questions</a:t>
          </a:r>
        </a:p>
      </xdr:txBody>
    </xdr:sp>
    <xdr:clientData/>
  </xdr:twoCellAnchor>
  <xdr:twoCellAnchor>
    <xdr:from>
      <xdr:col>10</xdr:col>
      <xdr:colOff>75525</xdr:colOff>
      <xdr:row>13</xdr:row>
      <xdr:rowOff>49125</xdr:rowOff>
    </xdr:from>
    <xdr:to>
      <xdr:col>12</xdr:col>
      <xdr:colOff>399375</xdr:colOff>
      <xdr:row>15</xdr:row>
      <xdr:rowOff>85725</xdr:rowOff>
    </xdr:to>
    <xdr:sp macro="" textlink="">
      <xdr:nvSpPr>
        <xdr:cNvPr id="8" name="Rectangle 7">
          <a:hlinkClick xmlns:r="http://schemas.openxmlformats.org/officeDocument/2006/relationships" r:id="rId5"/>
          <a:extLst>
            <a:ext uri="{FF2B5EF4-FFF2-40B4-BE49-F238E27FC236}">
              <a16:creationId xmlns:a16="http://schemas.microsoft.com/office/drawing/2014/main" id="{00000000-0008-0000-1400-000008000000}"/>
            </a:ext>
          </a:extLst>
        </xdr:cNvPr>
        <xdr:cNvSpPr/>
      </xdr:nvSpPr>
      <xdr:spPr>
        <a:xfrm>
          <a:off x="6147713" y="3049500"/>
          <a:ext cx="1538287" cy="429506"/>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12</xdr:col>
      <xdr:colOff>476251</xdr:colOff>
      <xdr:row>13</xdr:row>
      <xdr:rowOff>49125</xdr:rowOff>
    </xdr:from>
    <xdr:to>
      <xdr:col>15</xdr:col>
      <xdr:colOff>190501</xdr:colOff>
      <xdr:row>15</xdr:row>
      <xdr:rowOff>85725</xdr:rowOff>
    </xdr:to>
    <xdr:sp macro="" textlink="">
      <xdr:nvSpPr>
        <xdr:cNvPr id="19" name="Rectangle 18">
          <a:hlinkClick xmlns:r="http://schemas.openxmlformats.org/officeDocument/2006/relationships" r:id="rId6"/>
          <a:extLst>
            <a:ext uri="{FF2B5EF4-FFF2-40B4-BE49-F238E27FC236}">
              <a16:creationId xmlns:a16="http://schemas.microsoft.com/office/drawing/2014/main" id="{00000000-0008-0000-1400-000013000000}"/>
            </a:ext>
          </a:extLst>
        </xdr:cNvPr>
        <xdr:cNvSpPr/>
      </xdr:nvSpPr>
      <xdr:spPr>
        <a:xfrm>
          <a:off x="7762876" y="3049500"/>
          <a:ext cx="1535906" cy="429506"/>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16</xdr:row>
      <xdr:rowOff>31750</xdr:rowOff>
    </xdr:from>
    <xdr:to>
      <xdr:col>15</xdr:col>
      <xdr:colOff>190499</xdr:colOff>
      <xdr:row>18</xdr:row>
      <xdr:rowOff>68350</xdr:rowOff>
    </xdr:to>
    <xdr:sp macro="" textlink="">
      <xdr:nvSpPr>
        <xdr:cNvPr id="23" name="Rectangle 22">
          <a:hlinkClick xmlns:r="http://schemas.openxmlformats.org/officeDocument/2006/relationships" r:id="rId7"/>
          <a:extLst>
            <a:ext uri="{FF2B5EF4-FFF2-40B4-BE49-F238E27FC236}">
              <a16:creationId xmlns:a16="http://schemas.microsoft.com/office/drawing/2014/main" id="{00000000-0008-0000-1400-000017000000}"/>
            </a:ext>
          </a:extLst>
        </xdr:cNvPr>
        <xdr:cNvSpPr/>
      </xdr:nvSpPr>
      <xdr:spPr>
        <a:xfrm>
          <a:off x="2250280" y="3615531"/>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19</xdr:row>
      <xdr:rowOff>15875</xdr:rowOff>
    </xdr:from>
    <xdr:to>
      <xdr:col>15</xdr:col>
      <xdr:colOff>190499</xdr:colOff>
      <xdr:row>21</xdr:row>
      <xdr:rowOff>52475</xdr:rowOff>
    </xdr:to>
    <xdr:sp macro="" textlink="">
      <xdr:nvSpPr>
        <xdr:cNvPr id="27" name="Rectangle 26">
          <a:hlinkClick xmlns:r="http://schemas.openxmlformats.org/officeDocument/2006/relationships" r:id="rId8"/>
          <a:extLst>
            <a:ext uri="{FF2B5EF4-FFF2-40B4-BE49-F238E27FC236}">
              <a16:creationId xmlns:a16="http://schemas.microsoft.com/office/drawing/2014/main" id="{00000000-0008-0000-1400-00001B000000}"/>
            </a:ext>
          </a:extLst>
        </xdr:cNvPr>
        <xdr:cNvSpPr/>
      </xdr:nvSpPr>
      <xdr:spPr>
        <a:xfrm>
          <a:off x="2250280" y="4171156"/>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22</xdr:row>
      <xdr:rowOff>0</xdr:rowOff>
    </xdr:from>
    <xdr:to>
      <xdr:col>15</xdr:col>
      <xdr:colOff>190499</xdr:colOff>
      <xdr:row>24</xdr:row>
      <xdr:rowOff>36600</xdr:rowOff>
    </xdr:to>
    <xdr:sp macro="" textlink="">
      <xdr:nvSpPr>
        <xdr:cNvPr id="28" name="Rectangle 27">
          <a:hlinkClick xmlns:r="http://schemas.openxmlformats.org/officeDocument/2006/relationships" r:id="rId9"/>
          <a:extLst>
            <a:ext uri="{FF2B5EF4-FFF2-40B4-BE49-F238E27FC236}">
              <a16:creationId xmlns:a16="http://schemas.microsoft.com/office/drawing/2014/main" id="{00000000-0008-0000-1400-00001C000000}"/>
            </a:ext>
          </a:extLst>
        </xdr:cNvPr>
        <xdr:cNvSpPr/>
      </xdr:nvSpPr>
      <xdr:spPr>
        <a:xfrm>
          <a:off x="2250280" y="4726781"/>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24</xdr:row>
      <xdr:rowOff>174625</xdr:rowOff>
    </xdr:from>
    <xdr:to>
      <xdr:col>15</xdr:col>
      <xdr:colOff>190499</xdr:colOff>
      <xdr:row>27</xdr:row>
      <xdr:rowOff>20725</xdr:rowOff>
    </xdr:to>
    <xdr:sp macro="" textlink="">
      <xdr:nvSpPr>
        <xdr:cNvPr id="29" name="Rectangle 28">
          <a:hlinkClick xmlns:r="http://schemas.openxmlformats.org/officeDocument/2006/relationships" r:id="rId10"/>
          <a:extLst>
            <a:ext uri="{FF2B5EF4-FFF2-40B4-BE49-F238E27FC236}">
              <a16:creationId xmlns:a16="http://schemas.microsoft.com/office/drawing/2014/main" id="{00000000-0008-0000-1400-00001D000000}"/>
            </a:ext>
          </a:extLst>
        </xdr:cNvPr>
        <xdr:cNvSpPr/>
      </xdr:nvSpPr>
      <xdr:spPr>
        <a:xfrm>
          <a:off x="2250280" y="5282406"/>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27</xdr:row>
      <xdr:rowOff>158750</xdr:rowOff>
    </xdr:from>
    <xdr:to>
      <xdr:col>15</xdr:col>
      <xdr:colOff>190499</xdr:colOff>
      <xdr:row>30</xdr:row>
      <xdr:rowOff>4850</xdr:rowOff>
    </xdr:to>
    <xdr:sp macro="" textlink="">
      <xdr:nvSpPr>
        <xdr:cNvPr id="30" name="Rectangle 29">
          <a:hlinkClick xmlns:r="http://schemas.openxmlformats.org/officeDocument/2006/relationships" r:id="rId11"/>
          <a:extLst>
            <a:ext uri="{FF2B5EF4-FFF2-40B4-BE49-F238E27FC236}">
              <a16:creationId xmlns:a16="http://schemas.microsoft.com/office/drawing/2014/main" id="{00000000-0008-0000-1400-00001E000000}"/>
            </a:ext>
          </a:extLst>
        </xdr:cNvPr>
        <xdr:cNvSpPr/>
      </xdr:nvSpPr>
      <xdr:spPr>
        <a:xfrm>
          <a:off x="2250280" y="5838031"/>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428624</xdr:colOff>
      <xdr:row>30</xdr:row>
      <xdr:rowOff>142875</xdr:rowOff>
    </xdr:from>
    <xdr:to>
      <xdr:col>15</xdr:col>
      <xdr:colOff>190499</xdr:colOff>
      <xdr:row>32</xdr:row>
      <xdr:rowOff>179475</xdr:rowOff>
    </xdr:to>
    <xdr:sp macro="" textlink="">
      <xdr:nvSpPr>
        <xdr:cNvPr id="32" name="Rectangle 31">
          <a:hlinkClick xmlns:r="http://schemas.openxmlformats.org/officeDocument/2006/relationships" r:id="rId12"/>
          <a:extLst>
            <a:ext uri="{FF2B5EF4-FFF2-40B4-BE49-F238E27FC236}">
              <a16:creationId xmlns:a16="http://schemas.microsoft.com/office/drawing/2014/main" id="{00000000-0008-0000-1400-000020000000}"/>
            </a:ext>
          </a:extLst>
        </xdr:cNvPr>
        <xdr:cNvSpPr/>
      </xdr:nvSpPr>
      <xdr:spPr>
        <a:xfrm>
          <a:off x="2250280" y="6393656"/>
          <a:ext cx="7048500" cy="417600"/>
        </a:xfrm>
        <a:prstGeom prst="rect">
          <a:avLst/>
        </a:prstGeom>
        <a:solidFill>
          <a:srgbClr val="E62733">
            <a:alpha val="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3</xdr:col>
      <xdr:colOff>507204</xdr:colOff>
      <xdr:row>6</xdr:row>
      <xdr:rowOff>144926</xdr:rowOff>
    </xdr:from>
    <xdr:to>
      <xdr:col>15</xdr:col>
      <xdr:colOff>82179</xdr:colOff>
      <xdr:row>11</xdr:row>
      <xdr:rowOff>97521</xdr:rowOff>
    </xdr:to>
    <xdr:pic>
      <xdr:nvPicPr>
        <xdr:cNvPr id="35" name="Picture 34">
          <a:extLst>
            <a:ext uri="{FF2B5EF4-FFF2-40B4-BE49-F238E27FC236}">
              <a16:creationId xmlns:a16="http://schemas.microsoft.com/office/drawing/2014/main" id="{00000000-0008-0000-1400-00002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328860" y="1811801"/>
          <a:ext cx="6861600" cy="905095"/>
        </a:xfrm>
        <a:prstGeom prst="rect">
          <a:avLst/>
        </a:prstGeom>
      </xdr:spPr>
    </xdr:pic>
    <xdr:clientData/>
  </xdr:twoCellAnchor>
  <xdr:twoCellAnchor editAs="absolute">
    <xdr:from>
      <xdr:col>0</xdr:col>
      <xdr:colOff>447677</xdr:colOff>
      <xdr:row>1</xdr:row>
      <xdr:rowOff>79905</xdr:rowOff>
    </xdr:from>
    <xdr:to>
      <xdr:col>5</xdr:col>
      <xdr:colOff>74477</xdr:colOff>
      <xdr:row>1</xdr:row>
      <xdr:rowOff>739870</xdr:rowOff>
    </xdr:to>
    <xdr:pic>
      <xdr:nvPicPr>
        <xdr:cNvPr id="38" name="Picture 37">
          <a:extLst>
            <a:ext uri="{FF2B5EF4-FFF2-40B4-BE49-F238E27FC236}">
              <a16:creationId xmlns:a16="http://schemas.microsoft.com/office/drawing/2014/main" id="{00000000-0008-0000-1400-000026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47677" y="270405"/>
          <a:ext cx="2662894" cy="65996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3</xdr:col>
      <xdr:colOff>644307</xdr:colOff>
      <xdr:row>2</xdr:row>
      <xdr:rowOff>142876</xdr:rowOff>
    </xdr:from>
    <xdr:to>
      <xdr:col>9</xdr:col>
      <xdr:colOff>8644</xdr:colOff>
      <xdr:row>4</xdr:row>
      <xdr:rowOff>571499</xdr:rowOff>
    </xdr:to>
    <xdr:pic>
      <xdr:nvPicPr>
        <xdr:cNvPr id="7" name="Picture 6">
          <a:extLst>
            <a:ext uri="{FF2B5EF4-FFF2-40B4-BE49-F238E27FC236}">
              <a16:creationId xmlns:a16="http://schemas.microsoft.com/office/drawing/2014/main" id="{00000000-0008-0000-15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9</xdr:col>
      <xdr:colOff>184875</xdr:colOff>
      <xdr:row>2</xdr:row>
      <xdr:rowOff>403566</xdr:rowOff>
    </xdr:from>
    <xdr:to>
      <xdr:col>10</xdr:col>
      <xdr:colOff>515869</xdr:colOff>
      <xdr:row>4</xdr:row>
      <xdr:rowOff>292894</xdr:rowOff>
    </xdr:to>
    <xdr:sp macro="" textlink="">
      <xdr:nvSpPr>
        <xdr:cNvPr id="8" name="Rounded Rectangle 7">
          <a:extLst>
            <a:ext uri="{FF2B5EF4-FFF2-40B4-BE49-F238E27FC236}">
              <a16:creationId xmlns:a16="http://schemas.microsoft.com/office/drawing/2014/main" id="{00000000-0008-0000-1500-00000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9</xdr:col>
      <xdr:colOff>216714</xdr:colOff>
      <xdr:row>2</xdr:row>
      <xdr:rowOff>423523</xdr:rowOff>
    </xdr:from>
    <xdr:to>
      <xdr:col>10</xdr:col>
      <xdr:colOff>464025</xdr:colOff>
      <xdr:row>4</xdr:row>
      <xdr:rowOff>264913</xdr:rowOff>
    </xdr:to>
    <xdr:pic>
      <xdr:nvPicPr>
        <xdr:cNvPr id="9" name="Picture 8">
          <a:hlinkClick xmlns:r="http://schemas.openxmlformats.org/officeDocument/2006/relationships" r:id="rId2"/>
          <a:extLst>
            <a:ext uri="{FF2B5EF4-FFF2-40B4-BE49-F238E27FC236}">
              <a16:creationId xmlns:a16="http://schemas.microsoft.com/office/drawing/2014/main" id="{00000000-0008-0000-15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10</xdr:col>
      <xdr:colOff>687999</xdr:colOff>
      <xdr:row>2</xdr:row>
      <xdr:rowOff>403566</xdr:rowOff>
    </xdr:from>
    <xdr:to>
      <xdr:col>11</xdr:col>
      <xdr:colOff>483212</xdr:colOff>
      <xdr:row>4</xdr:row>
      <xdr:rowOff>292894</xdr:rowOff>
    </xdr:to>
    <xdr:sp macro="" textlink="">
      <xdr:nvSpPr>
        <xdr:cNvPr id="10" name="Rounded Rectangle 9">
          <a:extLst>
            <a:ext uri="{FF2B5EF4-FFF2-40B4-BE49-F238E27FC236}">
              <a16:creationId xmlns:a16="http://schemas.microsoft.com/office/drawing/2014/main" id="{00000000-0008-0000-1500-00000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10</xdr:col>
      <xdr:colOff>741611</xdr:colOff>
      <xdr:row>2</xdr:row>
      <xdr:rowOff>423523</xdr:rowOff>
    </xdr:from>
    <xdr:to>
      <xdr:col>11</xdr:col>
      <xdr:colOff>436811</xdr:colOff>
      <xdr:row>4</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15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3</xdr:col>
      <xdr:colOff>644307</xdr:colOff>
      <xdr:row>2</xdr:row>
      <xdr:rowOff>142876</xdr:rowOff>
    </xdr:from>
    <xdr:to>
      <xdr:col>9</xdr:col>
      <xdr:colOff>8644</xdr:colOff>
      <xdr:row>4</xdr:row>
      <xdr:rowOff>571499</xdr:rowOff>
    </xdr:to>
    <xdr:pic>
      <xdr:nvPicPr>
        <xdr:cNvPr id="7" name="Picture 6">
          <a:extLst>
            <a:ext uri="{FF2B5EF4-FFF2-40B4-BE49-F238E27FC236}">
              <a16:creationId xmlns:a16="http://schemas.microsoft.com/office/drawing/2014/main" id="{00000000-0008-0000-16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9</xdr:col>
      <xdr:colOff>184875</xdr:colOff>
      <xdr:row>2</xdr:row>
      <xdr:rowOff>403566</xdr:rowOff>
    </xdr:from>
    <xdr:to>
      <xdr:col>10</xdr:col>
      <xdr:colOff>515869</xdr:colOff>
      <xdr:row>4</xdr:row>
      <xdr:rowOff>292894</xdr:rowOff>
    </xdr:to>
    <xdr:sp macro="" textlink="">
      <xdr:nvSpPr>
        <xdr:cNvPr id="8" name="Rounded Rectangle 7">
          <a:extLst>
            <a:ext uri="{FF2B5EF4-FFF2-40B4-BE49-F238E27FC236}">
              <a16:creationId xmlns:a16="http://schemas.microsoft.com/office/drawing/2014/main" id="{00000000-0008-0000-1600-00000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9</xdr:col>
      <xdr:colOff>216714</xdr:colOff>
      <xdr:row>2</xdr:row>
      <xdr:rowOff>423523</xdr:rowOff>
    </xdr:from>
    <xdr:to>
      <xdr:col>10</xdr:col>
      <xdr:colOff>464025</xdr:colOff>
      <xdr:row>4</xdr:row>
      <xdr:rowOff>264913</xdr:rowOff>
    </xdr:to>
    <xdr:pic>
      <xdr:nvPicPr>
        <xdr:cNvPr id="9" name="Picture 8">
          <a:hlinkClick xmlns:r="http://schemas.openxmlformats.org/officeDocument/2006/relationships" r:id="rId2"/>
          <a:extLst>
            <a:ext uri="{FF2B5EF4-FFF2-40B4-BE49-F238E27FC236}">
              <a16:creationId xmlns:a16="http://schemas.microsoft.com/office/drawing/2014/main" id="{00000000-0008-0000-16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10</xdr:col>
      <xdr:colOff>687999</xdr:colOff>
      <xdr:row>2</xdr:row>
      <xdr:rowOff>403566</xdr:rowOff>
    </xdr:from>
    <xdr:to>
      <xdr:col>11</xdr:col>
      <xdr:colOff>483212</xdr:colOff>
      <xdr:row>4</xdr:row>
      <xdr:rowOff>292894</xdr:rowOff>
    </xdr:to>
    <xdr:sp macro="" textlink="">
      <xdr:nvSpPr>
        <xdr:cNvPr id="10" name="Rounded Rectangle 9">
          <a:extLst>
            <a:ext uri="{FF2B5EF4-FFF2-40B4-BE49-F238E27FC236}">
              <a16:creationId xmlns:a16="http://schemas.microsoft.com/office/drawing/2014/main" id="{00000000-0008-0000-1600-00000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10</xdr:col>
      <xdr:colOff>741611</xdr:colOff>
      <xdr:row>2</xdr:row>
      <xdr:rowOff>423523</xdr:rowOff>
    </xdr:from>
    <xdr:to>
      <xdr:col>11</xdr:col>
      <xdr:colOff>436811</xdr:colOff>
      <xdr:row>4</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16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absolute">
    <xdr:from>
      <xdr:col>14</xdr:col>
      <xdr:colOff>1012031</xdr:colOff>
      <xdr:row>12</xdr:row>
      <xdr:rowOff>166688</xdr:rowOff>
    </xdr:from>
    <xdr:to>
      <xdr:col>15</xdr:col>
      <xdr:colOff>404812</xdr:colOff>
      <xdr:row>14</xdr:row>
      <xdr:rowOff>59532</xdr:rowOff>
    </xdr:to>
    <xdr:sp macro="" textlink="">
      <xdr:nvSpPr>
        <xdr:cNvPr id="8" name="Oval 7">
          <a:extLst>
            <a:ext uri="{FF2B5EF4-FFF2-40B4-BE49-F238E27FC236}">
              <a16:creationId xmlns:a16="http://schemas.microsoft.com/office/drawing/2014/main" id="{00000000-0008-0000-1700-000008000000}"/>
            </a:ext>
          </a:extLst>
        </xdr:cNvPr>
        <xdr:cNvSpPr>
          <a:spLocks noChangeAspect="1"/>
        </xdr:cNvSpPr>
      </xdr:nvSpPr>
      <xdr:spPr>
        <a:xfrm>
          <a:off x="17776031" y="3131344"/>
          <a:ext cx="511969" cy="511969"/>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15</xdr:col>
      <xdr:colOff>89297</xdr:colOff>
      <xdr:row>13</xdr:row>
      <xdr:rowOff>71438</xdr:rowOff>
    </xdr:from>
    <xdr:to>
      <xdr:col>15</xdr:col>
      <xdr:colOff>250031</xdr:colOff>
      <xdr:row>13</xdr:row>
      <xdr:rowOff>345282</xdr:rowOff>
    </xdr:to>
    <xdr:sp macro="" textlink="">
      <xdr:nvSpPr>
        <xdr:cNvPr id="2" name="Chevron 1">
          <a:hlinkClick xmlns:r="http://schemas.openxmlformats.org/officeDocument/2006/relationships" r:id="rId1"/>
          <a:extLst>
            <a:ext uri="{FF2B5EF4-FFF2-40B4-BE49-F238E27FC236}">
              <a16:creationId xmlns:a16="http://schemas.microsoft.com/office/drawing/2014/main" id="{00000000-0008-0000-1700-000002000000}"/>
            </a:ext>
          </a:extLst>
        </xdr:cNvPr>
        <xdr:cNvSpPr>
          <a:spLocks noChangeAspect="1"/>
        </xdr:cNvSpPr>
      </xdr:nvSpPr>
      <xdr:spPr>
        <a:xfrm>
          <a:off x="17895094" y="3202782"/>
          <a:ext cx="160734" cy="273844"/>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22</xdr:col>
      <xdr:colOff>652804</xdr:colOff>
      <xdr:row>1</xdr:row>
      <xdr:rowOff>348343</xdr:rowOff>
    </xdr:from>
    <xdr:to>
      <xdr:col>23</xdr:col>
      <xdr:colOff>48646</xdr:colOff>
      <xdr:row>3</xdr:row>
      <xdr:rowOff>391885</xdr:rowOff>
    </xdr:to>
    <xdr:grpSp>
      <xdr:nvGrpSpPr>
        <xdr:cNvPr id="37" name="Group 36">
          <a:hlinkClick xmlns:r="http://schemas.openxmlformats.org/officeDocument/2006/relationships" r:id="rId2"/>
          <a:extLst>
            <a:ext uri="{FF2B5EF4-FFF2-40B4-BE49-F238E27FC236}">
              <a16:creationId xmlns:a16="http://schemas.microsoft.com/office/drawing/2014/main" id="{00000000-0008-0000-1700-000025000000}"/>
            </a:ext>
          </a:extLst>
        </xdr:cNvPr>
        <xdr:cNvGrpSpPr>
          <a:grpSpLocks noChangeAspect="1"/>
        </xdr:cNvGrpSpPr>
      </xdr:nvGrpSpPr>
      <xdr:grpSpPr>
        <a:xfrm>
          <a:off x="26600492" y="348343"/>
          <a:ext cx="562654" cy="503917"/>
          <a:chOff x="18905085" y="348343"/>
          <a:chExt cx="515030" cy="507886"/>
        </a:xfrm>
      </xdr:grpSpPr>
      <xdr:sp macro="" textlink="">
        <xdr:nvSpPr>
          <xdr:cNvPr id="38" name="Oval 37">
            <a:extLst>
              <a:ext uri="{FF2B5EF4-FFF2-40B4-BE49-F238E27FC236}">
                <a16:creationId xmlns:a16="http://schemas.microsoft.com/office/drawing/2014/main" id="{00000000-0008-0000-1700-000026000000}"/>
              </a:ext>
            </a:extLst>
          </xdr:cNvPr>
          <xdr:cNvSpPr/>
        </xdr:nvSpPr>
        <xdr:spPr>
          <a:xfrm>
            <a:off x="18905085" y="348343"/>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39" name="Chevron 38">
            <a:extLst>
              <a:ext uri="{FF2B5EF4-FFF2-40B4-BE49-F238E27FC236}">
                <a16:creationId xmlns:a16="http://schemas.microsoft.com/office/drawing/2014/main" id="{00000000-0008-0000-1700-000027000000}"/>
              </a:ext>
            </a:extLst>
          </xdr:cNvPr>
          <xdr:cNvSpPr/>
        </xdr:nvSpPr>
        <xdr:spPr>
          <a:xfrm rot="10800000">
            <a:off x="19050001" y="464344"/>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25</xdr:col>
      <xdr:colOff>3688897</xdr:colOff>
      <xdr:row>1</xdr:row>
      <xdr:rowOff>348343</xdr:rowOff>
    </xdr:from>
    <xdr:to>
      <xdr:col>25</xdr:col>
      <xdr:colOff>4203927</xdr:colOff>
      <xdr:row>3</xdr:row>
      <xdr:rowOff>391885</xdr:rowOff>
    </xdr:to>
    <xdr:grpSp>
      <xdr:nvGrpSpPr>
        <xdr:cNvPr id="40" name="Group 39">
          <a:hlinkClick xmlns:r="http://schemas.openxmlformats.org/officeDocument/2006/relationships" r:id="rId2"/>
          <a:extLst>
            <a:ext uri="{FF2B5EF4-FFF2-40B4-BE49-F238E27FC236}">
              <a16:creationId xmlns:a16="http://schemas.microsoft.com/office/drawing/2014/main" id="{00000000-0008-0000-1700-000028000000}"/>
            </a:ext>
          </a:extLst>
        </xdr:cNvPr>
        <xdr:cNvGrpSpPr>
          <a:grpSpLocks noChangeAspect="1"/>
        </xdr:cNvGrpSpPr>
      </xdr:nvGrpSpPr>
      <xdr:grpSpPr>
        <a:xfrm>
          <a:off x="33137022" y="348343"/>
          <a:ext cx="515030" cy="503917"/>
          <a:chOff x="18905085" y="348343"/>
          <a:chExt cx="515030" cy="507886"/>
        </a:xfrm>
      </xdr:grpSpPr>
      <xdr:sp macro="" textlink="">
        <xdr:nvSpPr>
          <xdr:cNvPr id="41" name="Oval 40">
            <a:extLst>
              <a:ext uri="{FF2B5EF4-FFF2-40B4-BE49-F238E27FC236}">
                <a16:creationId xmlns:a16="http://schemas.microsoft.com/office/drawing/2014/main" id="{00000000-0008-0000-1700-000029000000}"/>
              </a:ext>
            </a:extLst>
          </xdr:cNvPr>
          <xdr:cNvSpPr/>
        </xdr:nvSpPr>
        <xdr:spPr>
          <a:xfrm>
            <a:off x="18905085" y="348343"/>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2" name="Chevron 41">
            <a:extLst>
              <a:ext uri="{FF2B5EF4-FFF2-40B4-BE49-F238E27FC236}">
                <a16:creationId xmlns:a16="http://schemas.microsoft.com/office/drawing/2014/main" id="{00000000-0008-0000-1700-00002A000000}"/>
              </a:ext>
            </a:extLst>
          </xdr:cNvPr>
          <xdr:cNvSpPr/>
        </xdr:nvSpPr>
        <xdr:spPr>
          <a:xfrm rot="10800000">
            <a:off x="19050001" y="464344"/>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31</xdr:col>
      <xdr:colOff>117022</xdr:colOff>
      <xdr:row>1</xdr:row>
      <xdr:rowOff>348343</xdr:rowOff>
    </xdr:from>
    <xdr:to>
      <xdr:col>31</xdr:col>
      <xdr:colOff>632052</xdr:colOff>
      <xdr:row>3</xdr:row>
      <xdr:rowOff>391885</xdr:rowOff>
    </xdr:to>
    <xdr:grpSp>
      <xdr:nvGrpSpPr>
        <xdr:cNvPr id="43" name="Group 42">
          <a:hlinkClick xmlns:r="http://schemas.openxmlformats.org/officeDocument/2006/relationships" r:id="rId2"/>
          <a:extLst>
            <a:ext uri="{FF2B5EF4-FFF2-40B4-BE49-F238E27FC236}">
              <a16:creationId xmlns:a16="http://schemas.microsoft.com/office/drawing/2014/main" id="{00000000-0008-0000-1700-00002B000000}"/>
            </a:ext>
          </a:extLst>
        </xdr:cNvPr>
        <xdr:cNvGrpSpPr>
          <a:grpSpLocks noChangeAspect="1"/>
        </xdr:cNvGrpSpPr>
      </xdr:nvGrpSpPr>
      <xdr:grpSpPr>
        <a:xfrm>
          <a:off x="40026772" y="348343"/>
          <a:ext cx="515030" cy="503917"/>
          <a:chOff x="18905085" y="348343"/>
          <a:chExt cx="515030" cy="507886"/>
        </a:xfrm>
      </xdr:grpSpPr>
      <xdr:sp macro="" textlink="">
        <xdr:nvSpPr>
          <xdr:cNvPr id="44" name="Oval 43">
            <a:extLst>
              <a:ext uri="{FF2B5EF4-FFF2-40B4-BE49-F238E27FC236}">
                <a16:creationId xmlns:a16="http://schemas.microsoft.com/office/drawing/2014/main" id="{00000000-0008-0000-1700-00002C000000}"/>
              </a:ext>
            </a:extLst>
          </xdr:cNvPr>
          <xdr:cNvSpPr/>
        </xdr:nvSpPr>
        <xdr:spPr>
          <a:xfrm>
            <a:off x="18905085" y="348343"/>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5" name="Chevron 44">
            <a:extLst>
              <a:ext uri="{FF2B5EF4-FFF2-40B4-BE49-F238E27FC236}">
                <a16:creationId xmlns:a16="http://schemas.microsoft.com/office/drawing/2014/main" id="{00000000-0008-0000-1700-00002D000000}"/>
              </a:ext>
            </a:extLst>
          </xdr:cNvPr>
          <xdr:cNvSpPr/>
        </xdr:nvSpPr>
        <xdr:spPr>
          <a:xfrm rot="10800000">
            <a:off x="19050001" y="464344"/>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37</xdr:col>
      <xdr:colOff>307522</xdr:colOff>
      <xdr:row>1</xdr:row>
      <xdr:rowOff>348343</xdr:rowOff>
    </xdr:from>
    <xdr:to>
      <xdr:col>37</xdr:col>
      <xdr:colOff>822552</xdr:colOff>
      <xdr:row>3</xdr:row>
      <xdr:rowOff>391885</xdr:rowOff>
    </xdr:to>
    <xdr:grpSp>
      <xdr:nvGrpSpPr>
        <xdr:cNvPr id="46" name="Group 45">
          <a:hlinkClick xmlns:r="http://schemas.openxmlformats.org/officeDocument/2006/relationships" r:id="rId2"/>
          <a:extLst>
            <a:ext uri="{FF2B5EF4-FFF2-40B4-BE49-F238E27FC236}">
              <a16:creationId xmlns:a16="http://schemas.microsoft.com/office/drawing/2014/main" id="{00000000-0008-0000-1700-00002E000000}"/>
            </a:ext>
          </a:extLst>
        </xdr:cNvPr>
        <xdr:cNvGrpSpPr>
          <a:grpSpLocks noChangeAspect="1"/>
        </xdr:cNvGrpSpPr>
      </xdr:nvGrpSpPr>
      <xdr:grpSpPr>
        <a:xfrm>
          <a:off x="47218147" y="348343"/>
          <a:ext cx="515030" cy="503917"/>
          <a:chOff x="18905085" y="348343"/>
          <a:chExt cx="515030" cy="507886"/>
        </a:xfrm>
      </xdr:grpSpPr>
      <xdr:sp macro="" textlink="">
        <xdr:nvSpPr>
          <xdr:cNvPr id="47" name="Oval 46">
            <a:extLst>
              <a:ext uri="{FF2B5EF4-FFF2-40B4-BE49-F238E27FC236}">
                <a16:creationId xmlns:a16="http://schemas.microsoft.com/office/drawing/2014/main" id="{00000000-0008-0000-1700-00002F000000}"/>
              </a:ext>
            </a:extLst>
          </xdr:cNvPr>
          <xdr:cNvSpPr/>
        </xdr:nvSpPr>
        <xdr:spPr>
          <a:xfrm>
            <a:off x="18905085" y="348343"/>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8" name="Chevron 47">
            <a:extLst>
              <a:ext uri="{FF2B5EF4-FFF2-40B4-BE49-F238E27FC236}">
                <a16:creationId xmlns:a16="http://schemas.microsoft.com/office/drawing/2014/main" id="{00000000-0008-0000-1700-000030000000}"/>
              </a:ext>
            </a:extLst>
          </xdr:cNvPr>
          <xdr:cNvSpPr/>
        </xdr:nvSpPr>
        <xdr:spPr>
          <a:xfrm rot="10800000">
            <a:off x="19050001" y="464344"/>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43</xdr:col>
      <xdr:colOff>843303</xdr:colOff>
      <xdr:row>1</xdr:row>
      <xdr:rowOff>348343</xdr:rowOff>
    </xdr:from>
    <xdr:to>
      <xdr:col>44</xdr:col>
      <xdr:colOff>239146</xdr:colOff>
      <xdr:row>3</xdr:row>
      <xdr:rowOff>391885</xdr:rowOff>
    </xdr:to>
    <xdr:grpSp>
      <xdr:nvGrpSpPr>
        <xdr:cNvPr id="49" name="Group 48">
          <a:hlinkClick xmlns:r="http://schemas.openxmlformats.org/officeDocument/2006/relationships" r:id="rId2"/>
          <a:extLst>
            <a:ext uri="{FF2B5EF4-FFF2-40B4-BE49-F238E27FC236}">
              <a16:creationId xmlns:a16="http://schemas.microsoft.com/office/drawing/2014/main" id="{00000000-0008-0000-1700-000031000000}"/>
            </a:ext>
          </a:extLst>
        </xdr:cNvPr>
        <xdr:cNvGrpSpPr>
          <a:grpSpLocks noChangeAspect="1"/>
        </xdr:cNvGrpSpPr>
      </xdr:nvGrpSpPr>
      <xdr:grpSpPr>
        <a:xfrm>
          <a:off x="54754803" y="348343"/>
          <a:ext cx="562656" cy="503917"/>
          <a:chOff x="18905085" y="348343"/>
          <a:chExt cx="515030" cy="507886"/>
        </a:xfrm>
      </xdr:grpSpPr>
      <xdr:sp macro="" textlink="">
        <xdr:nvSpPr>
          <xdr:cNvPr id="50" name="Oval 49">
            <a:extLst>
              <a:ext uri="{FF2B5EF4-FFF2-40B4-BE49-F238E27FC236}">
                <a16:creationId xmlns:a16="http://schemas.microsoft.com/office/drawing/2014/main" id="{00000000-0008-0000-1700-000032000000}"/>
              </a:ext>
            </a:extLst>
          </xdr:cNvPr>
          <xdr:cNvSpPr/>
        </xdr:nvSpPr>
        <xdr:spPr>
          <a:xfrm>
            <a:off x="18905085" y="348343"/>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51" name="Chevron 50">
            <a:extLst>
              <a:ext uri="{FF2B5EF4-FFF2-40B4-BE49-F238E27FC236}">
                <a16:creationId xmlns:a16="http://schemas.microsoft.com/office/drawing/2014/main" id="{00000000-0008-0000-1700-000033000000}"/>
              </a:ext>
            </a:extLst>
          </xdr:cNvPr>
          <xdr:cNvSpPr/>
        </xdr:nvSpPr>
        <xdr:spPr>
          <a:xfrm rot="10800000">
            <a:off x="19050001" y="464344"/>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xdr:col>
      <xdr:colOff>489526</xdr:colOff>
      <xdr:row>1</xdr:row>
      <xdr:rowOff>142876</xdr:rowOff>
    </xdr:from>
    <xdr:to>
      <xdr:col>8</xdr:col>
      <xdr:colOff>1104019</xdr:colOff>
      <xdr:row>3</xdr:row>
      <xdr:rowOff>571500</xdr:rowOff>
    </xdr:to>
    <xdr:pic>
      <xdr:nvPicPr>
        <xdr:cNvPr id="26" name="Picture 25">
          <a:extLst>
            <a:ext uri="{FF2B5EF4-FFF2-40B4-BE49-F238E27FC236}">
              <a16:creationId xmlns:a16="http://schemas.microsoft.com/office/drawing/2014/main" id="{00000000-0008-0000-1700-00001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56776" y="142876"/>
          <a:ext cx="6210431" cy="892968"/>
        </a:xfrm>
        <a:prstGeom prst="rect">
          <a:avLst/>
        </a:prstGeom>
      </xdr:spPr>
    </xdr:pic>
    <xdr:clientData/>
  </xdr:twoCellAnchor>
  <xdr:twoCellAnchor editAs="absolute">
    <xdr:from>
      <xdr:col>9</xdr:col>
      <xdr:colOff>161063</xdr:colOff>
      <xdr:row>1</xdr:row>
      <xdr:rowOff>403566</xdr:rowOff>
    </xdr:from>
    <xdr:to>
      <xdr:col>10</xdr:col>
      <xdr:colOff>492057</xdr:colOff>
      <xdr:row>3</xdr:row>
      <xdr:rowOff>292894</xdr:rowOff>
    </xdr:to>
    <xdr:sp macro="" textlink="">
      <xdr:nvSpPr>
        <xdr:cNvPr id="27" name="Rounded Rectangle 26">
          <a:extLst>
            <a:ext uri="{FF2B5EF4-FFF2-40B4-BE49-F238E27FC236}">
              <a16:creationId xmlns:a16="http://schemas.microsoft.com/office/drawing/2014/main" id="{00000000-0008-0000-1700-00001B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9</xdr:col>
      <xdr:colOff>192902</xdr:colOff>
      <xdr:row>1</xdr:row>
      <xdr:rowOff>423523</xdr:rowOff>
    </xdr:from>
    <xdr:to>
      <xdr:col>10</xdr:col>
      <xdr:colOff>440213</xdr:colOff>
      <xdr:row>3</xdr:row>
      <xdr:rowOff>264913</xdr:rowOff>
    </xdr:to>
    <xdr:pic>
      <xdr:nvPicPr>
        <xdr:cNvPr id="28" name="Picture 27">
          <a:hlinkClick xmlns:r="http://schemas.openxmlformats.org/officeDocument/2006/relationships" r:id="rId4"/>
          <a:extLst>
            <a:ext uri="{FF2B5EF4-FFF2-40B4-BE49-F238E27FC236}">
              <a16:creationId xmlns:a16="http://schemas.microsoft.com/office/drawing/2014/main" id="{00000000-0008-0000-1700-00001C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10</xdr:col>
      <xdr:colOff>664187</xdr:colOff>
      <xdr:row>1</xdr:row>
      <xdr:rowOff>403566</xdr:rowOff>
    </xdr:from>
    <xdr:to>
      <xdr:col>11</xdr:col>
      <xdr:colOff>459399</xdr:colOff>
      <xdr:row>3</xdr:row>
      <xdr:rowOff>292894</xdr:rowOff>
    </xdr:to>
    <xdr:sp macro="" textlink="">
      <xdr:nvSpPr>
        <xdr:cNvPr id="29" name="Rounded Rectangle 28">
          <a:extLst>
            <a:ext uri="{FF2B5EF4-FFF2-40B4-BE49-F238E27FC236}">
              <a16:creationId xmlns:a16="http://schemas.microsoft.com/office/drawing/2014/main" id="{00000000-0008-0000-1700-00001D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10</xdr:col>
      <xdr:colOff>717799</xdr:colOff>
      <xdr:row>1</xdr:row>
      <xdr:rowOff>423523</xdr:rowOff>
    </xdr:from>
    <xdr:to>
      <xdr:col>11</xdr:col>
      <xdr:colOff>412998</xdr:colOff>
      <xdr:row>3</xdr:row>
      <xdr:rowOff>264913</xdr:rowOff>
    </xdr:to>
    <xdr:pic>
      <xdr:nvPicPr>
        <xdr:cNvPr id="30" name="Picture 29">
          <a:hlinkClick xmlns:r="http://schemas.openxmlformats.org/officeDocument/2006/relationships" r:id="rId6"/>
          <a:extLst>
            <a:ext uri="{FF2B5EF4-FFF2-40B4-BE49-F238E27FC236}">
              <a16:creationId xmlns:a16="http://schemas.microsoft.com/office/drawing/2014/main" id="{00000000-0008-0000-1700-00001E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absolute">
    <xdr:from>
      <xdr:col>11</xdr:col>
      <xdr:colOff>72451</xdr:colOff>
      <xdr:row>8</xdr:row>
      <xdr:rowOff>166692</xdr:rowOff>
    </xdr:from>
    <xdr:to>
      <xdr:col>11</xdr:col>
      <xdr:colOff>439519</xdr:colOff>
      <xdr:row>10</xdr:row>
      <xdr:rowOff>81455</xdr:rowOff>
    </xdr:to>
    <xdr:grpSp>
      <xdr:nvGrpSpPr>
        <xdr:cNvPr id="24" name="Group 23">
          <a:hlinkClick xmlns:r="http://schemas.openxmlformats.org/officeDocument/2006/relationships" r:id="rId1"/>
          <a:extLst>
            <a:ext uri="{FF2B5EF4-FFF2-40B4-BE49-F238E27FC236}">
              <a16:creationId xmlns:a16="http://schemas.microsoft.com/office/drawing/2014/main" id="{00000000-0008-0000-1800-000018000000}"/>
            </a:ext>
          </a:extLst>
        </xdr:cNvPr>
        <xdr:cNvGrpSpPr>
          <a:grpSpLocks noChangeAspect="1"/>
        </xdr:cNvGrpSpPr>
      </xdr:nvGrpSpPr>
      <xdr:grpSpPr>
        <a:xfrm>
          <a:off x="13724951" y="1992317"/>
          <a:ext cx="367068" cy="367201"/>
          <a:chOff x="11997751" y="2238380"/>
          <a:chExt cx="367068" cy="361946"/>
        </a:xfrm>
      </xdr:grpSpPr>
      <xdr:sp macro="" textlink="">
        <xdr:nvSpPr>
          <xdr:cNvPr id="22" name="Oval 21">
            <a:extLst>
              <a:ext uri="{FF2B5EF4-FFF2-40B4-BE49-F238E27FC236}">
                <a16:creationId xmlns:a16="http://schemas.microsoft.com/office/drawing/2014/main" id="{00000000-0008-0000-1800-000016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3" name="Chevron 22">
            <a:extLst>
              <a:ext uri="{FF2B5EF4-FFF2-40B4-BE49-F238E27FC236}">
                <a16:creationId xmlns:a16="http://schemas.microsoft.com/office/drawing/2014/main" id="{00000000-0008-0000-1800-000017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11</xdr:col>
      <xdr:colOff>72451</xdr:colOff>
      <xdr:row>25</xdr:row>
      <xdr:rowOff>133355</xdr:rowOff>
    </xdr:from>
    <xdr:to>
      <xdr:col>11</xdr:col>
      <xdr:colOff>439519</xdr:colOff>
      <xdr:row>27</xdr:row>
      <xdr:rowOff>76201</xdr:rowOff>
    </xdr:to>
    <xdr:grpSp>
      <xdr:nvGrpSpPr>
        <xdr:cNvPr id="25" name="Group 24">
          <a:hlinkClick xmlns:r="http://schemas.openxmlformats.org/officeDocument/2006/relationships" r:id="rId2"/>
          <a:extLst>
            <a:ext uri="{FF2B5EF4-FFF2-40B4-BE49-F238E27FC236}">
              <a16:creationId xmlns:a16="http://schemas.microsoft.com/office/drawing/2014/main" id="{00000000-0008-0000-1800-000019000000}"/>
            </a:ext>
          </a:extLst>
        </xdr:cNvPr>
        <xdr:cNvGrpSpPr>
          <a:grpSpLocks noChangeAspect="1"/>
        </xdr:cNvGrpSpPr>
      </xdr:nvGrpSpPr>
      <xdr:grpSpPr>
        <a:xfrm>
          <a:off x="13724951" y="6173793"/>
          <a:ext cx="367068" cy="371471"/>
          <a:chOff x="11997751" y="2238380"/>
          <a:chExt cx="367068" cy="361946"/>
        </a:xfrm>
      </xdr:grpSpPr>
      <xdr:sp macro="" textlink="">
        <xdr:nvSpPr>
          <xdr:cNvPr id="26" name="Oval 25">
            <a:extLst>
              <a:ext uri="{FF2B5EF4-FFF2-40B4-BE49-F238E27FC236}">
                <a16:creationId xmlns:a16="http://schemas.microsoft.com/office/drawing/2014/main" id="{00000000-0008-0000-1800-00001A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7" name="Chevron 26">
            <a:extLst>
              <a:ext uri="{FF2B5EF4-FFF2-40B4-BE49-F238E27FC236}">
                <a16:creationId xmlns:a16="http://schemas.microsoft.com/office/drawing/2014/main" id="{00000000-0008-0000-1800-00001B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11</xdr:col>
      <xdr:colOff>72451</xdr:colOff>
      <xdr:row>46</xdr:row>
      <xdr:rowOff>152405</xdr:rowOff>
    </xdr:from>
    <xdr:to>
      <xdr:col>11</xdr:col>
      <xdr:colOff>439519</xdr:colOff>
      <xdr:row>48</xdr:row>
      <xdr:rowOff>95251</xdr:rowOff>
    </xdr:to>
    <xdr:grpSp>
      <xdr:nvGrpSpPr>
        <xdr:cNvPr id="28" name="Group 27">
          <a:hlinkClick xmlns:r="http://schemas.openxmlformats.org/officeDocument/2006/relationships" r:id="rId3"/>
          <a:extLst>
            <a:ext uri="{FF2B5EF4-FFF2-40B4-BE49-F238E27FC236}">
              <a16:creationId xmlns:a16="http://schemas.microsoft.com/office/drawing/2014/main" id="{00000000-0008-0000-1800-00001C000000}"/>
            </a:ext>
          </a:extLst>
        </xdr:cNvPr>
        <xdr:cNvGrpSpPr>
          <a:grpSpLocks noChangeAspect="1"/>
        </xdr:cNvGrpSpPr>
      </xdr:nvGrpSpPr>
      <xdr:grpSpPr>
        <a:xfrm>
          <a:off x="13724951" y="11241093"/>
          <a:ext cx="367068" cy="371471"/>
          <a:chOff x="11997751" y="2238380"/>
          <a:chExt cx="367068" cy="361946"/>
        </a:xfrm>
      </xdr:grpSpPr>
      <xdr:sp macro="" textlink="">
        <xdr:nvSpPr>
          <xdr:cNvPr id="29" name="Oval 28">
            <a:extLst>
              <a:ext uri="{FF2B5EF4-FFF2-40B4-BE49-F238E27FC236}">
                <a16:creationId xmlns:a16="http://schemas.microsoft.com/office/drawing/2014/main" id="{00000000-0008-0000-1800-00001D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0" name="Chevron 29">
            <a:extLst>
              <a:ext uri="{FF2B5EF4-FFF2-40B4-BE49-F238E27FC236}">
                <a16:creationId xmlns:a16="http://schemas.microsoft.com/office/drawing/2014/main" id="{00000000-0008-0000-1800-00001E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11</xdr:col>
      <xdr:colOff>72451</xdr:colOff>
      <xdr:row>63</xdr:row>
      <xdr:rowOff>142880</xdr:rowOff>
    </xdr:from>
    <xdr:to>
      <xdr:col>11</xdr:col>
      <xdr:colOff>439519</xdr:colOff>
      <xdr:row>65</xdr:row>
      <xdr:rowOff>85726</xdr:rowOff>
    </xdr:to>
    <xdr:grpSp>
      <xdr:nvGrpSpPr>
        <xdr:cNvPr id="31" name="Group 30">
          <a:hlinkClick xmlns:r="http://schemas.openxmlformats.org/officeDocument/2006/relationships" r:id="rId4"/>
          <a:extLst>
            <a:ext uri="{FF2B5EF4-FFF2-40B4-BE49-F238E27FC236}">
              <a16:creationId xmlns:a16="http://schemas.microsoft.com/office/drawing/2014/main" id="{00000000-0008-0000-1800-00001F000000}"/>
            </a:ext>
          </a:extLst>
        </xdr:cNvPr>
        <xdr:cNvGrpSpPr>
          <a:grpSpLocks noChangeAspect="1"/>
        </xdr:cNvGrpSpPr>
      </xdr:nvGrpSpPr>
      <xdr:grpSpPr>
        <a:xfrm>
          <a:off x="13724951" y="15422568"/>
          <a:ext cx="367068" cy="371471"/>
          <a:chOff x="11997751" y="2238380"/>
          <a:chExt cx="367068" cy="361946"/>
        </a:xfrm>
      </xdr:grpSpPr>
      <xdr:sp macro="" textlink="">
        <xdr:nvSpPr>
          <xdr:cNvPr id="32" name="Oval 31">
            <a:extLst>
              <a:ext uri="{FF2B5EF4-FFF2-40B4-BE49-F238E27FC236}">
                <a16:creationId xmlns:a16="http://schemas.microsoft.com/office/drawing/2014/main" id="{00000000-0008-0000-1800-000020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3" name="Chevron 32">
            <a:extLst>
              <a:ext uri="{FF2B5EF4-FFF2-40B4-BE49-F238E27FC236}">
                <a16:creationId xmlns:a16="http://schemas.microsoft.com/office/drawing/2014/main" id="{00000000-0008-0000-1800-000021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21</xdr:col>
      <xdr:colOff>9525</xdr:colOff>
      <xdr:row>1</xdr:row>
      <xdr:rowOff>352425</xdr:rowOff>
    </xdr:from>
    <xdr:to>
      <xdr:col>21</xdr:col>
      <xdr:colOff>524555</xdr:colOff>
      <xdr:row>3</xdr:row>
      <xdr:rowOff>393586</xdr:rowOff>
    </xdr:to>
    <xdr:grpSp>
      <xdr:nvGrpSpPr>
        <xdr:cNvPr id="37" name="Group 36">
          <a:hlinkClick xmlns:r="http://schemas.openxmlformats.org/officeDocument/2006/relationships" r:id="rId5"/>
          <a:extLst>
            <a:ext uri="{FF2B5EF4-FFF2-40B4-BE49-F238E27FC236}">
              <a16:creationId xmlns:a16="http://schemas.microsoft.com/office/drawing/2014/main" id="{00000000-0008-0000-1800-000025000000}"/>
            </a:ext>
          </a:extLst>
        </xdr:cNvPr>
        <xdr:cNvGrpSpPr>
          <a:grpSpLocks noChangeAspect="1"/>
        </xdr:cNvGrpSpPr>
      </xdr:nvGrpSpPr>
      <xdr:grpSpPr>
        <a:xfrm>
          <a:off x="26655713" y="352425"/>
          <a:ext cx="515030" cy="501536"/>
          <a:chOff x="19392900" y="361950"/>
          <a:chExt cx="515030" cy="507886"/>
        </a:xfrm>
      </xdr:grpSpPr>
      <xdr:sp macro="" textlink="">
        <xdr:nvSpPr>
          <xdr:cNvPr id="38" name="Oval 37">
            <a:extLst>
              <a:ext uri="{FF2B5EF4-FFF2-40B4-BE49-F238E27FC236}">
                <a16:creationId xmlns:a16="http://schemas.microsoft.com/office/drawing/2014/main" id="{00000000-0008-0000-1800-000026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39" name="Chevron 38">
            <a:extLst>
              <a:ext uri="{FF2B5EF4-FFF2-40B4-BE49-F238E27FC236}">
                <a16:creationId xmlns:a16="http://schemas.microsoft.com/office/drawing/2014/main" id="{00000000-0008-0000-1800-000027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25</xdr:col>
      <xdr:colOff>571500</xdr:colOff>
      <xdr:row>1</xdr:row>
      <xdr:rowOff>352425</xdr:rowOff>
    </xdr:from>
    <xdr:to>
      <xdr:col>25</xdr:col>
      <xdr:colOff>1086530</xdr:colOff>
      <xdr:row>3</xdr:row>
      <xdr:rowOff>393586</xdr:rowOff>
    </xdr:to>
    <xdr:grpSp>
      <xdr:nvGrpSpPr>
        <xdr:cNvPr id="40" name="Group 39">
          <a:hlinkClick xmlns:r="http://schemas.openxmlformats.org/officeDocument/2006/relationships" r:id="rId5"/>
          <a:extLst>
            <a:ext uri="{FF2B5EF4-FFF2-40B4-BE49-F238E27FC236}">
              <a16:creationId xmlns:a16="http://schemas.microsoft.com/office/drawing/2014/main" id="{00000000-0008-0000-1800-000028000000}"/>
            </a:ext>
          </a:extLst>
        </xdr:cNvPr>
        <xdr:cNvGrpSpPr>
          <a:grpSpLocks noChangeAspect="1"/>
        </xdr:cNvGrpSpPr>
      </xdr:nvGrpSpPr>
      <xdr:grpSpPr>
        <a:xfrm>
          <a:off x="31884938" y="352425"/>
          <a:ext cx="515030" cy="501536"/>
          <a:chOff x="19392900" y="361950"/>
          <a:chExt cx="515030" cy="507886"/>
        </a:xfrm>
      </xdr:grpSpPr>
      <xdr:sp macro="" textlink="">
        <xdr:nvSpPr>
          <xdr:cNvPr id="41" name="Oval 40">
            <a:extLst>
              <a:ext uri="{FF2B5EF4-FFF2-40B4-BE49-F238E27FC236}">
                <a16:creationId xmlns:a16="http://schemas.microsoft.com/office/drawing/2014/main" id="{00000000-0008-0000-1800-000029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2" name="Chevron 41">
            <a:extLst>
              <a:ext uri="{FF2B5EF4-FFF2-40B4-BE49-F238E27FC236}">
                <a16:creationId xmlns:a16="http://schemas.microsoft.com/office/drawing/2014/main" id="{00000000-0008-0000-1800-00002A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27</xdr:col>
      <xdr:colOff>0</xdr:colOff>
      <xdr:row>1</xdr:row>
      <xdr:rowOff>352425</xdr:rowOff>
    </xdr:from>
    <xdr:to>
      <xdr:col>27</xdr:col>
      <xdr:colOff>0</xdr:colOff>
      <xdr:row>3</xdr:row>
      <xdr:rowOff>393586</xdr:rowOff>
    </xdr:to>
    <xdr:grpSp>
      <xdr:nvGrpSpPr>
        <xdr:cNvPr id="43" name="Group 42">
          <a:hlinkClick xmlns:r="http://schemas.openxmlformats.org/officeDocument/2006/relationships" r:id="rId5"/>
          <a:extLst>
            <a:ext uri="{FF2B5EF4-FFF2-40B4-BE49-F238E27FC236}">
              <a16:creationId xmlns:a16="http://schemas.microsoft.com/office/drawing/2014/main" id="{00000000-0008-0000-1800-00002B000000}"/>
            </a:ext>
          </a:extLst>
        </xdr:cNvPr>
        <xdr:cNvGrpSpPr>
          <a:grpSpLocks noChangeAspect="1"/>
        </xdr:cNvGrpSpPr>
      </xdr:nvGrpSpPr>
      <xdr:grpSpPr>
        <a:xfrm>
          <a:off x="31594425" y="352425"/>
          <a:ext cx="0" cy="507886"/>
          <a:chOff x="19392900" y="361950"/>
          <a:chExt cx="515030" cy="507886"/>
        </a:xfrm>
      </xdr:grpSpPr>
      <xdr:sp macro="" textlink="">
        <xdr:nvSpPr>
          <xdr:cNvPr id="44" name="Oval 43">
            <a:extLst>
              <a:ext uri="{FF2B5EF4-FFF2-40B4-BE49-F238E27FC236}">
                <a16:creationId xmlns:a16="http://schemas.microsoft.com/office/drawing/2014/main" id="{00000000-0008-0000-1800-00002C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5" name="Chevron 44">
            <a:extLst>
              <a:ext uri="{FF2B5EF4-FFF2-40B4-BE49-F238E27FC236}">
                <a16:creationId xmlns:a16="http://schemas.microsoft.com/office/drawing/2014/main" id="{00000000-0008-0000-1800-00002D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36</xdr:col>
      <xdr:colOff>295275</xdr:colOff>
      <xdr:row>1</xdr:row>
      <xdr:rowOff>352425</xdr:rowOff>
    </xdr:from>
    <xdr:to>
      <xdr:col>36</xdr:col>
      <xdr:colOff>810305</xdr:colOff>
      <xdr:row>3</xdr:row>
      <xdr:rowOff>393586</xdr:rowOff>
    </xdr:to>
    <xdr:grpSp>
      <xdr:nvGrpSpPr>
        <xdr:cNvPr id="46" name="Group 45">
          <a:hlinkClick xmlns:r="http://schemas.openxmlformats.org/officeDocument/2006/relationships" r:id="rId5"/>
          <a:extLst>
            <a:ext uri="{FF2B5EF4-FFF2-40B4-BE49-F238E27FC236}">
              <a16:creationId xmlns:a16="http://schemas.microsoft.com/office/drawing/2014/main" id="{00000000-0008-0000-1800-00002E000000}"/>
            </a:ext>
          </a:extLst>
        </xdr:cNvPr>
        <xdr:cNvGrpSpPr>
          <a:grpSpLocks noChangeAspect="1"/>
        </xdr:cNvGrpSpPr>
      </xdr:nvGrpSpPr>
      <xdr:grpSpPr>
        <a:xfrm>
          <a:off x="34553525" y="352425"/>
          <a:ext cx="515030" cy="501536"/>
          <a:chOff x="19392900" y="361950"/>
          <a:chExt cx="515030" cy="507886"/>
        </a:xfrm>
      </xdr:grpSpPr>
      <xdr:sp macro="" textlink="">
        <xdr:nvSpPr>
          <xdr:cNvPr id="47" name="Oval 46">
            <a:extLst>
              <a:ext uri="{FF2B5EF4-FFF2-40B4-BE49-F238E27FC236}">
                <a16:creationId xmlns:a16="http://schemas.microsoft.com/office/drawing/2014/main" id="{00000000-0008-0000-1800-00002F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48" name="Chevron 47">
            <a:extLst>
              <a:ext uri="{FF2B5EF4-FFF2-40B4-BE49-F238E27FC236}">
                <a16:creationId xmlns:a16="http://schemas.microsoft.com/office/drawing/2014/main" id="{00000000-0008-0000-1800-000030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40</xdr:col>
      <xdr:colOff>828675</xdr:colOff>
      <xdr:row>1</xdr:row>
      <xdr:rowOff>352425</xdr:rowOff>
    </xdr:from>
    <xdr:to>
      <xdr:col>41</xdr:col>
      <xdr:colOff>229280</xdr:colOff>
      <xdr:row>3</xdr:row>
      <xdr:rowOff>393586</xdr:rowOff>
    </xdr:to>
    <xdr:grpSp>
      <xdr:nvGrpSpPr>
        <xdr:cNvPr id="49" name="Group 48">
          <a:hlinkClick xmlns:r="http://schemas.openxmlformats.org/officeDocument/2006/relationships" r:id="rId5"/>
          <a:extLst>
            <a:ext uri="{FF2B5EF4-FFF2-40B4-BE49-F238E27FC236}">
              <a16:creationId xmlns:a16="http://schemas.microsoft.com/office/drawing/2014/main" id="{00000000-0008-0000-1800-000031000000}"/>
            </a:ext>
          </a:extLst>
        </xdr:cNvPr>
        <xdr:cNvGrpSpPr>
          <a:grpSpLocks noChangeAspect="1"/>
        </xdr:cNvGrpSpPr>
      </xdr:nvGrpSpPr>
      <xdr:grpSpPr>
        <a:xfrm>
          <a:off x="39754175" y="352425"/>
          <a:ext cx="567418" cy="501536"/>
          <a:chOff x="19392900" y="361950"/>
          <a:chExt cx="515030" cy="507886"/>
        </a:xfrm>
      </xdr:grpSpPr>
      <xdr:sp macro="" textlink="">
        <xdr:nvSpPr>
          <xdr:cNvPr id="50" name="Oval 49">
            <a:extLst>
              <a:ext uri="{FF2B5EF4-FFF2-40B4-BE49-F238E27FC236}">
                <a16:creationId xmlns:a16="http://schemas.microsoft.com/office/drawing/2014/main" id="{00000000-0008-0000-1800-000032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51" name="Chevron 50">
            <a:extLst>
              <a:ext uri="{FF2B5EF4-FFF2-40B4-BE49-F238E27FC236}">
                <a16:creationId xmlns:a16="http://schemas.microsoft.com/office/drawing/2014/main" id="{00000000-0008-0000-1800-000033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42</xdr:col>
      <xdr:colOff>0</xdr:colOff>
      <xdr:row>1</xdr:row>
      <xdr:rowOff>352425</xdr:rowOff>
    </xdr:from>
    <xdr:to>
      <xdr:col>42</xdr:col>
      <xdr:colOff>0</xdr:colOff>
      <xdr:row>3</xdr:row>
      <xdr:rowOff>393586</xdr:rowOff>
    </xdr:to>
    <xdr:grpSp>
      <xdr:nvGrpSpPr>
        <xdr:cNvPr id="52" name="Group 51">
          <a:hlinkClick xmlns:r="http://schemas.openxmlformats.org/officeDocument/2006/relationships" r:id="rId5"/>
          <a:extLst>
            <a:ext uri="{FF2B5EF4-FFF2-40B4-BE49-F238E27FC236}">
              <a16:creationId xmlns:a16="http://schemas.microsoft.com/office/drawing/2014/main" id="{00000000-0008-0000-1800-000034000000}"/>
            </a:ext>
          </a:extLst>
        </xdr:cNvPr>
        <xdr:cNvGrpSpPr>
          <a:grpSpLocks noChangeAspect="1"/>
        </xdr:cNvGrpSpPr>
      </xdr:nvGrpSpPr>
      <xdr:grpSpPr>
        <a:xfrm>
          <a:off x="38862000" y="352425"/>
          <a:ext cx="0" cy="507886"/>
          <a:chOff x="19392900" y="361950"/>
          <a:chExt cx="515030" cy="507886"/>
        </a:xfrm>
      </xdr:grpSpPr>
      <xdr:sp macro="" textlink="">
        <xdr:nvSpPr>
          <xdr:cNvPr id="53" name="Oval 52">
            <a:extLst>
              <a:ext uri="{FF2B5EF4-FFF2-40B4-BE49-F238E27FC236}">
                <a16:creationId xmlns:a16="http://schemas.microsoft.com/office/drawing/2014/main" id="{00000000-0008-0000-1800-000035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54" name="Chevron 53">
            <a:extLst>
              <a:ext uri="{FF2B5EF4-FFF2-40B4-BE49-F238E27FC236}">
                <a16:creationId xmlns:a16="http://schemas.microsoft.com/office/drawing/2014/main" id="{00000000-0008-0000-1800-000036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xdr:col>
      <xdr:colOff>1037213</xdr:colOff>
      <xdr:row>1</xdr:row>
      <xdr:rowOff>142876</xdr:rowOff>
    </xdr:from>
    <xdr:to>
      <xdr:col>9</xdr:col>
      <xdr:colOff>532519</xdr:colOff>
      <xdr:row>3</xdr:row>
      <xdr:rowOff>571499</xdr:rowOff>
    </xdr:to>
    <xdr:pic>
      <xdr:nvPicPr>
        <xdr:cNvPr id="55" name="Picture 54">
          <a:extLst>
            <a:ext uri="{FF2B5EF4-FFF2-40B4-BE49-F238E27FC236}">
              <a16:creationId xmlns:a16="http://schemas.microsoft.com/office/drawing/2014/main" id="{00000000-0008-0000-1800-00003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9</xdr:col>
      <xdr:colOff>708750</xdr:colOff>
      <xdr:row>1</xdr:row>
      <xdr:rowOff>403566</xdr:rowOff>
    </xdr:from>
    <xdr:to>
      <xdr:col>10</xdr:col>
      <xdr:colOff>503963</xdr:colOff>
      <xdr:row>3</xdr:row>
      <xdr:rowOff>292894</xdr:rowOff>
    </xdr:to>
    <xdr:sp macro="" textlink="">
      <xdr:nvSpPr>
        <xdr:cNvPr id="56" name="Rounded Rectangle 55">
          <a:extLst>
            <a:ext uri="{FF2B5EF4-FFF2-40B4-BE49-F238E27FC236}">
              <a16:creationId xmlns:a16="http://schemas.microsoft.com/office/drawing/2014/main" id="{00000000-0008-0000-1800-00003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9</xdr:col>
      <xdr:colOff>740589</xdr:colOff>
      <xdr:row>1</xdr:row>
      <xdr:rowOff>423523</xdr:rowOff>
    </xdr:from>
    <xdr:to>
      <xdr:col>10</xdr:col>
      <xdr:colOff>452119</xdr:colOff>
      <xdr:row>3</xdr:row>
      <xdr:rowOff>264913</xdr:rowOff>
    </xdr:to>
    <xdr:pic>
      <xdr:nvPicPr>
        <xdr:cNvPr id="57" name="Picture 56">
          <a:hlinkClick xmlns:r="http://schemas.openxmlformats.org/officeDocument/2006/relationships" r:id="rId7"/>
          <a:extLst>
            <a:ext uri="{FF2B5EF4-FFF2-40B4-BE49-F238E27FC236}">
              <a16:creationId xmlns:a16="http://schemas.microsoft.com/office/drawing/2014/main" id="{00000000-0008-0000-1800-000039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10</xdr:col>
      <xdr:colOff>676093</xdr:colOff>
      <xdr:row>1</xdr:row>
      <xdr:rowOff>403566</xdr:rowOff>
    </xdr:from>
    <xdr:to>
      <xdr:col>11</xdr:col>
      <xdr:colOff>471305</xdr:colOff>
      <xdr:row>3</xdr:row>
      <xdr:rowOff>292894</xdr:rowOff>
    </xdr:to>
    <xdr:sp macro="" textlink="">
      <xdr:nvSpPr>
        <xdr:cNvPr id="58" name="Rounded Rectangle 57">
          <a:extLst>
            <a:ext uri="{FF2B5EF4-FFF2-40B4-BE49-F238E27FC236}">
              <a16:creationId xmlns:a16="http://schemas.microsoft.com/office/drawing/2014/main" id="{00000000-0008-0000-1800-00003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10</xdr:col>
      <xdr:colOff>729705</xdr:colOff>
      <xdr:row>1</xdr:row>
      <xdr:rowOff>423523</xdr:rowOff>
    </xdr:from>
    <xdr:to>
      <xdr:col>11</xdr:col>
      <xdr:colOff>424904</xdr:colOff>
      <xdr:row>3</xdr:row>
      <xdr:rowOff>264913</xdr:rowOff>
    </xdr:to>
    <xdr:pic>
      <xdr:nvPicPr>
        <xdr:cNvPr id="59" name="Picture 58">
          <a:hlinkClick xmlns:r="http://schemas.openxmlformats.org/officeDocument/2006/relationships" r:id="rId9"/>
          <a:extLst>
            <a:ext uri="{FF2B5EF4-FFF2-40B4-BE49-F238E27FC236}">
              <a16:creationId xmlns:a16="http://schemas.microsoft.com/office/drawing/2014/main" id="{00000000-0008-0000-1800-00003B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absolute">
    <xdr:from>
      <xdr:col>10</xdr:col>
      <xdr:colOff>72451</xdr:colOff>
      <xdr:row>9</xdr:row>
      <xdr:rowOff>5</xdr:rowOff>
    </xdr:from>
    <xdr:to>
      <xdr:col>10</xdr:col>
      <xdr:colOff>439519</xdr:colOff>
      <xdr:row>10</xdr:row>
      <xdr:rowOff>19051</xdr:rowOff>
    </xdr:to>
    <xdr:grpSp>
      <xdr:nvGrpSpPr>
        <xdr:cNvPr id="7" name="Group 6">
          <a:hlinkClick xmlns:r="http://schemas.openxmlformats.org/officeDocument/2006/relationships" r:id="rId1"/>
          <a:extLst>
            <a:ext uri="{FF2B5EF4-FFF2-40B4-BE49-F238E27FC236}">
              <a16:creationId xmlns:a16="http://schemas.microsoft.com/office/drawing/2014/main" id="{00000000-0008-0000-1900-000007000000}"/>
            </a:ext>
          </a:extLst>
        </xdr:cNvPr>
        <xdr:cNvGrpSpPr>
          <a:grpSpLocks noChangeAspect="1"/>
        </xdr:cNvGrpSpPr>
      </xdr:nvGrpSpPr>
      <xdr:grpSpPr>
        <a:xfrm>
          <a:off x="12558139" y="2254255"/>
          <a:ext cx="367068" cy="360359"/>
          <a:chOff x="11997751" y="2238380"/>
          <a:chExt cx="367068" cy="361946"/>
        </a:xfrm>
      </xdr:grpSpPr>
      <xdr:sp macro="" textlink="">
        <xdr:nvSpPr>
          <xdr:cNvPr id="8" name="Oval 7">
            <a:extLst>
              <a:ext uri="{FF2B5EF4-FFF2-40B4-BE49-F238E27FC236}">
                <a16:creationId xmlns:a16="http://schemas.microsoft.com/office/drawing/2014/main" id="{00000000-0008-0000-1900-000008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9" name="Chevron 8">
            <a:extLst>
              <a:ext uri="{FF2B5EF4-FFF2-40B4-BE49-F238E27FC236}">
                <a16:creationId xmlns:a16="http://schemas.microsoft.com/office/drawing/2014/main" id="{00000000-0008-0000-1900-000009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10</xdr:col>
      <xdr:colOff>72451</xdr:colOff>
      <xdr:row>25</xdr:row>
      <xdr:rowOff>133355</xdr:rowOff>
    </xdr:from>
    <xdr:to>
      <xdr:col>10</xdr:col>
      <xdr:colOff>439519</xdr:colOff>
      <xdr:row>27</xdr:row>
      <xdr:rowOff>76201</xdr:rowOff>
    </xdr:to>
    <xdr:grpSp>
      <xdr:nvGrpSpPr>
        <xdr:cNvPr id="10" name="Group 9">
          <a:hlinkClick xmlns:r="http://schemas.openxmlformats.org/officeDocument/2006/relationships" r:id="rId2"/>
          <a:extLst>
            <a:ext uri="{FF2B5EF4-FFF2-40B4-BE49-F238E27FC236}">
              <a16:creationId xmlns:a16="http://schemas.microsoft.com/office/drawing/2014/main" id="{00000000-0008-0000-1900-00000A000000}"/>
            </a:ext>
          </a:extLst>
        </xdr:cNvPr>
        <xdr:cNvGrpSpPr>
          <a:grpSpLocks noChangeAspect="1"/>
        </xdr:cNvGrpSpPr>
      </xdr:nvGrpSpPr>
      <xdr:grpSpPr>
        <a:xfrm>
          <a:off x="12558139" y="6364293"/>
          <a:ext cx="367068" cy="371471"/>
          <a:chOff x="11997751" y="2238380"/>
          <a:chExt cx="367068" cy="361946"/>
        </a:xfrm>
      </xdr:grpSpPr>
      <xdr:sp macro="" textlink="">
        <xdr:nvSpPr>
          <xdr:cNvPr id="11" name="Oval 10">
            <a:extLst>
              <a:ext uri="{FF2B5EF4-FFF2-40B4-BE49-F238E27FC236}">
                <a16:creationId xmlns:a16="http://schemas.microsoft.com/office/drawing/2014/main" id="{00000000-0008-0000-1900-00000B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2" name="Chevron 11">
            <a:extLst>
              <a:ext uri="{FF2B5EF4-FFF2-40B4-BE49-F238E27FC236}">
                <a16:creationId xmlns:a16="http://schemas.microsoft.com/office/drawing/2014/main" id="{00000000-0008-0000-1900-00000C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10</xdr:col>
      <xdr:colOff>72451</xdr:colOff>
      <xdr:row>46</xdr:row>
      <xdr:rowOff>152405</xdr:rowOff>
    </xdr:from>
    <xdr:to>
      <xdr:col>10</xdr:col>
      <xdr:colOff>439519</xdr:colOff>
      <xdr:row>48</xdr:row>
      <xdr:rowOff>95251</xdr:rowOff>
    </xdr:to>
    <xdr:grpSp>
      <xdr:nvGrpSpPr>
        <xdr:cNvPr id="13" name="Group 12">
          <a:hlinkClick xmlns:r="http://schemas.openxmlformats.org/officeDocument/2006/relationships" r:id="rId3"/>
          <a:extLst>
            <a:ext uri="{FF2B5EF4-FFF2-40B4-BE49-F238E27FC236}">
              <a16:creationId xmlns:a16="http://schemas.microsoft.com/office/drawing/2014/main" id="{00000000-0008-0000-1900-00000D000000}"/>
            </a:ext>
          </a:extLst>
        </xdr:cNvPr>
        <xdr:cNvGrpSpPr>
          <a:grpSpLocks noChangeAspect="1"/>
        </xdr:cNvGrpSpPr>
      </xdr:nvGrpSpPr>
      <xdr:grpSpPr>
        <a:xfrm>
          <a:off x="12558139" y="11431593"/>
          <a:ext cx="367068" cy="371471"/>
          <a:chOff x="11997751" y="2238380"/>
          <a:chExt cx="367068" cy="361946"/>
        </a:xfrm>
      </xdr:grpSpPr>
      <xdr:sp macro="" textlink="">
        <xdr:nvSpPr>
          <xdr:cNvPr id="14" name="Oval 13">
            <a:extLst>
              <a:ext uri="{FF2B5EF4-FFF2-40B4-BE49-F238E27FC236}">
                <a16:creationId xmlns:a16="http://schemas.microsoft.com/office/drawing/2014/main" id="{00000000-0008-0000-1900-00000E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5" name="Chevron 14">
            <a:extLst>
              <a:ext uri="{FF2B5EF4-FFF2-40B4-BE49-F238E27FC236}">
                <a16:creationId xmlns:a16="http://schemas.microsoft.com/office/drawing/2014/main" id="{00000000-0008-0000-1900-00000F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10</xdr:col>
      <xdr:colOff>72451</xdr:colOff>
      <xdr:row>63</xdr:row>
      <xdr:rowOff>142880</xdr:rowOff>
    </xdr:from>
    <xdr:to>
      <xdr:col>10</xdr:col>
      <xdr:colOff>439519</xdr:colOff>
      <xdr:row>65</xdr:row>
      <xdr:rowOff>85726</xdr:rowOff>
    </xdr:to>
    <xdr:grpSp>
      <xdr:nvGrpSpPr>
        <xdr:cNvPr id="16" name="Group 15">
          <a:hlinkClick xmlns:r="http://schemas.openxmlformats.org/officeDocument/2006/relationships" r:id="rId4"/>
          <a:extLst>
            <a:ext uri="{FF2B5EF4-FFF2-40B4-BE49-F238E27FC236}">
              <a16:creationId xmlns:a16="http://schemas.microsoft.com/office/drawing/2014/main" id="{00000000-0008-0000-1900-000010000000}"/>
            </a:ext>
          </a:extLst>
        </xdr:cNvPr>
        <xdr:cNvGrpSpPr>
          <a:grpSpLocks noChangeAspect="1"/>
        </xdr:cNvGrpSpPr>
      </xdr:nvGrpSpPr>
      <xdr:grpSpPr>
        <a:xfrm>
          <a:off x="12558139" y="15486068"/>
          <a:ext cx="367068" cy="371471"/>
          <a:chOff x="11997751" y="2238380"/>
          <a:chExt cx="367068" cy="361946"/>
        </a:xfrm>
      </xdr:grpSpPr>
      <xdr:sp macro="" textlink="">
        <xdr:nvSpPr>
          <xdr:cNvPr id="17" name="Oval 16">
            <a:extLst>
              <a:ext uri="{FF2B5EF4-FFF2-40B4-BE49-F238E27FC236}">
                <a16:creationId xmlns:a16="http://schemas.microsoft.com/office/drawing/2014/main" id="{00000000-0008-0000-1900-000011000000}"/>
              </a:ext>
            </a:extLst>
          </xdr:cNvPr>
          <xdr:cNvSpPr/>
        </xdr:nvSpPr>
        <xdr:spPr>
          <a:xfrm>
            <a:off x="11997751" y="2238380"/>
            <a:ext cx="367068" cy="361946"/>
          </a:xfrm>
          <a:prstGeom prst="ellipse">
            <a:avLst/>
          </a:prstGeom>
          <a:solidFill>
            <a:schemeClr val="accent5"/>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18" name="Chevron 17">
            <a:extLst>
              <a:ext uri="{FF2B5EF4-FFF2-40B4-BE49-F238E27FC236}">
                <a16:creationId xmlns:a16="http://schemas.microsoft.com/office/drawing/2014/main" id="{00000000-0008-0000-1900-000012000000}"/>
              </a:ext>
            </a:extLst>
          </xdr:cNvPr>
          <xdr:cNvSpPr/>
        </xdr:nvSpPr>
        <xdr:spPr>
          <a:xfrm>
            <a:off x="12138603" y="2322554"/>
            <a:ext cx="115242" cy="193599"/>
          </a:xfrm>
          <a:prstGeom prst="chevron">
            <a:avLst>
              <a:gd name="adj" fmla="val 83333"/>
            </a:avLst>
          </a:prstGeom>
          <a:solidFill>
            <a:schemeClr val="bg1"/>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20</xdr:col>
      <xdr:colOff>9525</xdr:colOff>
      <xdr:row>1</xdr:row>
      <xdr:rowOff>352425</xdr:rowOff>
    </xdr:from>
    <xdr:to>
      <xdr:col>20</xdr:col>
      <xdr:colOff>524555</xdr:colOff>
      <xdr:row>3</xdr:row>
      <xdr:rowOff>393586</xdr:rowOff>
    </xdr:to>
    <xdr:grpSp>
      <xdr:nvGrpSpPr>
        <xdr:cNvPr id="19" name="Group 18">
          <a:hlinkClick xmlns:r="http://schemas.openxmlformats.org/officeDocument/2006/relationships" r:id="rId5"/>
          <a:extLst>
            <a:ext uri="{FF2B5EF4-FFF2-40B4-BE49-F238E27FC236}">
              <a16:creationId xmlns:a16="http://schemas.microsoft.com/office/drawing/2014/main" id="{00000000-0008-0000-1900-000013000000}"/>
            </a:ext>
          </a:extLst>
        </xdr:cNvPr>
        <xdr:cNvGrpSpPr>
          <a:grpSpLocks noChangeAspect="1"/>
        </xdr:cNvGrpSpPr>
      </xdr:nvGrpSpPr>
      <xdr:grpSpPr>
        <a:xfrm>
          <a:off x="25488900" y="352425"/>
          <a:ext cx="515030" cy="501536"/>
          <a:chOff x="19392900" y="361950"/>
          <a:chExt cx="515030" cy="507886"/>
        </a:xfrm>
      </xdr:grpSpPr>
      <xdr:sp macro="" textlink="">
        <xdr:nvSpPr>
          <xdr:cNvPr id="20" name="Oval 19">
            <a:extLst>
              <a:ext uri="{FF2B5EF4-FFF2-40B4-BE49-F238E27FC236}">
                <a16:creationId xmlns:a16="http://schemas.microsoft.com/office/drawing/2014/main" id="{00000000-0008-0000-1900-000014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21" name="Chevron 20">
            <a:extLst>
              <a:ext uri="{FF2B5EF4-FFF2-40B4-BE49-F238E27FC236}">
                <a16:creationId xmlns:a16="http://schemas.microsoft.com/office/drawing/2014/main" id="{00000000-0008-0000-1900-000015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24</xdr:col>
      <xdr:colOff>571500</xdr:colOff>
      <xdr:row>1</xdr:row>
      <xdr:rowOff>352425</xdr:rowOff>
    </xdr:from>
    <xdr:to>
      <xdr:col>24</xdr:col>
      <xdr:colOff>1086530</xdr:colOff>
      <xdr:row>3</xdr:row>
      <xdr:rowOff>393586</xdr:rowOff>
    </xdr:to>
    <xdr:grpSp>
      <xdr:nvGrpSpPr>
        <xdr:cNvPr id="22" name="Group 21">
          <a:hlinkClick xmlns:r="http://schemas.openxmlformats.org/officeDocument/2006/relationships" r:id="rId5"/>
          <a:extLst>
            <a:ext uri="{FF2B5EF4-FFF2-40B4-BE49-F238E27FC236}">
              <a16:creationId xmlns:a16="http://schemas.microsoft.com/office/drawing/2014/main" id="{00000000-0008-0000-1900-000016000000}"/>
            </a:ext>
          </a:extLst>
        </xdr:cNvPr>
        <xdr:cNvGrpSpPr>
          <a:grpSpLocks noChangeAspect="1"/>
        </xdr:cNvGrpSpPr>
      </xdr:nvGrpSpPr>
      <xdr:grpSpPr>
        <a:xfrm>
          <a:off x="30718125" y="352425"/>
          <a:ext cx="515030" cy="501536"/>
          <a:chOff x="19392900" y="361950"/>
          <a:chExt cx="515030" cy="507886"/>
        </a:xfrm>
      </xdr:grpSpPr>
      <xdr:sp macro="" textlink="">
        <xdr:nvSpPr>
          <xdr:cNvPr id="23" name="Oval 22">
            <a:extLst>
              <a:ext uri="{FF2B5EF4-FFF2-40B4-BE49-F238E27FC236}">
                <a16:creationId xmlns:a16="http://schemas.microsoft.com/office/drawing/2014/main" id="{00000000-0008-0000-1900-000017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24" name="Chevron 23">
            <a:extLst>
              <a:ext uri="{FF2B5EF4-FFF2-40B4-BE49-F238E27FC236}">
                <a16:creationId xmlns:a16="http://schemas.microsoft.com/office/drawing/2014/main" id="{00000000-0008-0000-1900-000018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30</xdr:col>
      <xdr:colOff>352425</xdr:colOff>
      <xdr:row>1</xdr:row>
      <xdr:rowOff>352425</xdr:rowOff>
    </xdr:from>
    <xdr:to>
      <xdr:col>30</xdr:col>
      <xdr:colOff>867455</xdr:colOff>
      <xdr:row>3</xdr:row>
      <xdr:rowOff>393586</xdr:rowOff>
    </xdr:to>
    <xdr:grpSp>
      <xdr:nvGrpSpPr>
        <xdr:cNvPr id="25" name="Group 24">
          <a:hlinkClick xmlns:r="http://schemas.openxmlformats.org/officeDocument/2006/relationships" r:id="rId5"/>
          <a:extLst>
            <a:ext uri="{FF2B5EF4-FFF2-40B4-BE49-F238E27FC236}">
              <a16:creationId xmlns:a16="http://schemas.microsoft.com/office/drawing/2014/main" id="{00000000-0008-0000-1900-000019000000}"/>
            </a:ext>
          </a:extLst>
        </xdr:cNvPr>
        <xdr:cNvGrpSpPr>
          <a:grpSpLocks noChangeAspect="1"/>
        </xdr:cNvGrpSpPr>
      </xdr:nvGrpSpPr>
      <xdr:grpSpPr>
        <a:xfrm>
          <a:off x="36944300" y="352425"/>
          <a:ext cx="515030" cy="501536"/>
          <a:chOff x="19392900" y="361950"/>
          <a:chExt cx="515030" cy="507886"/>
        </a:xfrm>
      </xdr:grpSpPr>
      <xdr:sp macro="" textlink="">
        <xdr:nvSpPr>
          <xdr:cNvPr id="26" name="Oval 25">
            <a:extLst>
              <a:ext uri="{FF2B5EF4-FFF2-40B4-BE49-F238E27FC236}">
                <a16:creationId xmlns:a16="http://schemas.microsoft.com/office/drawing/2014/main" id="{00000000-0008-0000-1900-00001A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27" name="Chevron 26">
            <a:extLst>
              <a:ext uri="{FF2B5EF4-FFF2-40B4-BE49-F238E27FC236}">
                <a16:creationId xmlns:a16="http://schemas.microsoft.com/office/drawing/2014/main" id="{00000000-0008-0000-1900-00001B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35</xdr:col>
      <xdr:colOff>295275</xdr:colOff>
      <xdr:row>1</xdr:row>
      <xdr:rowOff>352425</xdr:rowOff>
    </xdr:from>
    <xdr:to>
      <xdr:col>35</xdr:col>
      <xdr:colOff>810305</xdr:colOff>
      <xdr:row>3</xdr:row>
      <xdr:rowOff>393586</xdr:rowOff>
    </xdr:to>
    <xdr:grpSp>
      <xdr:nvGrpSpPr>
        <xdr:cNvPr id="28" name="Group 27">
          <a:hlinkClick xmlns:r="http://schemas.openxmlformats.org/officeDocument/2006/relationships" r:id="rId5"/>
          <a:extLst>
            <a:ext uri="{FF2B5EF4-FFF2-40B4-BE49-F238E27FC236}">
              <a16:creationId xmlns:a16="http://schemas.microsoft.com/office/drawing/2014/main" id="{00000000-0008-0000-1900-00001C000000}"/>
            </a:ext>
          </a:extLst>
        </xdr:cNvPr>
        <xdr:cNvGrpSpPr>
          <a:grpSpLocks noChangeAspect="1"/>
        </xdr:cNvGrpSpPr>
      </xdr:nvGrpSpPr>
      <xdr:grpSpPr>
        <a:xfrm>
          <a:off x="42165588" y="352425"/>
          <a:ext cx="515030" cy="501536"/>
          <a:chOff x="19392900" y="361950"/>
          <a:chExt cx="515030" cy="507886"/>
        </a:xfrm>
      </xdr:grpSpPr>
      <xdr:sp macro="" textlink="">
        <xdr:nvSpPr>
          <xdr:cNvPr id="29" name="Oval 28">
            <a:extLst>
              <a:ext uri="{FF2B5EF4-FFF2-40B4-BE49-F238E27FC236}">
                <a16:creationId xmlns:a16="http://schemas.microsoft.com/office/drawing/2014/main" id="{00000000-0008-0000-1900-00001D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30" name="Chevron 29">
            <a:extLst>
              <a:ext uri="{FF2B5EF4-FFF2-40B4-BE49-F238E27FC236}">
                <a16:creationId xmlns:a16="http://schemas.microsoft.com/office/drawing/2014/main" id="{00000000-0008-0000-1900-00001E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39</xdr:col>
      <xdr:colOff>828675</xdr:colOff>
      <xdr:row>1</xdr:row>
      <xdr:rowOff>352425</xdr:rowOff>
    </xdr:from>
    <xdr:to>
      <xdr:col>40</xdr:col>
      <xdr:colOff>229280</xdr:colOff>
      <xdr:row>3</xdr:row>
      <xdr:rowOff>393586</xdr:rowOff>
    </xdr:to>
    <xdr:grpSp>
      <xdr:nvGrpSpPr>
        <xdr:cNvPr id="31" name="Group 30">
          <a:hlinkClick xmlns:r="http://schemas.openxmlformats.org/officeDocument/2006/relationships" r:id="rId5"/>
          <a:extLst>
            <a:ext uri="{FF2B5EF4-FFF2-40B4-BE49-F238E27FC236}">
              <a16:creationId xmlns:a16="http://schemas.microsoft.com/office/drawing/2014/main" id="{00000000-0008-0000-1900-00001F000000}"/>
            </a:ext>
          </a:extLst>
        </xdr:cNvPr>
        <xdr:cNvGrpSpPr>
          <a:grpSpLocks noChangeAspect="1"/>
        </xdr:cNvGrpSpPr>
      </xdr:nvGrpSpPr>
      <xdr:grpSpPr>
        <a:xfrm>
          <a:off x="47366238" y="352425"/>
          <a:ext cx="567417" cy="501536"/>
          <a:chOff x="19392900" y="361950"/>
          <a:chExt cx="515030" cy="507886"/>
        </a:xfrm>
      </xdr:grpSpPr>
      <xdr:sp macro="" textlink="">
        <xdr:nvSpPr>
          <xdr:cNvPr id="32" name="Oval 31">
            <a:extLst>
              <a:ext uri="{FF2B5EF4-FFF2-40B4-BE49-F238E27FC236}">
                <a16:creationId xmlns:a16="http://schemas.microsoft.com/office/drawing/2014/main" id="{00000000-0008-0000-1900-000020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33" name="Chevron 32">
            <a:extLst>
              <a:ext uri="{FF2B5EF4-FFF2-40B4-BE49-F238E27FC236}">
                <a16:creationId xmlns:a16="http://schemas.microsoft.com/office/drawing/2014/main" id="{00000000-0008-0000-1900-000021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45</xdr:col>
      <xdr:colOff>447675</xdr:colOff>
      <xdr:row>1</xdr:row>
      <xdr:rowOff>352425</xdr:rowOff>
    </xdr:from>
    <xdr:to>
      <xdr:col>45</xdr:col>
      <xdr:colOff>962705</xdr:colOff>
      <xdr:row>3</xdr:row>
      <xdr:rowOff>393586</xdr:rowOff>
    </xdr:to>
    <xdr:grpSp>
      <xdr:nvGrpSpPr>
        <xdr:cNvPr id="34" name="Group 33">
          <a:hlinkClick xmlns:r="http://schemas.openxmlformats.org/officeDocument/2006/relationships" r:id="rId5"/>
          <a:extLst>
            <a:ext uri="{FF2B5EF4-FFF2-40B4-BE49-F238E27FC236}">
              <a16:creationId xmlns:a16="http://schemas.microsoft.com/office/drawing/2014/main" id="{00000000-0008-0000-1900-000022000000}"/>
            </a:ext>
          </a:extLst>
        </xdr:cNvPr>
        <xdr:cNvGrpSpPr>
          <a:grpSpLocks noChangeAspect="1"/>
        </xdr:cNvGrpSpPr>
      </xdr:nvGrpSpPr>
      <xdr:grpSpPr>
        <a:xfrm>
          <a:off x="53430488" y="352425"/>
          <a:ext cx="515030" cy="501536"/>
          <a:chOff x="19392900" y="361950"/>
          <a:chExt cx="515030" cy="507886"/>
        </a:xfrm>
      </xdr:grpSpPr>
      <xdr:sp macro="" textlink="">
        <xdr:nvSpPr>
          <xdr:cNvPr id="35" name="Oval 34">
            <a:extLst>
              <a:ext uri="{FF2B5EF4-FFF2-40B4-BE49-F238E27FC236}">
                <a16:creationId xmlns:a16="http://schemas.microsoft.com/office/drawing/2014/main" id="{00000000-0008-0000-1900-000023000000}"/>
              </a:ext>
            </a:extLst>
          </xdr:cNvPr>
          <xdr:cNvSpPr/>
        </xdr:nvSpPr>
        <xdr:spPr>
          <a:xfrm>
            <a:off x="19392900" y="361950"/>
            <a:ext cx="515030" cy="507886"/>
          </a:xfrm>
          <a:prstGeom prst="ellipse">
            <a:avLst/>
          </a:prstGeom>
          <a:ln w="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ln>
                <a:noFill/>
              </a:ln>
            </a:endParaRPr>
          </a:p>
        </xdr:txBody>
      </xdr:sp>
      <xdr:sp macro="" textlink="">
        <xdr:nvSpPr>
          <xdr:cNvPr id="36" name="Chevron 35">
            <a:extLst>
              <a:ext uri="{FF2B5EF4-FFF2-40B4-BE49-F238E27FC236}">
                <a16:creationId xmlns:a16="http://schemas.microsoft.com/office/drawing/2014/main" id="{00000000-0008-0000-1900-000024000000}"/>
              </a:ext>
            </a:extLst>
          </xdr:cNvPr>
          <xdr:cNvSpPr/>
        </xdr:nvSpPr>
        <xdr:spPr>
          <a:xfrm rot="10800000">
            <a:off x="19537816" y="477951"/>
            <a:ext cx="160734" cy="273844"/>
          </a:xfrm>
          <a:prstGeom prst="chevron">
            <a:avLst>
              <a:gd name="adj" fmla="val 83333"/>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editAs="absolute">
    <xdr:from>
      <xdr:col>3</xdr:col>
      <xdr:colOff>1037213</xdr:colOff>
      <xdr:row>1</xdr:row>
      <xdr:rowOff>142876</xdr:rowOff>
    </xdr:from>
    <xdr:to>
      <xdr:col>9</xdr:col>
      <xdr:colOff>532519</xdr:colOff>
      <xdr:row>3</xdr:row>
      <xdr:rowOff>571499</xdr:rowOff>
    </xdr:to>
    <xdr:pic>
      <xdr:nvPicPr>
        <xdr:cNvPr id="37" name="Picture 36">
          <a:extLst>
            <a:ext uri="{FF2B5EF4-FFF2-40B4-BE49-F238E27FC236}">
              <a16:creationId xmlns:a16="http://schemas.microsoft.com/office/drawing/2014/main" id="{00000000-0008-0000-1900-000025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9</xdr:col>
      <xdr:colOff>708750</xdr:colOff>
      <xdr:row>1</xdr:row>
      <xdr:rowOff>403566</xdr:rowOff>
    </xdr:from>
    <xdr:to>
      <xdr:col>10</xdr:col>
      <xdr:colOff>503963</xdr:colOff>
      <xdr:row>3</xdr:row>
      <xdr:rowOff>292894</xdr:rowOff>
    </xdr:to>
    <xdr:sp macro="" textlink="">
      <xdr:nvSpPr>
        <xdr:cNvPr id="38" name="Rounded Rectangle 37">
          <a:extLst>
            <a:ext uri="{FF2B5EF4-FFF2-40B4-BE49-F238E27FC236}">
              <a16:creationId xmlns:a16="http://schemas.microsoft.com/office/drawing/2014/main" id="{00000000-0008-0000-1900-000026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9</xdr:col>
      <xdr:colOff>740589</xdr:colOff>
      <xdr:row>1</xdr:row>
      <xdr:rowOff>423523</xdr:rowOff>
    </xdr:from>
    <xdr:to>
      <xdr:col>10</xdr:col>
      <xdr:colOff>452119</xdr:colOff>
      <xdr:row>3</xdr:row>
      <xdr:rowOff>264913</xdr:rowOff>
    </xdr:to>
    <xdr:pic>
      <xdr:nvPicPr>
        <xdr:cNvPr id="39" name="Picture 38">
          <a:hlinkClick xmlns:r="http://schemas.openxmlformats.org/officeDocument/2006/relationships" r:id="rId7"/>
          <a:extLst>
            <a:ext uri="{FF2B5EF4-FFF2-40B4-BE49-F238E27FC236}">
              <a16:creationId xmlns:a16="http://schemas.microsoft.com/office/drawing/2014/main" id="{00000000-0008-0000-1900-000027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11</xdr:col>
      <xdr:colOff>92687</xdr:colOff>
      <xdr:row>1</xdr:row>
      <xdr:rowOff>403566</xdr:rowOff>
    </xdr:from>
    <xdr:to>
      <xdr:col>11</xdr:col>
      <xdr:colOff>1007087</xdr:colOff>
      <xdr:row>3</xdr:row>
      <xdr:rowOff>292894</xdr:rowOff>
    </xdr:to>
    <xdr:sp macro="" textlink="">
      <xdr:nvSpPr>
        <xdr:cNvPr id="40" name="Rounded Rectangle 39">
          <a:extLst>
            <a:ext uri="{FF2B5EF4-FFF2-40B4-BE49-F238E27FC236}">
              <a16:creationId xmlns:a16="http://schemas.microsoft.com/office/drawing/2014/main" id="{00000000-0008-0000-1900-000028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11</xdr:col>
      <xdr:colOff>146299</xdr:colOff>
      <xdr:row>1</xdr:row>
      <xdr:rowOff>423523</xdr:rowOff>
    </xdr:from>
    <xdr:to>
      <xdr:col>11</xdr:col>
      <xdr:colOff>960686</xdr:colOff>
      <xdr:row>3</xdr:row>
      <xdr:rowOff>264913</xdr:rowOff>
    </xdr:to>
    <xdr:pic>
      <xdr:nvPicPr>
        <xdr:cNvPr id="41" name="Picture 40">
          <a:hlinkClick xmlns:r="http://schemas.openxmlformats.org/officeDocument/2006/relationships" r:id="rId9"/>
          <a:extLst>
            <a:ext uri="{FF2B5EF4-FFF2-40B4-BE49-F238E27FC236}">
              <a16:creationId xmlns:a16="http://schemas.microsoft.com/office/drawing/2014/main" id="{00000000-0008-0000-1900-000029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absolute">
    <xdr:from>
      <xdr:col>4</xdr:col>
      <xdr:colOff>263307</xdr:colOff>
      <xdr:row>1</xdr:row>
      <xdr:rowOff>142876</xdr:rowOff>
    </xdr:from>
    <xdr:to>
      <xdr:col>6</xdr:col>
      <xdr:colOff>1711238</xdr:colOff>
      <xdr:row>3</xdr:row>
      <xdr:rowOff>571499</xdr:rowOff>
    </xdr:to>
    <xdr:pic>
      <xdr:nvPicPr>
        <xdr:cNvPr id="7" name="Picture 6">
          <a:extLst>
            <a:ext uri="{FF2B5EF4-FFF2-40B4-BE49-F238E27FC236}">
              <a16:creationId xmlns:a16="http://schemas.microsoft.com/office/drawing/2014/main" id="{00000000-0008-0000-1A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6</xdr:col>
      <xdr:colOff>1887469</xdr:colOff>
      <xdr:row>1</xdr:row>
      <xdr:rowOff>403566</xdr:rowOff>
    </xdr:from>
    <xdr:to>
      <xdr:col>7</xdr:col>
      <xdr:colOff>420619</xdr:colOff>
      <xdr:row>3</xdr:row>
      <xdr:rowOff>292894</xdr:rowOff>
    </xdr:to>
    <xdr:sp macro="" textlink="">
      <xdr:nvSpPr>
        <xdr:cNvPr id="8" name="Rounded Rectangle 7">
          <a:extLst>
            <a:ext uri="{FF2B5EF4-FFF2-40B4-BE49-F238E27FC236}">
              <a16:creationId xmlns:a16="http://schemas.microsoft.com/office/drawing/2014/main" id="{00000000-0008-0000-1A00-00000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6</xdr:col>
      <xdr:colOff>1919308</xdr:colOff>
      <xdr:row>1</xdr:row>
      <xdr:rowOff>423523</xdr:rowOff>
    </xdr:from>
    <xdr:to>
      <xdr:col>7</xdr:col>
      <xdr:colOff>368775</xdr:colOff>
      <xdr:row>3</xdr:row>
      <xdr:rowOff>264913</xdr:rowOff>
    </xdr:to>
    <xdr:pic>
      <xdr:nvPicPr>
        <xdr:cNvPr id="9" name="Picture 8">
          <a:hlinkClick xmlns:r="http://schemas.openxmlformats.org/officeDocument/2006/relationships" r:id="rId2"/>
          <a:extLst>
            <a:ext uri="{FF2B5EF4-FFF2-40B4-BE49-F238E27FC236}">
              <a16:creationId xmlns:a16="http://schemas.microsoft.com/office/drawing/2014/main" id="{00000000-0008-0000-1A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7</xdr:col>
      <xdr:colOff>592749</xdr:colOff>
      <xdr:row>1</xdr:row>
      <xdr:rowOff>403566</xdr:rowOff>
    </xdr:from>
    <xdr:to>
      <xdr:col>7</xdr:col>
      <xdr:colOff>1507149</xdr:colOff>
      <xdr:row>3</xdr:row>
      <xdr:rowOff>292894</xdr:rowOff>
    </xdr:to>
    <xdr:sp macro="" textlink="">
      <xdr:nvSpPr>
        <xdr:cNvPr id="10" name="Rounded Rectangle 9">
          <a:extLst>
            <a:ext uri="{FF2B5EF4-FFF2-40B4-BE49-F238E27FC236}">
              <a16:creationId xmlns:a16="http://schemas.microsoft.com/office/drawing/2014/main" id="{00000000-0008-0000-1A00-00000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7</xdr:col>
      <xdr:colOff>646361</xdr:colOff>
      <xdr:row>1</xdr:row>
      <xdr:rowOff>423523</xdr:rowOff>
    </xdr:from>
    <xdr:to>
      <xdr:col>7</xdr:col>
      <xdr:colOff>1460748</xdr:colOff>
      <xdr:row>3</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1A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absolute">
    <xdr:from>
      <xdr:col>4</xdr:col>
      <xdr:colOff>263307</xdr:colOff>
      <xdr:row>1</xdr:row>
      <xdr:rowOff>142876</xdr:rowOff>
    </xdr:from>
    <xdr:to>
      <xdr:col>6</xdr:col>
      <xdr:colOff>1711238</xdr:colOff>
      <xdr:row>3</xdr:row>
      <xdr:rowOff>571499</xdr:rowOff>
    </xdr:to>
    <xdr:pic>
      <xdr:nvPicPr>
        <xdr:cNvPr id="7" name="Picture 6">
          <a:extLst>
            <a:ext uri="{FF2B5EF4-FFF2-40B4-BE49-F238E27FC236}">
              <a16:creationId xmlns:a16="http://schemas.microsoft.com/office/drawing/2014/main" id="{00000000-0008-0000-1B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6</xdr:col>
      <xdr:colOff>1887469</xdr:colOff>
      <xdr:row>1</xdr:row>
      <xdr:rowOff>403566</xdr:rowOff>
    </xdr:from>
    <xdr:to>
      <xdr:col>7</xdr:col>
      <xdr:colOff>420619</xdr:colOff>
      <xdr:row>3</xdr:row>
      <xdr:rowOff>292894</xdr:rowOff>
    </xdr:to>
    <xdr:sp macro="" textlink="">
      <xdr:nvSpPr>
        <xdr:cNvPr id="8" name="Rounded Rectangle 7">
          <a:extLst>
            <a:ext uri="{FF2B5EF4-FFF2-40B4-BE49-F238E27FC236}">
              <a16:creationId xmlns:a16="http://schemas.microsoft.com/office/drawing/2014/main" id="{00000000-0008-0000-1B00-00000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6</xdr:col>
      <xdr:colOff>1919308</xdr:colOff>
      <xdr:row>1</xdr:row>
      <xdr:rowOff>423523</xdr:rowOff>
    </xdr:from>
    <xdr:to>
      <xdr:col>7</xdr:col>
      <xdr:colOff>368775</xdr:colOff>
      <xdr:row>3</xdr:row>
      <xdr:rowOff>264913</xdr:rowOff>
    </xdr:to>
    <xdr:pic>
      <xdr:nvPicPr>
        <xdr:cNvPr id="9" name="Picture 8">
          <a:hlinkClick xmlns:r="http://schemas.openxmlformats.org/officeDocument/2006/relationships" r:id="rId2"/>
          <a:extLst>
            <a:ext uri="{FF2B5EF4-FFF2-40B4-BE49-F238E27FC236}">
              <a16:creationId xmlns:a16="http://schemas.microsoft.com/office/drawing/2014/main" id="{00000000-0008-0000-1B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7</xdr:col>
      <xdr:colOff>592749</xdr:colOff>
      <xdr:row>1</xdr:row>
      <xdr:rowOff>403566</xdr:rowOff>
    </xdr:from>
    <xdr:to>
      <xdr:col>8</xdr:col>
      <xdr:colOff>387962</xdr:colOff>
      <xdr:row>3</xdr:row>
      <xdr:rowOff>292894</xdr:rowOff>
    </xdr:to>
    <xdr:sp macro="" textlink="">
      <xdr:nvSpPr>
        <xdr:cNvPr id="10" name="Rounded Rectangle 9">
          <a:extLst>
            <a:ext uri="{FF2B5EF4-FFF2-40B4-BE49-F238E27FC236}">
              <a16:creationId xmlns:a16="http://schemas.microsoft.com/office/drawing/2014/main" id="{00000000-0008-0000-1B00-00000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7</xdr:col>
      <xdr:colOff>646361</xdr:colOff>
      <xdr:row>1</xdr:row>
      <xdr:rowOff>423523</xdr:rowOff>
    </xdr:from>
    <xdr:to>
      <xdr:col>8</xdr:col>
      <xdr:colOff>341561</xdr:colOff>
      <xdr:row>3</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1B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absolute">
    <xdr:from>
      <xdr:col>4</xdr:col>
      <xdr:colOff>263307</xdr:colOff>
      <xdr:row>1</xdr:row>
      <xdr:rowOff>142876</xdr:rowOff>
    </xdr:from>
    <xdr:to>
      <xdr:col>6</xdr:col>
      <xdr:colOff>377738</xdr:colOff>
      <xdr:row>3</xdr:row>
      <xdr:rowOff>571499</xdr:rowOff>
    </xdr:to>
    <xdr:pic>
      <xdr:nvPicPr>
        <xdr:cNvPr id="7" name="Picture 6">
          <a:extLst>
            <a:ext uri="{FF2B5EF4-FFF2-40B4-BE49-F238E27FC236}">
              <a16:creationId xmlns:a16="http://schemas.microsoft.com/office/drawing/2014/main" id="{00000000-0008-0000-1C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6</xdr:col>
      <xdr:colOff>553969</xdr:colOff>
      <xdr:row>1</xdr:row>
      <xdr:rowOff>403566</xdr:rowOff>
    </xdr:from>
    <xdr:to>
      <xdr:col>6</xdr:col>
      <xdr:colOff>1468369</xdr:colOff>
      <xdr:row>3</xdr:row>
      <xdr:rowOff>292894</xdr:rowOff>
    </xdr:to>
    <xdr:sp macro="" textlink="">
      <xdr:nvSpPr>
        <xdr:cNvPr id="8" name="Rounded Rectangle 7">
          <a:extLst>
            <a:ext uri="{FF2B5EF4-FFF2-40B4-BE49-F238E27FC236}">
              <a16:creationId xmlns:a16="http://schemas.microsoft.com/office/drawing/2014/main" id="{00000000-0008-0000-1C00-000008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6</xdr:col>
      <xdr:colOff>585808</xdr:colOff>
      <xdr:row>1</xdr:row>
      <xdr:rowOff>423523</xdr:rowOff>
    </xdr:from>
    <xdr:to>
      <xdr:col>6</xdr:col>
      <xdr:colOff>1416525</xdr:colOff>
      <xdr:row>3</xdr:row>
      <xdr:rowOff>264913</xdr:rowOff>
    </xdr:to>
    <xdr:pic>
      <xdr:nvPicPr>
        <xdr:cNvPr id="9" name="Picture 8">
          <a:hlinkClick xmlns:r="http://schemas.openxmlformats.org/officeDocument/2006/relationships" r:id="rId2"/>
          <a:extLst>
            <a:ext uri="{FF2B5EF4-FFF2-40B4-BE49-F238E27FC236}">
              <a16:creationId xmlns:a16="http://schemas.microsoft.com/office/drawing/2014/main" id="{00000000-0008-0000-1C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twoCellAnchor editAs="absolute">
    <xdr:from>
      <xdr:col>6</xdr:col>
      <xdr:colOff>1640499</xdr:colOff>
      <xdr:row>1</xdr:row>
      <xdr:rowOff>403566</xdr:rowOff>
    </xdr:from>
    <xdr:to>
      <xdr:col>6</xdr:col>
      <xdr:colOff>2554899</xdr:colOff>
      <xdr:row>3</xdr:row>
      <xdr:rowOff>292894</xdr:rowOff>
    </xdr:to>
    <xdr:sp macro="" textlink="">
      <xdr:nvSpPr>
        <xdr:cNvPr id="10" name="Rounded Rectangle 9">
          <a:extLst>
            <a:ext uri="{FF2B5EF4-FFF2-40B4-BE49-F238E27FC236}">
              <a16:creationId xmlns:a16="http://schemas.microsoft.com/office/drawing/2014/main" id="{00000000-0008-0000-1C00-00000A000000}"/>
            </a:ext>
          </a:extLst>
        </xdr:cNvPr>
        <xdr:cNvSpPr>
          <a:spLocks noChangeAspect="1"/>
        </xdr:cNvSpPr>
      </xdr:nvSpPr>
      <xdr:spPr>
        <a:xfrm>
          <a:off x="1262996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6</xdr:col>
      <xdr:colOff>1694111</xdr:colOff>
      <xdr:row>1</xdr:row>
      <xdr:rowOff>423523</xdr:rowOff>
    </xdr:from>
    <xdr:to>
      <xdr:col>6</xdr:col>
      <xdr:colOff>2508498</xdr:colOff>
      <xdr:row>3</xdr:row>
      <xdr:rowOff>264913</xdr:rowOff>
    </xdr:to>
    <xdr:pic>
      <xdr:nvPicPr>
        <xdr:cNvPr id="11" name="Picture 10">
          <a:hlinkClick xmlns:r="http://schemas.openxmlformats.org/officeDocument/2006/relationships" r:id="rId4"/>
          <a:extLst>
            <a:ext uri="{FF2B5EF4-FFF2-40B4-BE49-F238E27FC236}">
              <a16:creationId xmlns:a16="http://schemas.microsoft.com/office/drawing/2014/main" id="{00000000-0008-0000-1C00-00000B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7528" r="18880"/>
        <a:stretch/>
      </xdr:blipFill>
      <xdr:spPr>
        <a:xfrm>
          <a:off x="12683580" y="423523"/>
          <a:ext cx="814387" cy="305734"/>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absolute">
    <xdr:from>
      <xdr:col>5</xdr:col>
      <xdr:colOff>239495</xdr:colOff>
      <xdr:row>1</xdr:row>
      <xdr:rowOff>142876</xdr:rowOff>
    </xdr:from>
    <xdr:to>
      <xdr:col>10</xdr:col>
      <xdr:colOff>853988</xdr:colOff>
      <xdr:row>3</xdr:row>
      <xdr:rowOff>571499</xdr:rowOff>
    </xdr:to>
    <xdr:pic>
      <xdr:nvPicPr>
        <xdr:cNvPr id="5" name="Picture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56776" y="142876"/>
          <a:ext cx="6210431" cy="892967"/>
        </a:xfrm>
        <a:prstGeom prst="rect">
          <a:avLst/>
        </a:prstGeom>
      </xdr:spPr>
    </xdr:pic>
    <xdr:clientData/>
  </xdr:twoCellAnchor>
  <xdr:twoCellAnchor editAs="absolute">
    <xdr:from>
      <xdr:col>10</xdr:col>
      <xdr:colOff>1030219</xdr:colOff>
      <xdr:row>1</xdr:row>
      <xdr:rowOff>403566</xdr:rowOff>
    </xdr:from>
    <xdr:to>
      <xdr:col>11</xdr:col>
      <xdr:colOff>825432</xdr:colOff>
      <xdr:row>3</xdr:row>
      <xdr:rowOff>292894</xdr:rowOff>
    </xdr:to>
    <xdr:sp macro="" textlink="">
      <xdr:nvSpPr>
        <xdr:cNvPr id="6" name="Rounded Rectangle 5">
          <a:extLst>
            <a:ext uri="{FF2B5EF4-FFF2-40B4-BE49-F238E27FC236}">
              <a16:creationId xmlns:a16="http://schemas.microsoft.com/office/drawing/2014/main" id="{00000000-0008-0000-1D00-000006000000}"/>
            </a:ext>
          </a:extLst>
        </xdr:cNvPr>
        <xdr:cNvSpPr>
          <a:spLocks noChangeAspect="1"/>
        </xdr:cNvSpPr>
      </xdr:nvSpPr>
      <xdr:spPr>
        <a:xfrm>
          <a:off x="11543438" y="403566"/>
          <a:ext cx="914400" cy="353672"/>
        </a:xfrm>
        <a:prstGeom prst="roundRect">
          <a:avLst>
            <a:gd name="adj" fmla="val 50000"/>
          </a:avLst>
        </a:prstGeom>
        <a:solidFill>
          <a:srgbClr val="E6273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10</xdr:col>
      <xdr:colOff>1062058</xdr:colOff>
      <xdr:row>1</xdr:row>
      <xdr:rowOff>423523</xdr:rowOff>
    </xdr:from>
    <xdr:to>
      <xdr:col>11</xdr:col>
      <xdr:colOff>773588</xdr:colOff>
      <xdr:row>3</xdr:row>
      <xdr:rowOff>264913</xdr:rowOff>
    </xdr:to>
    <xdr:pic>
      <xdr:nvPicPr>
        <xdr:cNvPr id="7" name="Picture 6">
          <a:hlinkClick xmlns:r="http://schemas.openxmlformats.org/officeDocument/2006/relationships" r:id="rId2"/>
          <a:extLst>
            <a:ext uri="{FF2B5EF4-FFF2-40B4-BE49-F238E27FC236}">
              <a16:creationId xmlns:a16="http://schemas.microsoft.com/office/drawing/2014/main" id="{00000000-0008-0000-1D00-000007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23" r="18951"/>
        <a:stretch/>
      </xdr:blipFill>
      <xdr:spPr>
        <a:xfrm>
          <a:off x="11575277" y="423523"/>
          <a:ext cx="830717" cy="30573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Work-in-progress/Internal/2015/Interns/Rapid%20assessment%20of%20FSM/10052016_Calculation%20data_E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sheetName val="FW Flows"/>
      <sheetName val="User interface_RES"/>
      <sheetName val="User interface_Non-RES"/>
      <sheetName val="Chain Overview"/>
      <sheetName val="Scorecard Overview"/>
      <sheetName val="Government &amp; city wide issues"/>
      <sheetName val="Capture volumes"/>
      <sheetName val="Capture Containment Sc"/>
      <sheetName val="Containment volumes"/>
      <sheetName val="Emptying SC"/>
      <sheetName val="Emptying volumes"/>
      <sheetName val="Transport SC"/>
      <sheetName val="Transport volumes"/>
      <sheetName val="Treatment Sc"/>
      <sheetName val="Treatment volumes"/>
      <sheetName val="Disposal Sc"/>
      <sheetName val="Disposal volumes"/>
      <sheetName val="Citywide questions"/>
      <sheetName val="Budget questions"/>
      <sheetName val="Planning questions"/>
      <sheetName val="Permits and standards"/>
      <sheetName val="Public works questions"/>
      <sheetName val="Cleaning department"/>
      <sheetName val="Environment department"/>
    </sheetNames>
    <sheetDataSet>
      <sheetData sheetId="0">
        <row r="1">
          <cell r="A1" t="str">
            <v>Rapid Assessment of Faecal Sludge / Wastewater Flows and Related Issues</v>
          </cell>
        </row>
      </sheetData>
      <sheetData sheetId="1"/>
      <sheetData sheetId="2">
        <row r="7">
          <cell r="C7" t="str">
            <v>MATARAM</v>
          </cell>
        </row>
      </sheetData>
      <sheetData sheetId="3"/>
      <sheetData sheetId="4"/>
      <sheetData sheetId="5"/>
      <sheetData sheetId="6"/>
      <sheetData sheetId="7"/>
      <sheetData sheetId="8"/>
      <sheetData sheetId="9"/>
      <sheetData sheetId="10"/>
      <sheetData sheetId="11"/>
      <sheetData sheetId="12"/>
      <sheetData sheetId="13">
        <row r="128">
          <cell r="V128">
            <v>0</v>
          </cell>
        </row>
        <row r="129">
          <cell r="V129">
            <v>0</v>
          </cell>
        </row>
        <row r="130">
          <cell r="V130">
            <v>0</v>
          </cell>
        </row>
        <row r="131">
          <cell r="V131">
            <v>0</v>
          </cell>
        </row>
      </sheetData>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Office Theme">
  <a:themeElements>
    <a:clrScheme name="IRC shitflow">
      <a:dk1>
        <a:sysClr val="windowText" lastClr="000000"/>
      </a:dk1>
      <a:lt1>
        <a:sysClr val="window" lastClr="FFFFFF"/>
      </a:lt1>
      <a:dk2>
        <a:srgbClr val="003F4C"/>
      </a:dk2>
      <a:lt2>
        <a:srgbClr val="FFFFFF"/>
      </a:lt2>
      <a:accent1>
        <a:srgbClr val="007E97"/>
      </a:accent1>
      <a:accent2>
        <a:srgbClr val="E62733"/>
      </a:accent2>
      <a:accent3>
        <a:srgbClr val="FAB400"/>
      </a:accent3>
      <a:accent4>
        <a:srgbClr val="F0E51B"/>
      </a:accent4>
      <a:accent5>
        <a:srgbClr val="CAE1E8"/>
      </a:accent5>
      <a:accent6>
        <a:srgbClr val="FCDED5"/>
      </a:accent6>
      <a:hlink>
        <a:srgbClr val="007E97"/>
      </a:hlink>
      <a:folHlink>
        <a:srgbClr val="E62733"/>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2"/>
        </a:solidFill>
        <a:ln>
          <a:noFill/>
        </a:ln>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0.xml"/><Relationship Id="rId1" Type="http://schemas.openxmlformats.org/officeDocument/2006/relationships/printerSettings" Target="../printerSettings/printerSettings18.bin"/><Relationship Id="rId4" Type="http://schemas.openxmlformats.org/officeDocument/2006/relationships/comments" Target="../comments1.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2.xml"/><Relationship Id="rId1" Type="http://schemas.openxmlformats.org/officeDocument/2006/relationships/printerSettings" Target="../printerSettings/printerSettings20.bin"/><Relationship Id="rId4" Type="http://schemas.openxmlformats.org/officeDocument/2006/relationships/comments" Target="../comments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theme="3"/>
  </sheetPr>
  <dimension ref="A1:V101"/>
  <sheetViews>
    <sheetView showGridLines="0" showRowColHeaders="0" tabSelected="1" zoomScale="80" zoomScaleNormal="80" workbookViewId="0">
      <pane ySplit="3" topLeftCell="A4" activePane="bottomLeft" state="frozen"/>
      <selection pane="bottomLeft" activeCell="A4" sqref="A4"/>
    </sheetView>
  </sheetViews>
  <sheetFormatPr defaultColWidth="9.1796875" defaultRowHeight="14.5" x14ac:dyDescent="0.35"/>
  <cols>
    <col min="1" max="19" width="9.1796875" style="512"/>
    <col min="20" max="20" width="10.7265625" style="512" customWidth="1"/>
    <col min="21" max="16384" width="9.1796875" style="512"/>
  </cols>
  <sheetData>
    <row r="1" spans="1:22" s="513" customFormat="1" x14ac:dyDescent="0.35"/>
    <row r="2" spans="1:22" s="513" customFormat="1" ht="79.5" customHeight="1" x14ac:dyDescent="0.35"/>
    <row r="3" spans="1:22" s="689" customFormat="1" ht="5.25" customHeight="1" x14ac:dyDescent="0.35"/>
    <row r="4" spans="1:22" ht="1" customHeight="1" x14ac:dyDescent="0.35">
      <c r="A4" s="865"/>
    </row>
    <row r="5" spans="1:22" x14ac:dyDescent="0.35">
      <c r="A5" s="1280"/>
    </row>
    <row r="8" spans="1:22" x14ac:dyDescent="0.35">
      <c r="T8" s="813"/>
      <c r="U8" s="813"/>
      <c r="V8" s="813"/>
    </row>
    <row r="9" spans="1:22" x14ac:dyDescent="0.35">
      <c r="U9" s="813"/>
    </row>
    <row r="100" spans="2:2" x14ac:dyDescent="0.35">
      <c r="B100" s="813" t="s">
        <v>0</v>
      </c>
    </row>
    <row r="101" spans="2:2" x14ac:dyDescent="0.35">
      <c r="B101" s="813" t="s">
        <v>1</v>
      </c>
    </row>
  </sheetData>
  <sheetProtection password="C8C1" sheet="1" objects="1" scenarios="1" select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theme="3"/>
  </sheetPr>
  <dimension ref="A1:Q15"/>
  <sheetViews>
    <sheetView showGridLines="0" showRowColHeaders="0" zoomScale="65" zoomScaleNormal="65" workbookViewId="0">
      <pane ySplit="3" topLeftCell="A4" activePane="bottomLeft" state="frozen"/>
      <selection pane="bottomLeft" activeCell="A4" sqref="A4"/>
    </sheetView>
  </sheetViews>
  <sheetFormatPr defaultColWidth="9.1796875" defaultRowHeight="14.5" x14ac:dyDescent="0.35"/>
  <cols>
    <col min="1" max="16384" width="9.1796875" style="512"/>
  </cols>
  <sheetData>
    <row r="1" spans="1:17" s="513" customFormat="1" x14ac:dyDescent="0.35"/>
    <row r="2" spans="1:17" s="513" customFormat="1" ht="79.5" customHeight="1" x14ac:dyDescent="0.35"/>
    <row r="3" spans="1:17" s="689" customFormat="1" ht="6" customHeight="1" x14ac:dyDescent="0.35"/>
    <row r="4" spans="1:17" ht="1" customHeight="1" x14ac:dyDescent="0.35">
      <c r="A4" s="865"/>
    </row>
    <row r="7" spans="1:17" x14ac:dyDescent="0.35">
      <c r="Q7" s="813"/>
    </row>
    <row r="9" spans="1:17" x14ac:dyDescent="0.35">
      <c r="Q9" s="813"/>
    </row>
    <row r="15" spans="1:17" x14ac:dyDescent="0.35">
      <c r="F15" s="865"/>
    </row>
  </sheetData>
  <sheetProtection algorithmName="SHA-512" hashValue="j/4zdOSVFk/Q9Zkv04Avdv2T1/CA5eRwlgjdzEsz2VxfCi2RtB5/vnvYVDdqlptgrAWJJR7HvAxvFgVbXbqlcQ==" saltValue="6Th5Ta2+RiImlFlY1F7xBA==" spinCount="100000" sheet="1" objects="1" scenarios="1" selectLockedCells="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theme="3"/>
    <pageSetUpPr fitToPage="1"/>
  </sheetPr>
  <dimension ref="B1:T31"/>
  <sheetViews>
    <sheetView showGridLines="0" showRowColHeaders="0" zoomScale="80" zoomScaleNormal="80" workbookViewId="0">
      <pane ySplit="3" topLeftCell="A13" activePane="bottomLeft" state="frozen"/>
      <selection pane="bottomLeft" activeCell="I43" sqref="I43"/>
    </sheetView>
  </sheetViews>
  <sheetFormatPr defaultRowHeight="14.5" x14ac:dyDescent="0.35"/>
  <cols>
    <col min="1" max="1" width="3.26953125" customWidth="1"/>
  </cols>
  <sheetData>
    <row r="1" spans="2:20" s="512" customFormat="1" ht="36.75" customHeight="1" x14ac:dyDescent="0.45">
      <c r="B1" s="1259" t="str">
        <f>'User interface_RES'!AJ11</f>
        <v>Any city in , the world</v>
      </c>
    </row>
    <row r="2" spans="2:20" s="512" customFormat="1" ht="22.5" customHeight="1" x14ac:dyDescent="0.35">
      <c r="B2" s="866" t="s">
        <v>2</v>
      </c>
      <c r="M2" s="1526" t="s">
        <v>3</v>
      </c>
      <c r="N2" s="1526"/>
    </row>
    <row r="3" spans="2:20" s="512" customFormat="1" ht="34.5" customHeight="1" x14ac:dyDescent="0.35"/>
    <row r="4" spans="2:20" x14ac:dyDescent="0.35">
      <c r="Q4" s="838"/>
    </row>
    <row r="5" spans="2:20" x14ac:dyDescent="0.35">
      <c r="B5" s="869" t="s">
        <v>4</v>
      </c>
      <c r="Q5" s="838"/>
    </row>
    <row r="6" spans="2:20" x14ac:dyDescent="0.35">
      <c r="Q6" s="838"/>
    </row>
    <row r="7" spans="2:20" x14ac:dyDescent="0.35">
      <c r="Q7" s="838"/>
    </row>
    <row r="8" spans="2:20" x14ac:dyDescent="0.35">
      <c r="Q8" s="838"/>
    </row>
    <row r="9" spans="2:20" x14ac:dyDescent="0.35">
      <c r="T9" s="1"/>
    </row>
    <row r="10" spans="2:20" x14ac:dyDescent="0.35">
      <c r="T10" s="1"/>
    </row>
    <row r="31" spans="17:17" x14ac:dyDescent="0.35">
      <c r="Q31" s="838"/>
    </row>
  </sheetData>
  <mergeCells count="1">
    <mergeCell ref="M2:N2"/>
  </mergeCells>
  <hyperlinks>
    <hyperlink ref="M2:N2" location="'Results menu'!A4" display="MENU"/>
  </hyperlinks>
  <pageMargins left="0.70866141732283472" right="0.70866141732283472" top="0.74803149606299213" bottom="0.74803149606299213" header="0.31496062992125984" footer="0.31496062992125984"/>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pageSetUpPr fitToPage="1"/>
  </sheetPr>
  <dimension ref="A1:T31"/>
  <sheetViews>
    <sheetView showGridLines="0" showRowColHeaders="0" zoomScale="80" zoomScaleNormal="80" workbookViewId="0">
      <pane ySplit="3" topLeftCell="A19" activePane="bottomLeft" state="frozen"/>
      <selection pane="bottomLeft" activeCell="F44" sqref="F44"/>
    </sheetView>
  </sheetViews>
  <sheetFormatPr defaultRowHeight="14.5" x14ac:dyDescent="0.35"/>
  <cols>
    <col min="1" max="1" width="3.26953125" customWidth="1"/>
  </cols>
  <sheetData>
    <row r="1" spans="1:20" s="512" customFormat="1" ht="36.75" customHeight="1" x14ac:dyDescent="0.45">
      <c r="A1" s="867"/>
      <c r="B1" s="1259" t="str">
        <f>'User interface_RES'!AJ11</f>
        <v>Any city in , the world</v>
      </c>
    </row>
    <row r="2" spans="1:20" s="512" customFormat="1" ht="22.5" customHeight="1" x14ac:dyDescent="0.35">
      <c r="B2" s="866" t="s">
        <v>5</v>
      </c>
      <c r="M2" s="1526" t="s">
        <v>3</v>
      </c>
      <c r="N2" s="1526"/>
      <c r="P2" s="1457"/>
      <c r="Q2" s="1457"/>
    </row>
    <row r="3" spans="1:20" s="512" customFormat="1" ht="34.5" customHeight="1" x14ac:dyDescent="0.35">
      <c r="Q3" s="868"/>
    </row>
    <row r="5" spans="1:20" x14ac:dyDescent="0.35">
      <c r="B5" s="869" t="s">
        <v>4</v>
      </c>
      <c r="Q5" s="843"/>
    </row>
    <row r="7" spans="1:20" x14ac:dyDescent="0.35">
      <c r="Q7" s="838"/>
    </row>
    <row r="9" spans="1:20" x14ac:dyDescent="0.35">
      <c r="T9" s="1"/>
    </row>
    <row r="10" spans="1:20" x14ac:dyDescent="0.35">
      <c r="T10" s="1"/>
    </row>
    <row r="18" spans="17:17" x14ac:dyDescent="0.35">
      <c r="Q18" s="838"/>
    </row>
    <row r="29" spans="17:17" x14ac:dyDescent="0.35">
      <c r="Q29" s="838"/>
    </row>
    <row r="31" spans="17:17" x14ac:dyDescent="0.35">
      <c r="Q31" s="838"/>
    </row>
  </sheetData>
  <mergeCells count="1">
    <mergeCell ref="M2:N2"/>
  </mergeCells>
  <hyperlinks>
    <hyperlink ref="M2:N2" location="'Results menu'!A4" display="MENU"/>
  </hyperlinks>
  <pageMargins left="0.70866141732283472" right="0.70866141732283472" top="0.74803149606299213" bottom="0.74803149606299213" header="0.31496062992125984" footer="0.31496062992125984"/>
  <pageSetup paperSize="9" scale="6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theme="4"/>
  </sheetPr>
  <dimension ref="A1"/>
  <sheetViews>
    <sheetView workbookViewId="0"/>
  </sheetViews>
  <sheetFormatPr defaultRowHeight="14.5" x14ac:dyDescent="0.3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theme="3"/>
    <pageSetUpPr fitToPage="1"/>
  </sheetPr>
  <dimension ref="A1:N27"/>
  <sheetViews>
    <sheetView zoomScale="80" zoomScaleNormal="80" workbookViewId="0">
      <pane ySplit="3" topLeftCell="A4" activePane="bottomLeft" state="frozen"/>
      <selection pane="bottomLeft" activeCell="M2" sqref="M2:N2"/>
    </sheetView>
  </sheetViews>
  <sheetFormatPr defaultRowHeight="14.5" x14ac:dyDescent="0.35"/>
  <sheetData>
    <row r="1" spans="1:14" s="512" customFormat="1" ht="36.75" customHeight="1" x14ac:dyDescent="0.45">
      <c r="A1" s="1246" t="str">
        <f>'User interface_RES'!AJ11</f>
        <v>Any city in , the world</v>
      </c>
    </row>
    <row r="2" spans="1:14" s="512" customFormat="1" ht="22.5" customHeight="1" x14ac:dyDescent="0.35">
      <c r="A2" s="1245" t="s">
        <v>6</v>
      </c>
      <c r="M2" s="1526" t="s">
        <v>3</v>
      </c>
      <c r="N2" s="1526"/>
    </row>
    <row r="3" spans="1:14" s="512" customFormat="1" ht="34.5" customHeight="1" x14ac:dyDescent="0.35"/>
    <row r="8" spans="1:14" ht="9" customHeight="1" x14ac:dyDescent="0.35"/>
    <row r="9" spans="1:14" ht="9" customHeight="1" x14ac:dyDescent="0.35"/>
    <row r="10" spans="1:14" ht="9" customHeight="1" x14ac:dyDescent="0.35"/>
    <row r="11" spans="1:14" ht="9" customHeight="1" x14ac:dyDescent="0.35"/>
    <row r="12" spans="1:14" ht="9" customHeight="1" x14ac:dyDescent="0.35"/>
    <row r="13" spans="1:14" ht="9" customHeight="1" x14ac:dyDescent="0.35"/>
    <row r="14" spans="1:14" ht="9" customHeight="1" x14ac:dyDescent="0.35"/>
    <row r="15" spans="1:14" ht="9" customHeight="1" x14ac:dyDescent="0.35"/>
    <row r="16" spans="1:14" ht="9" customHeight="1" x14ac:dyDescent="0.35"/>
    <row r="17" ht="9" customHeight="1" x14ac:dyDescent="0.35"/>
    <row r="18" ht="9" customHeight="1" x14ac:dyDescent="0.35"/>
    <row r="19" ht="9" customHeight="1" x14ac:dyDescent="0.35"/>
    <row r="20" ht="9" customHeight="1" x14ac:dyDescent="0.35"/>
    <row r="21" ht="9" customHeight="1" x14ac:dyDescent="0.35"/>
    <row r="22" ht="9" customHeight="1" x14ac:dyDescent="0.35"/>
    <row r="23" ht="9" customHeight="1" x14ac:dyDescent="0.35"/>
    <row r="24" ht="9" customHeight="1" x14ac:dyDescent="0.35"/>
    <row r="25" ht="9" customHeight="1" x14ac:dyDescent="0.35"/>
    <row r="26" ht="9" customHeight="1" x14ac:dyDescent="0.35"/>
    <row r="27" ht="9" customHeight="1" x14ac:dyDescent="0.35"/>
  </sheetData>
  <sheetProtection selectLockedCells="1" selectUnlockedCells="1"/>
  <mergeCells count="1">
    <mergeCell ref="M2:N2"/>
  </mergeCells>
  <hyperlinks>
    <hyperlink ref="M2:N2" location="'Results menu'!A4" display="MENU"/>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3"/>
  </sheetPr>
  <dimension ref="A1:N3"/>
  <sheetViews>
    <sheetView showGridLines="0" showRowColHeaders="0" zoomScale="80" zoomScaleNormal="80" workbookViewId="0">
      <pane ySplit="3" topLeftCell="A4" activePane="bottomLeft" state="frozen"/>
      <selection pane="bottomLeft" activeCell="M2" sqref="M2:N2"/>
    </sheetView>
  </sheetViews>
  <sheetFormatPr defaultRowHeight="14.5" x14ac:dyDescent="0.35"/>
  <sheetData>
    <row r="1" spans="1:14" s="512" customFormat="1" ht="36.75" customHeight="1" x14ac:dyDescent="0.45">
      <c r="A1" s="1246" t="str">
        <f>'User interface_RES'!AJ11</f>
        <v>Any city in , the world</v>
      </c>
    </row>
    <row r="2" spans="1:14" s="512" customFormat="1" ht="22.5" customHeight="1" x14ac:dyDescent="0.35">
      <c r="A2" s="1245" t="s">
        <v>7</v>
      </c>
      <c r="M2" s="1526" t="s">
        <v>3</v>
      </c>
      <c r="N2" s="1526"/>
    </row>
    <row r="3" spans="1:14" s="512" customFormat="1" ht="34.5" customHeight="1" x14ac:dyDescent="0.35"/>
  </sheetData>
  <sheetProtection selectLockedCells="1" selectUnlockedCells="1"/>
  <mergeCells count="1">
    <mergeCell ref="M2:N2"/>
  </mergeCells>
  <hyperlinks>
    <hyperlink ref="M2:N2" location="'Results menu'!A4" display="MENU"/>
  </hyperlinks>
  <pageMargins left="0.7" right="0.7" top="0.75" bottom="0.75" header="0.3" footer="0.3"/>
  <pageSetup paperSize="9" scale="5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pageSetUpPr fitToPage="1"/>
  </sheetPr>
  <dimension ref="A1:IV374"/>
  <sheetViews>
    <sheetView showGridLines="0" showRowColHeaders="0" zoomScale="80" zoomScaleNormal="80" workbookViewId="0">
      <pane ySplit="2" topLeftCell="A3" activePane="bottomLeft" state="frozen"/>
      <selection pane="bottomLeft" activeCell="A3" sqref="A3"/>
    </sheetView>
  </sheetViews>
  <sheetFormatPr defaultColWidth="9.1796875" defaultRowHeight="14.5" x14ac:dyDescent="0.35"/>
  <cols>
    <col min="1" max="1" width="3.26953125" style="17" customWidth="1"/>
    <col min="2" max="3" width="14.7265625" style="17" customWidth="1"/>
    <col min="4" max="4" width="14.7265625" style="98" customWidth="1"/>
    <col min="5" max="10" width="14.7265625" style="17" customWidth="1"/>
    <col min="11" max="11" width="3.26953125" style="17" customWidth="1"/>
    <col min="12" max="21" width="14.7265625" style="17" customWidth="1"/>
    <col min="22" max="22" width="9.1796875" style="544" customWidth="1"/>
    <col min="23" max="23" width="9.453125" style="544" customWidth="1"/>
    <col min="24" max="24" width="9.1796875" style="544"/>
    <col min="25" max="25" width="7.81640625" style="544" customWidth="1"/>
    <col min="26" max="26" width="2" style="544" customWidth="1"/>
    <col min="27" max="28" width="9.1796875" style="544"/>
    <col min="29" max="29" width="2.1796875" style="544" customWidth="1"/>
    <col min="30" max="256" width="9.1796875" style="544"/>
    <col min="257" max="16384" width="9.1796875" style="17"/>
  </cols>
  <sheetData>
    <row r="1" spans="1:256" s="681" customFormat="1" ht="36.75" customHeight="1" x14ac:dyDescent="0.45">
      <c r="A1" s="1244" t="str">
        <f>'User interface_RES'!AJ11</f>
        <v>Any city in , the world</v>
      </c>
      <c r="B1" s="824" t="str">
        <f>'User interface_RES'!AJ11</f>
        <v>Any city in , the world</v>
      </c>
      <c r="D1" s="707"/>
    </row>
    <row r="2" spans="1:256" s="658" customFormat="1" ht="57" customHeight="1" thickBot="1" x14ac:dyDescent="0.4">
      <c r="A2" s="826"/>
      <c r="B2" s="1527" t="s">
        <v>8</v>
      </c>
      <c r="C2" s="1527"/>
      <c r="D2" s="1527"/>
      <c r="E2" s="1527"/>
      <c r="F2" s="1527"/>
      <c r="G2" s="1527"/>
      <c r="H2" s="826"/>
      <c r="I2" s="826"/>
      <c r="J2" s="826"/>
    </row>
    <row r="3" spans="1:256" x14ac:dyDescent="0.35">
      <c r="A3" s="903"/>
      <c r="B3" s="544"/>
      <c r="C3" s="544"/>
      <c r="D3" s="708"/>
      <c r="E3" s="570"/>
      <c r="F3" s="544"/>
      <c r="G3" s="544"/>
      <c r="H3" s="544"/>
      <c r="I3" s="544"/>
      <c r="J3" s="544"/>
      <c r="K3" s="544"/>
      <c r="L3" s="544"/>
      <c r="M3" s="544"/>
      <c r="N3" s="544"/>
      <c r="O3" s="544"/>
      <c r="P3" s="544"/>
      <c r="Q3" s="544"/>
      <c r="R3" s="544"/>
      <c r="S3" s="544"/>
      <c r="T3" s="544"/>
      <c r="U3" s="544"/>
    </row>
    <row r="4" spans="1:256" x14ac:dyDescent="0.35">
      <c r="A4" s="544"/>
      <c r="B4" s="844"/>
      <c r="C4" s="544"/>
      <c r="D4" s="708"/>
      <c r="E4" s="544"/>
      <c r="F4" s="544"/>
      <c r="G4" s="570"/>
      <c r="H4" s="544"/>
      <c r="I4" s="544"/>
      <c r="J4" s="544"/>
      <c r="K4" s="544"/>
      <c r="L4" s="544"/>
      <c r="M4" s="544"/>
      <c r="N4" s="544"/>
      <c r="O4" s="544"/>
      <c r="P4" s="544"/>
      <c r="Q4" s="544"/>
      <c r="R4" s="544"/>
      <c r="S4" s="544"/>
      <c r="T4" s="544"/>
      <c r="U4" s="544"/>
    </row>
    <row r="5" spans="1:256" s="3" customFormat="1" ht="17.149999999999999" customHeight="1" x14ac:dyDescent="0.3">
      <c r="A5" s="478"/>
      <c r="B5" s="632"/>
      <c r="C5" s="628" t="s">
        <v>9</v>
      </c>
      <c r="D5" s="341" t="s">
        <v>10</v>
      </c>
      <c r="E5" s="342" t="s">
        <v>11</v>
      </c>
      <c r="F5" s="1479" t="s">
        <v>12</v>
      </c>
      <c r="G5" s="478"/>
      <c r="H5" s="632"/>
      <c r="I5" s="341" t="s">
        <v>10</v>
      </c>
      <c r="J5" s="342" t="s">
        <v>11</v>
      </c>
      <c r="K5" s="571"/>
      <c r="L5" s="478"/>
      <c r="M5" s="632"/>
      <c r="N5" s="341" t="s">
        <v>10</v>
      </c>
      <c r="O5" s="342" t="s">
        <v>11</v>
      </c>
      <c r="P5" s="478"/>
      <c r="Q5" s="1479" t="s">
        <v>12</v>
      </c>
      <c r="R5" s="714"/>
      <c r="S5" s="341" t="s">
        <v>10</v>
      </c>
      <c r="T5" s="342" t="s">
        <v>11</v>
      </c>
      <c r="U5" s="1479" t="s">
        <v>12</v>
      </c>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c r="BA5" s="478"/>
      <c r="BB5" s="478"/>
      <c r="BC5" s="478"/>
      <c r="BD5" s="478"/>
      <c r="BE5" s="478"/>
      <c r="BF5" s="478"/>
      <c r="BG5" s="478"/>
      <c r="BH5" s="478"/>
      <c r="BI5" s="478"/>
      <c r="BJ5" s="478"/>
      <c r="BK5" s="478"/>
      <c r="BL5" s="478"/>
      <c r="BM5" s="478"/>
      <c r="BN5" s="478"/>
      <c r="BO5" s="478"/>
      <c r="BP5" s="478"/>
      <c r="BQ5" s="478"/>
      <c r="BR5" s="478"/>
      <c r="BS5" s="478"/>
      <c r="BT5" s="478"/>
      <c r="BU5" s="478"/>
      <c r="BV5" s="478"/>
      <c r="BW5" s="478"/>
      <c r="BX5" s="478"/>
      <c r="BY5" s="478"/>
      <c r="BZ5" s="478"/>
      <c r="CA5" s="478"/>
      <c r="CB5" s="478"/>
      <c r="CC5" s="478"/>
      <c r="CD5" s="478"/>
      <c r="CE5" s="478"/>
      <c r="CF5" s="478"/>
      <c r="CG5" s="478"/>
      <c r="CH5" s="478"/>
      <c r="CI5" s="478"/>
      <c r="CJ5" s="478"/>
      <c r="CK5" s="478"/>
      <c r="CL5" s="478"/>
      <c r="CM5" s="478"/>
      <c r="CN5" s="478"/>
      <c r="CO5" s="478"/>
      <c r="CP5" s="478"/>
      <c r="CQ5" s="478"/>
      <c r="CR5" s="478"/>
      <c r="CS5" s="478"/>
      <c r="CT5" s="478"/>
      <c r="CU5" s="478"/>
      <c r="CV5" s="478"/>
      <c r="CW5" s="478"/>
      <c r="CX5" s="478"/>
      <c r="CY5" s="478"/>
      <c r="CZ5" s="478"/>
      <c r="DA5" s="478"/>
      <c r="DB5" s="478"/>
      <c r="DC5" s="478"/>
      <c r="DD5" s="478"/>
      <c r="DE5" s="478"/>
      <c r="DF5" s="478"/>
      <c r="DG5" s="478"/>
      <c r="DH5" s="478"/>
      <c r="DI5" s="478"/>
      <c r="DJ5" s="478"/>
      <c r="DK5" s="478"/>
      <c r="DL5" s="478"/>
      <c r="DM5" s="478"/>
      <c r="DN5" s="478"/>
      <c r="DO5" s="478"/>
      <c r="DP5" s="478"/>
      <c r="DQ5" s="478"/>
      <c r="DR5" s="478"/>
      <c r="DS5" s="478"/>
      <c r="DT5" s="478"/>
      <c r="DU5" s="478"/>
      <c r="DV5" s="478"/>
      <c r="DW5" s="478"/>
      <c r="DX5" s="478"/>
      <c r="DY5" s="478"/>
      <c r="DZ5" s="478"/>
      <c r="EA5" s="478"/>
      <c r="EB5" s="478"/>
      <c r="EC5" s="478"/>
      <c r="ED5" s="478"/>
      <c r="EE5" s="478"/>
      <c r="EF5" s="478"/>
      <c r="EG5" s="478"/>
      <c r="EH5" s="478"/>
      <c r="EI5" s="478"/>
      <c r="EJ5" s="478"/>
      <c r="EK5" s="478"/>
      <c r="EL5" s="478"/>
      <c r="EM5" s="478"/>
      <c r="EN5" s="478"/>
      <c r="EO5" s="478"/>
      <c r="EP5" s="478"/>
      <c r="EQ5" s="478"/>
      <c r="ER5" s="478"/>
      <c r="ES5" s="478"/>
      <c r="ET5" s="478"/>
      <c r="EU5" s="478"/>
      <c r="EV5" s="478"/>
      <c r="EW5" s="478"/>
      <c r="EX5" s="478"/>
      <c r="EY5" s="478"/>
      <c r="EZ5" s="478"/>
      <c r="FA5" s="478"/>
      <c r="FB5" s="478"/>
      <c r="FC5" s="478"/>
      <c r="FD5" s="478"/>
      <c r="FE5" s="478"/>
      <c r="FF5" s="478"/>
      <c r="FG5" s="478"/>
      <c r="FH5" s="478"/>
      <c r="FI5" s="478"/>
      <c r="FJ5" s="478"/>
      <c r="FK5" s="478"/>
      <c r="FL5" s="478"/>
      <c r="FM5" s="478"/>
      <c r="FN5" s="478"/>
      <c r="FO5" s="478"/>
      <c r="FP5" s="478"/>
      <c r="FQ5" s="478"/>
      <c r="FR5" s="478"/>
      <c r="FS5" s="478"/>
      <c r="FT5" s="478"/>
      <c r="FU5" s="478"/>
      <c r="FV5" s="478"/>
      <c r="FW5" s="478"/>
      <c r="FX5" s="478"/>
      <c r="FY5" s="478"/>
      <c r="FZ5" s="478"/>
      <c r="GA5" s="478"/>
      <c r="GB5" s="478"/>
      <c r="GC5" s="478"/>
      <c r="GD5" s="478"/>
      <c r="GE5" s="478"/>
      <c r="GF5" s="478"/>
      <c r="GG5" s="478"/>
      <c r="GH5" s="478"/>
      <c r="GI5" s="478"/>
      <c r="GJ5" s="478"/>
      <c r="GK5" s="478"/>
      <c r="GL5" s="478"/>
      <c r="GM5" s="478"/>
      <c r="GN5" s="478"/>
      <c r="GO5" s="478"/>
      <c r="GP5" s="478"/>
      <c r="GQ5" s="478"/>
      <c r="GR5" s="478"/>
      <c r="GS5" s="478"/>
      <c r="GT5" s="478"/>
      <c r="GU5" s="478"/>
      <c r="GV5" s="478"/>
      <c r="GW5" s="478"/>
      <c r="GX5" s="478"/>
      <c r="GY5" s="478"/>
      <c r="GZ5" s="478"/>
      <c r="HA5" s="478"/>
      <c r="HB5" s="478"/>
      <c r="HC5" s="478"/>
      <c r="HD5" s="478"/>
      <c r="HE5" s="478"/>
      <c r="HF5" s="478"/>
      <c r="HG5" s="478"/>
      <c r="HH5" s="478"/>
      <c r="HI5" s="478"/>
      <c r="HJ5" s="478"/>
      <c r="HK5" s="478"/>
      <c r="HL5" s="478"/>
      <c r="HM5" s="478"/>
      <c r="HN5" s="478"/>
      <c r="HO5" s="478"/>
      <c r="HP5" s="478"/>
      <c r="HQ5" s="478"/>
      <c r="HR5" s="478"/>
      <c r="HS5" s="478"/>
      <c r="HT5" s="478"/>
      <c r="HU5" s="478"/>
      <c r="HV5" s="478"/>
      <c r="HW5" s="478"/>
      <c r="HX5" s="478"/>
      <c r="HY5" s="478"/>
      <c r="HZ5" s="478"/>
      <c r="IA5" s="478"/>
      <c r="IB5" s="478"/>
      <c r="IC5" s="478"/>
      <c r="ID5" s="478"/>
      <c r="IE5" s="478"/>
      <c r="IF5" s="478"/>
      <c r="IG5" s="478"/>
      <c r="IH5" s="478"/>
      <c r="II5" s="478"/>
      <c r="IJ5" s="478"/>
      <c r="IK5" s="478"/>
      <c r="IL5" s="478"/>
      <c r="IM5" s="478"/>
      <c r="IN5" s="478"/>
      <c r="IO5" s="478"/>
      <c r="IP5" s="478"/>
      <c r="IQ5" s="478"/>
      <c r="IR5" s="478"/>
      <c r="IS5" s="478"/>
      <c r="IT5" s="478"/>
      <c r="IU5" s="478"/>
      <c r="IV5" s="478"/>
    </row>
    <row r="6" spans="1:256" s="3" customFormat="1" ht="17.149999999999999" customHeight="1" x14ac:dyDescent="0.3">
      <c r="A6" s="478"/>
      <c r="B6" s="720" t="s">
        <v>13</v>
      </c>
      <c r="C6" s="1520">
        <f>'FW Flows_ALL'!C7</f>
        <v>34911075</v>
      </c>
      <c r="D6" s="1520">
        <f>'FW Flows_ALL'!C7</f>
        <v>34911075</v>
      </c>
      <c r="E6" s="1520"/>
      <c r="F6" s="1520">
        <f>SUM(D6:E6)</f>
        <v>34911075</v>
      </c>
      <c r="G6" s="709"/>
      <c r="H6" s="723" t="str">
        <f>B6</f>
        <v>Produced</v>
      </c>
      <c r="I6" s="1520">
        <f>D6</f>
        <v>34911075</v>
      </c>
      <c r="J6" s="1520">
        <f>E6</f>
        <v>0</v>
      </c>
      <c r="K6" s="571"/>
      <c r="L6" s="478"/>
      <c r="M6" s="723" t="s">
        <v>13</v>
      </c>
      <c r="N6" s="343">
        <f t="shared" ref="N6:N13" si="0">IF(C6=0,0,D6/C6)</f>
        <v>1</v>
      </c>
      <c r="O6" s="343">
        <f t="shared" ref="O6:O13" si="1">IF(C6=0,0,E6/C6)</f>
        <v>0</v>
      </c>
      <c r="P6" s="478"/>
      <c r="Q6" s="343">
        <f>IF(C6=0,0,C6/C6)</f>
        <v>1</v>
      </c>
      <c r="R6" s="716" t="s">
        <v>13</v>
      </c>
      <c r="S6" s="431">
        <f>N6</f>
        <v>1</v>
      </c>
      <c r="T6" s="431">
        <f>O6</f>
        <v>0</v>
      </c>
      <c r="U6" s="1521"/>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c r="BA6" s="478"/>
      <c r="BB6" s="478"/>
      <c r="BC6" s="478"/>
      <c r="BD6" s="478"/>
      <c r="BE6" s="478"/>
      <c r="BF6" s="478"/>
      <c r="BG6" s="478"/>
      <c r="BH6" s="478"/>
      <c r="BI6" s="478"/>
      <c r="BJ6" s="478"/>
      <c r="BK6" s="478"/>
      <c r="BL6" s="478"/>
      <c r="BM6" s="478"/>
      <c r="BN6" s="478"/>
      <c r="BO6" s="478"/>
      <c r="BP6" s="478"/>
      <c r="BQ6" s="478"/>
      <c r="BR6" s="478"/>
      <c r="BS6" s="478"/>
      <c r="BT6" s="478"/>
      <c r="BU6" s="478"/>
      <c r="BV6" s="478"/>
      <c r="BW6" s="478"/>
      <c r="BX6" s="478"/>
      <c r="BY6" s="478"/>
      <c r="BZ6" s="478"/>
      <c r="CA6" s="478"/>
      <c r="CB6" s="478"/>
      <c r="CC6" s="478"/>
      <c r="CD6" s="478"/>
      <c r="CE6" s="478"/>
      <c r="CF6" s="478"/>
      <c r="CG6" s="478"/>
      <c r="CH6" s="478"/>
      <c r="CI6" s="478"/>
      <c r="CJ6" s="478"/>
      <c r="CK6" s="478"/>
      <c r="CL6" s="478"/>
      <c r="CM6" s="478"/>
      <c r="CN6" s="478"/>
      <c r="CO6" s="478"/>
      <c r="CP6" s="478"/>
      <c r="CQ6" s="478"/>
      <c r="CR6" s="478"/>
      <c r="CS6" s="478"/>
      <c r="CT6" s="478"/>
      <c r="CU6" s="478"/>
      <c r="CV6" s="478"/>
      <c r="CW6" s="478"/>
      <c r="CX6" s="478"/>
      <c r="CY6" s="478"/>
      <c r="CZ6" s="478"/>
      <c r="DA6" s="478"/>
      <c r="DB6" s="478"/>
      <c r="DC6" s="478"/>
      <c r="DD6" s="478"/>
      <c r="DE6" s="478"/>
      <c r="DF6" s="478"/>
      <c r="DG6" s="478"/>
      <c r="DH6" s="478"/>
      <c r="DI6" s="478"/>
      <c r="DJ6" s="478"/>
      <c r="DK6" s="478"/>
      <c r="DL6" s="478"/>
      <c r="DM6" s="478"/>
      <c r="DN6" s="478"/>
      <c r="DO6" s="478"/>
      <c r="DP6" s="478"/>
      <c r="DQ6" s="478"/>
      <c r="DR6" s="478"/>
      <c r="DS6" s="478"/>
      <c r="DT6" s="478"/>
      <c r="DU6" s="478"/>
      <c r="DV6" s="478"/>
      <c r="DW6" s="478"/>
      <c r="DX6" s="478"/>
      <c r="DY6" s="478"/>
      <c r="DZ6" s="478"/>
      <c r="EA6" s="478"/>
      <c r="EB6" s="478"/>
      <c r="EC6" s="478"/>
      <c r="ED6" s="478"/>
      <c r="EE6" s="478"/>
      <c r="EF6" s="478"/>
      <c r="EG6" s="478"/>
      <c r="EH6" s="478"/>
      <c r="EI6" s="478"/>
      <c r="EJ6" s="478"/>
      <c r="EK6" s="478"/>
      <c r="EL6" s="478"/>
      <c r="EM6" s="478"/>
      <c r="EN6" s="478"/>
      <c r="EO6" s="478"/>
      <c r="EP6" s="478"/>
      <c r="EQ6" s="478"/>
      <c r="ER6" s="478"/>
      <c r="ES6" s="478"/>
      <c r="ET6" s="478"/>
      <c r="EU6" s="478"/>
      <c r="EV6" s="478"/>
      <c r="EW6" s="478"/>
      <c r="EX6" s="478"/>
      <c r="EY6" s="478"/>
      <c r="EZ6" s="478"/>
      <c r="FA6" s="478"/>
      <c r="FB6" s="478"/>
      <c r="FC6" s="478"/>
      <c r="FD6" s="478"/>
      <c r="FE6" s="478"/>
      <c r="FF6" s="478"/>
      <c r="FG6" s="478"/>
      <c r="FH6" s="478"/>
      <c r="FI6" s="478"/>
      <c r="FJ6" s="478"/>
      <c r="FK6" s="478"/>
      <c r="FL6" s="478"/>
      <c r="FM6" s="478"/>
      <c r="FN6" s="478"/>
      <c r="FO6" s="478"/>
      <c r="FP6" s="478"/>
      <c r="FQ6" s="478"/>
      <c r="FR6" s="478"/>
      <c r="FS6" s="478"/>
      <c r="FT6" s="478"/>
      <c r="FU6" s="478"/>
      <c r="FV6" s="478"/>
      <c r="FW6" s="478"/>
      <c r="FX6" s="478"/>
      <c r="FY6" s="478"/>
      <c r="FZ6" s="478"/>
      <c r="GA6" s="478"/>
      <c r="GB6" s="478"/>
      <c r="GC6" s="478"/>
      <c r="GD6" s="478"/>
      <c r="GE6" s="478"/>
      <c r="GF6" s="478"/>
      <c r="GG6" s="478"/>
      <c r="GH6" s="478"/>
      <c r="GI6" s="478"/>
      <c r="GJ6" s="478"/>
      <c r="GK6" s="478"/>
      <c r="GL6" s="478"/>
      <c r="GM6" s="478"/>
      <c r="GN6" s="478"/>
      <c r="GO6" s="478"/>
      <c r="GP6" s="478"/>
      <c r="GQ6" s="478"/>
      <c r="GR6" s="478"/>
      <c r="GS6" s="478"/>
      <c r="GT6" s="478"/>
      <c r="GU6" s="478"/>
      <c r="GV6" s="478"/>
      <c r="GW6" s="478"/>
      <c r="GX6" s="478"/>
      <c r="GY6" s="478"/>
      <c r="GZ6" s="478"/>
      <c r="HA6" s="478"/>
      <c r="HB6" s="478"/>
      <c r="HC6" s="478"/>
      <c r="HD6" s="478"/>
      <c r="HE6" s="478"/>
      <c r="HF6" s="478"/>
      <c r="HG6" s="478"/>
      <c r="HH6" s="478"/>
      <c r="HI6" s="478"/>
      <c r="HJ6" s="478"/>
      <c r="HK6" s="478"/>
      <c r="HL6" s="478"/>
      <c r="HM6" s="478"/>
      <c r="HN6" s="478"/>
      <c r="HO6" s="478"/>
      <c r="HP6" s="478"/>
      <c r="HQ6" s="478"/>
      <c r="HR6" s="478"/>
      <c r="HS6" s="478"/>
      <c r="HT6" s="478"/>
      <c r="HU6" s="478"/>
      <c r="HV6" s="478"/>
      <c r="HW6" s="478"/>
      <c r="HX6" s="478"/>
      <c r="HY6" s="478"/>
      <c r="HZ6" s="478"/>
      <c r="IA6" s="478"/>
      <c r="IB6" s="478"/>
      <c r="IC6" s="478"/>
      <c r="ID6" s="478"/>
      <c r="IE6" s="478"/>
      <c r="IF6" s="478"/>
      <c r="IG6" s="478"/>
      <c r="IH6" s="478"/>
      <c r="II6" s="478"/>
      <c r="IJ6" s="478"/>
      <c r="IK6" s="478"/>
      <c r="IL6" s="478"/>
      <c r="IM6" s="478"/>
      <c r="IN6" s="478"/>
      <c r="IO6" s="478"/>
      <c r="IP6" s="478"/>
      <c r="IQ6" s="478"/>
      <c r="IR6" s="478"/>
      <c r="IS6" s="478"/>
      <c r="IT6" s="478"/>
      <c r="IU6" s="478"/>
      <c r="IV6" s="478"/>
    </row>
    <row r="7" spans="1:256" s="3" customFormat="1" ht="17.149999999999999" customHeight="1" x14ac:dyDescent="0.3">
      <c r="A7" s="478"/>
      <c r="B7" s="721" t="s">
        <v>14</v>
      </c>
      <c r="C7" s="1520">
        <f>'FW Flows_ALL'!C7</f>
        <v>34911075</v>
      </c>
      <c r="D7" s="1520">
        <f>'FW Flows_ALL'!C9</f>
        <v>34891050</v>
      </c>
      <c r="E7" s="1520">
        <f>'FW Flows_ALL'!C10</f>
        <v>20025</v>
      </c>
      <c r="F7" s="1520">
        <f t="shared" ref="F7:F13" si="2">SUM(D7:E7)</f>
        <v>34911075</v>
      </c>
      <c r="G7" s="709"/>
      <c r="H7" s="724" t="str">
        <f t="shared" ref="H7:H13" si="3">B7</f>
        <v>Capture</v>
      </c>
      <c r="I7" s="1520">
        <f t="shared" ref="I7:J13" si="4">D7</f>
        <v>34891050</v>
      </c>
      <c r="J7" s="1520">
        <f t="shared" si="4"/>
        <v>20025</v>
      </c>
      <c r="K7" s="571"/>
      <c r="L7" s="478"/>
      <c r="M7" s="724" t="s">
        <v>15</v>
      </c>
      <c r="N7" s="343">
        <f t="shared" si="0"/>
        <v>0.99942639978860581</v>
      </c>
      <c r="O7" s="343">
        <f t="shared" si="1"/>
        <v>5.7360021139423519E-4</v>
      </c>
      <c r="P7" s="478"/>
      <c r="Q7" s="343">
        <f t="shared" ref="Q7:Q13" si="5">IF($C$6=0,0,C7/C$6)</f>
        <v>1</v>
      </c>
      <c r="R7" s="717" t="s">
        <v>14</v>
      </c>
      <c r="S7" s="432">
        <f>IF(C7=0,0,D7/C7)</f>
        <v>0.99942639978860581</v>
      </c>
      <c r="T7" s="432">
        <f>IF(C7=0,0,E7/C7)</f>
        <v>5.7360021139423519E-4</v>
      </c>
      <c r="U7" s="152">
        <f>SUM(S7:T7)</f>
        <v>1</v>
      </c>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c r="BA7" s="478"/>
      <c r="BB7" s="478"/>
      <c r="BC7" s="478"/>
      <c r="BD7" s="478"/>
      <c r="BE7" s="478"/>
      <c r="BF7" s="478"/>
      <c r="BG7" s="478"/>
      <c r="BH7" s="478"/>
      <c r="BI7" s="478"/>
      <c r="BJ7" s="478"/>
      <c r="BK7" s="478"/>
      <c r="BL7" s="478"/>
      <c r="BM7" s="478"/>
      <c r="BN7" s="478"/>
      <c r="BO7" s="478"/>
      <c r="BP7" s="478"/>
      <c r="BQ7" s="478"/>
      <c r="BR7" s="478"/>
      <c r="BS7" s="478"/>
      <c r="BT7" s="478"/>
      <c r="BU7" s="478"/>
      <c r="BV7" s="478"/>
      <c r="BW7" s="478"/>
      <c r="BX7" s="478"/>
      <c r="BY7" s="478"/>
      <c r="BZ7" s="478"/>
      <c r="CA7" s="478"/>
      <c r="CB7" s="478"/>
      <c r="CC7" s="478"/>
      <c r="CD7" s="478"/>
      <c r="CE7" s="478"/>
      <c r="CF7" s="478"/>
      <c r="CG7" s="478"/>
      <c r="CH7" s="478"/>
      <c r="CI7" s="478"/>
      <c r="CJ7" s="478"/>
      <c r="CK7" s="478"/>
      <c r="CL7" s="478"/>
      <c r="CM7" s="478"/>
      <c r="CN7" s="478"/>
      <c r="CO7" s="478"/>
      <c r="CP7" s="478"/>
      <c r="CQ7" s="478"/>
      <c r="CR7" s="478"/>
      <c r="CS7" s="478"/>
      <c r="CT7" s="478"/>
      <c r="CU7" s="478"/>
      <c r="CV7" s="478"/>
      <c r="CW7" s="478"/>
      <c r="CX7" s="478"/>
      <c r="CY7" s="478"/>
      <c r="CZ7" s="478"/>
      <c r="DA7" s="478"/>
      <c r="DB7" s="478"/>
      <c r="DC7" s="478"/>
      <c r="DD7" s="478"/>
      <c r="DE7" s="478"/>
      <c r="DF7" s="478"/>
      <c r="DG7" s="478"/>
      <c r="DH7" s="478"/>
      <c r="DI7" s="478"/>
      <c r="DJ7" s="478"/>
      <c r="DK7" s="478"/>
      <c r="DL7" s="478"/>
      <c r="DM7" s="478"/>
      <c r="DN7" s="478"/>
      <c r="DO7" s="478"/>
      <c r="DP7" s="478"/>
      <c r="DQ7" s="478"/>
      <c r="DR7" s="478"/>
      <c r="DS7" s="478"/>
      <c r="DT7" s="478"/>
      <c r="DU7" s="478"/>
      <c r="DV7" s="478"/>
      <c r="DW7" s="478"/>
      <c r="DX7" s="478"/>
      <c r="DY7" s="478"/>
      <c r="DZ7" s="478"/>
      <c r="EA7" s="478"/>
      <c r="EB7" s="478"/>
      <c r="EC7" s="478"/>
      <c r="ED7" s="478"/>
      <c r="EE7" s="478"/>
      <c r="EF7" s="478"/>
      <c r="EG7" s="478"/>
      <c r="EH7" s="478"/>
      <c r="EI7" s="478"/>
      <c r="EJ7" s="478"/>
      <c r="EK7" s="478"/>
      <c r="EL7" s="478"/>
      <c r="EM7" s="478"/>
      <c r="EN7" s="478"/>
      <c r="EO7" s="478"/>
      <c r="EP7" s="478"/>
      <c r="EQ7" s="478"/>
      <c r="ER7" s="478"/>
      <c r="ES7" s="478"/>
      <c r="ET7" s="478"/>
      <c r="EU7" s="478"/>
      <c r="EV7" s="478"/>
      <c r="EW7" s="478"/>
      <c r="EX7" s="478"/>
      <c r="EY7" s="478"/>
      <c r="EZ7" s="478"/>
      <c r="FA7" s="478"/>
      <c r="FB7" s="478"/>
      <c r="FC7" s="478"/>
      <c r="FD7" s="478"/>
      <c r="FE7" s="478"/>
      <c r="FF7" s="478"/>
      <c r="FG7" s="478"/>
      <c r="FH7" s="478"/>
      <c r="FI7" s="478"/>
      <c r="FJ7" s="478"/>
      <c r="FK7" s="478"/>
      <c r="FL7" s="478"/>
      <c r="FM7" s="478"/>
      <c r="FN7" s="478"/>
      <c r="FO7" s="478"/>
      <c r="FP7" s="478"/>
      <c r="FQ7" s="478"/>
      <c r="FR7" s="478"/>
      <c r="FS7" s="478"/>
      <c r="FT7" s="478"/>
      <c r="FU7" s="478"/>
      <c r="FV7" s="478"/>
      <c r="FW7" s="478"/>
      <c r="FX7" s="478"/>
      <c r="FY7" s="478"/>
      <c r="FZ7" s="478"/>
      <c r="GA7" s="478"/>
      <c r="GB7" s="478"/>
      <c r="GC7" s="478"/>
      <c r="GD7" s="478"/>
      <c r="GE7" s="478"/>
      <c r="GF7" s="478"/>
      <c r="GG7" s="478"/>
      <c r="GH7" s="478"/>
      <c r="GI7" s="478"/>
      <c r="GJ7" s="478"/>
      <c r="GK7" s="478"/>
      <c r="GL7" s="478"/>
      <c r="GM7" s="478"/>
      <c r="GN7" s="478"/>
      <c r="GO7" s="478"/>
      <c r="GP7" s="478"/>
      <c r="GQ7" s="478"/>
      <c r="GR7" s="478"/>
      <c r="GS7" s="478"/>
      <c r="GT7" s="478"/>
      <c r="GU7" s="478"/>
      <c r="GV7" s="478"/>
      <c r="GW7" s="478"/>
      <c r="GX7" s="478"/>
      <c r="GY7" s="478"/>
      <c r="GZ7" s="478"/>
      <c r="HA7" s="478"/>
      <c r="HB7" s="478"/>
      <c r="HC7" s="478"/>
      <c r="HD7" s="478"/>
      <c r="HE7" s="478"/>
      <c r="HF7" s="478"/>
      <c r="HG7" s="478"/>
      <c r="HH7" s="478"/>
      <c r="HI7" s="478"/>
      <c r="HJ7" s="478"/>
      <c r="HK7" s="478"/>
      <c r="HL7" s="478"/>
      <c r="HM7" s="478"/>
      <c r="HN7" s="478"/>
      <c r="HO7" s="478"/>
      <c r="HP7" s="478"/>
      <c r="HQ7" s="478"/>
      <c r="HR7" s="478"/>
      <c r="HS7" s="478"/>
      <c r="HT7" s="478"/>
      <c r="HU7" s="478"/>
      <c r="HV7" s="478"/>
      <c r="HW7" s="478"/>
      <c r="HX7" s="478"/>
      <c r="HY7" s="478"/>
      <c r="HZ7" s="478"/>
      <c r="IA7" s="478"/>
      <c r="IB7" s="478"/>
      <c r="IC7" s="478"/>
      <c r="ID7" s="478"/>
      <c r="IE7" s="478"/>
      <c r="IF7" s="478"/>
      <c r="IG7" s="478"/>
      <c r="IH7" s="478"/>
      <c r="II7" s="478"/>
      <c r="IJ7" s="478"/>
      <c r="IK7" s="478"/>
      <c r="IL7" s="478"/>
      <c r="IM7" s="478"/>
      <c r="IN7" s="478"/>
      <c r="IO7" s="478"/>
      <c r="IP7" s="478"/>
      <c r="IQ7" s="478"/>
      <c r="IR7" s="478"/>
      <c r="IS7" s="478"/>
      <c r="IT7" s="478"/>
      <c r="IU7" s="478"/>
      <c r="IV7" s="478"/>
    </row>
    <row r="8" spans="1:256" s="3" customFormat="1" ht="17.149999999999999" customHeight="1" x14ac:dyDescent="0.3">
      <c r="A8" s="478"/>
      <c r="B8" s="721" t="s">
        <v>16</v>
      </c>
      <c r="C8" s="1520">
        <f>'FW Flows_ALL'!G7</f>
        <v>34891050</v>
      </c>
      <c r="D8" s="1520">
        <f>'FW Flows_ALL'!G9</f>
        <v>32696725</v>
      </c>
      <c r="E8" s="1520">
        <f>'FW Flows_ALL'!G10</f>
        <v>2194325</v>
      </c>
      <c r="F8" s="1520">
        <f t="shared" si="2"/>
        <v>34891050</v>
      </c>
      <c r="G8" s="478"/>
      <c r="H8" s="724" t="str">
        <f t="shared" si="3"/>
        <v>Containment</v>
      </c>
      <c r="I8" s="1520">
        <f t="shared" si="4"/>
        <v>32696725</v>
      </c>
      <c r="J8" s="1520">
        <f t="shared" si="4"/>
        <v>2194325</v>
      </c>
      <c r="K8" s="571"/>
      <c r="L8" s="478"/>
      <c r="M8" s="724" t="s">
        <v>17</v>
      </c>
      <c r="N8" s="343">
        <f t="shared" si="0"/>
        <v>0.93710923001743995</v>
      </c>
      <c r="O8" s="343">
        <f t="shared" si="1"/>
        <v>6.2890769982559991E-2</v>
      </c>
      <c r="P8" s="478"/>
      <c r="Q8" s="343">
        <f t="shared" si="5"/>
        <v>0.99942639978860581</v>
      </c>
      <c r="R8" s="717" t="s">
        <v>16</v>
      </c>
      <c r="S8" s="432">
        <f t="shared" ref="S8:S13" si="6">IF($C$6=0,0,C8/$C$6*N8)</f>
        <v>0.93657170396500256</v>
      </c>
      <c r="T8" s="432">
        <f t="shared" ref="T8:T13" si="7">IF($C$6=0,0,C8/$C$6*O8)</f>
        <v>6.2854695823603257E-2</v>
      </c>
      <c r="U8" s="152">
        <f t="shared" ref="U8:U14" si="8">SUM(S8:T8)</f>
        <v>0.99942639978860581</v>
      </c>
      <c r="V8" s="478"/>
      <c r="W8" s="478"/>
      <c r="X8" s="478"/>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478"/>
      <c r="BI8" s="478"/>
      <c r="BJ8" s="478"/>
      <c r="BK8" s="478"/>
      <c r="BL8" s="478"/>
      <c r="BM8" s="478"/>
      <c r="BN8" s="478"/>
      <c r="BO8" s="478"/>
      <c r="BP8" s="478"/>
      <c r="BQ8" s="478"/>
      <c r="BR8" s="478"/>
      <c r="BS8" s="478"/>
      <c r="BT8" s="478"/>
      <c r="BU8" s="478"/>
      <c r="BV8" s="478"/>
      <c r="BW8" s="478"/>
      <c r="BX8" s="478"/>
      <c r="BY8" s="478"/>
      <c r="BZ8" s="478"/>
      <c r="CA8" s="478"/>
      <c r="CB8" s="478"/>
      <c r="CC8" s="478"/>
      <c r="CD8" s="478"/>
      <c r="CE8" s="478"/>
      <c r="CF8" s="478"/>
      <c r="CG8" s="478"/>
      <c r="CH8" s="478"/>
      <c r="CI8" s="478"/>
      <c r="CJ8" s="478"/>
      <c r="CK8" s="478"/>
      <c r="CL8" s="478"/>
      <c r="CM8" s="478"/>
      <c r="CN8" s="478"/>
      <c r="CO8" s="478"/>
      <c r="CP8" s="478"/>
      <c r="CQ8" s="478"/>
      <c r="CR8" s="478"/>
      <c r="CS8" s="478"/>
      <c r="CT8" s="478"/>
      <c r="CU8" s="478"/>
      <c r="CV8" s="478"/>
      <c r="CW8" s="478"/>
      <c r="CX8" s="478"/>
      <c r="CY8" s="478"/>
      <c r="CZ8" s="478"/>
      <c r="DA8" s="478"/>
      <c r="DB8" s="478"/>
      <c r="DC8" s="478"/>
      <c r="DD8" s="478"/>
      <c r="DE8" s="478"/>
      <c r="DF8" s="478"/>
      <c r="DG8" s="478"/>
      <c r="DH8" s="478"/>
      <c r="DI8" s="478"/>
      <c r="DJ8" s="478"/>
      <c r="DK8" s="478"/>
      <c r="DL8" s="478"/>
      <c r="DM8" s="478"/>
      <c r="DN8" s="478"/>
      <c r="DO8" s="478"/>
      <c r="DP8" s="478"/>
      <c r="DQ8" s="478"/>
      <c r="DR8" s="478"/>
      <c r="DS8" s="478"/>
      <c r="DT8" s="478"/>
      <c r="DU8" s="478"/>
      <c r="DV8" s="478"/>
      <c r="DW8" s="478"/>
      <c r="DX8" s="478"/>
      <c r="DY8" s="478"/>
      <c r="DZ8" s="478"/>
      <c r="EA8" s="478"/>
      <c r="EB8" s="478"/>
      <c r="EC8" s="478"/>
      <c r="ED8" s="478"/>
      <c r="EE8" s="478"/>
      <c r="EF8" s="478"/>
      <c r="EG8" s="478"/>
      <c r="EH8" s="478"/>
      <c r="EI8" s="478"/>
      <c r="EJ8" s="478"/>
      <c r="EK8" s="478"/>
      <c r="EL8" s="478"/>
      <c r="EM8" s="478"/>
      <c r="EN8" s="478"/>
      <c r="EO8" s="478"/>
      <c r="EP8" s="478"/>
      <c r="EQ8" s="478"/>
      <c r="ER8" s="478"/>
      <c r="ES8" s="478"/>
      <c r="ET8" s="478"/>
      <c r="EU8" s="478"/>
      <c r="EV8" s="478"/>
      <c r="EW8" s="478"/>
      <c r="EX8" s="478"/>
      <c r="EY8" s="478"/>
      <c r="EZ8" s="478"/>
      <c r="FA8" s="478"/>
      <c r="FB8" s="478"/>
      <c r="FC8" s="478"/>
      <c r="FD8" s="478"/>
      <c r="FE8" s="478"/>
      <c r="FF8" s="478"/>
      <c r="FG8" s="478"/>
      <c r="FH8" s="478"/>
      <c r="FI8" s="478"/>
      <c r="FJ8" s="478"/>
      <c r="FK8" s="478"/>
      <c r="FL8" s="478"/>
      <c r="FM8" s="478"/>
      <c r="FN8" s="478"/>
      <c r="FO8" s="478"/>
      <c r="FP8" s="478"/>
      <c r="FQ8" s="478"/>
      <c r="FR8" s="478"/>
      <c r="FS8" s="478"/>
      <c r="FT8" s="478"/>
      <c r="FU8" s="478"/>
      <c r="FV8" s="478"/>
      <c r="FW8" s="478"/>
      <c r="FX8" s="478"/>
      <c r="FY8" s="478"/>
      <c r="FZ8" s="478"/>
      <c r="GA8" s="478"/>
      <c r="GB8" s="478"/>
      <c r="GC8" s="478"/>
      <c r="GD8" s="478"/>
      <c r="GE8" s="478"/>
      <c r="GF8" s="478"/>
      <c r="GG8" s="478"/>
      <c r="GH8" s="478"/>
      <c r="GI8" s="478"/>
      <c r="GJ8" s="478"/>
      <c r="GK8" s="478"/>
      <c r="GL8" s="478"/>
      <c r="GM8" s="478"/>
      <c r="GN8" s="478"/>
      <c r="GO8" s="478"/>
      <c r="GP8" s="478"/>
      <c r="GQ8" s="478"/>
      <c r="GR8" s="478"/>
      <c r="GS8" s="478"/>
      <c r="GT8" s="478"/>
      <c r="GU8" s="478"/>
      <c r="GV8" s="478"/>
      <c r="GW8" s="478"/>
      <c r="GX8" s="478"/>
      <c r="GY8" s="478"/>
      <c r="GZ8" s="478"/>
      <c r="HA8" s="478"/>
      <c r="HB8" s="478"/>
      <c r="HC8" s="478"/>
      <c r="HD8" s="478"/>
      <c r="HE8" s="478"/>
      <c r="HF8" s="478"/>
      <c r="HG8" s="478"/>
      <c r="HH8" s="478"/>
      <c r="HI8" s="478"/>
      <c r="HJ8" s="478"/>
      <c r="HK8" s="478"/>
      <c r="HL8" s="478"/>
      <c r="HM8" s="478"/>
      <c r="HN8" s="478"/>
      <c r="HO8" s="478"/>
      <c r="HP8" s="478"/>
      <c r="HQ8" s="478"/>
      <c r="HR8" s="478"/>
      <c r="HS8" s="478"/>
      <c r="HT8" s="478"/>
      <c r="HU8" s="478"/>
      <c r="HV8" s="478"/>
      <c r="HW8" s="478"/>
      <c r="HX8" s="478"/>
      <c r="HY8" s="478"/>
      <c r="HZ8" s="478"/>
      <c r="IA8" s="478"/>
      <c r="IB8" s="478"/>
      <c r="IC8" s="478"/>
      <c r="ID8" s="478"/>
      <c r="IE8" s="478"/>
      <c r="IF8" s="478"/>
      <c r="IG8" s="478"/>
      <c r="IH8" s="478"/>
      <c r="II8" s="478"/>
      <c r="IJ8" s="478"/>
      <c r="IK8" s="478"/>
      <c r="IL8" s="478"/>
      <c r="IM8" s="478"/>
      <c r="IN8" s="478"/>
      <c r="IO8" s="478"/>
      <c r="IP8" s="478"/>
      <c r="IQ8" s="478"/>
      <c r="IR8" s="478"/>
      <c r="IS8" s="478"/>
      <c r="IT8" s="478"/>
      <c r="IU8" s="478"/>
      <c r="IV8" s="478"/>
    </row>
    <row r="9" spans="1:256" s="3" customFormat="1" ht="17.149999999999999" customHeight="1" x14ac:dyDescent="0.3">
      <c r="A9" s="478"/>
      <c r="B9" s="721" t="s">
        <v>18</v>
      </c>
      <c r="C9" s="1520">
        <f>'FW Flows_ALL'!K7</f>
        <v>32696725</v>
      </c>
      <c r="D9" s="1520">
        <f>'FW Flows_ALL'!K9</f>
        <v>31837750</v>
      </c>
      <c r="E9" s="1520">
        <f>'FW Flows_ALL'!K10</f>
        <v>858975</v>
      </c>
      <c r="F9" s="1520">
        <f t="shared" si="2"/>
        <v>32696725</v>
      </c>
      <c r="G9" s="710"/>
      <c r="H9" s="724" t="str">
        <f t="shared" si="3"/>
        <v>Emptying</v>
      </c>
      <c r="I9" s="1520">
        <f t="shared" si="4"/>
        <v>31837750</v>
      </c>
      <c r="J9" s="1520">
        <f t="shared" si="4"/>
        <v>858975</v>
      </c>
      <c r="K9" s="571"/>
      <c r="L9" s="478"/>
      <c r="M9" s="724" t="s">
        <v>18</v>
      </c>
      <c r="N9" s="343">
        <f t="shared" si="0"/>
        <v>0.97372902026120356</v>
      </c>
      <c r="O9" s="343">
        <f t="shared" si="1"/>
        <v>2.6270979738796468E-2</v>
      </c>
      <c r="P9" s="478"/>
      <c r="Q9" s="343">
        <f t="shared" si="5"/>
        <v>0.93657170396500256</v>
      </c>
      <c r="R9" s="717" t="s">
        <v>18</v>
      </c>
      <c r="S9" s="432">
        <f t="shared" si="6"/>
        <v>0.91196704770620796</v>
      </c>
      <c r="T9" s="432">
        <f t="shared" si="7"/>
        <v>2.4604656258794665E-2</v>
      </c>
      <c r="U9" s="152">
        <f t="shared" si="8"/>
        <v>0.93657170396500267</v>
      </c>
      <c r="V9" s="478"/>
      <c r="W9" s="478"/>
      <c r="X9" s="478"/>
      <c r="Y9" s="478"/>
      <c r="Z9" s="478"/>
      <c r="AA9" s="478"/>
      <c r="AB9" s="478"/>
      <c r="AC9" s="478"/>
      <c r="AD9" s="478"/>
      <c r="AE9" s="478"/>
      <c r="AF9" s="478"/>
      <c r="AG9" s="478"/>
      <c r="AH9" s="478"/>
      <c r="AI9" s="478"/>
      <c r="AJ9" s="478"/>
      <c r="AK9" s="478"/>
      <c r="AL9" s="478"/>
      <c r="AM9" s="478"/>
      <c r="AN9" s="478"/>
      <c r="AO9" s="478"/>
      <c r="AP9" s="478"/>
      <c r="AQ9" s="478"/>
      <c r="AR9" s="478"/>
      <c r="AS9" s="478"/>
      <c r="AT9" s="478"/>
      <c r="AU9" s="478"/>
      <c r="AV9" s="478"/>
      <c r="AW9" s="478"/>
      <c r="AX9" s="478"/>
      <c r="AY9" s="478"/>
      <c r="AZ9" s="478"/>
      <c r="BA9" s="478"/>
      <c r="BB9" s="478"/>
      <c r="BC9" s="478"/>
      <c r="BD9" s="478"/>
      <c r="BE9" s="478"/>
      <c r="BF9" s="478"/>
      <c r="BG9" s="478"/>
      <c r="BH9" s="478"/>
      <c r="BI9" s="478"/>
      <c r="BJ9" s="478"/>
      <c r="BK9" s="478"/>
      <c r="BL9" s="478"/>
      <c r="BM9" s="478"/>
      <c r="BN9" s="478"/>
      <c r="BO9" s="478"/>
      <c r="BP9" s="478"/>
      <c r="BQ9" s="478"/>
      <c r="BR9" s="478"/>
      <c r="BS9" s="478"/>
      <c r="BT9" s="478"/>
      <c r="BU9" s="478"/>
      <c r="BV9" s="478"/>
      <c r="BW9" s="478"/>
      <c r="BX9" s="478"/>
      <c r="BY9" s="478"/>
      <c r="BZ9" s="478"/>
      <c r="CA9" s="478"/>
      <c r="CB9" s="478"/>
      <c r="CC9" s="478"/>
      <c r="CD9" s="478"/>
      <c r="CE9" s="478"/>
      <c r="CF9" s="478"/>
      <c r="CG9" s="478"/>
      <c r="CH9" s="478"/>
      <c r="CI9" s="478"/>
      <c r="CJ9" s="478"/>
      <c r="CK9" s="478"/>
      <c r="CL9" s="478"/>
      <c r="CM9" s="478"/>
      <c r="CN9" s="478"/>
      <c r="CO9" s="478"/>
      <c r="CP9" s="478"/>
      <c r="CQ9" s="478"/>
      <c r="CR9" s="478"/>
      <c r="CS9" s="478"/>
      <c r="CT9" s="478"/>
      <c r="CU9" s="478"/>
      <c r="CV9" s="478"/>
      <c r="CW9" s="478"/>
      <c r="CX9" s="478"/>
      <c r="CY9" s="478"/>
      <c r="CZ9" s="478"/>
      <c r="DA9" s="478"/>
      <c r="DB9" s="478"/>
      <c r="DC9" s="478"/>
      <c r="DD9" s="478"/>
      <c r="DE9" s="478"/>
      <c r="DF9" s="478"/>
      <c r="DG9" s="478"/>
      <c r="DH9" s="478"/>
      <c r="DI9" s="478"/>
      <c r="DJ9" s="478"/>
      <c r="DK9" s="478"/>
      <c r="DL9" s="478"/>
      <c r="DM9" s="478"/>
      <c r="DN9" s="478"/>
      <c r="DO9" s="478"/>
      <c r="DP9" s="478"/>
      <c r="DQ9" s="478"/>
      <c r="DR9" s="478"/>
      <c r="DS9" s="478"/>
      <c r="DT9" s="478"/>
      <c r="DU9" s="478"/>
      <c r="DV9" s="478"/>
      <c r="DW9" s="478"/>
      <c r="DX9" s="478"/>
      <c r="DY9" s="478"/>
      <c r="DZ9" s="478"/>
      <c r="EA9" s="478"/>
      <c r="EB9" s="478"/>
      <c r="EC9" s="478"/>
      <c r="ED9" s="478"/>
      <c r="EE9" s="478"/>
      <c r="EF9" s="478"/>
      <c r="EG9" s="478"/>
      <c r="EH9" s="478"/>
      <c r="EI9" s="478"/>
      <c r="EJ9" s="478"/>
      <c r="EK9" s="478"/>
      <c r="EL9" s="478"/>
      <c r="EM9" s="478"/>
      <c r="EN9" s="478"/>
      <c r="EO9" s="478"/>
      <c r="EP9" s="478"/>
      <c r="EQ9" s="478"/>
      <c r="ER9" s="478"/>
      <c r="ES9" s="478"/>
      <c r="ET9" s="478"/>
      <c r="EU9" s="478"/>
      <c r="EV9" s="478"/>
      <c r="EW9" s="478"/>
      <c r="EX9" s="478"/>
      <c r="EY9" s="478"/>
      <c r="EZ9" s="478"/>
      <c r="FA9" s="478"/>
      <c r="FB9" s="478"/>
      <c r="FC9" s="478"/>
      <c r="FD9" s="478"/>
      <c r="FE9" s="478"/>
      <c r="FF9" s="478"/>
      <c r="FG9" s="478"/>
      <c r="FH9" s="478"/>
      <c r="FI9" s="478"/>
      <c r="FJ9" s="478"/>
      <c r="FK9" s="478"/>
      <c r="FL9" s="478"/>
      <c r="FM9" s="478"/>
      <c r="FN9" s="478"/>
      <c r="FO9" s="478"/>
      <c r="FP9" s="478"/>
      <c r="FQ9" s="478"/>
      <c r="FR9" s="478"/>
      <c r="FS9" s="478"/>
      <c r="FT9" s="478"/>
      <c r="FU9" s="478"/>
      <c r="FV9" s="478"/>
      <c r="FW9" s="478"/>
      <c r="FX9" s="478"/>
      <c r="FY9" s="478"/>
      <c r="FZ9" s="478"/>
      <c r="GA9" s="478"/>
      <c r="GB9" s="478"/>
      <c r="GC9" s="478"/>
      <c r="GD9" s="478"/>
      <c r="GE9" s="478"/>
      <c r="GF9" s="478"/>
      <c r="GG9" s="478"/>
      <c r="GH9" s="478"/>
      <c r="GI9" s="478"/>
      <c r="GJ9" s="478"/>
      <c r="GK9" s="478"/>
      <c r="GL9" s="478"/>
      <c r="GM9" s="478"/>
      <c r="GN9" s="478"/>
      <c r="GO9" s="478"/>
      <c r="GP9" s="478"/>
      <c r="GQ9" s="478"/>
      <c r="GR9" s="478"/>
      <c r="GS9" s="478"/>
      <c r="GT9" s="478"/>
      <c r="GU9" s="478"/>
      <c r="GV9" s="478"/>
      <c r="GW9" s="478"/>
      <c r="GX9" s="478"/>
      <c r="GY9" s="478"/>
      <c r="GZ9" s="478"/>
      <c r="HA9" s="478"/>
      <c r="HB9" s="478"/>
      <c r="HC9" s="478"/>
      <c r="HD9" s="478"/>
      <c r="HE9" s="478"/>
      <c r="HF9" s="478"/>
      <c r="HG9" s="478"/>
      <c r="HH9" s="478"/>
      <c r="HI9" s="478"/>
      <c r="HJ9" s="478"/>
      <c r="HK9" s="478"/>
      <c r="HL9" s="478"/>
      <c r="HM9" s="478"/>
      <c r="HN9" s="478"/>
      <c r="HO9" s="478"/>
      <c r="HP9" s="478"/>
      <c r="HQ9" s="478"/>
      <c r="HR9" s="478"/>
      <c r="HS9" s="478"/>
      <c r="HT9" s="478"/>
      <c r="HU9" s="478"/>
      <c r="HV9" s="478"/>
      <c r="HW9" s="478"/>
      <c r="HX9" s="478"/>
      <c r="HY9" s="478"/>
      <c r="HZ9" s="478"/>
      <c r="IA9" s="478"/>
      <c r="IB9" s="478"/>
      <c r="IC9" s="478"/>
      <c r="ID9" s="478"/>
      <c r="IE9" s="478"/>
      <c r="IF9" s="478"/>
      <c r="IG9" s="478"/>
      <c r="IH9" s="478"/>
      <c r="II9" s="478"/>
      <c r="IJ9" s="478"/>
      <c r="IK9" s="478"/>
      <c r="IL9" s="478"/>
      <c r="IM9" s="478"/>
      <c r="IN9" s="478"/>
      <c r="IO9" s="478"/>
      <c r="IP9" s="478"/>
      <c r="IQ9" s="478"/>
      <c r="IR9" s="478"/>
      <c r="IS9" s="478"/>
      <c r="IT9" s="478"/>
      <c r="IU9" s="478"/>
      <c r="IV9" s="478"/>
    </row>
    <row r="10" spans="1:256" s="3" customFormat="1" ht="17.149999999999999" customHeight="1" x14ac:dyDescent="0.3">
      <c r="A10" s="478"/>
      <c r="B10" s="721" t="s">
        <v>19</v>
      </c>
      <c r="C10" s="1520">
        <f>'FW Flows_ALL'!O7</f>
        <v>31837750</v>
      </c>
      <c r="D10" s="1520">
        <f>'FW Flows_ALL'!O9</f>
        <v>29136675</v>
      </c>
      <c r="E10" s="1520">
        <f>'FW Flows_ALL'!O10</f>
        <v>2701075</v>
      </c>
      <c r="F10" s="1520">
        <f t="shared" si="2"/>
        <v>31837750</v>
      </c>
      <c r="G10" s="478"/>
      <c r="H10" s="724" t="str">
        <f t="shared" si="3"/>
        <v>Transport</v>
      </c>
      <c r="I10" s="1520">
        <f t="shared" si="4"/>
        <v>29136675</v>
      </c>
      <c r="J10" s="1520">
        <f t="shared" si="4"/>
        <v>2701075</v>
      </c>
      <c r="K10" s="571"/>
      <c r="L10" s="478"/>
      <c r="M10" s="724" t="s">
        <v>19</v>
      </c>
      <c r="N10" s="343">
        <f t="shared" si="0"/>
        <v>0.91516124726150561</v>
      </c>
      <c r="O10" s="343">
        <f t="shared" si="1"/>
        <v>8.4838752738494394E-2</v>
      </c>
      <c r="P10" s="478"/>
      <c r="Q10" s="343">
        <f t="shared" si="5"/>
        <v>0.91196704770620785</v>
      </c>
      <c r="R10" s="717" t="s">
        <v>19</v>
      </c>
      <c r="S10" s="432">
        <f t="shared" si="6"/>
        <v>0.8345969008402061</v>
      </c>
      <c r="T10" s="432">
        <f t="shared" si="7"/>
        <v>7.7370146866001688E-2</v>
      </c>
      <c r="U10" s="152">
        <f t="shared" si="8"/>
        <v>0.91196704770620785</v>
      </c>
      <c r="V10" s="478"/>
      <c r="W10" s="478"/>
      <c r="X10" s="478"/>
      <c r="Y10" s="478"/>
      <c r="Z10" s="478"/>
      <c r="AA10" s="478"/>
      <c r="AB10" s="478"/>
      <c r="AC10" s="478"/>
      <c r="AD10" s="478"/>
      <c r="AE10" s="478"/>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8"/>
      <c r="BC10" s="478"/>
      <c r="BD10" s="478"/>
      <c r="BE10" s="478"/>
      <c r="BF10" s="478"/>
      <c r="BG10" s="478"/>
      <c r="BH10" s="478"/>
      <c r="BI10" s="478"/>
      <c r="BJ10" s="478"/>
      <c r="BK10" s="478"/>
      <c r="BL10" s="478"/>
      <c r="BM10" s="478"/>
      <c r="BN10" s="478"/>
      <c r="BO10" s="478"/>
      <c r="BP10" s="478"/>
      <c r="BQ10" s="478"/>
      <c r="BR10" s="478"/>
      <c r="BS10" s="478"/>
      <c r="BT10" s="478"/>
      <c r="BU10" s="478"/>
      <c r="BV10" s="478"/>
      <c r="BW10" s="478"/>
      <c r="BX10" s="478"/>
      <c r="BY10" s="478"/>
      <c r="BZ10" s="478"/>
      <c r="CA10" s="478"/>
      <c r="CB10" s="478"/>
      <c r="CC10" s="478"/>
      <c r="CD10" s="478"/>
      <c r="CE10" s="478"/>
      <c r="CF10" s="478"/>
      <c r="CG10" s="478"/>
      <c r="CH10" s="478"/>
      <c r="CI10" s="478"/>
      <c r="CJ10" s="478"/>
      <c r="CK10" s="478"/>
      <c r="CL10" s="478"/>
      <c r="CM10" s="478"/>
      <c r="CN10" s="478"/>
      <c r="CO10" s="478"/>
      <c r="CP10" s="478"/>
      <c r="CQ10" s="478"/>
      <c r="CR10" s="478"/>
      <c r="CS10" s="478"/>
      <c r="CT10" s="478"/>
      <c r="CU10" s="478"/>
      <c r="CV10" s="478"/>
      <c r="CW10" s="478"/>
      <c r="CX10" s="478"/>
      <c r="CY10" s="478"/>
      <c r="CZ10" s="478"/>
      <c r="DA10" s="478"/>
      <c r="DB10" s="478"/>
      <c r="DC10" s="478"/>
      <c r="DD10" s="478"/>
      <c r="DE10" s="478"/>
      <c r="DF10" s="478"/>
      <c r="DG10" s="478"/>
      <c r="DH10" s="478"/>
      <c r="DI10" s="478"/>
      <c r="DJ10" s="478"/>
      <c r="DK10" s="478"/>
      <c r="DL10" s="478"/>
      <c r="DM10" s="478"/>
      <c r="DN10" s="478"/>
      <c r="DO10" s="478"/>
      <c r="DP10" s="478"/>
      <c r="DQ10" s="478"/>
      <c r="DR10" s="478"/>
      <c r="DS10" s="478"/>
      <c r="DT10" s="478"/>
      <c r="DU10" s="478"/>
      <c r="DV10" s="478"/>
      <c r="DW10" s="478"/>
      <c r="DX10" s="478"/>
      <c r="DY10" s="478"/>
      <c r="DZ10" s="478"/>
      <c r="EA10" s="478"/>
      <c r="EB10" s="478"/>
      <c r="EC10" s="478"/>
      <c r="ED10" s="478"/>
      <c r="EE10" s="478"/>
      <c r="EF10" s="478"/>
      <c r="EG10" s="478"/>
      <c r="EH10" s="478"/>
      <c r="EI10" s="478"/>
      <c r="EJ10" s="478"/>
      <c r="EK10" s="478"/>
      <c r="EL10" s="478"/>
      <c r="EM10" s="478"/>
      <c r="EN10" s="478"/>
      <c r="EO10" s="478"/>
      <c r="EP10" s="478"/>
      <c r="EQ10" s="478"/>
      <c r="ER10" s="478"/>
      <c r="ES10" s="478"/>
      <c r="ET10" s="478"/>
      <c r="EU10" s="478"/>
      <c r="EV10" s="478"/>
      <c r="EW10" s="478"/>
      <c r="EX10" s="478"/>
      <c r="EY10" s="478"/>
      <c r="EZ10" s="478"/>
      <c r="FA10" s="478"/>
      <c r="FB10" s="478"/>
      <c r="FC10" s="478"/>
      <c r="FD10" s="478"/>
      <c r="FE10" s="478"/>
      <c r="FF10" s="478"/>
      <c r="FG10" s="478"/>
      <c r="FH10" s="478"/>
      <c r="FI10" s="478"/>
      <c r="FJ10" s="478"/>
      <c r="FK10" s="478"/>
      <c r="FL10" s="478"/>
      <c r="FM10" s="478"/>
      <c r="FN10" s="478"/>
      <c r="FO10" s="478"/>
      <c r="FP10" s="478"/>
      <c r="FQ10" s="478"/>
      <c r="FR10" s="478"/>
      <c r="FS10" s="478"/>
      <c r="FT10" s="478"/>
      <c r="FU10" s="478"/>
      <c r="FV10" s="478"/>
      <c r="FW10" s="478"/>
      <c r="FX10" s="478"/>
      <c r="FY10" s="478"/>
      <c r="FZ10" s="478"/>
      <c r="GA10" s="478"/>
      <c r="GB10" s="478"/>
      <c r="GC10" s="478"/>
      <c r="GD10" s="478"/>
      <c r="GE10" s="478"/>
      <c r="GF10" s="478"/>
      <c r="GG10" s="478"/>
      <c r="GH10" s="478"/>
      <c r="GI10" s="478"/>
      <c r="GJ10" s="478"/>
      <c r="GK10" s="478"/>
      <c r="GL10" s="478"/>
      <c r="GM10" s="478"/>
      <c r="GN10" s="478"/>
      <c r="GO10" s="478"/>
      <c r="GP10" s="478"/>
      <c r="GQ10" s="478"/>
      <c r="GR10" s="478"/>
      <c r="GS10" s="478"/>
      <c r="GT10" s="478"/>
      <c r="GU10" s="478"/>
      <c r="GV10" s="478"/>
      <c r="GW10" s="478"/>
      <c r="GX10" s="478"/>
      <c r="GY10" s="478"/>
      <c r="GZ10" s="478"/>
      <c r="HA10" s="478"/>
      <c r="HB10" s="478"/>
      <c r="HC10" s="478"/>
      <c r="HD10" s="478"/>
      <c r="HE10" s="478"/>
      <c r="HF10" s="478"/>
      <c r="HG10" s="478"/>
      <c r="HH10" s="478"/>
      <c r="HI10" s="478"/>
      <c r="HJ10" s="478"/>
      <c r="HK10" s="478"/>
      <c r="HL10" s="478"/>
      <c r="HM10" s="478"/>
      <c r="HN10" s="478"/>
      <c r="HO10" s="478"/>
      <c r="HP10" s="478"/>
      <c r="HQ10" s="478"/>
      <c r="HR10" s="478"/>
      <c r="HS10" s="478"/>
      <c r="HT10" s="478"/>
      <c r="HU10" s="478"/>
      <c r="HV10" s="478"/>
      <c r="HW10" s="478"/>
      <c r="HX10" s="478"/>
      <c r="HY10" s="478"/>
      <c r="HZ10" s="478"/>
      <c r="IA10" s="478"/>
      <c r="IB10" s="478"/>
      <c r="IC10" s="478"/>
      <c r="ID10" s="478"/>
      <c r="IE10" s="478"/>
      <c r="IF10" s="478"/>
      <c r="IG10" s="478"/>
      <c r="IH10" s="478"/>
      <c r="II10" s="478"/>
      <c r="IJ10" s="478"/>
      <c r="IK10" s="478"/>
      <c r="IL10" s="478"/>
      <c r="IM10" s="478"/>
      <c r="IN10" s="478"/>
      <c r="IO10" s="478"/>
      <c r="IP10" s="478"/>
      <c r="IQ10" s="478"/>
      <c r="IR10" s="478"/>
      <c r="IS10" s="478"/>
      <c r="IT10" s="478"/>
      <c r="IU10" s="478"/>
      <c r="IV10" s="478"/>
    </row>
    <row r="11" spans="1:256" s="3" customFormat="1" ht="17.149999999999999" customHeight="1" x14ac:dyDescent="0.3">
      <c r="A11" s="478"/>
      <c r="B11" s="721" t="s">
        <v>20</v>
      </c>
      <c r="C11" s="1520">
        <f>'FW Flows_ALL'!S7</f>
        <v>29136675</v>
      </c>
      <c r="D11" s="1520">
        <f>'FW Flows_ALL'!S9</f>
        <v>9274136.25</v>
      </c>
      <c r="E11" s="1520">
        <f>'FW Flows_ALL'!S10</f>
        <v>19862538.75</v>
      </c>
      <c r="F11" s="1520">
        <f t="shared" si="2"/>
        <v>29136675</v>
      </c>
      <c r="G11" s="478"/>
      <c r="H11" s="724" t="str">
        <f t="shared" si="3"/>
        <v>Treatment</v>
      </c>
      <c r="I11" s="1520">
        <f t="shared" si="4"/>
        <v>9274136.25</v>
      </c>
      <c r="J11" s="1520">
        <f t="shared" si="4"/>
        <v>19862538.75</v>
      </c>
      <c r="K11" s="571"/>
      <c r="L11" s="478"/>
      <c r="M11" s="724" t="s">
        <v>20</v>
      </c>
      <c r="N11" s="343">
        <f t="shared" si="0"/>
        <v>0.31829768667838731</v>
      </c>
      <c r="O11" s="343">
        <f t="shared" si="1"/>
        <v>0.68170231332161269</v>
      </c>
      <c r="P11" s="478"/>
      <c r="Q11" s="343">
        <f t="shared" si="5"/>
        <v>0.8345969008402061</v>
      </c>
      <c r="R11" s="717" t="s">
        <v>20</v>
      </c>
      <c r="S11" s="432">
        <f t="shared" si="6"/>
        <v>0.26565026284638898</v>
      </c>
      <c r="T11" s="432">
        <f t="shared" si="7"/>
        <v>0.56894663799381706</v>
      </c>
      <c r="U11" s="152">
        <f t="shared" si="8"/>
        <v>0.8345969008402061</v>
      </c>
      <c r="V11" s="478"/>
      <c r="W11" s="478"/>
      <c r="X11" s="478"/>
      <c r="Y11" s="478"/>
      <c r="Z11" s="478"/>
      <c r="AA11" s="478"/>
      <c r="AB11" s="478"/>
      <c r="AC11" s="478"/>
      <c r="AD11" s="478"/>
      <c r="AE11" s="478"/>
      <c r="AF11" s="478"/>
      <c r="AG11" s="478"/>
      <c r="AH11" s="478"/>
      <c r="AI11" s="478"/>
      <c r="AJ11" s="478"/>
      <c r="AK11" s="478"/>
      <c r="AL11" s="478"/>
      <c r="AM11" s="478"/>
      <c r="AN11" s="478"/>
      <c r="AO11" s="478"/>
      <c r="AP11" s="478"/>
      <c r="AQ11" s="478"/>
      <c r="AR11" s="478"/>
      <c r="AS11" s="478"/>
      <c r="AT11" s="478"/>
      <c r="AU11" s="478"/>
      <c r="AV11" s="478"/>
      <c r="AW11" s="478"/>
      <c r="AX11" s="478"/>
      <c r="AY11" s="478"/>
      <c r="AZ11" s="478"/>
      <c r="BA11" s="478"/>
      <c r="BB11" s="478"/>
      <c r="BC11" s="478"/>
      <c r="BD11" s="478"/>
      <c r="BE11" s="478"/>
      <c r="BF11" s="478"/>
      <c r="BG11" s="478"/>
      <c r="BH11" s="478"/>
      <c r="BI11" s="478"/>
      <c r="BJ11" s="478"/>
      <c r="BK11" s="478"/>
      <c r="BL11" s="478"/>
      <c r="BM11" s="478"/>
      <c r="BN11" s="478"/>
      <c r="BO11" s="478"/>
      <c r="BP11" s="478"/>
      <c r="BQ11" s="478"/>
      <c r="BR11" s="478"/>
      <c r="BS11" s="478"/>
      <c r="BT11" s="478"/>
      <c r="BU11" s="478"/>
      <c r="BV11" s="478"/>
      <c r="BW11" s="478"/>
      <c r="BX11" s="478"/>
      <c r="BY11" s="478"/>
      <c r="BZ11" s="478"/>
      <c r="CA11" s="478"/>
      <c r="CB11" s="478"/>
      <c r="CC11" s="478"/>
      <c r="CD11" s="478"/>
      <c r="CE11" s="478"/>
      <c r="CF11" s="478"/>
      <c r="CG11" s="478"/>
      <c r="CH11" s="478"/>
      <c r="CI11" s="478"/>
      <c r="CJ11" s="478"/>
      <c r="CK11" s="478"/>
      <c r="CL11" s="478"/>
      <c r="CM11" s="478"/>
      <c r="CN11" s="478"/>
      <c r="CO11" s="478"/>
      <c r="CP11" s="478"/>
      <c r="CQ11" s="478"/>
      <c r="CR11" s="478"/>
      <c r="CS11" s="478"/>
      <c r="CT11" s="478"/>
      <c r="CU11" s="478"/>
      <c r="CV11" s="478"/>
      <c r="CW11" s="478"/>
      <c r="CX11" s="478"/>
      <c r="CY11" s="478"/>
      <c r="CZ11" s="478"/>
      <c r="DA11" s="478"/>
      <c r="DB11" s="478"/>
      <c r="DC11" s="478"/>
      <c r="DD11" s="478"/>
      <c r="DE11" s="478"/>
      <c r="DF11" s="478"/>
      <c r="DG11" s="478"/>
      <c r="DH11" s="478"/>
      <c r="DI11" s="478"/>
      <c r="DJ11" s="478"/>
      <c r="DK11" s="478"/>
      <c r="DL11" s="478"/>
      <c r="DM11" s="478"/>
      <c r="DN11" s="478"/>
      <c r="DO11" s="478"/>
      <c r="DP11" s="478"/>
      <c r="DQ11" s="478"/>
      <c r="DR11" s="478"/>
      <c r="DS11" s="478"/>
      <c r="DT11" s="478"/>
      <c r="DU11" s="478"/>
      <c r="DV11" s="478"/>
      <c r="DW11" s="478"/>
      <c r="DX11" s="478"/>
      <c r="DY11" s="478"/>
      <c r="DZ11" s="478"/>
      <c r="EA11" s="478"/>
      <c r="EB11" s="478"/>
      <c r="EC11" s="478"/>
      <c r="ED11" s="478"/>
      <c r="EE11" s="478"/>
      <c r="EF11" s="478"/>
      <c r="EG11" s="478"/>
      <c r="EH11" s="478"/>
      <c r="EI11" s="478"/>
      <c r="EJ11" s="478"/>
      <c r="EK11" s="478"/>
      <c r="EL11" s="478"/>
      <c r="EM11" s="478"/>
      <c r="EN11" s="478"/>
      <c r="EO11" s="478"/>
      <c r="EP11" s="478"/>
      <c r="EQ11" s="478"/>
      <c r="ER11" s="478"/>
      <c r="ES11" s="478"/>
      <c r="ET11" s="478"/>
      <c r="EU11" s="478"/>
      <c r="EV11" s="478"/>
      <c r="EW11" s="478"/>
      <c r="EX11" s="478"/>
      <c r="EY11" s="478"/>
      <c r="EZ11" s="478"/>
      <c r="FA11" s="478"/>
      <c r="FB11" s="478"/>
      <c r="FC11" s="478"/>
      <c r="FD11" s="478"/>
      <c r="FE11" s="478"/>
      <c r="FF11" s="478"/>
      <c r="FG11" s="478"/>
      <c r="FH11" s="478"/>
      <c r="FI11" s="478"/>
      <c r="FJ11" s="478"/>
      <c r="FK11" s="478"/>
      <c r="FL11" s="478"/>
      <c r="FM11" s="478"/>
      <c r="FN11" s="478"/>
      <c r="FO11" s="478"/>
      <c r="FP11" s="478"/>
      <c r="FQ11" s="478"/>
      <c r="FR11" s="478"/>
      <c r="FS11" s="478"/>
      <c r="FT11" s="478"/>
      <c r="FU11" s="478"/>
      <c r="FV11" s="478"/>
      <c r="FW11" s="478"/>
      <c r="FX11" s="478"/>
      <c r="FY11" s="478"/>
      <c r="FZ11" s="478"/>
      <c r="GA11" s="478"/>
      <c r="GB11" s="478"/>
      <c r="GC11" s="478"/>
      <c r="GD11" s="478"/>
      <c r="GE11" s="478"/>
      <c r="GF11" s="478"/>
      <c r="GG11" s="478"/>
      <c r="GH11" s="478"/>
      <c r="GI11" s="478"/>
      <c r="GJ11" s="478"/>
      <c r="GK11" s="478"/>
      <c r="GL11" s="478"/>
      <c r="GM11" s="478"/>
      <c r="GN11" s="478"/>
      <c r="GO11" s="478"/>
      <c r="GP11" s="478"/>
      <c r="GQ11" s="478"/>
      <c r="GR11" s="478"/>
      <c r="GS11" s="478"/>
      <c r="GT11" s="478"/>
      <c r="GU11" s="478"/>
      <c r="GV11" s="478"/>
      <c r="GW11" s="478"/>
      <c r="GX11" s="478"/>
      <c r="GY11" s="478"/>
      <c r="GZ11" s="478"/>
      <c r="HA11" s="478"/>
      <c r="HB11" s="478"/>
      <c r="HC11" s="478"/>
      <c r="HD11" s="478"/>
      <c r="HE11" s="478"/>
      <c r="HF11" s="478"/>
      <c r="HG11" s="478"/>
      <c r="HH11" s="478"/>
      <c r="HI11" s="478"/>
      <c r="HJ11" s="478"/>
      <c r="HK11" s="478"/>
      <c r="HL11" s="478"/>
      <c r="HM11" s="478"/>
      <c r="HN11" s="478"/>
      <c r="HO11" s="478"/>
      <c r="HP11" s="478"/>
      <c r="HQ11" s="478"/>
      <c r="HR11" s="478"/>
      <c r="HS11" s="478"/>
      <c r="HT11" s="478"/>
      <c r="HU11" s="478"/>
      <c r="HV11" s="478"/>
      <c r="HW11" s="478"/>
      <c r="HX11" s="478"/>
      <c r="HY11" s="478"/>
      <c r="HZ11" s="478"/>
      <c r="IA11" s="478"/>
      <c r="IB11" s="478"/>
      <c r="IC11" s="478"/>
      <c r="ID11" s="478"/>
      <c r="IE11" s="478"/>
      <c r="IF11" s="478"/>
      <c r="IG11" s="478"/>
      <c r="IH11" s="478"/>
      <c r="II11" s="478"/>
      <c r="IJ11" s="478"/>
      <c r="IK11" s="478"/>
      <c r="IL11" s="478"/>
      <c r="IM11" s="478"/>
      <c r="IN11" s="478"/>
      <c r="IO11" s="478"/>
      <c r="IP11" s="478"/>
      <c r="IQ11" s="478"/>
      <c r="IR11" s="478"/>
      <c r="IS11" s="478"/>
      <c r="IT11" s="478"/>
      <c r="IU11" s="478"/>
      <c r="IV11" s="478"/>
    </row>
    <row r="12" spans="1:256" s="3" customFormat="1" ht="17.149999999999999" customHeight="1" x14ac:dyDescent="0.3">
      <c r="A12" s="478"/>
      <c r="B12" s="721" t="s">
        <v>21</v>
      </c>
      <c r="C12" s="1520">
        <f>'FW Flows_ALL'!W12+'FW Flows_ALL'!W23</f>
        <v>29136675</v>
      </c>
      <c r="D12" s="1520">
        <f>'FW Flows_ALL'!W12</f>
        <v>9274136.25</v>
      </c>
      <c r="E12" s="1520">
        <f>'FW Flows_ALL'!W23</f>
        <v>19862538.75</v>
      </c>
      <c r="F12" s="1520">
        <f t="shared" si="2"/>
        <v>29136675</v>
      </c>
      <c r="G12" s="478"/>
      <c r="H12" s="724" t="str">
        <f t="shared" si="3"/>
        <v>Disposal</v>
      </c>
      <c r="I12" s="1520">
        <f t="shared" si="4"/>
        <v>9274136.25</v>
      </c>
      <c r="J12" s="1520">
        <f t="shared" si="4"/>
        <v>19862538.75</v>
      </c>
      <c r="K12" s="571"/>
      <c r="L12" s="478"/>
      <c r="M12" s="724" t="s">
        <v>21</v>
      </c>
      <c r="N12" s="343">
        <f t="shared" si="0"/>
        <v>0.31829768667838731</v>
      </c>
      <c r="O12" s="343">
        <f t="shared" si="1"/>
        <v>0.68170231332161269</v>
      </c>
      <c r="P12" s="478"/>
      <c r="Q12" s="343">
        <f t="shared" si="5"/>
        <v>0.8345969008402061</v>
      </c>
      <c r="R12" s="717" t="s">
        <v>21</v>
      </c>
      <c r="S12" s="432">
        <f t="shared" si="6"/>
        <v>0.26565026284638898</v>
      </c>
      <c r="T12" s="432">
        <f t="shared" si="7"/>
        <v>0.56894663799381706</v>
      </c>
      <c r="U12" s="152">
        <f t="shared" si="8"/>
        <v>0.8345969008402061</v>
      </c>
      <c r="V12" s="478"/>
      <c r="W12" s="478"/>
      <c r="X12" s="478"/>
      <c r="Y12" s="478"/>
      <c r="Z12" s="478"/>
      <c r="AA12" s="478"/>
      <c r="AB12" s="478"/>
      <c r="AC12" s="478"/>
      <c r="AD12" s="478"/>
      <c r="AE12" s="478"/>
      <c r="AF12" s="478"/>
      <c r="AG12" s="478"/>
      <c r="AH12" s="478"/>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478"/>
      <c r="BF12" s="478"/>
      <c r="BG12" s="478"/>
      <c r="BH12" s="478"/>
      <c r="BI12" s="478"/>
      <c r="BJ12" s="478"/>
      <c r="BK12" s="478"/>
      <c r="BL12" s="478"/>
      <c r="BM12" s="478"/>
      <c r="BN12" s="478"/>
      <c r="BO12" s="478"/>
      <c r="BP12" s="478"/>
      <c r="BQ12" s="478"/>
      <c r="BR12" s="478"/>
      <c r="BS12" s="478"/>
      <c r="BT12" s="478"/>
      <c r="BU12" s="478"/>
      <c r="BV12" s="478"/>
      <c r="BW12" s="478"/>
      <c r="BX12" s="478"/>
      <c r="BY12" s="478"/>
      <c r="BZ12" s="478"/>
      <c r="CA12" s="478"/>
      <c r="CB12" s="478"/>
      <c r="CC12" s="478"/>
      <c r="CD12" s="478"/>
      <c r="CE12" s="478"/>
      <c r="CF12" s="478"/>
      <c r="CG12" s="478"/>
      <c r="CH12" s="478"/>
      <c r="CI12" s="478"/>
      <c r="CJ12" s="478"/>
      <c r="CK12" s="478"/>
      <c r="CL12" s="478"/>
      <c r="CM12" s="478"/>
      <c r="CN12" s="478"/>
      <c r="CO12" s="478"/>
      <c r="CP12" s="478"/>
      <c r="CQ12" s="478"/>
      <c r="CR12" s="478"/>
      <c r="CS12" s="478"/>
      <c r="CT12" s="478"/>
      <c r="CU12" s="478"/>
      <c r="CV12" s="478"/>
      <c r="CW12" s="478"/>
      <c r="CX12" s="478"/>
      <c r="CY12" s="478"/>
      <c r="CZ12" s="478"/>
      <c r="DA12" s="478"/>
      <c r="DB12" s="478"/>
      <c r="DC12" s="478"/>
      <c r="DD12" s="478"/>
      <c r="DE12" s="478"/>
      <c r="DF12" s="478"/>
      <c r="DG12" s="478"/>
      <c r="DH12" s="478"/>
      <c r="DI12" s="478"/>
      <c r="DJ12" s="478"/>
      <c r="DK12" s="478"/>
      <c r="DL12" s="478"/>
      <c r="DM12" s="478"/>
      <c r="DN12" s="478"/>
      <c r="DO12" s="478"/>
      <c r="DP12" s="478"/>
      <c r="DQ12" s="478"/>
      <c r="DR12" s="478"/>
      <c r="DS12" s="478"/>
      <c r="DT12" s="478"/>
      <c r="DU12" s="478"/>
      <c r="DV12" s="478"/>
      <c r="DW12" s="478"/>
      <c r="DX12" s="478"/>
      <c r="DY12" s="478"/>
      <c r="DZ12" s="478"/>
      <c r="EA12" s="478"/>
      <c r="EB12" s="478"/>
      <c r="EC12" s="478"/>
      <c r="ED12" s="478"/>
      <c r="EE12" s="478"/>
      <c r="EF12" s="478"/>
      <c r="EG12" s="478"/>
      <c r="EH12" s="478"/>
      <c r="EI12" s="478"/>
      <c r="EJ12" s="478"/>
      <c r="EK12" s="478"/>
      <c r="EL12" s="478"/>
      <c r="EM12" s="478"/>
      <c r="EN12" s="478"/>
      <c r="EO12" s="478"/>
      <c r="EP12" s="478"/>
      <c r="EQ12" s="478"/>
      <c r="ER12" s="478"/>
      <c r="ES12" s="478"/>
      <c r="ET12" s="478"/>
      <c r="EU12" s="478"/>
      <c r="EV12" s="478"/>
      <c r="EW12" s="478"/>
      <c r="EX12" s="478"/>
      <c r="EY12" s="478"/>
      <c r="EZ12" s="478"/>
      <c r="FA12" s="478"/>
      <c r="FB12" s="478"/>
      <c r="FC12" s="478"/>
      <c r="FD12" s="478"/>
      <c r="FE12" s="478"/>
      <c r="FF12" s="478"/>
      <c r="FG12" s="478"/>
      <c r="FH12" s="478"/>
      <c r="FI12" s="478"/>
      <c r="FJ12" s="478"/>
      <c r="FK12" s="478"/>
      <c r="FL12" s="478"/>
      <c r="FM12" s="478"/>
      <c r="FN12" s="478"/>
      <c r="FO12" s="478"/>
      <c r="FP12" s="478"/>
      <c r="FQ12" s="478"/>
      <c r="FR12" s="478"/>
      <c r="FS12" s="478"/>
      <c r="FT12" s="478"/>
      <c r="FU12" s="478"/>
      <c r="FV12" s="478"/>
      <c r="FW12" s="478"/>
      <c r="FX12" s="478"/>
      <c r="FY12" s="478"/>
      <c r="FZ12" s="478"/>
      <c r="GA12" s="478"/>
      <c r="GB12" s="478"/>
      <c r="GC12" s="478"/>
      <c r="GD12" s="478"/>
      <c r="GE12" s="478"/>
      <c r="GF12" s="478"/>
      <c r="GG12" s="478"/>
      <c r="GH12" s="478"/>
      <c r="GI12" s="478"/>
      <c r="GJ12" s="478"/>
      <c r="GK12" s="478"/>
      <c r="GL12" s="478"/>
      <c r="GM12" s="478"/>
      <c r="GN12" s="478"/>
      <c r="GO12" s="478"/>
      <c r="GP12" s="478"/>
      <c r="GQ12" s="478"/>
      <c r="GR12" s="478"/>
      <c r="GS12" s="478"/>
      <c r="GT12" s="478"/>
      <c r="GU12" s="478"/>
      <c r="GV12" s="478"/>
      <c r="GW12" s="478"/>
      <c r="GX12" s="478"/>
      <c r="GY12" s="478"/>
      <c r="GZ12" s="478"/>
      <c r="HA12" s="478"/>
      <c r="HB12" s="478"/>
      <c r="HC12" s="478"/>
      <c r="HD12" s="478"/>
      <c r="HE12" s="478"/>
      <c r="HF12" s="478"/>
      <c r="HG12" s="478"/>
      <c r="HH12" s="478"/>
      <c r="HI12" s="478"/>
      <c r="HJ12" s="478"/>
      <c r="HK12" s="478"/>
      <c r="HL12" s="478"/>
      <c r="HM12" s="478"/>
      <c r="HN12" s="478"/>
      <c r="HO12" s="478"/>
      <c r="HP12" s="478"/>
      <c r="HQ12" s="478"/>
      <c r="HR12" s="478"/>
      <c r="HS12" s="478"/>
      <c r="HT12" s="478"/>
      <c r="HU12" s="478"/>
      <c r="HV12" s="478"/>
      <c r="HW12" s="478"/>
      <c r="HX12" s="478"/>
      <c r="HY12" s="478"/>
      <c r="HZ12" s="478"/>
      <c r="IA12" s="478"/>
      <c r="IB12" s="478"/>
      <c r="IC12" s="478"/>
      <c r="ID12" s="478"/>
      <c r="IE12" s="478"/>
      <c r="IF12" s="478"/>
      <c r="IG12" s="478"/>
      <c r="IH12" s="478"/>
      <c r="II12" s="478"/>
      <c r="IJ12" s="478"/>
      <c r="IK12" s="478"/>
      <c r="IL12" s="478"/>
      <c r="IM12" s="478"/>
      <c r="IN12" s="478"/>
      <c r="IO12" s="478"/>
      <c r="IP12" s="478"/>
      <c r="IQ12" s="478"/>
      <c r="IR12" s="478"/>
      <c r="IS12" s="478"/>
      <c r="IT12" s="478"/>
      <c r="IU12" s="478"/>
      <c r="IV12" s="478"/>
    </row>
    <row r="13" spans="1:256" s="3" customFormat="1" ht="17.149999999999999" customHeight="1" x14ac:dyDescent="0.3">
      <c r="A13" s="478"/>
      <c r="B13" s="722" t="s">
        <v>22</v>
      </c>
      <c r="C13" s="1520">
        <f>'FW Flows_ALL'!W14+'FW Flows_ALL'!W25</f>
        <v>0</v>
      </c>
      <c r="D13" s="1520">
        <f>'FW Flows_ALL'!W14</f>
        <v>0</v>
      </c>
      <c r="E13" s="1520">
        <f>'FW Flows_ALL'!W25</f>
        <v>0</v>
      </c>
      <c r="F13" s="1520">
        <f t="shared" si="2"/>
        <v>0</v>
      </c>
      <c r="G13" s="478"/>
      <c r="H13" s="725" t="str">
        <f t="shared" si="3"/>
        <v>Reuse</v>
      </c>
      <c r="I13" s="1520">
        <f t="shared" si="4"/>
        <v>0</v>
      </c>
      <c r="J13" s="1520">
        <f t="shared" si="4"/>
        <v>0</v>
      </c>
      <c r="K13" s="571"/>
      <c r="L13" s="478"/>
      <c r="M13" s="725" t="s">
        <v>22</v>
      </c>
      <c r="N13" s="343">
        <f t="shared" si="0"/>
        <v>0</v>
      </c>
      <c r="O13" s="343">
        <f t="shared" si="1"/>
        <v>0</v>
      </c>
      <c r="P13" s="478"/>
      <c r="Q13" s="343">
        <f t="shared" si="5"/>
        <v>0</v>
      </c>
      <c r="R13" s="718" t="s">
        <v>22</v>
      </c>
      <c r="S13" s="432">
        <f t="shared" si="6"/>
        <v>0</v>
      </c>
      <c r="T13" s="432">
        <f t="shared" si="7"/>
        <v>0</v>
      </c>
      <c r="U13" s="152">
        <f t="shared" si="8"/>
        <v>0</v>
      </c>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c r="BJ13" s="478"/>
      <c r="BK13" s="478"/>
      <c r="BL13" s="478"/>
      <c r="BM13" s="478"/>
      <c r="BN13" s="478"/>
      <c r="BO13" s="478"/>
      <c r="BP13" s="478"/>
      <c r="BQ13" s="478"/>
      <c r="BR13" s="478"/>
      <c r="BS13" s="478"/>
      <c r="BT13" s="478"/>
      <c r="BU13" s="478"/>
      <c r="BV13" s="478"/>
      <c r="BW13" s="478"/>
      <c r="BX13" s="478"/>
      <c r="BY13" s="478"/>
      <c r="BZ13" s="478"/>
      <c r="CA13" s="478"/>
      <c r="CB13" s="478"/>
      <c r="CC13" s="478"/>
      <c r="CD13" s="478"/>
      <c r="CE13" s="478"/>
      <c r="CF13" s="478"/>
      <c r="CG13" s="478"/>
      <c r="CH13" s="478"/>
      <c r="CI13" s="478"/>
      <c r="CJ13" s="478"/>
      <c r="CK13" s="478"/>
      <c r="CL13" s="478"/>
      <c r="CM13" s="478"/>
      <c r="CN13" s="478"/>
      <c r="CO13" s="478"/>
      <c r="CP13" s="478"/>
      <c r="CQ13" s="478"/>
      <c r="CR13" s="478"/>
      <c r="CS13" s="478"/>
      <c r="CT13" s="478"/>
      <c r="CU13" s="478"/>
      <c r="CV13" s="478"/>
      <c r="CW13" s="478"/>
      <c r="CX13" s="478"/>
      <c r="CY13" s="478"/>
      <c r="CZ13" s="478"/>
      <c r="DA13" s="478"/>
      <c r="DB13" s="478"/>
      <c r="DC13" s="478"/>
      <c r="DD13" s="478"/>
      <c r="DE13" s="478"/>
      <c r="DF13" s="478"/>
      <c r="DG13" s="478"/>
      <c r="DH13" s="478"/>
      <c r="DI13" s="478"/>
      <c r="DJ13" s="478"/>
      <c r="DK13" s="478"/>
      <c r="DL13" s="478"/>
      <c r="DM13" s="478"/>
      <c r="DN13" s="478"/>
      <c r="DO13" s="478"/>
      <c r="DP13" s="478"/>
      <c r="DQ13" s="478"/>
      <c r="DR13" s="478"/>
      <c r="DS13" s="478"/>
      <c r="DT13" s="478"/>
      <c r="DU13" s="478"/>
      <c r="DV13" s="478"/>
      <c r="DW13" s="478"/>
      <c r="DX13" s="478"/>
      <c r="DY13" s="478"/>
      <c r="DZ13" s="478"/>
      <c r="EA13" s="478"/>
      <c r="EB13" s="478"/>
      <c r="EC13" s="478"/>
      <c r="ED13" s="478"/>
      <c r="EE13" s="478"/>
      <c r="EF13" s="478"/>
      <c r="EG13" s="478"/>
      <c r="EH13" s="478"/>
      <c r="EI13" s="478"/>
      <c r="EJ13" s="478"/>
      <c r="EK13" s="478"/>
      <c r="EL13" s="478"/>
      <c r="EM13" s="478"/>
      <c r="EN13" s="478"/>
      <c r="EO13" s="478"/>
      <c r="EP13" s="478"/>
      <c r="EQ13" s="478"/>
      <c r="ER13" s="478"/>
      <c r="ES13" s="478"/>
      <c r="ET13" s="478"/>
      <c r="EU13" s="478"/>
      <c r="EV13" s="478"/>
      <c r="EW13" s="478"/>
      <c r="EX13" s="478"/>
      <c r="EY13" s="478"/>
      <c r="EZ13" s="478"/>
      <c r="FA13" s="478"/>
      <c r="FB13" s="478"/>
      <c r="FC13" s="478"/>
      <c r="FD13" s="478"/>
      <c r="FE13" s="478"/>
      <c r="FF13" s="478"/>
      <c r="FG13" s="478"/>
      <c r="FH13" s="478"/>
      <c r="FI13" s="478"/>
      <c r="FJ13" s="478"/>
      <c r="FK13" s="478"/>
      <c r="FL13" s="478"/>
      <c r="FM13" s="478"/>
      <c r="FN13" s="478"/>
      <c r="FO13" s="478"/>
      <c r="FP13" s="478"/>
      <c r="FQ13" s="478"/>
      <c r="FR13" s="478"/>
      <c r="FS13" s="478"/>
      <c r="FT13" s="478"/>
      <c r="FU13" s="478"/>
      <c r="FV13" s="478"/>
      <c r="FW13" s="478"/>
      <c r="FX13" s="478"/>
      <c r="FY13" s="478"/>
      <c r="FZ13" s="478"/>
      <c r="GA13" s="478"/>
      <c r="GB13" s="478"/>
      <c r="GC13" s="478"/>
      <c r="GD13" s="478"/>
      <c r="GE13" s="478"/>
      <c r="GF13" s="478"/>
      <c r="GG13" s="478"/>
      <c r="GH13" s="478"/>
      <c r="GI13" s="478"/>
      <c r="GJ13" s="478"/>
      <c r="GK13" s="478"/>
      <c r="GL13" s="478"/>
      <c r="GM13" s="478"/>
      <c r="GN13" s="478"/>
      <c r="GO13" s="478"/>
      <c r="GP13" s="478"/>
      <c r="GQ13" s="478"/>
      <c r="GR13" s="478"/>
      <c r="GS13" s="478"/>
      <c r="GT13" s="478"/>
      <c r="GU13" s="478"/>
      <c r="GV13" s="478"/>
      <c r="GW13" s="478"/>
      <c r="GX13" s="478"/>
      <c r="GY13" s="478"/>
      <c r="GZ13" s="478"/>
      <c r="HA13" s="478"/>
      <c r="HB13" s="478"/>
      <c r="HC13" s="478"/>
      <c r="HD13" s="478"/>
      <c r="HE13" s="478"/>
      <c r="HF13" s="478"/>
      <c r="HG13" s="478"/>
      <c r="HH13" s="478"/>
      <c r="HI13" s="478"/>
      <c r="HJ13" s="478"/>
      <c r="HK13" s="478"/>
      <c r="HL13" s="478"/>
      <c r="HM13" s="478"/>
      <c r="HN13" s="478"/>
      <c r="HO13" s="478"/>
      <c r="HP13" s="478"/>
      <c r="HQ13" s="478"/>
      <c r="HR13" s="478"/>
      <c r="HS13" s="478"/>
      <c r="HT13" s="478"/>
      <c r="HU13" s="478"/>
      <c r="HV13" s="478"/>
      <c r="HW13" s="478"/>
      <c r="HX13" s="478"/>
      <c r="HY13" s="478"/>
      <c r="HZ13" s="478"/>
      <c r="IA13" s="478"/>
      <c r="IB13" s="478"/>
      <c r="IC13" s="478"/>
      <c r="ID13" s="478"/>
      <c r="IE13" s="478"/>
      <c r="IF13" s="478"/>
      <c r="IG13" s="478"/>
      <c r="IH13" s="478"/>
      <c r="II13" s="478"/>
      <c r="IJ13" s="478"/>
      <c r="IK13" s="478"/>
      <c r="IL13" s="478"/>
      <c r="IM13" s="478"/>
      <c r="IN13" s="478"/>
      <c r="IO13" s="478"/>
      <c r="IP13" s="478"/>
      <c r="IQ13" s="478"/>
      <c r="IR13" s="478"/>
      <c r="IS13" s="478"/>
      <c r="IT13" s="478"/>
      <c r="IU13" s="478"/>
      <c r="IV13" s="478"/>
    </row>
    <row r="14" spans="1:256" s="3" customFormat="1" ht="17.149999999999999" customHeight="1" x14ac:dyDescent="0.3">
      <c r="A14" s="478"/>
      <c r="B14" s="650"/>
      <c r="C14" s="650"/>
      <c r="D14" s="712">
        <f>SUM(D12:D13)</f>
        <v>9274136.25</v>
      </c>
      <c r="E14" s="712">
        <f>SUM(E7:E11)+D14</f>
        <v>34911075</v>
      </c>
      <c r="F14" s="711"/>
      <c r="G14" s="478"/>
      <c r="H14" s="489"/>
      <c r="I14" s="712">
        <f>SUM(I12:I13)</f>
        <v>9274136.25</v>
      </c>
      <c r="J14" s="712">
        <f>SUM(J7:J11)+I14</f>
        <v>34911075</v>
      </c>
      <c r="K14" s="571"/>
      <c r="L14" s="478"/>
      <c r="M14" s="489"/>
      <c r="N14" s="497"/>
      <c r="O14" s="497"/>
      <c r="P14" s="478"/>
      <c r="Q14" s="497"/>
      <c r="R14" s="650"/>
      <c r="S14" s="487">
        <f>SUM(S12:S13)</f>
        <v>0.26565026284638898</v>
      </c>
      <c r="T14" s="487">
        <f>SUM(T7:T11)+S14</f>
        <v>1</v>
      </c>
      <c r="U14" s="713">
        <f t="shared" si="8"/>
        <v>1.265650262846389</v>
      </c>
      <c r="V14" s="478"/>
      <c r="W14" s="478"/>
      <c r="X14" s="478"/>
      <c r="Y14" s="478"/>
      <c r="Z14" s="478"/>
      <c r="AA14" s="478"/>
      <c r="AB14" s="478"/>
      <c r="AC14" s="478"/>
      <c r="AD14" s="478"/>
      <c r="AE14" s="478"/>
      <c r="AF14" s="478"/>
      <c r="AG14" s="478"/>
      <c r="AH14" s="478"/>
      <c r="AI14" s="478"/>
      <c r="AJ14" s="478"/>
      <c r="AK14" s="478"/>
      <c r="AL14" s="478"/>
      <c r="AM14" s="478"/>
      <c r="AN14" s="478"/>
      <c r="AO14" s="478"/>
      <c r="AP14" s="478"/>
      <c r="AQ14" s="478"/>
      <c r="AR14" s="478"/>
      <c r="AS14" s="478"/>
      <c r="AT14" s="478"/>
      <c r="AU14" s="478"/>
      <c r="AV14" s="478"/>
      <c r="AW14" s="478"/>
      <c r="AX14" s="478"/>
      <c r="AY14" s="478"/>
      <c r="AZ14" s="478"/>
      <c r="BA14" s="478"/>
      <c r="BB14" s="478"/>
      <c r="BC14" s="478"/>
      <c r="BD14" s="478"/>
      <c r="BE14" s="478"/>
      <c r="BF14" s="478"/>
      <c r="BG14" s="478"/>
      <c r="BH14" s="478"/>
      <c r="BI14" s="478"/>
      <c r="BJ14" s="478"/>
      <c r="BK14" s="478"/>
      <c r="BL14" s="478"/>
      <c r="BM14" s="478"/>
      <c r="BN14" s="478"/>
      <c r="BO14" s="478"/>
      <c r="BP14" s="478"/>
      <c r="BQ14" s="478"/>
      <c r="BR14" s="478"/>
      <c r="BS14" s="478"/>
      <c r="BT14" s="478"/>
      <c r="BU14" s="478"/>
      <c r="BV14" s="478"/>
      <c r="BW14" s="478"/>
      <c r="BX14" s="478"/>
      <c r="BY14" s="478"/>
      <c r="BZ14" s="478"/>
      <c r="CA14" s="478"/>
      <c r="CB14" s="478"/>
      <c r="CC14" s="478"/>
      <c r="CD14" s="478"/>
      <c r="CE14" s="478"/>
      <c r="CF14" s="478"/>
      <c r="CG14" s="478"/>
      <c r="CH14" s="478"/>
      <c r="CI14" s="478"/>
      <c r="CJ14" s="478"/>
      <c r="CK14" s="478"/>
      <c r="CL14" s="478"/>
      <c r="CM14" s="478"/>
      <c r="CN14" s="478"/>
      <c r="CO14" s="478"/>
      <c r="CP14" s="478"/>
      <c r="CQ14" s="478"/>
      <c r="CR14" s="478"/>
      <c r="CS14" s="478"/>
      <c r="CT14" s="478"/>
      <c r="CU14" s="478"/>
      <c r="CV14" s="478"/>
      <c r="CW14" s="478"/>
      <c r="CX14" s="478"/>
      <c r="CY14" s="478"/>
      <c r="CZ14" s="478"/>
      <c r="DA14" s="478"/>
      <c r="DB14" s="478"/>
      <c r="DC14" s="478"/>
      <c r="DD14" s="478"/>
      <c r="DE14" s="478"/>
      <c r="DF14" s="478"/>
      <c r="DG14" s="478"/>
      <c r="DH14" s="478"/>
      <c r="DI14" s="478"/>
      <c r="DJ14" s="478"/>
      <c r="DK14" s="478"/>
      <c r="DL14" s="478"/>
      <c r="DM14" s="478"/>
      <c r="DN14" s="478"/>
      <c r="DO14" s="478"/>
      <c r="DP14" s="478"/>
      <c r="DQ14" s="478"/>
      <c r="DR14" s="478"/>
      <c r="DS14" s="478"/>
      <c r="DT14" s="478"/>
      <c r="DU14" s="478"/>
      <c r="DV14" s="478"/>
      <c r="DW14" s="478"/>
      <c r="DX14" s="478"/>
      <c r="DY14" s="478"/>
      <c r="DZ14" s="478"/>
      <c r="EA14" s="478"/>
      <c r="EB14" s="478"/>
      <c r="EC14" s="478"/>
      <c r="ED14" s="478"/>
      <c r="EE14" s="478"/>
      <c r="EF14" s="478"/>
      <c r="EG14" s="478"/>
      <c r="EH14" s="478"/>
      <c r="EI14" s="478"/>
      <c r="EJ14" s="478"/>
      <c r="EK14" s="478"/>
      <c r="EL14" s="478"/>
      <c r="EM14" s="478"/>
      <c r="EN14" s="478"/>
      <c r="EO14" s="478"/>
      <c r="EP14" s="478"/>
      <c r="EQ14" s="478"/>
      <c r="ER14" s="478"/>
      <c r="ES14" s="478"/>
      <c r="ET14" s="478"/>
      <c r="EU14" s="478"/>
      <c r="EV14" s="478"/>
      <c r="EW14" s="478"/>
      <c r="EX14" s="478"/>
      <c r="EY14" s="478"/>
      <c r="EZ14" s="478"/>
      <c r="FA14" s="478"/>
      <c r="FB14" s="478"/>
      <c r="FC14" s="478"/>
      <c r="FD14" s="478"/>
      <c r="FE14" s="478"/>
      <c r="FF14" s="478"/>
      <c r="FG14" s="478"/>
      <c r="FH14" s="478"/>
      <c r="FI14" s="478"/>
      <c r="FJ14" s="478"/>
      <c r="FK14" s="478"/>
      <c r="FL14" s="478"/>
      <c r="FM14" s="478"/>
      <c r="FN14" s="478"/>
      <c r="FO14" s="478"/>
      <c r="FP14" s="478"/>
      <c r="FQ14" s="478"/>
      <c r="FR14" s="478"/>
      <c r="FS14" s="478"/>
      <c r="FT14" s="478"/>
      <c r="FU14" s="478"/>
      <c r="FV14" s="478"/>
      <c r="FW14" s="478"/>
      <c r="FX14" s="478"/>
      <c r="FY14" s="478"/>
      <c r="FZ14" s="478"/>
      <c r="GA14" s="478"/>
      <c r="GB14" s="478"/>
      <c r="GC14" s="478"/>
      <c r="GD14" s="478"/>
      <c r="GE14" s="478"/>
      <c r="GF14" s="478"/>
      <c r="GG14" s="478"/>
      <c r="GH14" s="478"/>
      <c r="GI14" s="478"/>
      <c r="GJ14" s="478"/>
      <c r="GK14" s="478"/>
      <c r="GL14" s="478"/>
      <c r="GM14" s="478"/>
      <c r="GN14" s="478"/>
      <c r="GO14" s="478"/>
      <c r="GP14" s="478"/>
      <c r="GQ14" s="478"/>
      <c r="GR14" s="478"/>
      <c r="GS14" s="478"/>
      <c r="GT14" s="478"/>
      <c r="GU14" s="478"/>
      <c r="GV14" s="478"/>
      <c r="GW14" s="478"/>
      <c r="GX14" s="478"/>
      <c r="GY14" s="478"/>
      <c r="GZ14" s="478"/>
      <c r="HA14" s="478"/>
      <c r="HB14" s="478"/>
      <c r="HC14" s="478"/>
      <c r="HD14" s="478"/>
      <c r="HE14" s="478"/>
      <c r="HF14" s="478"/>
      <c r="HG14" s="478"/>
      <c r="HH14" s="478"/>
      <c r="HI14" s="478"/>
      <c r="HJ14" s="478"/>
      <c r="HK14" s="478"/>
      <c r="HL14" s="478"/>
      <c r="HM14" s="478"/>
      <c r="HN14" s="478"/>
      <c r="HO14" s="478"/>
      <c r="HP14" s="478"/>
      <c r="HQ14" s="478"/>
      <c r="HR14" s="478"/>
      <c r="HS14" s="478"/>
      <c r="HT14" s="478"/>
      <c r="HU14" s="478"/>
      <c r="HV14" s="478"/>
      <c r="HW14" s="478"/>
      <c r="HX14" s="478"/>
      <c r="HY14" s="478"/>
      <c r="HZ14" s="478"/>
      <c r="IA14" s="478"/>
      <c r="IB14" s="478"/>
      <c r="IC14" s="478"/>
      <c r="ID14" s="478"/>
      <c r="IE14" s="478"/>
      <c r="IF14" s="478"/>
      <c r="IG14" s="478"/>
      <c r="IH14" s="478"/>
      <c r="II14" s="478"/>
      <c r="IJ14" s="478"/>
      <c r="IK14" s="478"/>
      <c r="IL14" s="478"/>
      <c r="IM14" s="478"/>
      <c r="IN14" s="478"/>
      <c r="IO14" s="478"/>
      <c r="IP14" s="478"/>
      <c r="IQ14" s="478"/>
      <c r="IR14" s="478"/>
      <c r="IS14" s="478"/>
      <c r="IT14" s="478"/>
      <c r="IU14" s="478"/>
      <c r="IV14" s="478"/>
    </row>
    <row r="15" spans="1:256" s="3" customFormat="1" ht="17.149999999999999" customHeight="1" x14ac:dyDescent="0.35">
      <c r="A15" s="478"/>
      <c r="B15" s="478"/>
      <c r="C15" s="478"/>
      <c r="D15" s="523"/>
      <c r="E15" s="53">
        <f>C6-E14</f>
        <v>0</v>
      </c>
      <c r="F15" s="478"/>
      <c r="G15" s="478"/>
      <c r="H15" s="478"/>
      <c r="I15" s="478"/>
      <c r="J15" s="53">
        <f>I6-J14</f>
        <v>0</v>
      </c>
      <c r="K15" s="478"/>
      <c r="L15" s="478"/>
      <c r="M15" s="478"/>
      <c r="N15" s="478"/>
      <c r="O15" s="478"/>
      <c r="P15" s="478"/>
      <c r="Q15" s="478"/>
      <c r="R15" s="478"/>
      <c r="S15" s="478"/>
      <c r="T15" s="53">
        <f>S6-T14</f>
        <v>0</v>
      </c>
      <c r="U15" s="640"/>
      <c r="V15" s="478"/>
      <c r="W15" s="478"/>
      <c r="X15" s="478"/>
      <c r="Y15" s="478"/>
      <c r="Z15" s="478"/>
      <c r="AA15" s="478"/>
      <c r="AB15" s="478"/>
      <c r="AC15" s="478"/>
      <c r="AD15" s="478"/>
      <c r="AE15" s="478"/>
      <c r="AF15" s="478"/>
      <c r="AG15" s="478"/>
      <c r="AH15" s="478"/>
      <c r="AI15" s="478"/>
      <c r="AJ15" s="478"/>
      <c r="AK15" s="478"/>
      <c r="AL15" s="478"/>
      <c r="AM15" s="478"/>
      <c r="AN15" s="478"/>
      <c r="AO15" s="478"/>
      <c r="AP15" s="478"/>
      <c r="AQ15" s="478"/>
      <c r="AR15" s="478"/>
      <c r="AS15" s="478"/>
      <c r="AT15" s="478"/>
      <c r="AU15" s="478"/>
      <c r="AV15" s="478"/>
      <c r="AW15" s="478"/>
      <c r="AX15" s="478"/>
      <c r="AY15" s="478"/>
      <c r="AZ15" s="478"/>
      <c r="BA15" s="478"/>
      <c r="BB15" s="478"/>
      <c r="BC15" s="478"/>
      <c r="BD15" s="478"/>
      <c r="BE15" s="478"/>
      <c r="BF15" s="478"/>
      <c r="BG15" s="478"/>
      <c r="BH15" s="478"/>
      <c r="BI15" s="478"/>
      <c r="BJ15" s="478"/>
      <c r="BK15" s="478"/>
      <c r="BL15" s="478"/>
      <c r="BM15" s="478"/>
      <c r="BN15" s="478"/>
      <c r="BO15" s="478"/>
      <c r="BP15" s="478"/>
      <c r="BQ15" s="478"/>
      <c r="BR15" s="478"/>
      <c r="BS15" s="478"/>
      <c r="BT15" s="478"/>
      <c r="BU15" s="478"/>
      <c r="BV15" s="478"/>
      <c r="BW15" s="478"/>
      <c r="BX15" s="478"/>
      <c r="BY15" s="478"/>
      <c r="BZ15" s="478"/>
      <c r="CA15" s="478"/>
      <c r="CB15" s="478"/>
      <c r="CC15" s="478"/>
      <c r="CD15" s="478"/>
      <c r="CE15" s="478"/>
      <c r="CF15" s="478"/>
      <c r="CG15" s="478"/>
      <c r="CH15" s="478"/>
      <c r="CI15" s="478"/>
      <c r="CJ15" s="478"/>
      <c r="CK15" s="478"/>
      <c r="CL15" s="478"/>
      <c r="CM15" s="478"/>
      <c r="CN15" s="478"/>
      <c r="CO15" s="478"/>
      <c r="CP15" s="478"/>
      <c r="CQ15" s="478"/>
      <c r="CR15" s="478"/>
      <c r="CS15" s="478"/>
      <c r="CT15" s="478"/>
      <c r="CU15" s="478"/>
      <c r="CV15" s="478"/>
      <c r="CW15" s="478"/>
      <c r="CX15" s="478"/>
      <c r="CY15" s="478"/>
      <c r="CZ15" s="478"/>
      <c r="DA15" s="478"/>
      <c r="DB15" s="478"/>
      <c r="DC15" s="478"/>
      <c r="DD15" s="478"/>
      <c r="DE15" s="478"/>
      <c r="DF15" s="478"/>
      <c r="DG15" s="478"/>
      <c r="DH15" s="478"/>
      <c r="DI15" s="478"/>
      <c r="DJ15" s="478"/>
      <c r="DK15" s="478"/>
      <c r="DL15" s="478"/>
      <c r="DM15" s="478"/>
      <c r="DN15" s="478"/>
      <c r="DO15" s="478"/>
      <c r="DP15" s="478"/>
      <c r="DQ15" s="478"/>
      <c r="DR15" s="478"/>
      <c r="DS15" s="478"/>
      <c r="DT15" s="478"/>
      <c r="DU15" s="478"/>
      <c r="DV15" s="478"/>
      <c r="DW15" s="478"/>
      <c r="DX15" s="478"/>
      <c r="DY15" s="478"/>
      <c r="DZ15" s="478"/>
      <c r="EA15" s="478"/>
      <c r="EB15" s="478"/>
      <c r="EC15" s="478"/>
      <c r="ED15" s="478"/>
      <c r="EE15" s="478"/>
      <c r="EF15" s="478"/>
      <c r="EG15" s="478"/>
      <c r="EH15" s="478"/>
      <c r="EI15" s="478"/>
      <c r="EJ15" s="478"/>
      <c r="EK15" s="478"/>
      <c r="EL15" s="478"/>
      <c r="EM15" s="478"/>
      <c r="EN15" s="478"/>
      <c r="EO15" s="478"/>
      <c r="EP15" s="478"/>
      <c r="EQ15" s="478"/>
      <c r="ER15" s="478"/>
      <c r="ES15" s="478"/>
      <c r="ET15" s="478"/>
      <c r="EU15" s="478"/>
      <c r="EV15" s="478"/>
      <c r="EW15" s="478"/>
      <c r="EX15" s="478"/>
      <c r="EY15" s="478"/>
      <c r="EZ15" s="478"/>
      <c r="FA15" s="478"/>
      <c r="FB15" s="478"/>
      <c r="FC15" s="478"/>
      <c r="FD15" s="478"/>
      <c r="FE15" s="478"/>
      <c r="FF15" s="478"/>
      <c r="FG15" s="478"/>
      <c r="FH15" s="478"/>
      <c r="FI15" s="478"/>
      <c r="FJ15" s="478"/>
      <c r="FK15" s="478"/>
      <c r="FL15" s="478"/>
      <c r="FM15" s="478"/>
      <c r="FN15" s="478"/>
      <c r="FO15" s="478"/>
      <c r="FP15" s="478"/>
      <c r="FQ15" s="478"/>
      <c r="FR15" s="478"/>
      <c r="FS15" s="478"/>
      <c r="FT15" s="478"/>
      <c r="FU15" s="478"/>
      <c r="FV15" s="478"/>
      <c r="FW15" s="478"/>
      <c r="FX15" s="478"/>
      <c r="FY15" s="478"/>
      <c r="FZ15" s="478"/>
      <c r="GA15" s="478"/>
      <c r="GB15" s="478"/>
      <c r="GC15" s="478"/>
      <c r="GD15" s="478"/>
      <c r="GE15" s="478"/>
      <c r="GF15" s="478"/>
      <c r="GG15" s="478"/>
      <c r="GH15" s="478"/>
      <c r="GI15" s="478"/>
      <c r="GJ15" s="478"/>
      <c r="GK15" s="478"/>
      <c r="GL15" s="478"/>
      <c r="GM15" s="478"/>
      <c r="GN15" s="478"/>
      <c r="GO15" s="478"/>
      <c r="GP15" s="478"/>
      <c r="GQ15" s="478"/>
      <c r="GR15" s="478"/>
      <c r="GS15" s="478"/>
      <c r="GT15" s="478"/>
      <c r="GU15" s="478"/>
      <c r="GV15" s="478"/>
      <c r="GW15" s="478"/>
      <c r="GX15" s="478"/>
      <c r="GY15" s="478"/>
      <c r="GZ15" s="478"/>
      <c r="HA15" s="478"/>
      <c r="HB15" s="478"/>
      <c r="HC15" s="478"/>
      <c r="HD15" s="478"/>
      <c r="HE15" s="478"/>
      <c r="HF15" s="478"/>
      <c r="HG15" s="478"/>
      <c r="HH15" s="478"/>
      <c r="HI15" s="478"/>
      <c r="HJ15" s="478"/>
      <c r="HK15" s="478"/>
      <c r="HL15" s="478"/>
      <c r="HM15" s="478"/>
      <c r="HN15" s="478"/>
      <c r="HO15" s="478"/>
      <c r="HP15" s="478"/>
      <c r="HQ15" s="478"/>
      <c r="HR15" s="478"/>
      <c r="HS15" s="478"/>
      <c r="HT15" s="478"/>
      <c r="HU15" s="478"/>
      <c r="HV15" s="478"/>
      <c r="HW15" s="478"/>
      <c r="HX15" s="478"/>
      <c r="HY15" s="478"/>
      <c r="HZ15" s="478"/>
      <c r="IA15" s="478"/>
      <c r="IB15" s="478"/>
      <c r="IC15" s="478"/>
      <c r="ID15" s="478"/>
      <c r="IE15" s="478"/>
      <c r="IF15" s="478"/>
      <c r="IG15" s="478"/>
      <c r="IH15" s="478"/>
      <c r="II15" s="478"/>
      <c r="IJ15" s="478"/>
      <c r="IK15" s="478"/>
      <c r="IL15" s="478"/>
      <c r="IM15" s="478"/>
      <c r="IN15" s="478"/>
      <c r="IO15" s="478"/>
      <c r="IP15" s="478"/>
      <c r="IQ15" s="478"/>
      <c r="IR15" s="478"/>
      <c r="IS15" s="478"/>
      <c r="IT15" s="478"/>
      <c r="IU15" s="478"/>
      <c r="IV15" s="478"/>
    </row>
    <row r="16" spans="1:256" s="3" customFormat="1" ht="17.149999999999999" customHeight="1" x14ac:dyDescent="0.35">
      <c r="A16" s="478"/>
      <c r="B16" s="478"/>
      <c r="C16" s="478"/>
      <c r="D16" s="523"/>
      <c r="E16" s="171" t="str">
        <f>IF(E15=0,"OK","Not OK")</f>
        <v>OK</v>
      </c>
      <c r="F16" s="478"/>
      <c r="G16" s="478"/>
      <c r="H16" s="478"/>
      <c r="I16" s="478"/>
      <c r="J16" s="171" t="str">
        <f>IF(J15=0,"OK","Not OK")</f>
        <v>OK</v>
      </c>
      <c r="K16" s="478"/>
      <c r="L16" s="478"/>
      <c r="M16" s="478"/>
      <c r="N16" s="478"/>
      <c r="O16" s="478"/>
      <c r="P16" s="478"/>
      <c r="Q16" s="478"/>
      <c r="R16" s="478"/>
      <c r="S16" s="478"/>
      <c r="T16" s="171" t="str">
        <f>IF(T15=0,"OK","Not OK")</f>
        <v>OK</v>
      </c>
      <c r="U16" s="478"/>
      <c r="V16" s="478"/>
      <c r="W16" s="478"/>
      <c r="X16" s="478"/>
      <c r="Y16" s="478"/>
      <c r="Z16" s="478"/>
      <c r="AA16" s="478"/>
      <c r="AB16" s="478"/>
      <c r="AC16" s="478"/>
      <c r="AD16" s="478"/>
      <c r="AE16" s="478"/>
      <c r="AF16" s="478"/>
      <c r="AG16" s="478"/>
      <c r="AH16" s="478"/>
      <c r="AI16" s="478"/>
      <c r="AJ16" s="478"/>
      <c r="AK16" s="478"/>
      <c r="AL16" s="478"/>
      <c r="AM16" s="478"/>
      <c r="AN16" s="478"/>
      <c r="AO16" s="478"/>
      <c r="AP16" s="478"/>
      <c r="AQ16" s="478"/>
      <c r="AR16" s="478"/>
      <c r="AS16" s="478"/>
      <c r="AT16" s="478"/>
      <c r="AU16" s="478"/>
      <c r="AV16" s="478"/>
      <c r="AW16" s="478"/>
      <c r="AX16" s="478"/>
      <c r="AY16" s="478"/>
      <c r="AZ16" s="478"/>
      <c r="BA16" s="478"/>
      <c r="BB16" s="478"/>
      <c r="BC16" s="478"/>
      <c r="BD16" s="478"/>
      <c r="BE16" s="478"/>
      <c r="BF16" s="478"/>
      <c r="BG16" s="478"/>
      <c r="BH16" s="478"/>
      <c r="BI16" s="478"/>
      <c r="BJ16" s="478"/>
      <c r="BK16" s="478"/>
      <c r="BL16" s="478"/>
      <c r="BM16" s="478"/>
      <c r="BN16" s="478"/>
      <c r="BO16" s="478"/>
      <c r="BP16" s="478"/>
      <c r="BQ16" s="478"/>
      <c r="BR16" s="478"/>
      <c r="BS16" s="478"/>
      <c r="BT16" s="478"/>
      <c r="BU16" s="478"/>
      <c r="BV16" s="478"/>
      <c r="BW16" s="478"/>
      <c r="BX16" s="478"/>
      <c r="BY16" s="478"/>
      <c r="BZ16" s="478"/>
      <c r="CA16" s="478"/>
      <c r="CB16" s="478"/>
      <c r="CC16" s="478"/>
      <c r="CD16" s="478"/>
      <c r="CE16" s="478"/>
      <c r="CF16" s="478"/>
      <c r="CG16" s="478"/>
      <c r="CH16" s="478"/>
      <c r="CI16" s="478"/>
      <c r="CJ16" s="478"/>
      <c r="CK16" s="478"/>
      <c r="CL16" s="478"/>
      <c r="CM16" s="478"/>
      <c r="CN16" s="478"/>
      <c r="CO16" s="478"/>
      <c r="CP16" s="478"/>
      <c r="CQ16" s="478"/>
      <c r="CR16" s="478"/>
      <c r="CS16" s="478"/>
      <c r="CT16" s="478"/>
      <c r="CU16" s="478"/>
      <c r="CV16" s="478"/>
      <c r="CW16" s="478"/>
      <c r="CX16" s="478"/>
      <c r="CY16" s="478"/>
      <c r="CZ16" s="478"/>
      <c r="DA16" s="478"/>
      <c r="DB16" s="478"/>
      <c r="DC16" s="478"/>
      <c r="DD16" s="478"/>
      <c r="DE16" s="478"/>
      <c r="DF16" s="478"/>
      <c r="DG16" s="478"/>
      <c r="DH16" s="478"/>
      <c r="DI16" s="478"/>
      <c r="DJ16" s="478"/>
      <c r="DK16" s="478"/>
      <c r="DL16" s="478"/>
      <c r="DM16" s="478"/>
      <c r="DN16" s="478"/>
      <c r="DO16" s="478"/>
      <c r="DP16" s="478"/>
      <c r="DQ16" s="478"/>
      <c r="DR16" s="478"/>
      <c r="DS16" s="478"/>
      <c r="DT16" s="478"/>
      <c r="DU16" s="478"/>
      <c r="DV16" s="478"/>
      <c r="DW16" s="478"/>
      <c r="DX16" s="478"/>
      <c r="DY16" s="478"/>
      <c r="DZ16" s="478"/>
      <c r="EA16" s="478"/>
      <c r="EB16" s="478"/>
      <c r="EC16" s="478"/>
      <c r="ED16" s="478"/>
      <c r="EE16" s="478"/>
      <c r="EF16" s="478"/>
      <c r="EG16" s="478"/>
      <c r="EH16" s="478"/>
      <c r="EI16" s="478"/>
      <c r="EJ16" s="478"/>
      <c r="EK16" s="478"/>
      <c r="EL16" s="478"/>
      <c r="EM16" s="478"/>
      <c r="EN16" s="478"/>
      <c r="EO16" s="478"/>
      <c r="EP16" s="478"/>
      <c r="EQ16" s="478"/>
      <c r="ER16" s="478"/>
      <c r="ES16" s="478"/>
      <c r="ET16" s="478"/>
      <c r="EU16" s="478"/>
      <c r="EV16" s="478"/>
      <c r="EW16" s="478"/>
      <c r="EX16" s="478"/>
      <c r="EY16" s="478"/>
      <c r="EZ16" s="478"/>
      <c r="FA16" s="478"/>
      <c r="FB16" s="478"/>
      <c r="FC16" s="478"/>
      <c r="FD16" s="478"/>
      <c r="FE16" s="478"/>
      <c r="FF16" s="478"/>
      <c r="FG16" s="478"/>
      <c r="FH16" s="478"/>
      <c r="FI16" s="478"/>
      <c r="FJ16" s="478"/>
      <c r="FK16" s="478"/>
      <c r="FL16" s="478"/>
      <c r="FM16" s="478"/>
      <c r="FN16" s="478"/>
      <c r="FO16" s="478"/>
      <c r="FP16" s="478"/>
      <c r="FQ16" s="478"/>
      <c r="FR16" s="478"/>
      <c r="FS16" s="478"/>
      <c r="FT16" s="478"/>
      <c r="FU16" s="478"/>
      <c r="FV16" s="478"/>
      <c r="FW16" s="478"/>
      <c r="FX16" s="478"/>
      <c r="FY16" s="478"/>
      <c r="FZ16" s="478"/>
      <c r="GA16" s="478"/>
      <c r="GB16" s="478"/>
      <c r="GC16" s="478"/>
      <c r="GD16" s="478"/>
      <c r="GE16" s="478"/>
      <c r="GF16" s="478"/>
      <c r="GG16" s="478"/>
      <c r="GH16" s="478"/>
      <c r="GI16" s="478"/>
      <c r="GJ16" s="478"/>
      <c r="GK16" s="478"/>
      <c r="GL16" s="478"/>
      <c r="GM16" s="478"/>
      <c r="GN16" s="478"/>
      <c r="GO16" s="478"/>
      <c r="GP16" s="478"/>
      <c r="GQ16" s="478"/>
      <c r="GR16" s="478"/>
      <c r="GS16" s="478"/>
      <c r="GT16" s="478"/>
      <c r="GU16" s="478"/>
      <c r="GV16" s="478"/>
      <c r="GW16" s="478"/>
      <c r="GX16" s="478"/>
      <c r="GY16" s="478"/>
      <c r="GZ16" s="478"/>
      <c r="HA16" s="478"/>
      <c r="HB16" s="478"/>
      <c r="HC16" s="478"/>
      <c r="HD16" s="478"/>
      <c r="HE16" s="478"/>
      <c r="HF16" s="478"/>
      <c r="HG16" s="478"/>
      <c r="HH16" s="478"/>
      <c r="HI16" s="478"/>
      <c r="HJ16" s="478"/>
      <c r="HK16" s="478"/>
      <c r="HL16" s="478"/>
      <c r="HM16" s="478"/>
      <c r="HN16" s="478"/>
      <c r="HO16" s="478"/>
      <c r="HP16" s="478"/>
      <c r="HQ16" s="478"/>
      <c r="HR16" s="478"/>
      <c r="HS16" s="478"/>
      <c r="HT16" s="478"/>
      <c r="HU16" s="478"/>
      <c r="HV16" s="478"/>
      <c r="HW16" s="478"/>
      <c r="HX16" s="478"/>
      <c r="HY16" s="478"/>
      <c r="HZ16" s="478"/>
      <c r="IA16" s="478"/>
      <c r="IB16" s="478"/>
      <c r="IC16" s="478"/>
      <c r="ID16" s="478"/>
      <c r="IE16" s="478"/>
      <c r="IF16" s="478"/>
      <c r="IG16" s="478"/>
      <c r="IH16" s="478"/>
      <c r="II16" s="478"/>
      <c r="IJ16" s="478"/>
      <c r="IK16" s="478"/>
      <c r="IL16" s="478"/>
      <c r="IM16" s="478"/>
      <c r="IN16" s="478"/>
      <c r="IO16" s="478"/>
      <c r="IP16" s="478"/>
      <c r="IQ16" s="478"/>
      <c r="IR16" s="478"/>
      <c r="IS16" s="478"/>
      <c r="IT16" s="478"/>
      <c r="IU16" s="478"/>
      <c r="IV16" s="478"/>
    </row>
    <row r="17" spans="1:21" ht="20.149999999999999" customHeight="1" x14ac:dyDescent="0.35">
      <c r="A17" s="544"/>
      <c r="B17" s="544"/>
      <c r="C17" s="544"/>
      <c r="D17" s="708"/>
      <c r="E17" s="544"/>
      <c r="F17" s="544"/>
      <c r="G17" s="544"/>
      <c r="H17" s="544"/>
      <c r="I17" s="544"/>
      <c r="J17" s="544"/>
      <c r="K17" s="544"/>
      <c r="L17" s="544"/>
      <c r="M17" s="544"/>
      <c r="N17" s="544"/>
      <c r="O17" s="544"/>
      <c r="P17" s="544"/>
      <c r="Q17" s="544"/>
      <c r="R17" s="544"/>
      <c r="S17" s="544"/>
      <c r="T17" s="544"/>
      <c r="U17" s="544"/>
    </row>
    <row r="18" spans="1:21" ht="35.15" customHeight="1" x14ac:dyDescent="0.5">
      <c r="A18" s="544"/>
      <c r="B18" s="1532" t="s">
        <v>23</v>
      </c>
      <c r="C18" s="1532"/>
      <c r="D18" s="1532"/>
      <c r="E18" s="1532"/>
      <c r="F18" s="1532"/>
      <c r="G18" s="1532"/>
      <c r="H18" s="1532"/>
      <c r="I18" s="1532"/>
      <c r="J18" s="1532"/>
      <c r="K18" s="544"/>
      <c r="L18" s="844"/>
      <c r="M18" s="544"/>
      <c r="N18" s="544"/>
      <c r="O18" s="544"/>
      <c r="P18" s="544"/>
      <c r="Q18" s="544"/>
      <c r="R18" s="544"/>
      <c r="S18" s="544"/>
      <c r="T18" s="544"/>
      <c r="U18" s="544"/>
    </row>
    <row r="19" spans="1:21" ht="26.25" customHeight="1" x14ac:dyDescent="0.35">
      <c r="A19" s="544"/>
      <c r="B19" s="1533" t="str">
        <f>'User interface_RES'!AJ11</f>
        <v>Any city in , the world</v>
      </c>
      <c r="C19" s="1533"/>
      <c r="D19" s="1533"/>
      <c r="E19" s="1533"/>
      <c r="F19" s="1533"/>
      <c r="G19" s="1533"/>
      <c r="H19" s="1533"/>
      <c r="I19" s="1533"/>
      <c r="J19" s="1533"/>
      <c r="K19" s="544"/>
      <c r="L19" s="544"/>
      <c r="M19" s="544"/>
      <c r="N19" s="544"/>
      <c r="O19" s="544"/>
      <c r="P19" s="544"/>
      <c r="Q19" s="544"/>
      <c r="R19" s="544"/>
      <c r="S19" s="544"/>
      <c r="T19" s="544"/>
      <c r="U19" s="544"/>
    </row>
    <row r="20" spans="1:21" ht="20.149999999999999" customHeight="1" x14ac:dyDescent="0.35">
      <c r="A20" s="544"/>
      <c r="B20" s="544"/>
      <c r="C20" s="544"/>
      <c r="D20" s="708"/>
      <c r="E20" s="544"/>
      <c r="F20" s="544"/>
      <c r="G20" s="544"/>
      <c r="H20" s="544"/>
      <c r="I20" s="544"/>
      <c r="J20" s="544"/>
      <c r="K20" s="544"/>
      <c r="L20" s="544"/>
      <c r="M20" s="544"/>
      <c r="N20" s="544"/>
      <c r="O20" s="544"/>
      <c r="P20" s="544"/>
      <c r="Q20" s="544"/>
      <c r="R20" s="544"/>
      <c r="S20" s="544"/>
      <c r="T20" s="544"/>
      <c r="U20" s="544"/>
    </row>
    <row r="21" spans="1:21" ht="25" customHeight="1" x14ac:dyDescent="0.35">
      <c r="A21" s="544"/>
      <c r="B21" s="1534" t="s">
        <v>24</v>
      </c>
      <c r="C21" s="1534"/>
      <c r="D21" s="1534"/>
      <c r="E21" s="1534"/>
      <c r="F21" s="1534"/>
      <c r="G21" s="1534"/>
      <c r="H21" s="1534"/>
      <c r="I21" s="1534"/>
      <c r="J21" s="1534"/>
      <c r="K21" s="643"/>
      <c r="L21" s="544"/>
      <c r="M21" s="544"/>
      <c r="N21" s="544"/>
      <c r="O21" s="544"/>
      <c r="P21" s="544"/>
      <c r="Q21" s="544"/>
      <c r="R21" s="544"/>
      <c r="S21" s="544"/>
      <c r="T21" s="544"/>
      <c r="U21" s="544"/>
    </row>
    <row r="22" spans="1:21" ht="4" customHeight="1" x14ac:dyDescent="0.35">
      <c r="A22" s="544"/>
      <c r="B22" s="544"/>
      <c r="C22" s="544"/>
      <c r="D22" s="544"/>
      <c r="E22" s="544"/>
      <c r="F22" s="544"/>
      <c r="G22" s="544"/>
      <c r="H22" s="544"/>
      <c r="I22" s="544"/>
      <c r="J22" s="544"/>
      <c r="K22" s="643"/>
      <c r="L22" s="544"/>
      <c r="M22" s="544"/>
      <c r="N22" s="544"/>
      <c r="O22" s="544"/>
      <c r="P22" s="544"/>
      <c r="Q22" s="544"/>
      <c r="R22" s="544"/>
      <c r="S22" s="544"/>
      <c r="T22" s="544"/>
      <c r="U22" s="544"/>
    </row>
    <row r="23" spans="1:21" ht="20.149999999999999" customHeight="1" x14ac:dyDescent="0.35">
      <c r="A23" s="544"/>
      <c r="B23" s="544"/>
      <c r="C23" s="544"/>
      <c r="D23" s="708"/>
      <c r="E23" s="544"/>
      <c r="F23" s="544"/>
      <c r="G23" s="544"/>
      <c r="H23" s="544"/>
      <c r="I23" s="544"/>
      <c r="J23" s="544"/>
      <c r="K23" s="544"/>
      <c r="L23" s="544"/>
      <c r="M23" s="544"/>
      <c r="N23" s="544"/>
      <c r="O23" s="544"/>
      <c r="P23" s="544"/>
      <c r="Q23" s="544"/>
      <c r="R23" s="544"/>
      <c r="S23" s="544"/>
      <c r="T23" s="544"/>
      <c r="U23" s="544"/>
    </row>
    <row r="24" spans="1:21" ht="20.149999999999999" customHeight="1" x14ac:dyDescent="0.35">
      <c r="A24" s="544"/>
      <c r="B24" s="544"/>
      <c r="C24" s="544"/>
      <c r="D24" s="708"/>
      <c r="E24" s="544"/>
      <c r="F24" s="544"/>
      <c r="G24" s="544"/>
      <c r="H24" s="544"/>
      <c r="I24" s="544"/>
      <c r="J24" s="544"/>
      <c r="K24" s="544"/>
      <c r="L24" s="544"/>
      <c r="M24" s="544"/>
      <c r="N24" s="544"/>
      <c r="O24" s="544"/>
      <c r="P24" s="544"/>
      <c r="Q24" s="544"/>
      <c r="R24" s="544"/>
      <c r="S24" s="544"/>
      <c r="T24" s="544"/>
      <c r="U24" s="544"/>
    </row>
    <row r="25" spans="1:21" ht="20.149999999999999" customHeight="1" x14ac:dyDescent="0.35">
      <c r="A25" s="544"/>
      <c r="B25" s="544"/>
      <c r="C25" s="544"/>
      <c r="D25" s="708"/>
      <c r="E25" s="544"/>
      <c r="F25" s="544"/>
      <c r="G25" s="544"/>
      <c r="H25" s="544"/>
      <c r="I25" s="544"/>
      <c r="J25" s="544"/>
      <c r="K25" s="544"/>
      <c r="L25" s="544"/>
      <c r="M25" s="544"/>
      <c r="N25" s="544"/>
      <c r="O25" s="544"/>
      <c r="P25" s="544"/>
      <c r="Q25" s="544"/>
      <c r="R25" s="544"/>
      <c r="S25" s="544"/>
      <c r="T25" s="544"/>
      <c r="U25" s="544"/>
    </row>
    <row r="26" spans="1:21" ht="20.149999999999999" customHeight="1" x14ac:dyDescent="0.35">
      <c r="A26" s="544"/>
      <c r="B26" s="544"/>
      <c r="C26" s="544"/>
      <c r="D26" s="708"/>
      <c r="E26" s="544"/>
      <c r="F26" s="544"/>
      <c r="G26" s="544"/>
      <c r="H26" s="544"/>
      <c r="I26" s="544"/>
      <c r="J26" s="544"/>
      <c r="K26" s="544"/>
      <c r="L26" s="544"/>
      <c r="M26" s="544"/>
      <c r="N26" s="544"/>
      <c r="O26" s="544"/>
      <c r="P26" s="544"/>
      <c r="Q26" s="544"/>
      <c r="R26" s="544"/>
      <c r="S26" s="544"/>
      <c r="T26" s="544"/>
      <c r="U26" s="544"/>
    </row>
    <row r="27" spans="1:21" ht="20.149999999999999" customHeight="1" x14ac:dyDescent="0.35">
      <c r="A27" s="544"/>
      <c r="B27" s="544"/>
      <c r="C27" s="544"/>
      <c r="D27" s="708"/>
      <c r="E27" s="544"/>
      <c r="F27" s="544"/>
      <c r="G27" s="544"/>
      <c r="H27" s="544"/>
      <c r="I27" s="544"/>
      <c r="J27" s="544"/>
      <c r="K27" s="544"/>
      <c r="L27" s="544"/>
      <c r="M27" s="544"/>
      <c r="N27" s="544"/>
      <c r="O27" s="544"/>
      <c r="P27" s="544"/>
      <c r="Q27" s="544"/>
      <c r="R27" s="544"/>
      <c r="S27" s="544"/>
      <c r="T27" s="544"/>
      <c r="U27" s="544"/>
    </row>
    <row r="28" spans="1:21" ht="20.149999999999999" customHeight="1" x14ac:dyDescent="0.35">
      <c r="A28" s="544"/>
      <c r="B28" s="544"/>
      <c r="C28" s="544"/>
      <c r="D28" s="708"/>
      <c r="E28" s="544"/>
      <c r="F28" s="544"/>
      <c r="G28" s="544"/>
      <c r="H28" s="544"/>
      <c r="I28" s="544"/>
      <c r="J28" s="544"/>
      <c r="K28" s="544"/>
      <c r="L28" s="544"/>
      <c r="M28" s="544"/>
      <c r="N28" s="544"/>
      <c r="O28" s="544"/>
      <c r="P28" s="544"/>
      <c r="Q28" s="544"/>
      <c r="R28" s="544"/>
      <c r="S28" s="544"/>
      <c r="T28" s="544"/>
      <c r="U28" s="544"/>
    </row>
    <row r="29" spans="1:21" ht="20.149999999999999" customHeight="1" x14ac:dyDescent="0.35">
      <c r="A29" s="544"/>
      <c r="B29" s="544"/>
      <c r="C29" s="544"/>
      <c r="D29" s="708"/>
      <c r="E29" s="544"/>
      <c r="F29" s="544"/>
      <c r="G29" s="544"/>
      <c r="H29" s="544"/>
      <c r="I29" s="544"/>
      <c r="J29" s="544"/>
      <c r="K29" s="544"/>
      <c r="L29" s="544"/>
      <c r="M29" s="544"/>
      <c r="N29" s="544"/>
      <c r="O29" s="544"/>
      <c r="P29" s="544"/>
      <c r="Q29" s="544"/>
      <c r="R29" s="544"/>
      <c r="S29" s="544"/>
      <c r="T29" s="544"/>
      <c r="U29" s="544"/>
    </row>
    <row r="30" spans="1:21" ht="20.149999999999999" customHeight="1" x14ac:dyDescent="0.35">
      <c r="A30" s="544"/>
      <c r="B30" s="544"/>
      <c r="C30" s="544"/>
      <c r="D30" s="708"/>
      <c r="E30" s="544"/>
      <c r="F30" s="544"/>
      <c r="G30" s="544"/>
      <c r="H30" s="544"/>
      <c r="I30" s="544"/>
      <c r="J30" s="544"/>
      <c r="K30" s="544"/>
      <c r="L30" s="544"/>
      <c r="M30" s="544"/>
      <c r="N30" s="544"/>
      <c r="O30" s="544"/>
      <c r="P30" s="544"/>
      <c r="Q30" s="544"/>
      <c r="R30" s="544"/>
      <c r="S30" s="544"/>
      <c r="T30" s="544"/>
      <c r="U30" s="544"/>
    </row>
    <row r="31" spans="1:21" ht="20.149999999999999" customHeight="1" x14ac:dyDescent="0.35">
      <c r="A31" s="544"/>
      <c r="B31" s="544"/>
      <c r="C31" s="544"/>
      <c r="D31" s="708"/>
      <c r="E31" s="544"/>
      <c r="F31" s="544"/>
      <c r="G31" s="544"/>
      <c r="H31" s="544"/>
      <c r="I31" s="544"/>
      <c r="J31" s="544"/>
      <c r="K31" s="544"/>
      <c r="L31" s="544"/>
      <c r="M31" s="544"/>
      <c r="N31" s="544"/>
      <c r="O31" s="544"/>
      <c r="P31" s="544"/>
      <c r="Q31" s="544"/>
      <c r="R31" s="544"/>
      <c r="S31" s="544"/>
      <c r="T31" s="544"/>
      <c r="U31" s="544"/>
    </row>
    <row r="32" spans="1:21" ht="20.149999999999999" customHeight="1" x14ac:dyDescent="0.35">
      <c r="A32" s="544"/>
      <c r="B32" s="544"/>
      <c r="C32" s="544"/>
      <c r="D32" s="708"/>
      <c r="E32" s="544"/>
      <c r="F32" s="544"/>
      <c r="G32" s="544"/>
      <c r="H32" s="544"/>
      <c r="I32" s="544"/>
      <c r="J32" s="544"/>
      <c r="K32" s="544"/>
      <c r="L32" s="544"/>
      <c r="M32" s="544"/>
      <c r="N32" s="544"/>
      <c r="O32" s="544"/>
      <c r="P32" s="544"/>
      <c r="Q32" s="544"/>
      <c r="R32" s="544"/>
      <c r="S32" s="544"/>
      <c r="T32" s="544"/>
      <c r="U32" s="544"/>
    </row>
    <row r="33" spans="1:31" ht="20.149999999999999" customHeight="1" x14ac:dyDescent="0.35">
      <c r="A33" s="544"/>
      <c r="B33" s="544"/>
      <c r="C33" s="544"/>
      <c r="D33" s="708"/>
      <c r="E33" s="544"/>
      <c r="F33" s="544"/>
      <c r="G33" s="544"/>
      <c r="H33" s="544"/>
      <c r="I33" s="544"/>
      <c r="J33" s="544"/>
      <c r="K33" s="544"/>
      <c r="L33" s="549"/>
      <c r="M33" s="549"/>
      <c r="N33" s="549"/>
      <c r="O33" s="549"/>
      <c r="P33" s="544"/>
      <c r="Q33" s="544"/>
      <c r="R33" s="544"/>
      <c r="S33" s="544"/>
      <c r="T33" s="544"/>
      <c r="U33" s="544"/>
    </row>
    <row r="34" spans="1:31" ht="20.149999999999999" customHeight="1" x14ac:dyDescent="0.35">
      <c r="A34" s="544"/>
      <c r="B34" s="544"/>
      <c r="C34" s="544"/>
      <c r="D34" s="708"/>
      <c r="E34" s="544"/>
      <c r="F34" s="544"/>
      <c r="G34" s="544"/>
      <c r="H34" s="544"/>
      <c r="I34" s="544"/>
      <c r="J34" s="544"/>
      <c r="K34" s="544"/>
      <c r="L34" s="549"/>
      <c r="M34" s="549"/>
      <c r="N34" s="549"/>
      <c r="O34" s="549"/>
      <c r="P34" s="544"/>
      <c r="Q34" s="544"/>
      <c r="R34" s="544"/>
      <c r="S34" s="544"/>
      <c r="T34" s="544"/>
      <c r="U34" s="544"/>
    </row>
    <row r="35" spans="1:31" ht="20.149999999999999" customHeight="1" x14ac:dyDescent="0.35">
      <c r="A35" s="544"/>
      <c r="B35" s="544"/>
      <c r="C35" s="544"/>
      <c r="D35" s="708"/>
      <c r="E35" s="544"/>
      <c r="F35" s="544"/>
      <c r="G35" s="544"/>
      <c r="H35" s="544"/>
      <c r="I35" s="544"/>
      <c r="J35" s="544"/>
      <c r="K35" s="544"/>
      <c r="L35" s="549"/>
      <c r="M35" s="549"/>
      <c r="N35" s="549"/>
      <c r="O35" s="549"/>
      <c r="P35" s="544"/>
      <c r="Q35" s="544"/>
      <c r="R35" s="544"/>
      <c r="S35" s="544"/>
      <c r="T35" s="544"/>
      <c r="U35" s="544"/>
    </row>
    <row r="36" spans="1:31" ht="20.149999999999999" customHeight="1" x14ac:dyDescent="0.35">
      <c r="A36" s="544"/>
      <c r="B36" s="544"/>
      <c r="C36" s="544"/>
      <c r="D36" s="708"/>
      <c r="E36" s="544"/>
      <c r="F36" s="544"/>
      <c r="G36" s="544"/>
      <c r="H36" s="544"/>
      <c r="I36" s="544"/>
      <c r="J36" s="544"/>
      <c r="K36" s="544"/>
      <c r="L36" s="549"/>
      <c r="M36" s="549"/>
      <c r="N36" s="549"/>
      <c r="O36" s="549"/>
      <c r="P36" s="544"/>
      <c r="Q36" s="544"/>
      <c r="R36" s="544"/>
      <c r="S36" s="544"/>
      <c r="T36" s="544"/>
      <c r="U36" s="544"/>
    </row>
    <row r="37" spans="1:31" ht="20.149999999999999" customHeight="1" x14ac:dyDescent="0.35">
      <c r="A37" s="544"/>
      <c r="B37" s="544"/>
      <c r="C37" s="544"/>
      <c r="D37" s="708"/>
      <c r="E37" s="544"/>
      <c r="F37" s="544"/>
      <c r="G37" s="544"/>
      <c r="H37" s="544"/>
      <c r="I37" s="544"/>
      <c r="J37" s="544"/>
      <c r="K37" s="544"/>
      <c r="L37" s="544"/>
      <c r="M37" s="544"/>
      <c r="N37" s="544"/>
      <c r="O37" s="544"/>
      <c r="P37" s="544"/>
      <c r="Q37" s="544"/>
      <c r="R37" s="544"/>
      <c r="S37" s="544"/>
      <c r="T37" s="544"/>
      <c r="U37" s="544"/>
    </row>
    <row r="38" spans="1:31" ht="20.149999999999999" customHeight="1" x14ac:dyDescent="0.35">
      <c r="A38" s="544"/>
      <c r="B38" s="544"/>
      <c r="C38" s="544"/>
      <c r="D38" s="708"/>
      <c r="E38" s="544"/>
      <c r="F38" s="544"/>
      <c r="G38" s="544"/>
      <c r="H38" s="544"/>
      <c r="I38" s="544"/>
      <c r="J38" s="544"/>
      <c r="K38" s="544"/>
      <c r="L38" s="544"/>
      <c r="M38" s="544"/>
      <c r="N38" s="544"/>
      <c r="O38" s="544"/>
      <c r="P38" s="544"/>
      <c r="Q38" s="544"/>
      <c r="R38" s="544"/>
      <c r="S38" s="544"/>
      <c r="T38" s="544"/>
      <c r="U38" s="544"/>
    </row>
    <row r="39" spans="1:31" ht="20.149999999999999" customHeight="1" x14ac:dyDescent="0.35">
      <c r="A39" s="544"/>
      <c r="B39" s="544"/>
      <c r="C39" s="544"/>
      <c r="D39" s="708"/>
      <c r="E39" s="544"/>
      <c r="F39" s="544"/>
      <c r="G39" s="544"/>
      <c r="H39" s="544"/>
      <c r="I39" s="544"/>
      <c r="J39" s="544"/>
      <c r="K39" s="544"/>
      <c r="L39" s="544"/>
      <c r="M39" s="544"/>
      <c r="N39" s="544"/>
      <c r="O39" s="544"/>
      <c r="P39" s="544"/>
      <c r="Q39" s="544"/>
      <c r="R39" s="544"/>
      <c r="S39" s="544"/>
      <c r="T39" s="544"/>
      <c r="U39" s="544"/>
    </row>
    <row r="40" spans="1:31" ht="20.149999999999999" customHeight="1" x14ac:dyDescent="0.35">
      <c r="A40" s="544"/>
      <c r="B40" s="544"/>
      <c r="C40" s="544"/>
      <c r="D40" s="708"/>
      <c r="E40" s="544"/>
      <c r="F40" s="544"/>
      <c r="G40" s="544"/>
      <c r="H40" s="544"/>
      <c r="I40" s="544"/>
      <c r="J40" s="544"/>
      <c r="K40" s="544"/>
      <c r="L40" s="551"/>
      <c r="M40" s="549"/>
      <c r="N40" s="549"/>
      <c r="O40" s="551"/>
      <c r="P40" s="549"/>
      <c r="Q40" s="549"/>
      <c r="R40" s="551"/>
      <c r="S40" s="549"/>
      <c r="T40" s="549"/>
      <c r="U40" s="551"/>
      <c r="V40" s="549"/>
      <c r="W40" s="549"/>
      <c r="X40" s="551"/>
      <c r="Y40" s="549"/>
      <c r="Z40" s="549"/>
      <c r="AA40" s="551"/>
      <c r="AB40" s="549"/>
      <c r="AC40" s="549"/>
      <c r="AD40" s="549"/>
      <c r="AE40" s="549"/>
    </row>
    <row r="41" spans="1:31" ht="20.149999999999999" customHeight="1" x14ac:dyDescent="0.35">
      <c r="A41" s="544"/>
      <c r="B41" s="544"/>
      <c r="C41" s="544"/>
      <c r="D41" s="708"/>
      <c r="E41" s="544"/>
      <c r="F41" s="544"/>
      <c r="G41" s="544"/>
      <c r="H41" s="544"/>
      <c r="I41" s="544"/>
      <c r="J41" s="544"/>
      <c r="K41" s="544"/>
      <c r="L41" s="549"/>
      <c r="M41" s="704"/>
      <c r="N41" s="549"/>
      <c r="O41" s="549"/>
      <c r="P41" s="704"/>
      <c r="Q41" s="549"/>
      <c r="R41" s="549"/>
      <c r="S41" s="704"/>
      <c r="T41" s="549"/>
      <c r="U41" s="549"/>
      <c r="V41" s="704"/>
      <c r="W41" s="549"/>
      <c r="X41" s="549"/>
      <c r="Y41" s="704"/>
      <c r="Z41" s="549"/>
      <c r="AA41" s="549"/>
      <c r="AB41" s="704"/>
      <c r="AC41" s="549"/>
      <c r="AD41" s="549"/>
      <c r="AE41" s="549"/>
    </row>
    <row r="42" spans="1:31" ht="20.149999999999999" customHeight="1" x14ac:dyDescent="0.35">
      <c r="A42" s="544"/>
      <c r="B42" s="544"/>
      <c r="C42" s="544"/>
      <c r="D42" s="708"/>
      <c r="E42" s="544"/>
      <c r="F42" s="544"/>
      <c r="G42" s="544"/>
      <c r="H42" s="544"/>
      <c r="I42" s="544"/>
      <c r="J42" s="544"/>
      <c r="K42" s="544"/>
      <c r="L42" s="549"/>
      <c r="M42" s="549"/>
      <c r="N42" s="549"/>
      <c r="O42" s="549"/>
      <c r="P42" s="704"/>
      <c r="Q42" s="549"/>
      <c r="R42" s="549"/>
      <c r="S42" s="705"/>
      <c r="T42" s="549"/>
      <c r="U42" s="549"/>
      <c r="V42" s="705"/>
      <c r="W42" s="549"/>
      <c r="X42" s="549"/>
      <c r="Y42" s="705"/>
      <c r="Z42" s="549"/>
      <c r="AA42" s="549"/>
      <c r="AB42" s="705"/>
      <c r="AC42" s="549"/>
      <c r="AD42" s="549"/>
      <c r="AE42" s="549"/>
    </row>
    <row r="43" spans="1:31" ht="20.149999999999999" customHeight="1" x14ac:dyDescent="0.35">
      <c r="A43" s="544"/>
      <c r="B43" s="544"/>
      <c r="C43" s="544"/>
      <c r="D43" s="708"/>
      <c r="E43" s="544"/>
      <c r="F43" s="544"/>
      <c r="G43" s="544"/>
      <c r="H43" s="544"/>
      <c r="I43" s="544"/>
      <c r="J43" s="544"/>
      <c r="K43" s="544"/>
      <c r="L43" s="549"/>
      <c r="M43" s="549"/>
      <c r="N43" s="549"/>
      <c r="O43" s="549"/>
      <c r="P43" s="705"/>
      <c r="Q43" s="549"/>
      <c r="R43" s="549"/>
      <c r="S43" s="705"/>
      <c r="T43" s="549"/>
      <c r="U43" s="549"/>
      <c r="V43" s="705"/>
      <c r="W43" s="549"/>
      <c r="X43" s="549"/>
      <c r="Y43" s="705"/>
      <c r="Z43" s="549"/>
      <c r="AA43" s="549"/>
      <c r="AB43" s="705"/>
      <c r="AC43" s="549"/>
      <c r="AD43" s="549"/>
      <c r="AE43" s="549"/>
    </row>
    <row r="44" spans="1:31" ht="25" customHeight="1" x14ac:dyDescent="0.35">
      <c r="A44" s="544"/>
      <c r="B44" s="544"/>
      <c r="C44" s="544"/>
      <c r="D44" s="708"/>
      <c r="E44" s="544"/>
      <c r="F44" s="544"/>
      <c r="G44" s="544"/>
      <c r="H44" s="544"/>
      <c r="I44" s="544"/>
      <c r="J44" s="544"/>
      <c r="K44" s="544"/>
      <c r="L44" s="549"/>
      <c r="M44" s="549"/>
      <c r="N44" s="549"/>
      <c r="O44" s="549"/>
      <c r="P44" s="705"/>
      <c r="Q44" s="549"/>
      <c r="R44" s="549"/>
      <c r="S44" s="705"/>
      <c r="T44" s="549"/>
      <c r="U44" s="549"/>
      <c r="V44" s="705"/>
      <c r="W44" s="549"/>
      <c r="X44" s="549"/>
      <c r="Y44" s="705"/>
      <c r="Z44" s="549"/>
      <c r="AA44" s="549"/>
      <c r="AB44" s="704"/>
      <c r="AC44" s="549"/>
      <c r="AD44" s="549"/>
      <c r="AE44" s="549"/>
    </row>
    <row r="45" spans="1:31" ht="25" customHeight="1" x14ac:dyDescent="0.35">
      <c r="A45" s="544"/>
      <c r="B45" s="1535" t="s">
        <v>25</v>
      </c>
      <c r="C45" s="1535"/>
      <c r="D45" s="1535"/>
      <c r="E45" s="1535"/>
      <c r="F45" s="1535"/>
      <c r="G45" s="1535"/>
      <c r="H45" s="1535"/>
      <c r="I45" s="1535"/>
      <c r="J45" s="1535"/>
      <c r="K45" s="643"/>
      <c r="L45" s="549"/>
      <c r="M45" s="549"/>
      <c r="N45" s="549"/>
      <c r="O45" s="549"/>
      <c r="P45" s="705"/>
      <c r="Q45" s="549"/>
      <c r="R45" s="549"/>
      <c r="S45" s="705"/>
      <c r="T45" s="549"/>
      <c r="U45" s="549"/>
      <c r="V45" s="705"/>
      <c r="W45" s="549"/>
      <c r="X45" s="549"/>
      <c r="Y45" s="705"/>
      <c r="Z45" s="549"/>
      <c r="AA45" s="549"/>
      <c r="AB45" s="704"/>
      <c r="AC45" s="549"/>
      <c r="AD45" s="549"/>
      <c r="AE45" s="549"/>
    </row>
    <row r="46" spans="1:31" ht="4" customHeight="1" thickBot="1" x14ac:dyDescent="0.4">
      <c r="A46" s="544"/>
      <c r="B46" s="544"/>
      <c r="C46" s="544"/>
      <c r="D46" s="708"/>
      <c r="E46" s="544"/>
      <c r="F46" s="544"/>
      <c r="G46" s="544"/>
      <c r="H46" s="544"/>
      <c r="I46" s="544"/>
      <c r="J46" s="544"/>
      <c r="K46" s="544"/>
      <c r="L46" s="549"/>
      <c r="M46" s="549"/>
      <c r="N46" s="549"/>
      <c r="O46" s="549"/>
      <c r="P46" s="549"/>
      <c r="Q46" s="549"/>
      <c r="R46" s="549"/>
      <c r="S46" s="704"/>
      <c r="T46" s="549"/>
      <c r="U46" s="549"/>
      <c r="V46" s="704"/>
      <c r="W46" s="549"/>
      <c r="X46" s="549"/>
      <c r="Y46" s="549"/>
      <c r="Z46" s="549"/>
      <c r="AA46" s="549"/>
      <c r="AB46" s="549"/>
      <c r="AC46" s="549"/>
      <c r="AD46" s="549"/>
      <c r="AE46" s="549"/>
    </row>
    <row r="47" spans="1:31" ht="23.15" customHeight="1" thickTop="1" thickBot="1" x14ac:dyDescent="0.4">
      <c r="A47" s="544"/>
      <c r="B47" s="719"/>
      <c r="C47" s="1190" t="s">
        <v>13</v>
      </c>
      <c r="D47" s="1190" t="s">
        <v>14</v>
      </c>
      <c r="E47" s="1190" t="s">
        <v>16</v>
      </c>
      <c r="F47" s="1190" t="s">
        <v>18</v>
      </c>
      <c r="G47" s="1190" t="s">
        <v>19</v>
      </c>
      <c r="H47" s="1190" t="s">
        <v>20</v>
      </c>
      <c r="I47" s="1190" t="s">
        <v>21</v>
      </c>
      <c r="J47" s="1190" t="s">
        <v>22</v>
      </c>
      <c r="K47" s="544"/>
      <c r="L47" s="549"/>
      <c r="M47" s="549"/>
      <c r="N47" s="549"/>
      <c r="O47" s="549"/>
      <c r="P47" s="705"/>
      <c r="Q47" s="549"/>
      <c r="R47" s="549"/>
      <c r="S47" s="705"/>
      <c r="T47" s="549"/>
      <c r="U47" s="549"/>
      <c r="V47" s="705"/>
      <c r="W47" s="549"/>
      <c r="X47" s="549"/>
      <c r="Y47" s="705"/>
      <c r="Z47" s="549"/>
      <c r="AA47" s="549"/>
      <c r="AB47" s="704"/>
      <c r="AC47" s="549"/>
      <c r="AD47" s="549"/>
      <c r="AE47" s="549"/>
    </row>
    <row r="48" spans="1:31" ht="23.15" customHeight="1" thickTop="1" thickBot="1" x14ac:dyDescent="0.4">
      <c r="A48" s="544"/>
      <c r="B48" s="1186" t="s">
        <v>26</v>
      </c>
      <c r="C48" s="1181">
        <f>C6</f>
        <v>34911075</v>
      </c>
      <c r="D48" s="1181">
        <f>C7</f>
        <v>34911075</v>
      </c>
      <c r="E48" s="1181">
        <f>C8</f>
        <v>34891050</v>
      </c>
      <c r="F48" s="1181">
        <f>C9</f>
        <v>32696725</v>
      </c>
      <c r="G48" s="1181">
        <f>C10</f>
        <v>31837750</v>
      </c>
      <c r="H48" s="1181">
        <f>C11</f>
        <v>29136675</v>
      </c>
      <c r="I48" s="1181">
        <f>C12</f>
        <v>29136675</v>
      </c>
      <c r="J48" s="1181">
        <f>C13</f>
        <v>0</v>
      </c>
      <c r="K48" s="544"/>
      <c r="L48" s="549"/>
      <c r="M48" s="549"/>
      <c r="N48" s="549"/>
      <c r="O48" s="549"/>
      <c r="P48" s="705"/>
      <c r="Q48" s="549"/>
      <c r="R48" s="549"/>
      <c r="S48" s="705"/>
      <c r="T48" s="549"/>
      <c r="U48" s="549"/>
      <c r="V48" s="705"/>
      <c r="W48" s="549"/>
      <c r="X48" s="549"/>
      <c r="Y48" s="705"/>
      <c r="Z48" s="549"/>
      <c r="AA48" s="549"/>
      <c r="AB48" s="704"/>
      <c r="AC48" s="549"/>
      <c r="AD48" s="549"/>
      <c r="AE48" s="549"/>
    </row>
    <row r="49" spans="1:31" ht="23.15" customHeight="1" thickTop="1" thickBot="1" x14ac:dyDescent="0.4">
      <c r="A49" s="544"/>
      <c r="B49" s="1187" t="s">
        <v>27</v>
      </c>
      <c r="C49" s="1182">
        <f>Q7</f>
        <v>1</v>
      </c>
      <c r="D49" s="1182">
        <f>Q7</f>
        <v>1</v>
      </c>
      <c r="E49" s="1182">
        <f>Q8</f>
        <v>0.99942639978860581</v>
      </c>
      <c r="F49" s="1182">
        <f>Q9</f>
        <v>0.93657170396500256</v>
      </c>
      <c r="G49" s="1182">
        <f>Q10</f>
        <v>0.91196704770620785</v>
      </c>
      <c r="H49" s="1182">
        <f>Q11</f>
        <v>0.8345969008402061</v>
      </c>
      <c r="I49" s="1182">
        <f>Q12</f>
        <v>0.8345969008402061</v>
      </c>
      <c r="J49" s="1182">
        <f>Q13</f>
        <v>0</v>
      </c>
      <c r="K49" s="544"/>
      <c r="L49" s="549"/>
      <c r="M49" s="549"/>
      <c r="N49" s="549"/>
      <c r="O49" s="549"/>
      <c r="P49" s="705"/>
      <c r="Q49" s="549"/>
      <c r="R49" s="549"/>
      <c r="S49" s="705"/>
      <c r="T49" s="549"/>
      <c r="U49" s="549"/>
      <c r="V49" s="705"/>
      <c r="W49" s="549"/>
      <c r="X49" s="549"/>
      <c r="Y49" s="705"/>
      <c r="Z49" s="549"/>
      <c r="AA49" s="549"/>
      <c r="AB49" s="704"/>
      <c r="AC49" s="549"/>
      <c r="AD49" s="549"/>
      <c r="AE49" s="549"/>
    </row>
    <row r="50" spans="1:31" ht="23.15" customHeight="1" thickTop="1" thickBot="1" x14ac:dyDescent="0.4">
      <c r="A50" s="544"/>
      <c r="B50" s="1188" t="s">
        <v>28</v>
      </c>
      <c r="C50" s="1183"/>
      <c r="D50" s="1184">
        <f>S7</f>
        <v>0.99942639978860581</v>
      </c>
      <c r="E50" s="1184">
        <f>S8</f>
        <v>0.93657170396500256</v>
      </c>
      <c r="F50" s="1184">
        <f>S9</f>
        <v>0.91196704770620796</v>
      </c>
      <c r="G50" s="1184">
        <f>S10</f>
        <v>0.8345969008402061</v>
      </c>
      <c r="H50" s="1184">
        <f>S11</f>
        <v>0.26565026284638898</v>
      </c>
      <c r="I50" s="1184">
        <f>S12</f>
        <v>0.26565026284638898</v>
      </c>
      <c r="J50" s="1184">
        <f>S13</f>
        <v>0</v>
      </c>
      <c r="K50" s="544"/>
      <c r="L50" s="549"/>
      <c r="M50" s="549"/>
      <c r="N50" s="549"/>
      <c r="O50" s="549"/>
      <c r="P50" s="705"/>
      <c r="Q50" s="549"/>
      <c r="R50" s="549"/>
      <c r="S50" s="705"/>
      <c r="T50" s="549"/>
      <c r="U50" s="549"/>
      <c r="V50" s="705"/>
      <c r="W50" s="549"/>
      <c r="X50" s="549"/>
      <c r="Y50" s="705"/>
      <c r="Z50" s="549"/>
      <c r="AA50" s="549"/>
      <c r="AB50" s="704"/>
      <c r="AC50" s="549"/>
      <c r="AD50" s="549"/>
      <c r="AE50" s="549"/>
    </row>
    <row r="51" spans="1:31" ht="23.15" customHeight="1" thickTop="1" thickBot="1" x14ac:dyDescent="0.4">
      <c r="A51" s="544"/>
      <c r="B51" s="1189" t="s">
        <v>29</v>
      </c>
      <c r="C51" s="1183"/>
      <c r="D51" s="1185">
        <f>T7</f>
        <v>5.7360021139423519E-4</v>
      </c>
      <c r="E51" s="1185">
        <f>T8</f>
        <v>6.2854695823603257E-2</v>
      </c>
      <c r="F51" s="1185">
        <f>T9</f>
        <v>2.4604656258794665E-2</v>
      </c>
      <c r="G51" s="1185">
        <f>T10</f>
        <v>7.7370146866001688E-2</v>
      </c>
      <c r="H51" s="1185">
        <f>T11</f>
        <v>0.56894663799381706</v>
      </c>
      <c r="I51" s="1185">
        <f>T12</f>
        <v>0.56894663799381706</v>
      </c>
      <c r="J51" s="1185">
        <f>T13</f>
        <v>0</v>
      </c>
      <c r="K51" s="544"/>
      <c r="L51" s="549"/>
      <c r="M51" s="549"/>
      <c r="N51" s="549"/>
      <c r="O51" s="549"/>
      <c r="P51" s="705"/>
      <c r="Q51" s="549"/>
      <c r="R51" s="549"/>
      <c r="S51" s="705"/>
      <c r="T51" s="549"/>
      <c r="U51" s="549"/>
      <c r="V51" s="705"/>
      <c r="W51" s="549"/>
      <c r="X51" s="549"/>
      <c r="Y51" s="705"/>
      <c r="Z51" s="549"/>
      <c r="AA51" s="549"/>
      <c r="AB51" s="704"/>
      <c r="AC51" s="549"/>
      <c r="AD51" s="549"/>
      <c r="AE51" s="549"/>
    </row>
    <row r="52" spans="1:31" ht="25" customHeight="1" thickTop="1" x14ac:dyDescent="0.35">
      <c r="A52" s="544"/>
      <c r="B52" s="544"/>
      <c r="C52" s="544"/>
      <c r="D52" s="708"/>
      <c r="E52" s="544"/>
      <c r="F52" s="544"/>
      <c r="G52" s="544"/>
      <c r="H52" s="544"/>
      <c r="I52" s="544"/>
      <c r="J52" s="544"/>
      <c r="K52" s="544"/>
      <c r="L52" s="549"/>
      <c r="M52" s="549"/>
      <c r="N52" s="549"/>
      <c r="O52" s="549"/>
      <c r="P52" s="705"/>
      <c r="Q52" s="549"/>
      <c r="R52" s="549"/>
      <c r="S52" s="705"/>
      <c r="T52" s="549"/>
      <c r="U52" s="549"/>
      <c r="V52" s="705"/>
      <c r="W52" s="549"/>
      <c r="X52" s="549"/>
      <c r="Y52" s="705"/>
      <c r="Z52" s="549"/>
      <c r="AA52" s="549"/>
      <c r="AB52" s="704"/>
      <c r="AC52" s="549"/>
      <c r="AD52" s="549"/>
      <c r="AE52" s="549"/>
    </row>
    <row r="53" spans="1:31" ht="25" customHeight="1" x14ac:dyDescent="0.35">
      <c r="A53" s="544"/>
      <c r="B53" s="1535" t="s">
        <v>30</v>
      </c>
      <c r="C53" s="1535"/>
      <c r="D53" s="1535"/>
      <c r="E53" s="1535"/>
      <c r="F53" s="1535"/>
      <c r="G53" s="1535"/>
      <c r="H53" s="1535"/>
      <c r="I53" s="1535"/>
      <c r="J53" s="1535"/>
      <c r="K53" s="643"/>
      <c r="L53" s="549"/>
      <c r="M53" s="549"/>
      <c r="N53" s="549"/>
      <c r="O53" s="549"/>
      <c r="P53" s="705"/>
      <c r="Q53" s="549"/>
      <c r="R53" s="549"/>
      <c r="S53" s="705"/>
      <c r="T53" s="549"/>
      <c r="U53" s="549"/>
      <c r="V53" s="705"/>
      <c r="W53" s="549"/>
      <c r="X53" s="549"/>
      <c r="Y53" s="705"/>
      <c r="Z53" s="549"/>
      <c r="AA53" s="549"/>
      <c r="AB53" s="704"/>
      <c r="AC53" s="549"/>
      <c r="AD53" s="549"/>
      <c r="AE53" s="549"/>
    </row>
    <row r="54" spans="1:31" ht="4" customHeight="1" thickBot="1" x14ac:dyDescent="0.4">
      <c r="A54" s="544"/>
      <c r="B54" s="544"/>
      <c r="C54" s="544"/>
      <c r="D54" s="708"/>
      <c r="E54" s="544"/>
      <c r="F54" s="544"/>
      <c r="G54" s="544"/>
      <c r="H54" s="544"/>
      <c r="I54" s="544"/>
      <c r="J54" s="544"/>
      <c r="K54" s="544"/>
      <c r="L54" s="549"/>
      <c r="M54" s="549"/>
      <c r="N54" s="549"/>
      <c r="O54" s="549"/>
      <c r="P54" s="549"/>
      <c r="Q54" s="549"/>
      <c r="R54" s="549"/>
      <c r="S54" s="704"/>
      <c r="T54" s="549"/>
      <c r="U54" s="549"/>
      <c r="V54" s="704"/>
      <c r="W54" s="549"/>
      <c r="X54" s="549"/>
      <c r="Y54" s="549"/>
      <c r="Z54" s="549"/>
      <c r="AA54" s="549"/>
      <c r="AB54" s="549"/>
      <c r="AC54" s="549"/>
      <c r="AD54" s="549"/>
      <c r="AE54" s="549"/>
    </row>
    <row r="55" spans="1:31" ht="23.15" customHeight="1" thickTop="1" thickBot="1" x14ac:dyDescent="0.4">
      <c r="A55" s="544"/>
      <c r="B55" s="1191"/>
      <c r="C55" s="1190" t="s">
        <v>31</v>
      </c>
      <c r="D55" s="1190" t="s">
        <v>14</v>
      </c>
      <c r="E55" s="1190" t="s">
        <v>16</v>
      </c>
      <c r="F55" s="1190" t="s">
        <v>18</v>
      </c>
      <c r="G55" s="1190" t="s">
        <v>19</v>
      </c>
      <c r="H55" s="1190" t="s">
        <v>20</v>
      </c>
      <c r="I55" s="1190" t="s">
        <v>21</v>
      </c>
      <c r="J55" s="1190" t="s">
        <v>22</v>
      </c>
      <c r="K55" s="544"/>
      <c r="L55" s="549"/>
      <c r="M55" s="549"/>
      <c r="N55" s="549"/>
      <c r="O55" s="549"/>
      <c r="P55" s="549"/>
      <c r="Q55" s="549"/>
      <c r="R55" s="549"/>
      <c r="S55" s="705"/>
      <c r="T55" s="549"/>
      <c r="U55" s="549"/>
      <c r="V55" s="705"/>
      <c r="W55" s="549"/>
      <c r="X55" s="549"/>
      <c r="Y55" s="549"/>
      <c r="Z55" s="549"/>
      <c r="AA55" s="549"/>
      <c r="AB55" s="549"/>
      <c r="AC55" s="549"/>
      <c r="AD55" s="549"/>
      <c r="AE55" s="549"/>
    </row>
    <row r="56" spans="1:31" ht="23.15" customHeight="1" thickTop="1" thickBot="1" x14ac:dyDescent="0.4">
      <c r="A56" s="544"/>
      <c r="B56" s="1186" t="s">
        <v>32</v>
      </c>
      <c r="C56" s="1192">
        <f>'Scorecard Overview'!D10</f>
        <v>0.5</v>
      </c>
      <c r="D56" s="1193"/>
      <c r="E56" s="1193"/>
      <c r="F56" s="1193"/>
      <c r="G56" s="1193"/>
      <c r="H56" s="1193"/>
      <c r="I56" s="1193"/>
      <c r="J56" s="1193"/>
      <c r="K56" s="544"/>
      <c r="L56" s="549"/>
      <c r="M56" s="549"/>
      <c r="N56" s="549"/>
      <c r="O56" s="549"/>
      <c r="P56" s="549"/>
      <c r="Q56" s="549"/>
      <c r="R56" s="549"/>
      <c r="S56" s="705"/>
      <c r="T56" s="549"/>
      <c r="U56" s="549"/>
      <c r="V56" s="705"/>
      <c r="W56" s="549"/>
      <c r="X56" s="549"/>
      <c r="Y56" s="549"/>
      <c r="Z56" s="549"/>
      <c r="AA56" s="549"/>
      <c r="AB56" s="549"/>
      <c r="AC56" s="549"/>
      <c r="AD56" s="549"/>
      <c r="AE56" s="549"/>
    </row>
    <row r="57" spans="1:31" ht="23.15" customHeight="1" thickTop="1" thickBot="1" x14ac:dyDescent="0.4">
      <c r="A57" s="544"/>
      <c r="B57" s="1186" t="s">
        <v>33</v>
      </c>
      <c r="C57" s="1192">
        <f>'Scorecard Overview'!D14</f>
        <v>0</v>
      </c>
      <c r="D57" s="1530" t="str">
        <f>'Scorecard Overview'!F14</f>
        <v>NA</v>
      </c>
      <c r="E57" s="1531"/>
      <c r="F57" s="1458" t="str">
        <f>'Scorecard Overview'!J14</f>
        <v>NA</v>
      </c>
      <c r="G57" s="1458" t="str">
        <f>'Scorecard Overview'!L14</f>
        <v>NA</v>
      </c>
      <c r="H57" s="1458" t="str">
        <f>'Scorecard Overview'!N14</f>
        <v>NA</v>
      </c>
      <c r="I57" s="1458" t="str">
        <f>'Scorecard Overview'!P14</f>
        <v>NA</v>
      </c>
      <c r="J57" s="1458" t="str">
        <f>'Scorecard Overview'!R14</f>
        <v>NA</v>
      </c>
      <c r="K57" s="544"/>
      <c r="L57" s="549"/>
      <c r="M57" s="549"/>
      <c r="N57" s="549"/>
      <c r="O57" s="549"/>
      <c r="P57" s="549"/>
      <c r="Q57" s="549"/>
      <c r="R57" s="549"/>
      <c r="S57" s="705"/>
      <c r="T57" s="549"/>
      <c r="U57" s="549"/>
      <c r="V57" s="705"/>
      <c r="W57" s="549"/>
      <c r="X57" s="549"/>
      <c r="Y57" s="549"/>
      <c r="Z57" s="549"/>
      <c r="AA57" s="549"/>
      <c r="AB57" s="549"/>
      <c r="AC57" s="549"/>
      <c r="AD57" s="549"/>
      <c r="AE57" s="549"/>
    </row>
    <row r="58" spans="1:31" ht="23.15" customHeight="1" thickTop="1" thickBot="1" x14ac:dyDescent="0.4">
      <c r="A58" s="544"/>
      <c r="B58" s="1186" t="s">
        <v>34</v>
      </c>
      <c r="C58" s="1193"/>
      <c r="D58" s="1528">
        <f>'Scorecard Overview'!F20</f>
        <v>0.28888888888888892</v>
      </c>
      <c r="E58" s="1529"/>
      <c r="F58" s="1459">
        <f>'Scorecard Overview'!J20</f>
        <v>0</v>
      </c>
      <c r="G58" s="1459">
        <f>'Scorecard Overview'!L20</f>
        <v>0</v>
      </c>
      <c r="H58" s="1459">
        <f>'Scorecard Overview'!N20</f>
        <v>0.1</v>
      </c>
      <c r="I58" s="1459">
        <f>'Scorecard Overview'!P20</f>
        <v>0.2</v>
      </c>
      <c r="J58" s="1459">
        <f>'Scorecard Overview'!R20</f>
        <v>0.2</v>
      </c>
      <c r="K58" s="544"/>
      <c r="L58" s="549"/>
      <c r="M58" s="549"/>
      <c r="N58" s="549"/>
      <c r="O58" s="549"/>
      <c r="P58" s="549"/>
      <c r="Q58" s="549"/>
      <c r="R58" s="549"/>
      <c r="S58" s="549"/>
      <c r="T58" s="549"/>
      <c r="U58" s="549"/>
      <c r="V58" s="549"/>
      <c r="W58" s="549"/>
      <c r="X58" s="549"/>
      <c r="Y58" s="549"/>
      <c r="Z58" s="549"/>
      <c r="AA58" s="549"/>
      <c r="AB58" s="549"/>
      <c r="AC58" s="549"/>
      <c r="AD58" s="549"/>
      <c r="AE58" s="549"/>
    </row>
    <row r="59" spans="1:31" ht="23.15" customHeight="1" thickTop="1" thickBot="1" x14ac:dyDescent="0.4">
      <c r="A59" s="544"/>
      <c r="B59" s="1186" t="s">
        <v>35</v>
      </c>
      <c r="C59" s="1193"/>
      <c r="D59" s="1528">
        <f>'Scorecard Overview'!F28</f>
        <v>0.33333333333333331</v>
      </c>
      <c r="E59" s="1529"/>
      <c r="F59" s="1459">
        <f>'Scorecard Overview'!J28</f>
        <v>0</v>
      </c>
      <c r="G59" s="1459">
        <f>'Scorecard Overview'!L28</f>
        <v>0</v>
      </c>
      <c r="H59" s="1459">
        <f>'Scorecard Overview'!N28</f>
        <v>0.66666666666666663</v>
      </c>
      <c r="I59" s="1459">
        <f>'Scorecard Overview'!P28</f>
        <v>0.66666666666666663</v>
      </c>
      <c r="J59" s="1459">
        <f>'Scorecard Overview'!R28</f>
        <v>0.66666666666666663</v>
      </c>
      <c r="K59" s="544"/>
      <c r="L59" s="549"/>
      <c r="M59" s="704"/>
      <c r="N59" s="549"/>
      <c r="O59" s="549"/>
      <c r="P59" s="704"/>
      <c r="Q59" s="549"/>
      <c r="R59" s="549"/>
      <c r="S59" s="704"/>
      <c r="T59" s="549"/>
      <c r="U59" s="549"/>
      <c r="V59" s="704"/>
      <c r="W59" s="549"/>
      <c r="X59" s="549"/>
      <c r="Y59" s="704"/>
      <c r="Z59" s="549"/>
      <c r="AA59" s="549"/>
      <c r="AB59" s="704"/>
      <c r="AC59" s="549"/>
      <c r="AD59" s="549"/>
      <c r="AE59" s="704"/>
    </row>
    <row r="60" spans="1:31" ht="23.15" customHeight="1" thickTop="1" thickBot="1" x14ac:dyDescent="0.4">
      <c r="A60" s="544"/>
      <c r="B60" s="1186" t="s">
        <v>36</v>
      </c>
      <c r="C60" s="1193"/>
      <c r="D60" s="1530" t="s">
        <v>37</v>
      </c>
      <c r="E60" s="1531"/>
      <c r="F60" s="1459">
        <f>'Scorecard Overview'!J32</f>
        <v>0</v>
      </c>
      <c r="G60" s="1459">
        <f>'Scorecard Overview'!L32</f>
        <v>0.2857142857142857</v>
      </c>
      <c r="H60" s="1194" t="s">
        <v>37</v>
      </c>
      <c r="I60" s="1194" t="s">
        <v>37</v>
      </c>
      <c r="J60" s="1194" t="s">
        <v>37</v>
      </c>
      <c r="K60" s="544"/>
      <c r="L60" s="549"/>
      <c r="M60" s="549"/>
      <c r="N60" s="549"/>
      <c r="O60" s="549"/>
      <c r="P60" s="704"/>
      <c r="Q60" s="549"/>
      <c r="R60" s="549"/>
      <c r="S60" s="704"/>
      <c r="T60" s="549"/>
      <c r="U60" s="549"/>
      <c r="V60" s="704"/>
      <c r="W60" s="549"/>
      <c r="X60" s="549"/>
      <c r="Y60" s="704"/>
      <c r="Z60" s="549"/>
      <c r="AA60" s="549"/>
      <c r="AB60" s="704"/>
      <c r="AC60" s="549"/>
      <c r="AD60" s="549"/>
      <c r="AE60" s="704"/>
    </row>
    <row r="61" spans="1:31" ht="6" customHeight="1" thickTop="1" x14ac:dyDescent="0.35">
      <c r="A61" s="544"/>
      <c r="B61" s="544"/>
      <c r="C61" s="544"/>
      <c r="D61" s="708"/>
      <c r="E61" s="544"/>
      <c r="F61" s="544"/>
      <c r="G61" s="544"/>
      <c r="H61" s="544"/>
      <c r="I61" s="544"/>
      <c r="J61" s="544"/>
      <c r="K61" s="544"/>
      <c r="L61" s="549"/>
      <c r="M61" s="549"/>
      <c r="N61" s="549"/>
      <c r="O61" s="549"/>
      <c r="P61" s="549"/>
      <c r="Q61" s="549"/>
      <c r="R61" s="549"/>
      <c r="S61" s="704"/>
      <c r="T61" s="549"/>
      <c r="U61" s="549"/>
      <c r="V61" s="704"/>
      <c r="W61" s="549"/>
      <c r="X61" s="549"/>
      <c r="Y61" s="549"/>
      <c r="Z61" s="549"/>
      <c r="AA61" s="549"/>
      <c r="AB61" s="549"/>
      <c r="AC61" s="549"/>
      <c r="AD61" s="549"/>
      <c r="AE61" s="549"/>
    </row>
    <row r="62" spans="1:31" x14ac:dyDescent="0.35">
      <c r="A62" s="544"/>
      <c r="B62" s="645" t="s">
        <v>38</v>
      </c>
      <c r="C62" s="645"/>
      <c r="D62" s="708"/>
      <c r="E62" s="544"/>
      <c r="F62" s="544"/>
      <c r="G62" s="544"/>
      <c r="H62" s="544"/>
      <c r="I62" s="544"/>
      <c r="J62" s="544"/>
      <c r="K62" s="544"/>
      <c r="L62" s="549"/>
      <c r="M62" s="549"/>
      <c r="N62" s="549"/>
      <c r="O62" s="549"/>
      <c r="P62" s="549"/>
      <c r="Q62" s="549"/>
      <c r="R62" s="549"/>
      <c r="S62" s="549"/>
      <c r="T62" s="549"/>
      <c r="U62" s="549"/>
      <c r="V62" s="549"/>
      <c r="W62" s="549"/>
      <c r="X62" s="549"/>
      <c r="Y62" s="549"/>
      <c r="Z62" s="549"/>
      <c r="AA62" s="549"/>
      <c r="AB62" s="549"/>
      <c r="AC62" s="549"/>
      <c r="AD62" s="549"/>
      <c r="AE62" s="549"/>
    </row>
    <row r="63" spans="1:31" x14ac:dyDescent="0.35">
      <c r="A63" s="544"/>
      <c r="B63" s="544"/>
      <c r="C63" s="544"/>
      <c r="D63" s="708"/>
      <c r="E63" s="544"/>
      <c r="F63" s="544"/>
      <c r="G63" s="544"/>
      <c r="H63" s="544"/>
      <c r="I63" s="544"/>
      <c r="J63" s="544"/>
      <c r="K63" s="544"/>
      <c r="L63" s="549"/>
      <c r="M63" s="549"/>
      <c r="N63" s="549"/>
      <c r="O63" s="549"/>
      <c r="P63" s="549"/>
      <c r="Q63" s="549"/>
      <c r="R63" s="549"/>
      <c r="S63" s="544"/>
      <c r="T63" s="544"/>
      <c r="U63" s="544"/>
    </row>
    <row r="64" spans="1:31" x14ac:dyDescent="0.35">
      <c r="A64" s="544"/>
      <c r="B64" s="544"/>
      <c r="C64" s="544"/>
      <c r="D64" s="708"/>
      <c r="E64" s="544"/>
      <c r="F64" s="544"/>
      <c r="G64" s="544"/>
      <c r="H64" s="544"/>
      <c r="I64" s="544"/>
      <c r="J64" s="544"/>
      <c r="K64" s="544"/>
      <c r="L64" s="549"/>
      <c r="M64" s="549"/>
      <c r="N64" s="549"/>
      <c r="O64" s="549"/>
      <c r="P64" s="549"/>
      <c r="Q64" s="549"/>
      <c r="R64" s="549"/>
      <c r="S64" s="544"/>
      <c r="T64" s="544"/>
      <c r="U64" s="544"/>
    </row>
    <row r="65" spans="1:21" x14ac:dyDescent="0.35">
      <c r="A65" s="544"/>
      <c r="B65" s="544"/>
      <c r="C65" s="544"/>
      <c r="D65" s="708"/>
      <c r="E65" s="544"/>
      <c r="F65" s="544"/>
      <c r="G65" s="544"/>
      <c r="H65" s="544"/>
      <c r="I65" s="544"/>
      <c r="J65" s="544"/>
      <c r="K65" s="544"/>
      <c r="L65" s="549"/>
      <c r="M65" s="549"/>
      <c r="N65" s="549"/>
      <c r="O65" s="549"/>
      <c r="P65" s="549"/>
      <c r="Q65" s="549"/>
      <c r="R65" s="549"/>
      <c r="S65" s="544"/>
      <c r="T65" s="544"/>
      <c r="U65" s="544"/>
    </row>
    <row r="66" spans="1:21" x14ac:dyDescent="0.35">
      <c r="A66" s="544"/>
      <c r="B66" s="544"/>
      <c r="C66" s="544"/>
      <c r="D66" s="708"/>
      <c r="E66" s="544"/>
      <c r="F66" s="544"/>
      <c r="G66" s="544"/>
      <c r="H66" s="544"/>
      <c r="I66" s="544"/>
      <c r="J66" s="544"/>
      <c r="K66" s="544"/>
      <c r="L66" s="549"/>
      <c r="M66" s="549"/>
      <c r="N66" s="549"/>
      <c r="O66" s="549"/>
      <c r="P66" s="549"/>
      <c r="Q66" s="549"/>
      <c r="R66" s="549"/>
      <c r="S66" s="544"/>
      <c r="T66" s="544"/>
      <c r="U66" s="544"/>
    </row>
    <row r="67" spans="1:21" x14ac:dyDescent="0.35">
      <c r="A67" s="544"/>
      <c r="B67" s="544"/>
      <c r="C67" s="544"/>
      <c r="D67" s="708"/>
      <c r="E67" s="544"/>
      <c r="F67" s="544"/>
      <c r="G67" s="544"/>
      <c r="H67" s="544"/>
      <c r="I67" s="544"/>
      <c r="J67" s="544"/>
      <c r="K67" s="544"/>
      <c r="L67" s="544"/>
      <c r="M67" s="544"/>
      <c r="N67" s="544"/>
      <c r="O67" s="544"/>
      <c r="P67" s="544"/>
      <c r="Q67" s="544"/>
      <c r="R67" s="544"/>
      <c r="S67" s="544"/>
      <c r="T67" s="544"/>
      <c r="U67" s="544"/>
    </row>
    <row r="68" spans="1:21" x14ac:dyDescent="0.35">
      <c r="A68" s="544"/>
      <c r="B68" s="544"/>
      <c r="C68" s="544"/>
      <c r="D68" s="708"/>
      <c r="E68" s="544"/>
      <c r="F68" s="544"/>
      <c r="G68" s="544"/>
      <c r="H68" s="544"/>
      <c r="I68" s="544"/>
      <c r="J68" s="544"/>
      <c r="K68" s="544"/>
      <c r="L68" s="544"/>
      <c r="M68" s="544"/>
      <c r="N68" s="544"/>
      <c r="O68" s="544"/>
      <c r="P68" s="544"/>
      <c r="Q68" s="544"/>
      <c r="R68" s="544"/>
      <c r="S68" s="544"/>
      <c r="T68" s="544"/>
      <c r="U68" s="544"/>
    </row>
    <row r="69" spans="1:21" x14ac:dyDescent="0.35">
      <c r="A69" s="544"/>
      <c r="B69" s="544"/>
      <c r="C69" s="544"/>
      <c r="D69" s="708"/>
      <c r="E69" s="544"/>
      <c r="F69" s="544"/>
      <c r="G69" s="544"/>
      <c r="H69" s="544"/>
      <c r="I69" s="544"/>
      <c r="J69" s="544"/>
      <c r="K69" s="544"/>
      <c r="L69" s="544"/>
      <c r="M69" s="544"/>
      <c r="N69" s="544"/>
      <c r="O69" s="544"/>
      <c r="P69" s="544"/>
      <c r="Q69" s="544"/>
      <c r="R69" s="544"/>
      <c r="S69" s="544"/>
      <c r="T69" s="544"/>
      <c r="U69" s="544"/>
    </row>
    <row r="70" spans="1:21" x14ac:dyDescent="0.35">
      <c r="A70" s="544"/>
      <c r="B70" s="544"/>
      <c r="C70" s="544"/>
      <c r="D70" s="708"/>
      <c r="E70" s="544"/>
      <c r="F70" s="544"/>
      <c r="G70" s="544"/>
      <c r="H70" s="544"/>
      <c r="I70" s="544"/>
      <c r="J70" s="544"/>
      <c r="K70" s="544"/>
      <c r="L70" s="544"/>
      <c r="M70" s="544"/>
      <c r="N70" s="544"/>
      <c r="O70" s="544"/>
      <c r="P70" s="544"/>
      <c r="Q70" s="544"/>
      <c r="R70" s="544"/>
      <c r="S70" s="544"/>
      <c r="T70" s="544"/>
      <c r="U70" s="544"/>
    </row>
    <row r="71" spans="1:21" x14ac:dyDescent="0.35">
      <c r="A71" s="544"/>
      <c r="B71" s="544"/>
      <c r="C71" s="544"/>
      <c r="D71" s="708"/>
      <c r="E71" s="544"/>
      <c r="F71" s="544"/>
      <c r="G71" s="544"/>
      <c r="H71" s="544"/>
      <c r="I71" s="544"/>
      <c r="J71" s="544"/>
      <c r="K71" s="544"/>
      <c r="L71" s="544"/>
      <c r="M71" s="544"/>
      <c r="N71" s="544"/>
      <c r="O71" s="544"/>
      <c r="P71" s="544"/>
      <c r="Q71" s="544"/>
      <c r="R71" s="544"/>
      <c r="S71" s="544"/>
      <c r="T71" s="544"/>
      <c r="U71" s="544"/>
    </row>
    <row r="72" spans="1:21" x14ac:dyDescent="0.35">
      <c r="A72" s="544"/>
      <c r="B72" s="544"/>
      <c r="C72" s="544"/>
      <c r="D72" s="708"/>
      <c r="E72" s="544"/>
      <c r="F72" s="544"/>
      <c r="G72" s="544"/>
      <c r="H72" s="544"/>
      <c r="I72" s="549"/>
      <c r="J72" s="544"/>
      <c r="K72" s="544"/>
      <c r="L72" s="544"/>
      <c r="M72" s="544"/>
      <c r="N72" s="544"/>
      <c r="O72" s="544"/>
      <c r="P72" s="544"/>
      <c r="Q72" s="544"/>
      <c r="R72" s="544"/>
      <c r="S72" s="544"/>
      <c r="T72" s="544"/>
      <c r="U72" s="544"/>
    </row>
    <row r="73" spans="1:21" x14ac:dyDescent="0.35">
      <c r="A73" s="544"/>
      <c r="B73" s="544"/>
      <c r="C73" s="544"/>
      <c r="D73" s="708"/>
      <c r="E73" s="544"/>
      <c r="F73" s="544"/>
      <c r="G73" s="544"/>
      <c r="H73" s="544"/>
      <c r="I73" s="544"/>
      <c r="J73" s="544"/>
      <c r="K73" s="544"/>
      <c r="L73" s="544"/>
      <c r="M73" s="544"/>
      <c r="N73" s="544"/>
      <c r="O73" s="544"/>
      <c r="P73" s="544"/>
      <c r="Q73" s="544"/>
      <c r="R73" s="544"/>
      <c r="S73" s="544"/>
      <c r="T73" s="544"/>
      <c r="U73" s="544"/>
    </row>
    <row r="74" spans="1:21" x14ac:dyDescent="0.35">
      <c r="A74" s="544"/>
      <c r="B74" s="544"/>
      <c r="C74" s="544"/>
      <c r="D74" s="708"/>
      <c r="E74" s="544"/>
      <c r="F74" s="544"/>
      <c r="G74" s="544"/>
      <c r="H74" s="544"/>
      <c r="I74" s="544"/>
      <c r="J74" s="544"/>
      <c r="K74" s="544"/>
      <c r="L74" s="544"/>
      <c r="M74" s="544"/>
      <c r="N74" s="544"/>
      <c r="O74" s="544"/>
      <c r="P74" s="544"/>
      <c r="Q74" s="544"/>
      <c r="R74" s="544"/>
      <c r="S74" s="544"/>
      <c r="T74" s="544"/>
      <c r="U74" s="544"/>
    </row>
    <row r="75" spans="1:21" x14ac:dyDescent="0.35">
      <c r="A75" s="544"/>
      <c r="B75" s="544"/>
      <c r="C75" s="544"/>
      <c r="D75" s="708"/>
      <c r="E75" s="544"/>
      <c r="F75" s="544"/>
      <c r="G75" s="544"/>
      <c r="H75" s="544"/>
      <c r="I75" s="544"/>
      <c r="J75" s="544"/>
      <c r="K75" s="544"/>
      <c r="L75" s="544"/>
      <c r="M75" s="544"/>
      <c r="N75" s="544"/>
      <c r="O75" s="544"/>
      <c r="P75" s="544"/>
      <c r="Q75" s="544"/>
      <c r="R75" s="544"/>
      <c r="S75" s="544"/>
      <c r="T75" s="544"/>
      <c r="U75" s="544"/>
    </row>
    <row r="76" spans="1:21" x14ac:dyDescent="0.35">
      <c r="A76" s="544"/>
      <c r="B76" s="544"/>
      <c r="C76" s="544"/>
      <c r="D76" s="708"/>
      <c r="E76" s="544"/>
      <c r="F76" s="544"/>
      <c r="G76" s="544"/>
      <c r="H76" s="544"/>
      <c r="I76" s="544"/>
      <c r="J76" s="544"/>
      <c r="K76" s="544"/>
      <c r="L76" s="544"/>
      <c r="M76" s="544"/>
      <c r="N76" s="544"/>
      <c r="O76" s="544"/>
      <c r="P76" s="544"/>
      <c r="Q76" s="544"/>
      <c r="R76" s="544"/>
      <c r="S76" s="544"/>
      <c r="T76" s="544"/>
      <c r="U76" s="544"/>
    </row>
    <row r="77" spans="1:21" x14ac:dyDescent="0.35">
      <c r="A77" s="544"/>
      <c r="B77" s="544"/>
      <c r="C77" s="544"/>
      <c r="D77" s="708"/>
      <c r="E77" s="544"/>
      <c r="F77" s="544"/>
      <c r="G77" s="544"/>
      <c r="H77" s="544"/>
      <c r="I77" s="544"/>
      <c r="J77" s="544"/>
      <c r="K77" s="544"/>
      <c r="L77" s="544"/>
      <c r="M77" s="544"/>
      <c r="N77" s="544"/>
      <c r="O77" s="544"/>
      <c r="P77" s="544"/>
      <c r="Q77" s="544"/>
      <c r="R77" s="544"/>
      <c r="S77" s="544"/>
      <c r="T77" s="544"/>
      <c r="U77" s="544"/>
    </row>
    <row r="78" spans="1:21" x14ac:dyDescent="0.35">
      <c r="A78" s="544"/>
      <c r="B78" s="544"/>
      <c r="C78" s="544"/>
      <c r="D78" s="708"/>
      <c r="E78" s="544"/>
      <c r="F78" s="544"/>
      <c r="G78" s="544"/>
      <c r="H78" s="544"/>
      <c r="I78" s="544"/>
      <c r="J78" s="544"/>
      <c r="K78" s="544"/>
      <c r="L78" s="544"/>
      <c r="M78" s="544"/>
      <c r="N78" s="544"/>
      <c r="O78" s="544"/>
      <c r="P78" s="544"/>
      <c r="Q78" s="544"/>
      <c r="R78" s="544"/>
      <c r="S78" s="544"/>
      <c r="T78" s="544"/>
      <c r="U78" s="544"/>
    </row>
    <row r="79" spans="1:21" x14ac:dyDescent="0.35">
      <c r="A79" s="544"/>
      <c r="B79" s="544"/>
      <c r="C79" s="544"/>
      <c r="D79" s="708"/>
      <c r="E79" s="544"/>
      <c r="F79" s="544"/>
      <c r="G79" s="544"/>
      <c r="H79" s="544"/>
      <c r="I79" s="544"/>
      <c r="J79" s="544"/>
      <c r="K79" s="544"/>
      <c r="L79" s="544"/>
      <c r="M79" s="544"/>
      <c r="N79" s="544"/>
      <c r="O79" s="544"/>
      <c r="P79" s="544"/>
      <c r="Q79" s="544"/>
      <c r="R79" s="544"/>
      <c r="S79" s="544"/>
      <c r="T79" s="544"/>
      <c r="U79" s="544"/>
    </row>
    <row r="80" spans="1:21" x14ac:dyDescent="0.35">
      <c r="A80" s="544"/>
      <c r="B80" s="544"/>
      <c r="C80" s="544"/>
      <c r="D80" s="708"/>
      <c r="E80" s="544"/>
      <c r="F80" s="544"/>
      <c r="G80" s="544"/>
      <c r="H80" s="544"/>
      <c r="I80" s="544"/>
      <c r="J80" s="544"/>
      <c r="K80" s="544"/>
      <c r="L80" s="544"/>
      <c r="M80" s="544"/>
      <c r="N80" s="544"/>
      <c r="O80" s="544"/>
      <c r="P80" s="544"/>
      <c r="Q80" s="544"/>
      <c r="R80" s="544"/>
      <c r="S80" s="544"/>
      <c r="T80" s="544"/>
      <c r="U80" s="544"/>
    </row>
    <row r="81" spans="1:21" x14ac:dyDescent="0.35">
      <c r="A81" s="544"/>
      <c r="B81" s="544"/>
      <c r="C81" s="544"/>
      <c r="D81" s="708"/>
      <c r="E81" s="544"/>
      <c r="F81" s="544"/>
      <c r="G81" s="544"/>
      <c r="H81" s="544"/>
      <c r="I81" s="544"/>
      <c r="J81" s="544"/>
      <c r="K81" s="544"/>
      <c r="L81" s="544"/>
      <c r="M81" s="544"/>
      <c r="N81" s="544"/>
      <c r="O81" s="544"/>
      <c r="P81" s="544"/>
      <c r="Q81" s="544"/>
      <c r="R81" s="544"/>
      <c r="S81" s="544"/>
      <c r="T81" s="544"/>
      <c r="U81" s="544"/>
    </row>
    <row r="82" spans="1:21" x14ac:dyDescent="0.35">
      <c r="A82" s="544"/>
      <c r="B82" s="544"/>
      <c r="C82" s="544"/>
      <c r="D82" s="708"/>
      <c r="E82" s="544"/>
      <c r="F82" s="544"/>
      <c r="G82" s="544"/>
      <c r="H82" s="544"/>
      <c r="I82" s="544"/>
      <c r="J82" s="544"/>
      <c r="K82" s="544"/>
      <c r="L82" s="544"/>
      <c r="M82" s="544"/>
      <c r="N82" s="544"/>
      <c r="O82" s="544"/>
      <c r="P82" s="544"/>
      <c r="Q82" s="544"/>
      <c r="R82" s="544"/>
      <c r="S82" s="544"/>
      <c r="T82" s="544"/>
      <c r="U82" s="544"/>
    </row>
    <row r="83" spans="1:21" x14ac:dyDescent="0.35">
      <c r="A83" s="544"/>
      <c r="B83" s="544"/>
      <c r="C83" s="544"/>
      <c r="D83" s="708"/>
      <c r="E83" s="544"/>
      <c r="F83" s="544"/>
      <c r="G83" s="544"/>
      <c r="H83" s="544"/>
      <c r="I83" s="544"/>
      <c r="J83" s="544"/>
      <c r="K83" s="544"/>
      <c r="L83" s="544"/>
      <c r="M83" s="544"/>
      <c r="N83" s="544"/>
      <c r="O83" s="544"/>
      <c r="P83" s="544"/>
      <c r="Q83" s="544"/>
      <c r="R83" s="544"/>
      <c r="S83" s="544"/>
      <c r="T83" s="544"/>
      <c r="U83" s="544"/>
    </row>
    <row r="84" spans="1:21" x14ac:dyDescent="0.35">
      <c r="A84" s="544"/>
      <c r="B84" s="544"/>
      <c r="C84" s="544"/>
      <c r="D84" s="708"/>
      <c r="E84" s="544"/>
      <c r="F84" s="544"/>
      <c r="G84" s="544"/>
      <c r="H84" s="544"/>
      <c r="I84" s="544"/>
      <c r="J84" s="544"/>
      <c r="K84" s="544"/>
      <c r="L84" s="544"/>
      <c r="M84" s="544"/>
      <c r="N84" s="544"/>
      <c r="O84" s="544"/>
      <c r="P84" s="544"/>
      <c r="Q84" s="544"/>
      <c r="R84" s="544"/>
      <c r="S84" s="544"/>
      <c r="T84" s="544"/>
      <c r="U84" s="544"/>
    </row>
    <row r="85" spans="1:21" x14ac:dyDescent="0.35">
      <c r="A85" s="544"/>
      <c r="B85" s="544"/>
      <c r="C85" s="544"/>
      <c r="D85" s="708"/>
      <c r="E85" s="544"/>
      <c r="F85" s="544"/>
      <c r="G85" s="544"/>
      <c r="H85" s="544"/>
      <c r="I85" s="544"/>
      <c r="J85" s="544"/>
      <c r="K85" s="544"/>
      <c r="L85" s="544"/>
      <c r="M85" s="544"/>
      <c r="N85" s="544"/>
      <c r="O85" s="544"/>
      <c r="P85" s="544"/>
      <c r="Q85" s="544"/>
      <c r="R85" s="544"/>
      <c r="S85" s="544"/>
      <c r="T85" s="544"/>
      <c r="U85" s="544"/>
    </row>
    <row r="86" spans="1:21" x14ac:dyDescent="0.35">
      <c r="A86" s="544"/>
      <c r="B86" s="544"/>
      <c r="C86" s="544"/>
      <c r="D86" s="708"/>
      <c r="E86" s="544"/>
      <c r="F86" s="544"/>
      <c r="G86" s="544"/>
      <c r="H86" s="544"/>
      <c r="I86" s="544"/>
      <c r="J86" s="544"/>
      <c r="K86" s="544"/>
      <c r="L86" s="544"/>
      <c r="M86" s="544"/>
      <c r="N86" s="544"/>
      <c r="O86" s="544"/>
      <c r="P86" s="544"/>
      <c r="Q86" s="544"/>
      <c r="R86" s="544"/>
      <c r="S86" s="544"/>
      <c r="T86" s="544"/>
      <c r="U86" s="544"/>
    </row>
    <row r="87" spans="1:21" x14ac:dyDescent="0.35">
      <c r="A87" s="544"/>
      <c r="B87" s="544"/>
      <c r="C87" s="544"/>
      <c r="D87" s="708"/>
      <c r="E87" s="544"/>
      <c r="F87" s="544"/>
      <c r="G87" s="544"/>
      <c r="H87" s="544"/>
      <c r="I87" s="544"/>
      <c r="J87" s="544"/>
      <c r="K87" s="544"/>
      <c r="L87" s="544"/>
      <c r="M87" s="544"/>
      <c r="N87" s="544"/>
      <c r="O87" s="544"/>
      <c r="P87" s="544"/>
      <c r="Q87" s="544"/>
      <c r="R87" s="544"/>
      <c r="S87" s="544"/>
      <c r="T87" s="544"/>
      <c r="U87" s="544"/>
    </row>
    <row r="88" spans="1:21" x14ac:dyDescent="0.35">
      <c r="A88" s="544"/>
      <c r="B88" s="544"/>
      <c r="C88" s="544"/>
      <c r="D88" s="708"/>
      <c r="E88" s="544"/>
      <c r="F88" s="544"/>
      <c r="G88" s="544"/>
      <c r="H88" s="544"/>
      <c r="I88" s="544"/>
      <c r="J88" s="544"/>
      <c r="K88" s="544"/>
      <c r="L88" s="544"/>
      <c r="M88" s="544"/>
      <c r="N88" s="544"/>
      <c r="O88" s="544"/>
      <c r="P88" s="544"/>
      <c r="Q88" s="544"/>
      <c r="R88" s="544"/>
      <c r="S88" s="544"/>
      <c r="T88" s="544"/>
      <c r="U88" s="544"/>
    </row>
    <row r="89" spans="1:21" x14ac:dyDescent="0.35">
      <c r="A89" s="544"/>
      <c r="B89" s="544"/>
      <c r="C89" s="544"/>
      <c r="D89" s="708"/>
      <c r="E89" s="544"/>
      <c r="F89" s="544"/>
      <c r="G89" s="544"/>
      <c r="H89" s="544"/>
      <c r="I89" s="544"/>
      <c r="J89" s="544"/>
      <c r="K89" s="544"/>
      <c r="L89" s="544"/>
      <c r="M89" s="544"/>
      <c r="N89" s="544"/>
      <c r="O89" s="544"/>
      <c r="P89" s="544"/>
      <c r="Q89" s="544"/>
      <c r="R89" s="544"/>
      <c r="S89" s="544"/>
      <c r="T89" s="544"/>
      <c r="U89" s="544"/>
    </row>
    <row r="90" spans="1:21" x14ac:dyDescent="0.35">
      <c r="A90" s="544"/>
      <c r="B90" s="544"/>
      <c r="C90" s="544"/>
      <c r="D90" s="708"/>
      <c r="E90" s="544"/>
      <c r="F90" s="544"/>
      <c r="G90" s="544"/>
      <c r="H90" s="544"/>
      <c r="I90" s="544"/>
      <c r="J90" s="544"/>
      <c r="K90" s="544"/>
      <c r="L90" s="544"/>
      <c r="M90" s="544"/>
      <c r="N90" s="544"/>
      <c r="O90" s="544"/>
      <c r="P90" s="544"/>
      <c r="Q90" s="544"/>
      <c r="R90" s="544"/>
      <c r="S90" s="544"/>
      <c r="T90" s="544"/>
      <c r="U90" s="544"/>
    </row>
    <row r="91" spans="1:21" x14ac:dyDescent="0.35">
      <c r="A91" s="544"/>
      <c r="B91" s="544"/>
      <c r="C91" s="544"/>
      <c r="D91" s="708"/>
      <c r="E91" s="544"/>
      <c r="F91" s="544"/>
      <c r="G91" s="544"/>
      <c r="H91" s="544"/>
      <c r="I91" s="544"/>
      <c r="J91" s="544"/>
      <c r="K91" s="544"/>
      <c r="L91" s="544"/>
      <c r="M91" s="544"/>
      <c r="N91" s="544"/>
      <c r="O91" s="544"/>
      <c r="P91" s="544"/>
      <c r="Q91" s="544"/>
      <c r="R91" s="544"/>
      <c r="S91" s="544"/>
      <c r="T91" s="544"/>
      <c r="U91" s="544"/>
    </row>
    <row r="92" spans="1:21" x14ac:dyDescent="0.35">
      <c r="A92" s="544"/>
      <c r="B92" s="572" t="s">
        <v>39</v>
      </c>
      <c r="C92" s="544"/>
      <c r="D92" s="708"/>
      <c r="E92" s="544"/>
      <c r="F92" s="544"/>
      <c r="G92" s="544"/>
      <c r="H92" s="544"/>
      <c r="I92" s="544"/>
      <c r="J92" s="544"/>
      <c r="K92" s="544"/>
      <c r="L92" s="544"/>
      <c r="M92" s="544"/>
      <c r="N92" s="544"/>
      <c r="O92" s="544"/>
      <c r="P92" s="544"/>
      <c r="Q92" s="544"/>
      <c r="R92" s="544"/>
      <c r="S92" s="544"/>
      <c r="T92" s="544"/>
      <c r="U92" s="544"/>
    </row>
    <row r="93" spans="1:21" x14ac:dyDescent="0.35">
      <c r="A93" s="544"/>
      <c r="B93" s="544" t="s">
        <v>40</v>
      </c>
      <c r="C93" s="544"/>
      <c r="D93" s="708"/>
      <c r="E93" s="544"/>
      <c r="F93" s="544"/>
      <c r="G93" s="544"/>
      <c r="H93" s="544"/>
      <c r="I93" s="544"/>
      <c r="J93" s="544"/>
      <c r="K93" s="544"/>
      <c r="L93" s="544"/>
      <c r="M93" s="544"/>
      <c r="N93" s="544"/>
      <c r="O93" s="544"/>
      <c r="P93" s="544"/>
      <c r="Q93" s="544"/>
      <c r="R93" s="544"/>
      <c r="S93" s="544"/>
      <c r="T93" s="544"/>
      <c r="U93" s="544"/>
    </row>
    <row r="94" spans="1:21" x14ac:dyDescent="0.35">
      <c r="A94" s="544"/>
      <c r="B94" s="544"/>
      <c r="C94" s="544"/>
      <c r="D94" s="708"/>
      <c r="E94" s="544"/>
      <c r="F94" s="544"/>
      <c r="G94" s="544"/>
      <c r="H94" s="544"/>
      <c r="I94" s="544"/>
      <c r="J94" s="544"/>
      <c r="K94" s="544"/>
      <c r="L94" s="544"/>
      <c r="M94" s="544"/>
      <c r="N94" s="544"/>
      <c r="O94" s="544"/>
      <c r="P94" s="544"/>
      <c r="Q94" s="544"/>
      <c r="R94" s="544"/>
      <c r="S94" s="544"/>
      <c r="T94" s="544"/>
      <c r="U94" s="544"/>
    </row>
    <row r="95" spans="1:21" x14ac:dyDescent="0.35">
      <c r="A95" s="544"/>
      <c r="B95" s="544"/>
      <c r="C95" s="544"/>
      <c r="D95" s="708"/>
      <c r="E95" s="544"/>
      <c r="F95" s="544"/>
      <c r="G95" s="544"/>
      <c r="H95" s="544"/>
      <c r="I95" s="544"/>
      <c r="J95" s="544"/>
      <c r="K95" s="544"/>
      <c r="L95" s="544"/>
      <c r="M95" s="544"/>
      <c r="N95" s="544"/>
      <c r="O95" s="544"/>
      <c r="P95" s="544"/>
      <c r="Q95" s="544"/>
      <c r="R95" s="544"/>
      <c r="S95" s="544"/>
      <c r="T95" s="544"/>
      <c r="U95" s="544"/>
    </row>
    <row r="96" spans="1:21" x14ac:dyDescent="0.35">
      <c r="A96" s="544"/>
      <c r="B96" s="544"/>
      <c r="C96" s="544"/>
      <c r="D96" s="708"/>
      <c r="E96" s="544"/>
      <c r="F96" s="544"/>
      <c r="G96" s="544"/>
      <c r="H96" s="544"/>
      <c r="I96" s="544"/>
      <c r="J96" s="544"/>
      <c r="K96" s="544"/>
      <c r="L96" s="544"/>
      <c r="M96" s="544"/>
      <c r="N96" s="544"/>
      <c r="O96" s="544"/>
      <c r="P96" s="544"/>
      <c r="Q96" s="544"/>
      <c r="R96" s="544"/>
      <c r="S96" s="544"/>
      <c r="T96" s="544"/>
      <c r="U96" s="544"/>
    </row>
    <row r="97" spans="1:21" x14ac:dyDescent="0.35">
      <c r="A97" s="544"/>
      <c r="B97" s="544"/>
      <c r="C97" s="544"/>
      <c r="D97" s="708"/>
      <c r="E97" s="544"/>
      <c r="F97" s="544"/>
      <c r="G97" s="544"/>
      <c r="H97" s="544"/>
      <c r="I97" s="544"/>
      <c r="J97" s="544"/>
      <c r="K97" s="544"/>
      <c r="L97" s="544"/>
      <c r="M97" s="544"/>
      <c r="N97" s="544"/>
      <c r="O97" s="544"/>
      <c r="P97" s="544"/>
      <c r="Q97" s="544"/>
      <c r="R97" s="544"/>
      <c r="S97" s="544"/>
      <c r="T97" s="544"/>
      <c r="U97" s="544"/>
    </row>
    <row r="98" spans="1:21" x14ac:dyDescent="0.35">
      <c r="A98" s="544"/>
      <c r="B98" s="544"/>
      <c r="C98" s="544"/>
      <c r="D98" s="708"/>
      <c r="E98" s="544"/>
      <c r="F98" s="544"/>
      <c r="G98" s="544"/>
      <c r="H98" s="544"/>
      <c r="I98" s="544"/>
      <c r="J98" s="544"/>
      <c r="K98" s="544"/>
      <c r="L98" s="544"/>
      <c r="M98" s="544"/>
      <c r="N98" s="544"/>
      <c r="O98" s="544"/>
      <c r="P98" s="544"/>
      <c r="Q98" s="544"/>
      <c r="R98" s="544"/>
      <c r="S98" s="544"/>
      <c r="T98" s="544"/>
      <c r="U98" s="544"/>
    </row>
    <row r="99" spans="1:21" x14ac:dyDescent="0.35">
      <c r="A99" s="544"/>
      <c r="B99" s="544"/>
      <c r="C99" s="544"/>
      <c r="D99" s="708"/>
      <c r="E99" s="544"/>
      <c r="F99" s="544"/>
      <c r="G99" s="544"/>
      <c r="H99" s="544"/>
      <c r="I99" s="544"/>
      <c r="J99" s="544"/>
      <c r="K99" s="544"/>
      <c r="L99" s="544"/>
      <c r="M99" s="544"/>
      <c r="N99" s="544"/>
      <c r="O99" s="544"/>
      <c r="P99" s="544"/>
      <c r="Q99" s="544"/>
      <c r="R99" s="544"/>
      <c r="S99" s="544"/>
      <c r="T99" s="544"/>
      <c r="U99" s="544"/>
    </row>
    <row r="100" spans="1:21" x14ac:dyDescent="0.35">
      <c r="A100" s="544"/>
      <c r="B100" s="544"/>
      <c r="C100" s="544"/>
      <c r="D100" s="708"/>
      <c r="E100" s="544"/>
      <c r="F100" s="544"/>
      <c r="G100" s="544"/>
      <c r="H100" s="544"/>
      <c r="I100" s="544"/>
      <c r="J100" s="544"/>
      <c r="K100" s="544"/>
      <c r="L100" s="544"/>
      <c r="M100" s="544"/>
      <c r="N100" s="544"/>
      <c r="O100" s="544"/>
      <c r="P100" s="544"/>
      <c r="Q100" s="544"/>
      <c r="R100" s="544"/>
      <c r="S100" s="544"/>
      <c r="T100" s="544"/>
      <c r="U100" s="544"/>
    </row>
    <row r="101" spans="1:21" x14ac:dyDescent="0.35">
      <c r="A101" s="544"/>
      <c r="B101" s="544"/>
      <c r="C101" s="544"/>
      <c r="D101" s="708"/>
      <c r="E101" s="544"/>
      <c r="F101" s="544"/>
      <c r="G101" s="544"/>
      <c r="H101" s="544"/>
      <c r="I101" s="544"/>
      <c r="J101" s="544"/>
      <c r="K101" s="544"/>
      <c r="L101" s="544"/>
      <c r="M101" s="544"/>
      <c r="N101" s="544"/>
      <c r="O101" s="544"/>
      <c r="P101" s="544"/>
      <c r="Q101" s="544"/>
      <c r="R101" s="544"/>
      <c r="S101" s="544"/>
      <c r="T101" s="544"/>
      <c r="U101" s="544"/>
    </row>
    <row r="102" spans="1:21" x14ac:dyDescent="0.35">
      <c r="A102" s="544"/>
      <c r="B102" s="544"/>
      <c r="C102" s="544"/>
      <c r="D102" s="708"/>
      <c r="E102" s="544"/>
      <c r="F102" s="544"/>
      <c r="G102" s="544"/>
      <c r="H102" s="544"/>
      <c r="I102" s="544"/>
      <c r="J102" s="544"/>
      <c r="K102" s="544"/>
      <c r="L102" s="544"/>
      <c r="M102" s="544"/>
      <c r="N102" s="544"/>
      <c r="O102" s="544"/>
      <c r="P102" s="544"/>
      <c r="Q102" s="544"/>
      <c r="R102" s="544"/>
      <c r="S102" s="544"/>
      <c r="T102" s="544"/>
      <c r="U102" s="544"/>
    </row>
    <row r="103" spans="1:21" x14ac:dyDescent="0.35">
      <c r="A103" s="544"/>
      <c r="B103" s="544"/>
      <c r="C103" s="544"/>
      <c r="D103" s="708"/>
      <c r="E103" s="544"/>
      <c r="F103" s="544"/>
      <c r="G103" s="544"/>
      <c r="H103" s="544"/>
      <c r="I103" s="544"/>
      <c r="J103" s="544"/>
      <c r="K103" s="544"/>
      <c r="L103" s="544"/>
      <c r="M103" s="544"/>
      <c r="N103" s="544"/>
      <c r="O103" s="544"/>
      <c r="P103" s="544"/>
      <c r="Q103" s="544"/>
      <c r="R103" s="544"/>
      <c r="S103" s="544"/>
      <c r="T103" s="544"/>
      <c r="U103" s="544"/>
    </row>
    <row r="104" spans="1:21" x14ac:dyDescent="0.35">
      <c r="A104" s="544"/>
      <c r="B104" s="544"/>
      <c r="C104" s="544"/>
      <c r="D104" s="708"/>
      <c r="E104" s="544"/>
      <c r="F104" s="544"/>
      <c r="G104" s="544"/>
      <c r="H104" s="544"/>
      <c r="I104" s="544"/>
      <c r="J104" s="544"/>
      <c r="K104" s="544"/>
      <c r="L104" s="544"/>
      <c r="M104" s="544"/>
      <c r="N104" s="544"/>
      <c r="O104" s="544"/>
      <c r="P104" s="544"/>
      <c r="Q104" s="544"/>
      <c r="R104" s="544"/>
      <c r="S104" s="544"/>
      <c r="T104" s="544"/>
      <c r="U104" s="544"/>
    </row>
    <row r="105" spans="1:21" x14ac:dyDescent="0.35">
      <c r="A105" s="544"/>
      <c r="B105" s="544"/>
      <c r="C105" s="544"/>
      <c r="D105" s="708"/>
      <c r="E105" s="544"/>
      <c r="F105" s="544"/>
      <c r="G105" s="544"/>
      <c r="H105" s="544"/>
      <c r="I105" s="544"/>
      <c r="J105" s="544"/>
      <c r="K105" s="544"/>
      <c r="L105" s="544"/>
      <c r="M105" s="544"/>
      <c r="N105" s="544"/>
      <c r="O105" s="544"/>
      <c r="P105" s="544"/>
      <c r="Q105" s="544"/>
      <c r="R105" s="544"/>
      <c r="S105" s="544"/>
      <c r="T105" s="544"/>
      <c r="U105" s="544"/>
    </row>
    <row r="106" spans="1:21" x14ac:dyDescent="0.35">
      <c r="A106" s="544"/>
      <c r="B106" s="544"/>
      <c r="C106" s="544"/>
      <c r="D106" s="708"/>
      <c r="E106" s="544"/>
      <c r="F106" s="544"/>
      <c r="G106" s="544"/>
      <c r="H106" s="544"/>
      <c r="I106" s="544"/>
      <c r="J106" s="544"/>
      <c r="K106" s="544"/>
      <c r="L106" s="544"/>
      <c r="M106" s="544"/>
      <c r="N106" s="544"/>
      <c r="O106" s="544"/>
      <c r="P106" s="544"/>
      <c r="Q106" s="544"/>
      <c r="R106" s="544"/>
      <c r="S106" s="544"/>
      <c r="T106" s="544"/>
      <c r="U106" s="544"/>
    </row>
    <row r="107" spans="1:21" x14ac:dyDescent="0.35">
      <c r="A107" s="544"/>
      <c r="B107" s="544"/>
      <c r="C107" s="544"/>
      <c r="D107" s="708"/>
      <c r="E107" s="544"/>
      <c r="F107" s="544"/>
      <c r="G107" s="544"/>
      <c r="H107" s="544"/>
      <c r="I107" s="544"/>
      <c r="J107" s="544"/>
      <c r="K107" s="544"/>
      <c r="L107" s="544"/>
      <c r="M107" s="544"/>
      <c r="N107" s="544"/>
      <c r="O107" s="544"/>
      <c r="P107" s="544"/>
      <c r="Q107" s="544"/>
      <c r="R107" s="544"/>
      <c r="S107" s="544"/>
      <c r="T107" s="544"/>
      <c r="U107" s="544"/>
    </row>
    <row r="108" spans="1:21" x14ac:dyDescent="0.35">
      <c r="A108" s="544"/>
      <c r="B108" s="544"/>
      <c r="C108" s="544"/>
      <c r="D108" s="708"/>
      <c r="E108" s="544"/>
      <c r="F108" s="544"/>
      <c r="G108" s="544"/>
      <c r="H108" s="544"/>
      <c r="I108" s="544"/>
      <c r="J108" s="544"/>
      <c r="K108" s="544"/>
      <c r="L108" s="544"/>
      <c r="M108" s="544"/>
      <c r="N108" s="544"/>
      <c r="O108" s="544"/>
      <c r="P108" s="544"/>
      <c r="Q108" s="544"/>
      <c r="R108" s="544"/>
      <c r="S108" s="544"/>
      <c r="T108" s="544"/>
      <c r="U108" s="544"/>
    </row>
    <row r="109" spans="1:21" x14ac:dyDescent="0.35">
      <c r="A109" s="544"/>
      <c r="B109" s="544"/>
      <c r="C109" s="544"/>
      <c r="D109" s="708"/>
      <c r="E109" s="544"/>
      <c r="F109" s="544"/>
      <c r="G109" s="544"/>
      <c r="H109" s="544"/>
      <c r="I109" s="544"/>
      <c r="J109" s="544"/>
      <c r="K109" s="544"/>
      <c r="L109" s="544"/>
      <c r="M109" s="544"/>
      <c r="N109" s="544"/>
      <c r="O109" s="544"/>
      <c r="P109" s="544"/>
      <c r="Q109" s="544"/>
      <c r="R109" s="544"/>
      <c r="S109" s="544"/>
      <c r="T109" s="544"/>
      <c r="U109" s="544"/>
    </row>
    <row r="110" spans="1:21" x14ac:dyDescent="0.35">
      <c r="A110" s="544"/>
      <c r="B110" s="544"/>
      <c r="C110" s="544"/>
      <c r="D110" s="708"/>
      <c r="E110" s="544"/>
      <c r="F110" s="544"/>
      <c r="G110" s="544"/>
      <c r="H110" s="544"/>
      <c r="I110" s="544"/>
      <c r="J110" s="544"/>
      <c r="K110" s="544"/>
      <c r="L110" s="544"/>
      <c r="M110" s="544"/>
      <c r="N110" s="544"/>
      <c r="O110" s="544"/>
      <c r="P110" s="544"/>
      <c r="Q110" s="544"/>
      <c r="R110" s="544"/>
      <c r="S110" s="544"/>
      <c r="T110" s="544"/>
      <c r="U110" s="544"/>
    </row>
    <row r="111" spans="1:21" x14ac:dyDescent="0.35">
      <c r="A111" s="544"/>
      <c r="B111" s="544"/>
      <c r="C111" s="544"/>
      <c r="D111" s="708"/>
      <c r="E111" s="544"/>
      <c r="F111" s="544"/>
      <c r="G111" s="544"/>
      <c r="H111" s="544"/>
      <c r="I111" s="544"/>
      <c r="J111" s="544"/>
      <c r="K111" s="544"/>
      <c r="L111" s="544"/>
      <c r="M111" s="544"/>
      <c r="N111" s="544"/>
      <c r="O111" s="544"/>
      <c r="P111" s="544"/>
      <c r="Q111" s="544"/>
      <c r="R111" s="544"/>
      <c r="S111" s="544"/>
      <c r="T111" s="544"/>
      <c r="U111" s="544"/>
    </row>
    <row r="112" spans="1:21" x14ac:dyDescent="0.35">
      <c r="A112" s="544"/>
      <c r="B112" s="544"/>
      <c r="C112" s="544"/>
      <c r="D112" s="708"/>
      <c r="E112" s="544"/>
      <c r="F112" s="544"/>
      <c r="G112" s="544"/>
      <c r="H112" s="544"/>
      <c r="I112" s="544"/>
      <c r="J112" s="544"/>
      <c r="K112" s="544"/>
      <c r="L112" s="544"/>
      <c r="M112" s="544"/>
      <c r="N112" s="544"/>
      <c r="O112" s="544"/>
      <c r="P112" s="544"/>
      <c r="Q112" s="544"/>
      <c r="R112" s="544"/>
      <c r="S112" s="544"/>
      <c r="T112" s="544"/>
      <c r="U112" s="544"/>
    </row>
    <row r="113" spans="1:21" x14ac:dyDescent="0.35">
      <c r="A113" s="544"/>
      <c r="B113" s="544"/>
      <c r="C113" s="544"/>
      <c r="D113" s="708"/>
      <c r="E113" s="544"/>
      <c r="F113" s="544"/>
      <c r="G113" s="544"/>
      <c r="H113" s="544"/>
      <c r="I113" s="544"/>
      <c r="J113" s="544"/>
      <c r="K113" s="544"/>
      <c r="L113" s="544"/>
      <c r="M113" s="544"/>
      <c r="N113" s="544"/>
      <c r="O113" s="544"/>
      <c r="P113" s="544"/>
      <c r="Q113" s="544"/>
      <c r="R113" s="544"/>
      <c r="S113" s="544"/>
      <c r="T113" s="544"/>
      <c r="U113" s="544"/>
    </row>
    <row r="114" spans="1:21" x14ac:dyDescent="0.35">
      <c r="A114" s="544"/>
      <c r="B114" s="544"/>
      <c r="C114" s="544"/>
      <c r="D114" s="708"/>
      <c r="E114" s="544"/>
      <c r="F114" s="544"/>
      <c r="G114" s="544"/>
      <c r="H114" s="544"/>
      <c r="I114" s="544"/>
      <c r="J114" s="544"/>
      <c r="K114" s="544"/>
      <c r="L114" s="544"/>
      <c r="M114" s="544"/>
      <c r="N114" s="544"/>
      <c r="O114" s="544"/>
      <c r="P114" s="544"/>
      <c r="Q114" s="544"/>
      <c r="R114" s="544"/>
      <c r="S114" s="544"/>
      <c r="T114" s="544"/>
      <c r="U114" s="544"/>
    </row>
    <row r="115" spans="1:21" x14ac:dyDescent="0.35">
      <c r="A115" s="544"/>
      <c r="B115" s="544"/>
      <c r="C115" s="544"/>
      <c r="D115" s="708"/>
      <c r="E115" s="544"/>
      <c r="F115" s="544"/>
      <c r="G115" s="544"/>
      <c r="H115" s="544"/>
      <c r="I115" s="544"/>
      <c r="J115" s="544"/>
      <c r="K115" s="544"/>
      <c r="L115" s="544"/>
      <c r="M115" s="544"/>
      <c r="N115" s="544"/>
      <c r="O115" s="544"/>
      <c r="P115" s="544"/>
      <c r="Q115" s="544"/>
      <c r="R115" s="544"/>
      <c r="S115" s="544"/>
      <c r="T115" s="544"/>
      <c r="U115" s="544"/>
    </row>
    <row r="116" spans="1:21" x14ac:dyDescent="0.35">
      <c r="A116" s="544"/>
      <c r="B116" s="544"/>
      <c r="C116" s="544"/>
      <c r="D116" s="708"/>
      <c r="E116" s="544"/>
      <c r="F116" s="544"/>
      <c r="G116" s="544"/>
      <c r="H116" s="544"/>
      <c r="I116" s="544"/>
      <c r="J116" s="544"/>
      <c r="K116" s="544"/>
      <c r="L116" s="544"/>
      <c r="M116" s="544"/>
      <c r="N116" s="544"/>
      <c r="O116" s="544"/>
      <c r="P116" s="544"/>
      <c r="Q116" s="544"/>
      <c r="R116" s="544"/>
      <c r="S116" s="544"/>
      <c r="T116" s="544"/>
      <c r="U116" s="544"/>
    </row>
    <row r="117" spans="1:21" x14ac:dyDescent="0.35">
      <c r="A117" s="544"/>
      <c r="B117" s="544"/>
      <c r="C117" s="544"/>
      <c r="D117" s="708"/>
      <c r="E117" s="544"/>
      <c r="F117" s="544"/>
      <c r="G117" s="544"/>
      <c r="H117" s="544"/>
      <c r="I117" s="544"/>
      <c r="J117" s="544"/>
      <c r="K117" s="544"/>
      <c r="L117" s="544"/>
      <c r="M117" s="544"/>
      <c r="N117" s="544"/>
      <c r="O117" s="544"/>
      <c r="P117" s="544"/>
      <c r="Q117" s="544"/>
      <c r="R117" s="544"/>
      <c r="S117" s="544"/>
      <c r="T117" s="544"/>
      <c r="U117" s="544"/>
    </row>
    <row r="118" spans="1:21" x14ac:dyDescent="0.35">
      <c r="A118" s="544"/>
      <c r="B118" s="544"/>
      <c r="C118" s="544"/>
      <c r="D118" s="708"/>
      <c r="E118" s="544"/>
      <c r="F118" s="544"/>
      <c r="G118" s="544"/>
      <c r="H118" s="544"/>
      <c r="I118" s="544"/>
      <c r="J118" s="544"/>
      <c r="K118" s="544"/>
      <c r="L118" s="544"/>
      <c r="M118" s="544"/>
      <c r="N118" s="544"/>
      <c r="O118" s="544"/>
      <c r="P118" s="544"/>
      <c r="Q118" s="544"/>
      <c r="R118" s="544"/>
      <c r="S118" s="544"/>
      <c r="T118" s="544"/>
      <c r="U118" s="544"/>
    </row>
    <row r="119" spans="1:21" x14ac:dyDescent="0.35">
      <c r="A119" s="544"/>
      <c r="B119" s="544"/>
      <c r="C119" s="544"/>
      <c r="D119" s="708"/>
      <c r="E119" s="544"/>
      <c r="F119" s="544"/>
      <c r="G119" s="544"/>
      <c r="H119" s="544"/>
      <c r="I119" s="544"/>
      <c r="J119" s="544"/>
      <c r="K119" s="544"/>
      <c r="L119" s="544"/>
      <c r="M119" s="544"/>
      <c r="N119" s="544"/>
      <c r="O119" s="544"/>
      <c r="P119" s="544"/>
      <c r="Q119" s="544"/>
      <c r="R119" s="544"/>
      <c r="S119" s="544"/>
      <c r="T119" s="544"/>
      <c r="U119" s="544"/>
    </row>
    <row r="120" spans="1:21" x14ac:dyDescent="0.35">
      <c r="A120" s="544"/>
      <c r="B120" s="544"/>
      <c r="C120" s="544"/>
      <c r="D120" s="708"/>
      <c r="E120" s="544"/>
      <c r="F120" s="544"/>
      <c r="G120" s="544"/>
      <c r="H120" s="544"/>
      <c r="I120" s="544"/>
      <c r="J120" s="544"/>
      <c r="K120" s="544"/>
      <c r="L120" s="544"/>
      <c r="M120" s="544"/>
      <c r="N120" s="544"/>
      <c r="O120" s="544"/>
      <c r="P120" s="544"/>
      <c r="Q120" s="544"/>
      <c r="R120" s="544"/>
      <c r="S120" s="544"/>
      <c r="T120" s="544"/>
      <c r="U120" s="544"/>
    </row>
    <row r="121" spans="1:21" x14ac:dyDescent="0.35">
      <c r="A121" s="544"/>
      <c r="B121" s="544"/>
      <c r="C121" s="544"/>
      <c r="D121" s="708"/>
      <c r="E121" s="544"/>
      <c r="F121" s="544"/>
      <c r="G121" s="544"/>
      <c r="H121" s="544"/>
      <c r="I121" s="544"/>
      <c r="J121" s="544"/>
      <c r="K121" s="544"/>
      <c r="L121" s="544"/>
      <c r="M121" s="544"/>
      <c r="N121" s="544"/>
      <c r="O121" s="544"/>
      <c r="P121" s="544"/>
      <c r="Q121" s="544"/>
      <c r="R121" s="544"/>
      <c r="S121" s="544"/>
      <c r="T121" s="544"/>
      <c r="U121" s="544"/>
    </row>
    <row r="122" spans="1:21" x14ac:dyDescent="0.35">
      <c r="A122" s="544"/>
      <c r="B122" s="544"/>
      <c r="C122" s="544"/>
      <c r="D122" s="708"/>
      <c r="E122" s="544"/>
      <c r="F122" s="544"/>
      <c r="G122" s="544"/>
      <c r="H122" s="544"/>
      <c r="I122" s="544"/>
      <c r="J122" s="544"/>
      <c r="K122" s="544"/>
      <c r="L122" s="544"/>
      <c r="M122" s="544"/>
      <c r="N122" s="544"/>
      <c r="O122" s="544"/>
      <c r="P122" s="544"/>
      <c r="Q122" s="544"/>
      <c r="R122" s="544"/>
      <c r="S122" s="544"/>
      <c r="T122" s="544"/>
      <c r="U122" s="544"/>
    </row>
    <row r="123" spans="1:21" x14ac:dyDescent="0.35">
      <c r="A123" s="544"/>
      <c r="B123" s="544"/>
      <c r="C123" s="544"/>
      <c r="D123" s="708"/>
      <c r="E123" s="544"/>
      <c r="F123" s="544"/>
      <c r="G123" s="544"/>
      <c r="H123" s="544"/>
      <c r="I123" s="544"/>
      <c r="J123" s="544"/>
      <c r="K123" s="544"/>
      <c r="L123" s="544"/>
      <c r="M123" s="544"/>
      <c r="N123" s="544"/>
      <c r="O123" s="544"/>
      <c r="P123" s="544"/>
      <c r="Q123" s="544"/>
      <c r="R123" s="544"/>
      <c r="S123" s="544"/>
      <c r="T123" s="544"/>
      <c r="U123" s="544"/>
    </row>
    <row r="124" spans="1:21" x14ac:dyDescent="0.35">
      <c r="A124" s="544"/>
      <c r="B124" s="544"/>
      <c r="C124" s="544"/>
      <c r="D124" s="708"/>
      <c r="E124" s="544"/>
      <c r="F124" s="544"/>
      <c r="G124" s="544"/>
      <c r="H124" s="544"/>
      <c r="I124" s="544"/>
      <c r="J124" s="544"/>
      <c r="K124" s="544"/>
      <c r="L124" s="544"/>
      <c r="M124" s="544"/>
      <c r="N124" s="544"/>
      <c r="O124" s="544"/>
      <c r="P124" s="544"/>
      <c r="Q124" s="544"/>
      <c r="R124" s="544"/>
      <c r="S124" s="544"/>
      <c r="T124" s="544"/>
      <c r="U124" s="544"/>
    </row>
    <row r="125" spans="1:21" x14ac:dyDescent="0.35">
      <c r="A125" s="544"/>
      <c r="B125" s="544"/>
      <c r="C125" s="544"/>
      <c r="D125" s="708"/>
      <c r="E125" s="544"/>
      <c r="F125" s="544"/>
      <c r="G125" s="544"/>
      <c r="H125" s="544"/>
      <c r="I125" s="544"/>
      <c r="J125" s="544"/>
      <c r="K125" s="544"/>
      <c r="L125" s="544"/>
      <c r="M125" s="544"/>
      <c r="N125" s="544"/>
      <c r="O125" s="544"/>
      <c r="P125" s="544"/>
      <c r="Q125" s="544"/>
      <c r="R125" s="544"/>
      <c r="S125" s="544"/>
      <c r="T125" s="544"/>
      <c r="U125" s="544"/>
    </row>
    <row r="126" spans="1:21" x14ac:dyDescent="0.35">
      <c r="A126" s="544"/>
      <c r="B126" s="544"/>
      <c r="C126" s="544"/>
      <c r="D126" s="708"/>
      <c r="E126" s="544"/>
      <c r="F126" s="544"/>
      <c r="G126" s="544"/>
      <c r="H126" s="544"/>
      <c r="I126" s="544"/>
      <c r="J126" s="544"/>
      <c r="K126" s="544"/>
      <c r="L126" s="544"/>
      <c r="M126" s="544"/>
      <c r="N126" s="544"/>
      <c r="O126" s="544"/>
      <c r="P126" s="544"/>
      <c r="Q126" s="544"/>
      <c r="R126" s="544"/>
      <c r="S126" s="544"/>
      <c r="T126" s="544"/>
      <c r="U126" s="544"/>
    </row>
    <row r="127" spans="1:21" x14ac:dyDescent="0.35">
      <c r="A127" s="544"/>
      <c r="B127" s="544"/>
      <c r="C127" s="544"/>
      <c r="D127" s="708"/>
      <c r="E127" s="544"/>
      <c r="F127" s="544"/>
      <c r="G127" s="544"/>
      <c r="H127" s="544"/>
      <c r="I127" s="544"/>
      <c r="J127" s="544"/>
      <c r="K127" s="544"/>
      <c r="L127" s="544"/>
      <c r="M127" s="544"/>
      <c r="N127" s="544"/>
      <c r="O127" s="544"/>
      <c r="P127" s="544"/>
      <c r="Q127" s="544"/>
      <c r="R127" s="544"/>
      <c r="S127" s="544"/>
      <c r="T127" s="544"/>
      <c r="U127" s="544"/>
    </row>
    <row r="128" spans="1:21" x14ac:dyDescent="0.35">
      <c r="A128" s="544"/>
      <c r="B128" s="544"/>
      <c r="C128" s="544"/>
      <c r="D128" s="708"/>
      <c r="E128" s="544"/>
      <c r="F128" s="544"/>
      <c r="G128" s="544"/>
      <c r="H128" s="544"/>
      <c r="I128" s="544"/>
      <c r="J128" s="544"/>
      <c r="K128" s="544"/>
      <c r="L128" s="544"/>
      <c r="M128" s="544"/>
      <c r="N128" s="544"/>
      <c r="O128" s="544"/>
      <c r="P128" s="544"/>
      <c r="Q128" s="544"/>
      <c r="R128" s="544"/>
      <c r="S128" s="544"/>
      <c r="T128" s="544"/>
      <c r="U128" s="544"/>
    </row>
    <row r="129" spans="1:21" x14ac:dyDescent="0.35">
      <c r="A129" s="544"/>
      <c r="B129" s="544"/>
      <c r="C129" s="544"/>
      <c r="D129" s="708"/>
      <c r="E129" s="544"/>
      <c r="F129" s="544"/>
      <c r="G129" s="544"/>
      <c r="H129" s="544"/>
      <c r="I129" s="544"/>
      <c r="J129" s="544"/>
      <c r="K129" s="544"/>
      <c r="L129" s="544"/>
      <c r="M129" s="544"/>
      <c r="N129" s="544"/>
      <c r="O129" s="544"/>
      <c r="P129" s="544"/>
      <c r="Q129" s="544"/>
      <c r="R129" s="544"/>
      <c r="S129" s="544"/>
      <c r="T129" s="544"/>
      <c r="U129" s="544"/>
    </row>
    <row r="130" spans="1:21" x14ac:dyDescent="0.35">
      <c r="A130" s="544"/>
      <c r="B130" s="544"/>
      <c r="C130" s="544"/>
      <c r="D130" s="708"/>
      <c r="E130" s="544"/>
      <c r="F130" s="544"/>
      <c r="G130" s="544"/>
      <c r="H130" s="544"/>
      <c r="I130" s="544"/>
      <c r="J130" s="544"/>
      <c r="K130" s="544"/>
      <c r="L130" s="544"/>
      <c r="M130" s="544"/>
      <c r="N130" s="544"/>
      <c r="O130" s="544"/>
      <c r="P130" s="544"/>
      <c r="Q130" s="544"/>
      <c r="R130" s="544"/>
      <c r="S130" s="544"/>
      <c r="T130" s="544"/>
      <c r="U130" s="544"/>
    </row>
    <row r="131" spans="1:21" x14ac:dyDescent="0.35">
      <c r="A131" s="544"/>
      <c r="B131" s="544"/>
      <c r="C131" s="544"/>
      <c r="D131" s="708"/>
      <c r="E131" s="544"/>
      <c r="F131" s="544"/>
      <c r="G131" s="544"/>
      <c r="H131" s="544"/>
      <c r="I131" s="544"/>
      <c r="J131" s="544"/>
      <c r="K131" s="544"/>
      <c r="L131" s="544"/>
      <c r="M131" s="544"/>
      <c r="N131" s="544"/>
      <c r="O131" s="544"/>
      <c r="P131" s="544"/>
      <c r="Q131" s="544"/>
      <c r="R131" s="544"/>
      <c r="S131" s="544"/>
      <c r="T131" s="544"/>
      <c r="U131" s="544"/>
    </row>
    <row r="132" spans="1:21" x14ac:dyDescent="0.35">
      <c r="A132" s="544"/>
      <c r="B132" s="544"/>
      <c r="C132" s="544"/>
      <c r="D132" s="708"/>
      <c r="E132" s="544"/>
      <c r="F132" s="544"/>
      <c r="G132" s="544"/>
      <c r="H132" s="544"/>
      <c r="I132" s="544"/>
      <c r="J132" s="544"/>
      <c r="K132" s="544"/>
      <c r="L132" s="544"/>
      <c r="M132" s="544"/>
      <c r="N132" s="544"/>
      <c r="O132" s="544"/>
      <c r="P132" s="544"/>
      <c r="Q132" s="544"/>
      <c r="R132" s="544"/>
      <c r="S132" s="544"/>
      <c r="T132" s="544"/>
      <c r="U132" s="544"/>
    </row>
    <row r="133" spans="1:21" x14ac:dyDescent="0.35">
      <c r="A133" s="544"/>
      <c r="B133" s="544"/>
      <c r="C133" s="544"/>
      <c r="D133" s="708"/>
      <c r="E133" s="544"/>
      <c r="F133" s="544"/>
      <c r="G133" s="544"/>
      <c r="H133" s="544"/>
      <c r="I133" s="544"/>
      <c r="J133" s="544"/>
      <c r="K133" s="544"/>
      <c r="L133" s="544"/>
      <c r="M133" s="544"/>
      <c r="N133" s="544"/>
      <c r="O133" s="544"/>
      <c r="P133" s="544"/>
      <c r="Q133" s="544"/>
      <c r="R133" s="544"/>
      <c r="S133" s="544"/>
      <c r="T133" s="544"/>
      <c r="U133" s="544"/>
    </row>
    <row r="134" spans="1:21" x14ac:dyDescent="0.35">
      <c r="A134" s="544"/>
      <c r="B134" s="544"/>
      <c r="C134" s="544"/>
      <c r="D134" s="708"/>
      <c r="E134" s="544"/>
      <c r="F134" s="544"/>
      <c r="G134" s="544"/>
      <c r="H134" s="544"/>
      <c r="I134" s="544"/>
      <c r="J134" s="544"/>
      <c r="K134" s="544"/>
      <c r="L134" s="544"/>
      <c r="M134" s="544"/>
      <c r="N134" s="544"/>
      <c r="O134" s="544"/>
      <c r="P134" s="544"/>
      <c r="Q134" s="544"/>
      <c r="R134" s="544"/>
      <c r="S134" s="544"/>
      <c r="T134" s="544"/>
      <c r="U134" s="544"/>
    </row>
    <row r="135" spans="1:21" x14ac:dyDescent="0.35">
      <c r="A135" s="544"/>
      <c r="B135" s="544"/>
      <c r="C135" s="544"/>
      <c r="D135" s="708"/>
      <c r="E135" s="544"/>
      <c r="F135" s="544"/>
      <c r="G135" s="544"/>
      <c r="H135" s="544"/>
      <c r="I135" s="544"/>
      <c r="J135" s="544"/>
      <c r="K135" s="544"/>
      <c r="L135" s="544"/>
      <c r="M135" s="544"/>
      <c r="N135" s="544"/>
      <c r="O135" s="544"/>
      <c r="P135" s="544"/>
      <c r="Q135" s="544"/>
      <c r="R135" s="544"/>
      <c r="S135" s="544"/>
      <c r="T135" s="544"/>
      <c r="U135" s="544"/>
    </row>
    <row r="136" spans="1:21" x14ac:dyDescent="0.35">
      <c r="A136" s="544"/>
      <c r="B136" s="544"/>
      <c r="C136" s="544"/>
      <c r="D136" s="708"/>
      <c r="E136" s="544"/>
      <c r="F136" s="544"/>
      <c r="G136" s="544"/>
      <c r="H136" s="544"/>
      <c r="I136" s="544"/>
      <c r="J136" s="544"/>
      <c r="K136" s="544"/>
      <c r="L136" s="544"/>
      <c r="M136" s="544"/>
      <c r="N136" s="544"/>
      <c r="O136" s="544"/>
      <c r="P136" s="544"/>
      <c r="Q136" s="544"/>
      <c r="R136" s="544"/>
      <c r="S136" s="544"/>
      <c r="T136" s="544"/>
      <c r="U136" s="544"/>
    </row>
    <row r="137" spans="1:21" x14ac:dyDescent="0.35">
      <c r="A137" s="544"/>
      <c r="B137" s="544"/>
      <c r="C137" s="544"/>
      <c r="D137" s="708"/>
      <c r="E137" s="544"/>
      <c r="F137" s="544"/>
      <c r="G137" s="544"/>
      <c r="H137" s="544"/>
      <c r="I137" s="544"/>
      <c r="J137" s="544"/>
      <c r="K137" s="544"/>
      <c r="L137" s="544"/>
      <c r="M137" s="544"/>
      <c r="N137" s="544"/>
      <c r="O137" s="544"/>
      <c r="P137" s="544"/>
      <c r="Q137" s="544"/>
      <c r="R137" s="544"/>
      <c r="S137" s="544"/>
      <c r="T137" s="544"/>
      <c r="U137" s="544"/>
    </row>
    <row r="138" spans="1:21" x14ac:dyDescent="0.35">
      <c r="A138" s="544"/>
      <c r="B138" s="544"/>
      <c r="C138" s="544"/>
      <c r="D138" s="708"/>
      <c r="E138" s="544"/>
      <c r="F138" s="544"/>
      <c r="G138" s="544"/>
      <c r="H138" s="544"/>
      <c r="I138" s="544"/>
      <c r="J138" s="544"/>
      <c r="K138" s="544"/>
      <c r="L138" s="544"/>
      <c r="M138" s="544"/>
      <c r="N138" s="544"/>
      <c r="O138" s="544"/>
      <c r="P138" s="544"/>
      <c r="Q138" s="544"/>
      <c r="R138" s="544"/>
      <c r="S138" s="544"/>
      <c r="T138" s="544"/>
      <c r="U138" s="544"/>
    </row>
    <row r="139" spans="1:21" x14ac:dyDescent="0.35">
      <c r="A139" s="544"/>
      <c r="B139" s="544"/>
      <c r="C139" s="544"/>
      <c r="D139" s="708"/>
      <c r="E139" s="544"/>
      <c r="F139" s="544"/>
      <c r="G139" s="544"/>
      <c r="H139" s="544"/>
      <c r="I139" s="544"/>
      <c r="J139" s="544"/>
      <c r="K139" s="544"/>
      <c r="L139" s="544"/>
      <c r="M139" s="544"/>
      <c r="N139" s="544"/>
      <c r="O139" s="544"/>
      <c r="P139" s="544"/>
      <c r="Q139" s="544"/>
      <c r="R139" s="544"/>
      <c r="S139" s="544"/>
      <c r="T139" s="544"/>
      <c r="U139" s="544"/>
    </row>
    <row r="140" spans="1:21" x14ac:dyDescent="0.35">
      <c r="A140" s="544"/>
      <c r="B140" s="544"/>
      <c r="C140" s="544"/>
      <c r="D140" s="708"/>
      <c r="E140" s="544"/>
      <c r="F140" s="544"/>
      <c r="G140" s="544"/>
      <c r="H140" s="544"/>
      <c r="I140" s="544"/>
      <c r="J140" s="544"/>
      <c r="K140" s="544"/>
      <c r="L140" s="544"/>
      <c r="M140" s="544"/>
      <c r="N140" s="544"/>
      <c r="O140" s="544"/>
      <c r="P140" s="544"/>
      <c r="Q140" s="544"/>
      <c r="R140" s="544"/>
      <c r="S140" s="544"/>
      <c r="T140" s="544"/>
      <c r="U140" s="544"/>
    </row>
    <row r="141" spans="1:21" x14ac:dyDescent="0.35">
      <c r="A141" s="544"/>
      <c r="B141" s="544"/>
      <c r="C141" s="544"/>
      <c r="D141" s="708"/>
      <c r="E141" s="544"/>
      <c r="F141" s="544"/>
      <c r="G141" s="544"/>
      <c r="H141" s="544"/>
      <c r="I141" s="544"/>
      <c r="J141" s="544"/>
      <c r="K141" s="544"/>
      <c r="L141" s="544"/>
      <c r="M141" s="544"/>
      <c r="N141" s="544"/>
      <c r="O141" s="544"/>
      <c r="P141" s="544"/>
      <c r="Q141" s="544"/>
      <c r="R141" s="544"/>
      <c r="S141" s="544"/>
      <c r="T141" s="544"/>
      <c r="U141" s="544"/>
    </row>
    <row r="142" spans="1:21" x14ac:dyDescent="0.35">
      <c r="A142" s="544"/>
      <c r="B142" s="544"/>
      <c r="C142" s="544"/>
      <c r="D142" s="708"/>
      <c r="E142" s="544"/>
      <c r="F142" s="544"/>
      <c r="G142" s="544"/>
      <c r="H142" s="544"/>
      <c r="I142" s="544"/>
      <c r="J142" s="544"/>
      <c r="K142" s="544"/>
      <c r="L142" s="544"/>
      <c r="M142" s="544"/>
      <c r="N142" s="544"/>
      <c r="O142" s="544"/>
      <c r="P142" s="544"/>
      <c r="Q142" s="544"/>
      <c r="R142" s="544"/>
      <c r="S142" s="544"/>
      <c r="T142" s="544"/>
      <c r="U142" s="544"/>
    </row>
    <row r="143" spans="1:21" x14ac:dyDescent="0.35">
      <c r="A143" s="544"/>
      <c r="B143" s="544"/>
      <c r="C143" s="544"/>
      <c r="D143" s="708"/>
      <c r="E143" s="544"/>
      <c r="F143" s="544"/>
      <c r="G143" s="544"/>
      <c r="H143" s="544"/>
      <c r="I143" s="544"/>
      <c r="J143" s="544"/>
      <c r="K143" s="544"/>
      <c r="L143" s="544"/>
      <c r="M143" s="544"/>
      <c r="N143" s="544"/>
      <c r="O143" s="544"/>
      <c r="P143" s="544"/>
      <c r="Q143" s="544"/>
      <c r="R143" s="544"/>
      <c r="S143" s="544"/>
      <c r="T143" s="544"/>
      <c r="U143" s="544"/>
    </row>
    <row r="144" spans="1:21" x14ac:dyDescent="0.35">
      <c r="A144" s="544"/>
      <c r="B144" s="544"/>
      <c r="C144" s="544"/>
      <c r="D144" s="708"/>
      <c r="E144" s="544"/>
      <c r="F144" s="544"/>
      <c r="G144" s="544"/>
      <c r="H144" s="544"/>
      <c r="I144" s="544"/>
      <c r="J144" s="544"/>
      <c r="K144" s="544"/>
      <c r="L144" s="544"/>
      <c r="M144" s="544"/>
      <c r="N144" s="544"/>
      <c r="O144" s="544"/>
      <c r="P144" s="544"/>
      <c r="Q144" s="544"/>
      <c r="R144" s="544"/>
      <c r="S144" s="544"/>
      <c r="T144" s="544"/>
      <c r="U144" s="544"/>
    </row>
    <row r="145" spans="1:21" x14ac:dyDescent="0.35">
      <c r="A145" s="544"/>
      <c r="B145" s="544"/>
      <c r="C145" s="544"/>
      <c r="D145" s="708"/>
      <c r="E145" s="544"/>
      <c r="F145" s="544"/>
      <c r="G145" s="544"/>
      <c r="H145" s="544"/>
      <c r="I145" s="544"/>
      <c r="J145" s="544"/>
      <c r="K145" s="544"/>
      <c r="L145" s="544"/>
      <c r="M145" s="544"/>
      <c r="N145" s="544"/>
      <c r="O145" s="544"/>
      <c r="P145" s="544"/>
      <c r="Q145" s="544"/>
      <c r="R145" s="544"/>
      <c r="S145" s="544"/>
      <c r="T145" s="544"/>
      <c r="U145" s="544"/>
    </row>
    <row r="146" spans="1:21" x14ac:dyDescent="0.35">
      <c r="A146" s="544"/>
      <c r="B146" s="544"/>
      <c r="C146" s="544"/>
      <c r="D146" s="708"/>
      <c r="E146" s="544"/>
      <c r="F146" s="544"/>
      <c r="G146" s="544"/>
      <c r="H146" s="544"/>
      <c r="I146" s="544"/>
      <c r="J146" s="544"/>
      <c r="K146" s="544"/>
      <c r="L146" s="544"/>
      <c r="M146" s="544"/>
      <c r="N146" s="544"/>
      <c r="O146" s="544"/>
      <c r="P146" s="544"/>
      <c r="Q146" s="544"/>
      <c r="R146" s="544"/>
      <c r="S146" s="544"/>
      <c r="T146" s="544"/>
      <c r="U146" s="544"/>
    </row>
    <row r="147" spans="1:21" x14ac:dyDescent="0.35">
      <c r="A147" s="544"/>
      <c r="B147" s="544"/>
      <c r="C147" s="544"/>
      <c r="D147" s="708"/>
      <c r="E147" s="544"/>
      <c r="F147" s="544"/>
      <c r="G147" s="544"/>
      <c r="H147" s="544"/>
      <c r="I147" s="544"/>
      <c r="J147" s="544"/>
      <c r="K147" s="544"/>
      <c r="L147" s="544"/>
      <c r="M147" s="544"/>
      <c r="N147" s="544"/>
      <c r="O147" s="544"/>
      <c r="P147" s="544"/>
      <c r="Q147" s="544"/>
      <c r="R147" s="544"/>
      <c r="S147" s="544"/>
      <c r="T147" s="544"/>
      <c r="U147" s="544"/>
    </row>
    <row r="148" spans="1:21" x14ac:dyDescent="0.35">
      <c r="A148" s="544"/>
      <c r="B148" s="544"/>
      <c r="C148" s="544"/>
      <c r="D148" s="708"/>
      <c r="E148" s="544"/>
      <c r="F148" s="544"/>
      <c r="G148" s="544"/>
      <c r="H148" s="544"/>
      <c r="I148" s="544"/>
      <c r="J148" s="544"/>
      <c r="K148" s="544"/>
      <c r="L148" s="544"/>
      <c r="M148" s="544"/>
      <c r="N148" s="544"/>
      <c r="O148" s="544"/>
      <c r="P148" s="544"/>
      <c r="Q148" s="544"/>
      <c r="R148" s="544"/>
      <c r="S148" s="544"/>
      <c r="T148" s="544"/>
      <c r="U148" s="544"/>
    </row>
    <row r="149" spans="1:21" x14ac:dyDescent="0.35">
      <c r="A149" s="544"/>
      <c r="B149" s="544"/>
      <c r="C149" s="544"/>
      <c r="D149" s="708"/>
      <c r="E149" s="544"/>
      <c r="F149" s="544"/>
      <c r="G149" s="544"/>
      <c r="H149" s="544"/>
      <c r="I149" s="544"/>
      <c r="J149" s="544"/>
      <c r="K149" s="544"/>
      <c r="L149" s="544"/>
      <c r="M149" s="544"/>
      <c r="N149" s="544"/>
      <c r="O149" s="544"/>
      <c r="P149" s="544"/>
      <c r="Q149" s="544"/>
      <c r="R149" s="544"/>
      <c r="S149" s="544"/>
      <c r="T149" s="544"/>
      <c r="U149" s="544"/>
    </row>
    <row r="150" spans="1:21" x14ac:dyDescent="0.35">
      <c r="A150" s="544"/>
      <c r="B150" s="544"/>
      <c r="C150" s="544"/>
      <c r="D150" s="708"/>
      <c r="E150" s="544"/>
      <c r="F150" s="544"/>
      <c r="G150" s="544"/>
      <c r="H150" s="544"/>
      <c r="I150" s="544"/>
      <c r="J150" s="544"/>
      <c r="K150" s="544"/>
      <c r="L150" s="544"/>
      <c r="M150" s="544"/>
      <c r="N150" s="544"/>
      <c r="O150" s="544"/>
      <c r="P150" s="544"/>
      <c r="Q150" s="544"/>
      <c r="R150" s="544"/>
      <c r="S150" s="544"/>
      <c r="T150" s="544"/>
      <c r="U150" s="544"/>
    </row>
    <row r="151" spans="1:21" x14ac:dyDescent="0.35">
      <c r="A151" s="544"/>
      <c r="B151" s="544"/>
      <c r="C151" s="544"/>
      <c r="D151" s="708"/>
      <c r="E151" s="544"/>
      <c r="F151" s="544"/>
      <c r="G151" s="544"/>
      <c r="H151" s="544"/>
      <c r="I151" s="544"/>
      <c r="J151" s="544"/>
      <c r="K151" s="544"/>
      <c r="L151" s="544"/>
      <c r="M151" s="544"/>
      <c r="N151" s="544"/>
      <c r="O151" s="544"/>
      <c r="P151" s="544"/>
      <c r="Q151" s="544"/>
      <c r="R151" s="544"/>
      <c r="S151" s="544"/>
      <c r="T151" s="544"/>
      <c r="U151" s="544"/>
    </row>
    <row r="152" spans="1:21" x14ac:dyDescent="0.35">
      <c r="A152" s="544"/>
      <c r="B152" s="544"/>
      <c r="C152" s="544"/>
      <c r="D152" s="708"/>
      <c r="E152" s="544"/>
      <c r="F152" s="544"/>
      <c r="G152" s="544"/>
      <c r="H152" s="544"/>
      <c r="I152" s="544"/>
      <c r="J152" s="544"/>
      <c r="K152" s="544"/>
      <c r="L152" s="544"/>
      <c r="M152" s="544"/>
      <c r="N152" s="544"/>
      <c r="O152" s="544"/>
      <c r="P152" s="544"/>
      <c r="Q152" s="544"/>
      <c r="R152" s="544"/>
      <c r="S152" s="544"/>
      <c r="T152" s="544"/>
      <c r="U152" s="544"/>
    </row>
    <row r="153" spans="1:21" x14ac:dyDescent="0.35">
      <c r="A153" s="544"/>
      <c r="B153" s="544"/>
      <c r="C153" s="544"/>
      <c r="D153" s="708"/>
      <c r="E153" s="544"/>
      <c r="F153" s="544"/>
      <c r="G153" s="544"/>
      <c r="H153" s="544"/>
      <c r="I153" s="544"/>
      <c r="J153" s="544"/>
      <c r="K153" s="544"/>
      <c r="L153" s="544"/>
      <c r="M153" s="544"/>
      <c r="N153" s="544"/>
      <c r="O153" s="544"/>
      <c r="P153" s="544"/>
      <c r="Q153" s="544"/>
      <c r="R153" s="544"/>
      <c r="S153" s="544"/>
      <c r="T153" s="544"/>
      <c r="U153" s="544"/>
    </row>
    <row r="154" spans="1:21" x14ac:dyDescent="0.35">
      <c r="A154" s="544"/>
      <c r="B154" s="544"/>
      <c r="C154" s="544"/>
      <c r="D154" s="708"/>
      <c r="E154" s="544"/>
      <c r="F154" s="544"/>
      <c r="G154" s="544"/>
      <c r="H154" s="544"/>
      <c r="I154" s="544"/>
      <c r="J154" s="544"/>
      <c r="K154" s="544"/>
      <c r="L154" s="544"/>
      <c r="M154" s="544"/>
      <c r="N154" s="544"/>
      <c r="O154" s="544"/>
      <c r="P154" s="544"/>
      <c r="Q154" s="544"/>
      <c r="R154" s="544"/>
      <c r="S154" s="544"/>
      <c r="T154" s="544"/>
      <c r="U154" s="544"/>
    </row>
    <row r="155" spans="1:21" x14ac:dyDescent="0.35">
      <c r="A155" s="544"/>
      <c r="B155" s="544"/>
      <c r="C155" s="544"/>
      <c r="D155" s="708"/>
      <c r="E155" s="544"/>
      <c r="F155" s="544"/>
      <c r="G155" s="544"/>
      <c r="H155" s="544"/>
      <c r="I155" s="544"/>
      <c r="J155" s="544"/>
      <c r="K155" s="544"/>
      <c r="L155" s="544"/>
      <c r="M155" s="544"/>
      <c r="N155" s="544"/>
      <c r="O155" s="544"/>
      <c r="P155" s="544"/>
      <c r="Q155" s="544"/>
      <c r="R155" s="544"/>
      <c r="S155" s="544"/>
      <c r="T155" s="544"/>
      <c r="U155" s="544"/>
    </row>
    <row r="156" spans="1:21" x14ac:dyDescent="0.35">
      <c r="A156" s="544"/>
      <c r="B156" s="544"/>
      <c r="C156" s="544"/>
      <c r="D156" s="708"/>
      <c r="E156" s="544"/>
      <c r="F156" s="544"/>
      <c r="G156" s="544"/>
      <c r="H156" s="544"/>
      <c r="I156" s="544"/>
      <c r="J156" s="544"/>
      <c r="K156" s="544"/>
      <c r="L156" s="544"/>
      <c r="M156" s="544"/>
      <c r="N156" s="544"/>
      <c r="O156" s="544"/>
      <c r="P156" s="544"/>
      <c r="Q156" s="544"/>
      <c r="R156" s="544"/>
      <c r="S156" s="544"/>
      <c r="T156" s="544"/>
      <c r="U156" s="544"/>
    </row>
    <row r="157" spans="1:21" x14ac:dyDescent="0.35">
      <c r="A157" s="544"/>
      <c r="B157" s="544"/>
      <c r="C157" s="544"/>
      <c r="D157" s="708"/>
      <c r="E157" s="544"/>
      <c r="F157" s="544"/>
      <c r="G157" s="544"/>
      <c r="H157" s="544"/>
      <c r="I157" s="544"/>
      <c r="J157" s="544"/>
      <c r="K157" s="544"/>
      <c r="L157" s="544"/>
      <c r="M157" s="544"/>
      <c r="N157" s="544"/>
      <c r="O157" s="544"/>
      <c r="P157" s="544"/>
      <c r="Q157" s="544"/>
      <c r="R157" s="544"/>
      <c r="S157" s="544"/>
      <c r="T157" s="544"/>
      <c r="U157" s="544"/>
    </row>
    <row r="158" spans="1:21" x14ac:dyDescent="0.35">
      <c r="A158" s="544"/>
      <c r="B158" s="544"/>
      <c r="C158" s="544"/>
      <c r="D158" s="708"/>
      <c r="E158" s="544"/>
      <c r="F158" s="544"/>
      <c r="G158" s="544"/>
      <c r="H158" s="544"/>
      <c r="I158" s="544"/>
      <c r="J158" s="544"/>
      <c r="K158" s="544"/>
      <c r="L158" s="544"/>
      <c r="M158" s="544"/>
      <c r="N158" s="544"/>
      <c r="O158" s="544"/>
      <c r="P158" s="544"/>
      <c r="Q158" s="544"/>
      <c r="R158" s="544"/>
      <c r="S158" s="544"/>
      <c r="T158" s="544"/>
      <c r="U158" s="544"/>
    </row>
    <row r="159" spans="1:21" x14ac:dyDescent="0.35">
      <c r="A159" s="544"/>
      <c r="B159" s="544"/>
      <c r="C159" s="544"/>
      <c r="D159" s="708"/>
      <c r="E159" s="544"/>
      <c r="F159" s="544"/>
      <c r="G159" s="544"/>
      <c r="H159" s="544"/>
      <c r="I159" s="544"/>
      <c r="J159" s="544"/>
      <c r="K159" s="544"/>
      <c r="L159" s="544"/>
      <c r="M159" s="544"/>
      <c r="N159" s="544"/>
      <c r="O159" s="544"/>
      <c r="P159" s="544"/>
      <c r="Q159" s="544"/>
      <c r="R159" s="544"/>
      <c r="S159" s="544"/>
      <c r="T159" s="544"/>
      <c r="U159" s="544"/>
    </row>
    <row r="160" spans="1:21" x14ac:dyDescent="0.35">
      <c r="A160" s="544"/>
      <c r="B160" s="544"/>
      <c r="C160" s="544"/>
      <c r="D160" s="708"/>
      <c r="E160" s="544"/>
      <c r="F160" s="544"/>
      <c r="G160" s="544"/>
      <c r="H160" s="544"/>
      <c r="I160" s="544"/>
      <c r="J160" s="544"/>
      <c r="K160" s="544"/>
      <c r="L160" s="544"/>
      <c r="M160" s="544"/>
      <c r="N160" s="544"/>
      <c r="O160" s="544"/>
      <c r="P160" s="544"/>
      <c r="Q160" s="544"/>
      <c r="R160" s="544"/>
      <c r="S160" s="544"/>
      <c r="T160" s="544"/>
      <c r="U160" s="544"/>
    </row>
    <row r="161" spans="1:21" x14ac:dyDescent="0.35">
      <c r="A161" s="544"/>
      <c r="B161" s="544"/>
      <c r="C161" s="544"/>
      <c r="D161" s="708"/>
      <c r="E161" s="544"/>
      <c r="F161" s="544"/>
      <c r="G161" s="544"/>
      <c r="H161" s="544"/>
      <c r="I161" s="544"/>
      <c r="J161" s="544"/>
      <c r="K161" s="544"/>
      <c r="L161" s="544"/>
      <c r="M161" s="544"/>
      <c r="N161" s="544"/>
      <c r="O161" s="544"/>
      <c r="P161" s="544"/>
      <c r="Q161" s="544"/>
      <c r="R161" s="544"/>
      <c r="S161" s="544"/>
      <c r="T161" s="544"/>
      <c r="U161" s="544"/>
    </row>
    <row r="162" spans="1:21" x14ac:dyDescent="0.35">
      <c r="A162" s="544"/>
      <c r="B162" s="544"/>
      <c r="C162" s="544"/>
      <c r="D162" s="708"/>
      <c r="E162" s="544"/>
      <c r="F162" s="544"/>
      <c r="G162" s="544"/>
      <c r="H162" s="544"/>
      <c r="I162" s="544"/>
      <c r="J162" s="544"/>
      <c r="K162" s="544"/>
      <c r="L162" s="544"/>
      <c r="M162" s="544"/>
      <c r="N162" s="544"/>
      <c r="O162" s="544"/>
      <c r="P162" s="544"/>
      <c r="Q162" s="544"/>
      <c r="R162" s="544"/>
      <c r="S162" s="544"/>
      <c r="T162" s="544"/>
      <c r="U162" s="544"/>
    </row>
    <row r="163" spans="1:21" x14ac:dyDescent="0.35">
      <c r="A163" s="544"/>
      <c r="B163" s="544"/>
      <c r="C163" s="544"/>
      <c r="D163" s="708"/>
      <c r="E163" s="544"/>
      <c r="F163" s="544"/>
      <c r="G163" s="544"/>
      <c r="H163" s="544"/>
      <c r="I163" s="544"/>
      <c r="J163" s="544"/>
      <c r="K163" s="544"/>
      <c r="L163" s="544"/>
      <c r="M163" s="544"/>
      <c r="N163" s="544"/>
      <c r="O163" s="544"/>
      <c r="P163" s="544"/>
      <c r="Q163" s="544"/>
      <c r="R163" s="544"/>
      <c r="S163" s="544"/>
      <c r="T163" s="544"/>
      <c r="U163" s="544"/>
    </row>
    <row r="164" spans="1:21" x14ac:dyDescent="0.35">
      <c r="A164" s="544"/>
      <c r="B164" s="544"/>
      <c r="C164" s="544"/>
      <c r="D164" s="708"/>
      <c r="E164" s="544"/>
      <c r="F164" s="544"/>
      <c r="G164" s="544"/>
      <c r="H164" s="544"/>
      <c r="I164" s="544"/>
      <c r="J164" s="544"/>
      <c r="K164" s="544"/>
      <c r="L164" s="544"/>
      <c r="M164" s="544"/>
      <c r="N164" s="544"/>
      <c r="O164" s="544"/>
      <c r="P164" s="544"/>
      <c r="Q164" s="544"/>
      <c r="R164" s="544"/>
      <c r="S164" s="544"/>
      <c r="T164" s="544"/>
      <c r="U164" s="544"/>
    </row>
    <row r="165" spans="1:21" x14ac:dyDescent="0.35">
      <c r="A165" s="544"/>
      <c r="B165" s="544"/>
      <c r="C165" s="544"/>
      <c r="D165" s="708"/>
      <c r="E165" s="544"/>
      <c r="F165" s="544"/>
      <c r="G165" s="544"/>
      <c r="H165" s="544"/>
      <c r="I165" s="544"/>
      <c r="J165" s="544"/>
      <c r="K165" s="544"/>
      <c r="L165" s="544"/>
      <c r="M165" s="544"/>
      <c r="N165" s="544"/>
      <c r="O165" s="544"/>
      <c r="P165" s="544"/>
      <c r="Q165" s="544"/>
      <c r="R165" s="544"/>
      <c r="S165" s="544"/>
      <c r="T165" s="544"/>
      <c r="U165" s="544"/>
    </row>
    <row r="166" spans="1:21" x14ac:dyDescent="0.35">
      <c r="A166" s="544"/>
      <c r="B166" s="544"/>
      <c r="C166" s="544"/>
      <c r="D166" s="708"/>
      <c r="E166" s="544"/>
      <c r="F166" s="544"/>
      <c r="G166" s="544"/>
      <c r="H166" s="544"/>
      <c r="I166" s="544"/>
      <c r="J166" s="544"/>
      <c r="K166" s="544"/>
      <c r="L166" s="544"/>
      <c r="M166" s="544"/>
      <c r="N166" s="544"/>
      <c r="O166" s="544"/>
      <c r="P166" s="544"/>
      <c r="Q166" s="544"/>
      <c r="R166" s="544"/>
      <c r="S166" s="544"/>
      <c r="T166" s="544"/>
      <c r="U166" s="544"/>
    </row>
    <row r="167" spans="1:21" x14ac:dyDescent="0.35">
      <c r="A167" s="544"/>
      <c r="B167" s="544"/>
      <c r="C167" s="544"/>
      <c r="D167" s="708"/>
      <c r="E167" s="544"/>
      <c r="F167" s="544"/>
      <c r="G167" s="544"/>
      <c r="H167" s="544"/>
      <c r="I167" s="544"/>
      <c r="J167" s="544"/>
      <c r="K167" s="544"/>
      <c r="L167" s="544"/>
      <c r="M167" s="544"/>
      <c r="N167" s="544"/>
      <c r="O167" s="544"/>
      <c r="P167" s="544"/>
      <c r="Q167" s="544"/>
      <c r="R167" s="544"/>
      <c r="S167" s="544"/>
      <c r="T167" s="544"/>
      <c r="U167" s="544"/>
    </row>
    <row r="168" spans="1:21" x14ac:dyDescent="0.35">
      <c r="A168" s="544"/>
      <c r="B168" s="544"/>
      <c r="C168" s="544"/>
      <c r="D168" s="708"/>
      <c r="E168" s="544"/>
      <c r="F168" s="544"/>
      <c r="G168" s="544"/>
      <c r="H168" s="544"/>
      <c r="I168" s="544"/>
      <c r="J168" s="544"/>
      <c r="K168" s="544"/>
      <c r="L168" s="544"/>
      <c r="M168" s="544"/>
      <c r="N168" s="544"/>
      <c r="O168" s="544"/>
      <c r="P168" s="544"/>
      <c r="Q168" s="544"/>
      <c r="R168" s="544"/>
      <c r="S168" s="544"/>
      <c r="T168" s="544"/>
      <c r="U168" s="544"/>
    </row>
    <row r="169" spans="1:21" x14ac:dyDescent="0.35">
      <c r="A169" s="544"/>
      <c r="B169" s="544"/>
      <c r="C169" s="544"/>
      <c r="D169" s="708"/>
      <c r="E169" s="544"/>
      <c r="F169" s="544"/>
      <c r="G169" s="544"/>
      <c r="H169" s="544"/>
      <c r="I169" s="544"/>
      <c r="J169" s="544"/>
      <c r="K169" s="544"/>
      <c r="L169" s="544"/>
      <c r="M169" s="544"/>
      <c r="N169" s="544"/>
      <c r="O169" s="544"/>
      <c r="P169" s="544"/>
      <c r="Q169" s="544"/>
      <c r="R169" s="544"/>
      <c r="S169" s="544"/>
      <c r="T169" s="544"/>
      <c r="U169" s="544"/>
    </row>
    <row r="170" spans="1:21" x14ac:dyDescent="0.35">
      <c r="A170" s="544"/>
      <c r="B170" s="544"/>
      <c r="C170" s="544"/>
      <c r="D170" s="708"/>
      <c r="E170" s="544"/>
      <c r="F170" s="544"/>
      <c r="G170" s="544"/>
      <c r="H170" s="544"/>
      <c r="I170" s="544"/>
      <c r="J170" s="544"/>
      <c r="K170" s="544"/>
      <c r="L170" s="544"/>
      <c r="M170" s="544"/>
      <c r="N170" s="544"/>
      <c r="O170" s="544"/>
      <c r="P170" s="544"/>
      <c r="Q170" s="544"/>
      <c r="R170" s="544"/>
      <c r="S170" s="544"/>
      <c r="T170" s="544"/>
      <c r="U170" s="544"/>
    </row>
    <row r="171" spans="1:21" x14ac:dyDescent="0.35">
      <c r="A171" s="544"/>
      <c r="B171" s="544"/>
      <c r="C171" s="544"/>
      <c r="D171" s="708"/>
      <c r="E171" s="544"/>
      <c r="F171" s="544"/>
      <c r="G171" s="544"/>
      <c r="H171" s="544"/>
      <c r="I171" s="544"/>
      <c r="J171" s="544"/>
      <c r="K171" s="544"/>
      <c r="L171" s="544"/>
      <c r="M171" s="544"/>
      <c r="N171" s="544"/>
      <c r="O171" s="544"/>
      <c r="P171" s="544"/>
      <c r="Q171" s="544"/>
      <c r="R171" s="544"/>
      <c r="S171" s="544"/>
      <c r="T171" s="544"/>
      <c r="U171" s="544"/>
    </row>
    <row r="172" spans="1:21" x14ac:dyDescent="0.35">
      <c r="A172" s="544"/>
      <c r="B172" s="544"/>
      <c r="C172" s="544"/>
      <c r="D172" s="708"/>
      <c r="E172" s="544"/>
      <c r="F172" s="544"/>
      <c r="G172" s="544"/>
      <c r="H172" s="544"/>
      <c r="I172" s="544"/>
      <c r="J172" s="544"/>
      <c r="K172" s="544"/>
      <c r="L172" s="544"/>
      <c r="M172" s="544"/>
      <c r="N172" s="544"/>
      <c r="O172" s="544"/>
      <c r="P172" s="544"/>
      <c r="Q172" s="544"/>
      <c r="R172" s="544"/>
      <c r="S172" s="544"/>
      <c r="T172" s="544"/>
      <c r="U172" s="544"/>
    </row>
    <row r="173" spans="1:21" x14ac:dyDescent="0.35">
      <c r="A173" s="544"/>
      <c r="B173" s="544"/>
      <c r="C173" s="544"/>
      <c r="D173" s="708"/>
      <c r="E173" s="544"/>
      <c r="F173" s="544"/>
      <c r="G173" s="544"/>
      <c r="H173" s="544"/>
      <c r="I173" s="544"/>
      <c r="J173" s="544"/>
      <c r="K173" s="544"/>
      <c r="L173" s="544"/>
      <c r="M173" s="544"/>
      <c r="N173" s="544"/>
      <c r="O173" s="544"/>
      <c r="P173" s="544"/>
      <c r="Q173" s="544"/>
      <c r="R173" s="544"/>
      <c r="S173" s="544"/>
      <c r="T173" s="544"/>
      <c r="U173" s="544"/>
    </row>
    <row r="174" spans="1:21" x14ac:dyDescent="0.35">
      <c r="A174" s="544"/>
      <c r="B174" s="544"/>
      <c r="C174" s="544"/>
      <c r="D174" s="708"/>
      <c r="E174" s="544"/>
      <c r="F174" s="544"/>
      <c r="G174" s="544"/>
      <c r="H174" s="544"/>
      <c r="I174" s="544"/>
      <c r="J174" s="544"/>
      <c r="K174" s="544"/>
      <c r="L174" s="544"/>
      <c r="M174" s="544"/>
      <c r="N174" s="544"/>
      <c r="O174" s="544"/>
      <c r="P174" s="544"/>
      <c r="Q174" s="544"/>
      <c r="R174" s="544"/>
      <c r="S174" s="544"/>
      <c r="T174" s="544"/>
      <c r="U174" s="544"/>
    </row>
    <row r="175" spans="1:21" x14ac:dyDescent="0.35">
      <c r="A175" s="544"/>
      <c r="B175" s="544"/>
      <c r="C175" s="544"/>
      <c r="D175" s="708"/>
      <c r="E175" s="544"/>
      <c r="F175" s="544"/>
      <c r="G175" s="544"/>
      <c r="H175" s="544"/>
      <c r="I175" s="544"/>
      <c r="J175" s="544"/>
      <c r="K175" s="544"/>
      <c r="L175" s="544"/>
      <c r="M175" s="544"/>
      <c r="N175" s="544"/>
      <c r="O175" s="544"/>
      <c r="P175" s="544"/>
      <c r="Q175" s="544"/>
      <c r="R175" s="544"/>
      <c r="S175" s="544"/>
      <c r="T175" s="544"/>
      <c r="U175" s="544"/>
    </row>
    <row r="176" spans="1:21" x14ac:dyDescent="0.35">
      <c r="A176" s="544"/>
      <c r="B176" s="544"/>
      <c r="C176" s="544"/>
      <c r="D176" s="708"/>
      <c r="E176" s="544"/>
      <c r="F176" s="544"/>
      <c r="G176" s="544"/>
      <c r="H176" s="544"/>
      <c r="I176" s="544"/>
      <c r="J176" s="544"/>
      <c r="K176" s="544"/>
      <c r="L176" s="544"/>
      <c r="M176" s="544"/>
      <c r="N176" s="544"/>
      <c r="O176" s="544"/>
      <c r="P176" s="544"/>
      <c r="Q176" s="544"/>
      <c r="R176" s="544"/>
      <c r="S176" s="544"/>
      <c r="T176" s="544"/>
      <c r="U176" s="544"/>
    </row>
    <row r="177" spans="1:21" x14ac:dyDescent="0.35">
      <c r="A177" s="544"/>
      <c r="B177" s="544"/>
      <c r="C177" s="544"/>
      <c r="D177" s="708"/>
      <c r="E177" s="544"/>
      <c r="F177" s="544"/>
      <c r="G177" s="544"/>
      <c r="H177" s="544"/>
      <c r="I177" s="544"/>
      <c r="J177" s="544"/>
      <c r="K177" s="544"/>
      <c r="L177" s="544"/>
      <c r="M177" s="544"/>
      <c r="N177" s="544"/>
      <c r="O177" s="544"/>
      <c r="P177" s="544"/>
      <c r="Q177" s="544"/>
      <c r="R177" s="544"/>
      <c r="S177" s="544"/>
      <c r="T177" s="544"/>
      <c r="U177" s="544"/>
    </row>
    <row r="178" spans="1:21" x14ac:dyDescent="0.35">
      <c r="A178" s="544"/>
      <c r="B178" s="544"/>
      <c r="C178" s="544"/>
      <c r="D178" s="708"/>
      <c r="E178" s="544"/>
      <c r="F178" s="544"/>
      <c r="G178" s="544"/>
      <c r="H178" s="544"/>
      <c r="I178" s="544"/>
      <c r="J178" s="544"/>
      <c r="K178" s="544"/>
      <c r="L178" s="544"/>
      <c r="M178" s="544"/>
      <c r="N178" s="544"/>
      <c r="O178" s="544"/>
      <c r="P178" s="544"/>
      <c r="Q178" s="544"/>
      <c r="R178" s="544"/>
      <c r="S178" s="544"/>
      <c r="T178" s="544"/>
      <c r="U178" s="544"/>
    </row>
    <row r="179" spans="1:21" x14ac:dyDescent="0.35">
      <c r="A179" s="544"/>
      <c r="B179" s="544"/>
      <c r="C179" s="544"/>
      <c r="D179" s="708"/>
      <c r="E179" s="544"/>
      <c r="F179" s="544"/>
      <c r="G179" s="544"/>
      <c r="H179" s="544"/>
      <c r="I179" s="544"/>
      <c r="J179" s="544"/>
      <c r="K179" s="544"/>
      <c r="L179" s="544"/>
      <c r="M179" s="544"/>
      <c r="N179" s="544"/>
      <c r="O179" s="544"/>
      <c r="P179" s="544"/>
      <c r="Q179" s="544"/>
      <c r="R179" s="544"/>
      <c r="S179" s="544"/>
      <c r="T179" s="544"/>
      <c r="U179" s="544"/>
    </row>
    <row r="180" spans="1:21" x14ac:dyDescent="0.35">
      <c r="A180" s="544"/>
      <c r="B180" s="544"/>
      <c r="C180" s="544"/>
      <c r="D180" s="708"/>
      <c r="E180" s="544"/>
      <c r="F180" s="544"/>
      <c r="G180" s="544"/>
      <c r="H180" s="544"/>
      <c r="I180" s="544"/>
      <c r="J180" s="544"/>
      <c r="K180" s="544"/>
      <c r="L180" s="544"/>
      <c r="M180" s="544"/>
      <c r="N180" s="544"/>
      <c r="O180" s="544"/>
      <c r="P180" s="544"/>
      <c r="Q180" s="544"/>
      <c r="R180" s="544"/>
      <c r="S180" s="544"/>
      <c r="T180" s="544"/>
      <c r="U180" s="544"/>
    </row>
    <row r="181" spans="1:21" x14ac:dyDescent="0.35">
      <c r="A181" s="544"/>
      <c r="B181" s="544"/>
      <c r="C181" s="544"/>
      <c r="D181" s="708"/>
      <c r="E181" s="544"/>
      <c r="F181" s="544"/>
      <c r="G181" s="544"/>
      <c r="H181" s="544"/>
      <c r="I181" s="544"/>
      <c r="J181" s="544"/>
      <c r="K181" s="544"/>
      <c r="L181" s="544"/>
      <c r="M181" s="544"/>
      <c r="N181" s="544"/>
      <c r="O181" s="544"/>
      <c r="P181" s="544"/>
      <c r="Q181" s="544"/>
      <c r="R181" s="544"/>
      <c r="S181" s="544"/>
      <c r="T181" s="544"/>
      <c r="U181" s="544"/>
    </row>
    <row r="182" spans="1:21" x14ac:dyDescent="0.35">
      <c r="A182" s="544"/>
      <c r="B182" s="544"/>
      <c r="C182" s="544"/>
      <c r="D182" s="708"/>
      <c r="E182" s="544"/>
      <c r="F182" s="544"/>
      <c r="G182" s="544"/>
      <c r="H182" s="544"/>
      <c r="I182" s="544"/>
      <c r="J182" s="544"/>
      <c r="K182" s="544"/>
      <c r="L182" s="544"/>
      <c r="M182" s="544"/>
      <c r="N182" s="544"/>
      <c r="O182" s="544"/>
      <c r="P182" s="544"/>
      <c r="Q182" s="544"/>
      <c r="R182" s="544"/>
      <c r="S182" s="544"/>
      <c r="T182" s="544"/>
      <c r="U182" s="544"/>
    </row>
    <row r="183" spans="1:21" x14ac:dyDescent="0.35">
      <c r="A183" s="544"/>
      <c r="B183" s="544"/>
      <c r="C183" s="544"/>
      <c r="D183" s="708"/>
      <c r="E183" s="544"/>
      <c r="F183" s="544"/>
      <c r="G183" s="544"/>
      <c r="H183" s="544"/>
      <c r="I183" s="544"/>
      <c r="J183" s="544"/>
      <c r="K183" s="544"/>
      <c r="L183" s="544"/>
      <c r="M183" s="544"/>
      <c r="N183" s="544"/>
      <c r="O183" s="544"/>
      <c r="P183" s="544"/>
      <c r="Q183" s="544"/>
      <c r="R183" s="544"/>
      <c r="S183" s="544"/>
      <c r="T183" s="544"/>
      <c r="U183" s="544"/>
    </row>
    <row r="184" spans="1:21" x14ac:dyDescent="0.35">
      <c r="A184" s="544"/>
      <c r="B184" s="544"/>
      <c r="C184" s="544"/>
      <c r="D184" s="708"/>
      <c r="E184" s="544"/>
      <c r="F184" s="544"/>
      <c r="G184" s="544"/>
      <c r="H184" s="544"/>
      <c r="I184" s="544"/>
      <c r="J184" s="544"/>
      <c r="K184" s="544"/>
      <c r="L184" s="544"/>
      <c r="M184" s="544"/>
      <c r="N184" s="544"/>
      <c r="O184" s="544"/>
      <c r="P184" s="544"/>
      <c r="Q184" s="544"/>
      <c r="R184" s="544"/>
      <c r="S184" s="544"/>
      <c r="T184" s="544"/>
      <c r="U184" s="544"/>
    </row>
    <row r="185" spans="1:21" x14ac:dyDescent="0.35">
      <c r="A185" s="544"/>
      <c r="B185" s="544"/>
      <c r="C185" s="544"/>
      <c r="D185" s="708"/>
      <c r="E185" s="544"/>
      <c r="F185" s="544"/>
      <c r="G185" s="544"/>
      <c r="H185" s="544"/>
      <c r="I185" s="544"/>
      <c r="J185" s="544"/>
      <c r="K185" s="544"/>
      <c r="L185" s="544"/>
      <c r="M185" s="544"/>
      <c r="N185" s="544"/>
      <c r="O185" s="544"/>
      <c r="P185" s="544"/>
      <c r="Q185" s="544"/>
      <c r="R185" s="544"/>
      <c r="S185" s="544"/>
      <c r="T185" s="544"/>
      <c r="U185" s="544"/>
    </row>
    <row r="186" spans="1:21" x14ac:dyDescent="0.35">
      <c r="A186" s="544"/>
      <c r="B186" s="544"/>
      <c r="C186" s="544"/>
      <c r="D186" s="708"/>
      <c r="E186" s="544"/>
      <c r="F186" s="544"/>
      <c r="G186" s="544"/>
      <c r="H186" s="544"/>
      <c r="I186" s="544"/>
      <c r="J186" s="544"/>
      <c r="K186" s="544"/>
      <c r="L186" s="544"/>
      <c r="M186" s="544"/>
      <c r="N186" s="544"/>
      <c r="O186" s="544"/>
      <c r="P186" s="544"/>
      <c r="Q186" s="544"/>
      <c r="R186" s="544"/>
      <c r="S186" s="544"/>
      <c r="T186" s="544"/>
      <c r="U186" s="544"/>
    </row>
    <row r="187" spans="1:21" x14ac:dyDescent="0.35">
      <c r="A187" s="544"/>
      <c r="B187" s="544"/>
      <c r="C187" s="544"/>
      <c r="D187" s="708"/>
      <c r="E187" s="544"/>
      <c r="F187" s="544"/>
      <c r="G187" s="544"/>
      <c r="H187" s="544"/>
      <c r="I187" s="544"/>
      <c r="J187" s="544"/>
      <c r="K187" s="544"/>
      <c r="L187" s="544"/>
      <c r="M187" s="544"/>
      <c r="N187" s="544"/>
      <c r="O187" s="544"/>
      <c r="P187" s="544"/>
      <c r="Q187" s="544"/>
      <c r="R187" s="544"/>
      <c r="S187" s="544"/>
      <c r="T187" s="544"/>
      <c r="U187" s="544"/>
    </row>
    <row r="188" spans="1:21" x14ac:dyDescent="0.35">
      <c r="A188" s="544"/>
      <c r="B188" s="544"/>
      <c r="C188" s="544"/>
      <c r="D188" s="708"/>
      <c r="E188" s="544"/>
      <c r="F188" s="544"/>
      <c r="G188" s="544"/>
      <c r="H188" s="544"/>
      <c r="I188" s="544"/>
      <c r="J188" s="544"/>
      <c r="K188" s="544"/>
      <c r="L188" s="544"/>
      <c r="M188" s="544"/>
      <c r="N188" s="544"/>
      <c r="O188" s="544"/>
      <c r="P188" s="544"/>
      <c r="Q188" s="544"/>
      <c r="R188" s="544"/>
      <c r="S188" s="544"/>
      <c r="T188" s="544"/>
      <c r="U188" s="544"/>
    </row>
    <row r="189" spans="1:21" x14ac:dyDescent="0.35">
      <c r="A189" s="544"/>
      <c r="B189" s="544"/>
      <c r="C189" s="544"/>
      <c r="D189" s="708"/>
      <c r="E189" s="544"/>
      <c r="F189" s="544"/>
      <c r="G189" s="544"/>
      <c r="H189" s="544"/>
      <c r="I189" s="544"/>
      <c r="J189" s="544"/>
      <c r="K189" s="544"/>
      <c r="L189" s="544"/>
      <c r="M189" s="544"/>
      <c r="N189" s="544"/>
      <c r="O189" s="544"/>
      <c r="P189" s="544"/>
      <c r="Q189" s="544"/>
      <c r="R189" s="544"/>
      <c r="S189" s="544"/>
      <c r="T189" s="544"/>
      <c r="U189" s="544"/>
    </row>
    <row r="190" spans="1:21" x14ac:dyDescent="0.35">
      <c r="A190" s="544"/>
      <c r="B190" s="544"/>
      <c r="C190" s="544"/>
      <c r="D190" s="708"/>
      <c r="E190" s="544"/>
      <c r="F190" s="544"/>
      <c r="G190" s="544"/>
      <c r="H190" s="544"/>
      <c r="I190" s="544"/>
      <c r="J190" s="544"/>
      <c r="K190" s="544"/>
      <c r="L190" s="544"/>
      <c r="M190" s="544"/>
      <c r="N190" s="544"/>
      <c r="O190" s="544"/>
      <c r="P190" s="544"/>
      <c r="Q190" s="544"/>
      <c r="R190" s="544"/>
      <c r="S190" s="544"/>
      <c r="T190" s="544"/>
      <c r="U190" s="544"/>
    </row>
    <row r="191" spans="1:21" x14ac:dyDescent="0.35">
      <c r="A191" s="544"/>
      <c r="B191" s="544"/>
      <c r="C191" s="544"/>
      <c r="D191" s="708"/>
      <c r="E191" s="544"/>
      <c r="F191" s="544"/>
      <c r="G191" s="544"/>
      <c r="H191" s="544"/>
      <c r="I191" s="544"/>
      <c r="J191" s="544"/>
      <c r="K191" s="544"/>
      <c r="L191" s="544"/>
      <c r="M191" s="544"/>
      <c r="N191" s="544"/>
      <c r="O191" s="544"/>
      <c r="P191" s="544"/>
      <c r="Q191" s="544"/>
      <c r="R191" s="544"/>
      <c r="S191" s="544"/>
      <c r="T191" s="544"/>
      <c r="U191" s="544"/>
    </row>
    <row r="192" spans="1:21" x14ac:dyDescent="0.35">
      <c r="A192" s="544"/>
      <c r="B192" s="544"/>
      <c r="C192" s="544"/>
      <c r="D192" s="708"/>
      <c r="E192" s="544"/>
      <c r="F192" s="544"/>
      <c r="G192" s="544"/>
      <c r="H192" s="544"/>
      <c r="I192" s="544"/>
      <c r="J192" s="544"/>
      <c r="K192" s="544"/>
      <c r="L192" s="544"/>
      <c r="M192" s="544"/>
      <c r="N192" s="544"/>
      <c r="O192" s="544"/>
      <c r="P192" s="544"/>
      <c r="Q192" s="544"/>
      <c r="R192" s="544"/>
      <c r="S192" s="544"/>
      <c r="T192" s="544"/>
      <c r="U192" s="544"/>
    </row>
    <row r="193" spans="1:21" x14ac:dyDescent="0.35">
      <c r="A193" s="544"/>
      <c r="B193" s="544"/>
      <c r="C193" s="544"/>
      <c r="D193" s="708"/>
      <c r="E193" s="544"/>
      <c r="F193" s="544"/>
      <c r="G193" s="544"/>
      <c r="H193" s="544"/>
      <c r="I193" s="544"/>
      <c r="J193" s="544"/>
      <c r="K193" s="544"/>
      <c r="L193" s="544"/>
      <c r="M193" s="544"/>
      <c r="N193" s="544"/>
      <c r="O193" s="544"/>
      <c r="P193" s="544"/>
      <c r="Q193" s="544"/>
      <c r="R193" s="544"/>
      <c r="S193" s="544"/>
      <c r="T193" s="544"/>
      <c r="U193" s="544"/>
    </row>
    <row r="194" spans="1:21" x14ac:dyDescent="0.35">
      <c r="A194" s="544"/>
      <c r="B194" s="544"/>
      <c r="C194" s="544"/>
      <c r="D194" s="708"/>
      <c r="E194" s="544"/>
      <c r="F194" s="544"/>
      <c r="G194" s="544"/>
      <c r="H194" s="544"/>
      <c r="I194" s="544"/>
      <c r="J194" s="544"/>
      <c r="K194" s="544"/>
      <c r="L194" s="544"/>
      <c r="M194" s="544"/>
      <c r="N194" s="544"/>
      <c r="O194" s="544"/>
      <c r="P194" s="544"/>
      <c r="Q194" s="544"/>
      <c r="R194" s="544"/>
      <c r="S194" s="544"/>
      <c r="T194" s="544"/>
      <c r="U194" s="544"/>
    </row>
    <row r="195" spans="1:21" x14ac:dyDescent="0.35">
      <c r="A195" s="544"/>
      <c r="B195" s="544"/>
      <c r="C195" s="544"/>
      <c r="D195" s="708"/>
      <c r="E195" s="544"/>
      <c r="F195" s="544"/>
      <c r="G195" s="544"/>
      <c r="H195" s="544"/>
      <c r="I195" s="544"/>
      <c r="J195" s="544"/>
      <c r="K195" s="544"/>
      <c r="L195" s="544"/>
      <c r="M195" s="544"/>
      <c r="N195" s="544"/>
      <c r="O195" s="544"/>
      <c r="P195" s="544"/>
      <c r="Q195" s="544"/>
      <c r="R195" s="544"/>
      <c r="S195" s="544"/>
      <c r="T195" s="544"/>
      <c r="U195" s="544"/>
    </row>
    <row r="196" spans="1:21" x14ac:dyDescent="0.35">
      <c r="A196" s="544"/>
      <c r="B196" s="544"/>
      <c r="C196" s="544"/>
      <c r="D196" s="708"/>
      <c r="E196" s="544"/>
      <c r="F196" s="544"/>
      <c r="G196" s="544"/>
      <c r="H196" s="544"/>
      <c r="I196" s="544"/>
      <c r="J196" s="544"/>
      <c r="K196" s="544"/>
      <c r="L196" s="544"/>
      <c r="M196" s="544"/>
      <c r="N196" s="544"/>
      <c r="O196" s="544"/>
      <c r="P196" s="544"/>
      <c r="Q196" s="544"/>
      <c r="R196" s="544"/>
      <c r="S196" s="544"/>
      <c r="T196" s="544"/>
      <c r="U196" s="544"/>
    </row>
    <row r="197" spans="1:21" x14ac:dyDescent="0.35">
      <c r="A197" s="544"/>
      <c r="B197" s="544"/>
      <c r="C197" s="544"/>
      <c r="D197" s="708"/>
      <c r="E197" s="544"/>
      <c r="F197" s="544"/>
      <c r="G197" s="544"/>
      <c r="H197" s="544"/>
      <c r="I197" s="544"/>
      <c r="J197" s="544"/>
      <c r="K197" s="544"/>
      <c r="L197" s="544"/>
      <c r="M197" s="544"/>
      <c r="N197" s="544"/>
      <c r="O197" s="544"/>
      <c r="P197" s="544"/>
      <c r="Q197" s="544"/>
      <c r="R197" s="544"/>
      <c r="S197" s="544"/>
      <c r="T197" s="544"/>
      <c r="U197" s="544"/>
    </row>
    <row r="198" spans="1:21" x14ac:dyDescent="0.35">
      <c r="A198" s="544"/>
      <c r="B198" s="544"/>
      <c r="C198" s="544"/>
      <c r="D198" s="708"/>
      <c r="E198" s="544"/>
      <c r="F198" s="544"/>
      <c r="G198" s="544"/>
      <c r="H198" s="544"/>
      <c r="I198" s="544"/>
      <c r="J198" s="544"/>
      <c r="K198" s="544"/>
      <c r="L198" s="544"/>
      <c r="M198" s="544"/>
      <c r="N198" s="544"/>
      <c r="O198" s="544"/>
      <c r="P198" s="544"/>
      <c r="Q198" s="544"/>
      <c r="R198" s="544"/>
      <c r="S198" s="544"/>
      <c r="T198" s="544"/>
      <c r="U198" s="544"/>
    </row>
    <row r="199" spans="1:21" x14ac:dyDescent="0.35">
      <c r="A199" s="544"/>
      <c r="B199" s="544"/>
      <c r="C199" s="544"/>
      <c r="D199" s="708"/>
      <c r="E199" s="544"/>
      <c r="F199" s="544"/>
      <c r="G199" s="544"/>
      <c r="H199" s="544"/>
      <c r="I199" s="544"/>
      <c r="J199" s="544"/>
      <c r="K199" s="544"/>
      <c r="L199" s="544"/>
      <c r="M199" s="544"/>
      <c r="N199" s="544"/>
      <c r="O199" s="544"/>
      <c r="P199" s="544"/>
      <c r="Q199" s="544"/>
      <c r="R199" s="544"/>
      <c r="S199" s="544"/>
      <c r="T199" s="544"/>
      <c r="U199" s="544"/>
    </row>
    <row r="200" spans="1:21" x14ac:dyDescent="0.35">
      <c r="A200" s="544"/>
      <c r="B200" s="544"/>
      <c r="C200" s="544"/>
      <c r="D200" s="708"/>
      <c r="E200" s="544"/>
      <c r="F200" s="544"/>
      <c r="G200" s="544"/>
      <c r="H200" s="544"/>
      <c r="I200" s="544"/>
      <c r="J200" s="544"/>
      <c r="K200" s="544"/>
      <c r="L200" s="544"/>
      <c r="M200" s="544"/>
      <c r="N200" s="544"/>
      <c r="O200" s="544"/>
      <c r="P200" s="544"/>
      <c r="Q200" s="544"/>
      <c r="R200" s="544"/>
      <c r="S200" s="544"/>
      <c r="T200" s="544"/>
      <c r="U200" s="544"/>
    </row>
    <row r="201" spans="1:21" x14ac:dyDescent="0.35">
      <c r="A201" s="544"/>
      <c r="B201" s="544"/>
      <c r="C201" s="544"/>
      <c r="D201" s="708"/>
      <c r="E201" s="544"/>
      <c r="F201" s="544"/>
      <c r="G201" s="544"/>
      <c r="H201" s="544"/>
      <c r="I201" s="544"/>
      <c r="J201" s="544"/>
      <c r="K201" s="544"/>
      <c r="L201" s="544"/>
      <c r="M201" s="544"/>
      <c r="N201" s="544"/>
      <c r="O201" s="544"/>
      <c r="P201" s="544"/>
      <c r="Q201" s="544"/>
      <c r="R201" s="544"/>
      <c r="S201" s="544"/>
      <c r="T201" s="544"/>
      <c r="U201" s="544"/>
    </row>
    <row r="202" spans="1:21" x14ac:dyDescent="0.35">
      <c r="A202" s="544"/>
      <c r="B202" s="544"/>
      <c r="C202" s="544"/>
      <c r="D202" s="708"/>
      <c r="E202" s="544"/>
      <c r="F202" s="544"/>
      <c r="G202" s="544"/>
      <c r="H202" s="544"/>
      <c r="I202" s="544"/>
      <c r="J202" s="544"/>
      <c r="K202" s="544"/>
      <c r="L202" s="544"/>
      <c r="M202" s="544"/>
      <c r="N202" s="544"/>
      <c r="O202" s="544"/>
      <c r="P202" s="544"/>
      <c r="Q202" s="544"/>
      <c r="R202" s="544"/>
      <c r="S202" s="544"/>
      <c r="T202" s="544"/>
      <c r="U202" s="544"/>
    </row>
    <row r="203" spans="1:21" x14ac:dyDescent="0.35">
      <c r="A203" s="544"/>
      <c r="B203" s="544"/>
      <c r="C203" s="544"/>
      <c r="D203" s="708"/>
      <c r="E203" s="544"/>
      <c r="F203" s="544"/>
      <c r="G203" s="544"/>
      <c r="H203" s="544"/>
      <c r="I203" s="544"/>
      <c r="J203" s="544"/>
      <c r="K203" s="544"/>
      <c r="L203" s="544"/>
      <c r="M203" s="544"/>
      <c r="N203" s="544"/>
      <c r="O203" s="544"/>
      <c r="P203" s="544"/>
      <c r="Q203" s="544"/>
      <c r="R203" s="544"/>
      <c r="S203" s="544"/>
      <c r="T203" s="544"/>
      <c r="U203" s="544"/>
    </row>
    <row r="204" spans="1:21" x14ac:dyDescent="0.35">
      <c r="A204" s="544"/>
      <c r="B204" s="544"/>
      <c r="C204" s="544"/>
      <c r="D204" s="708"/>
      <c r="E204" s="544"/>
      <c r="F204" s="544"/>
      <c r="G204" s="544"/>
      <c r="H204" s="544"/>
      <c r="I204" s="544"/>
      <c r="J204" s="544"/>
      <c r="K204" s="544"/>
      <c r="L204" s="544"/>
      <c r="M204" s="544"/>
      <c r="N204" s="544"/>
      <c r="O204" s="544"/>
      <c r="P204" s="544"/>
      <c r="Q204" s="544"/>
      <c r="R204" s="544"/>
      <c r="S204" s="544"/>
      <c r="T204" s="544"/>
      <c r="U204" s="544"/>
    </row>
    <row r="205" spans="1:21" x14ac:dyDescent="0.35">
      <c r="A205" s="544"/>
      <c r="B205" s="544"/>
      <c r="C205" s="544"/>
      <c r="D205" s="708"/>
      <c r="E205" s="544"/>
      <c r="F205" s="544"/>
      <c r="G205" s="544"/>
      <c r="H205" s="544"/>
      <c r="I205" s="544"/>
      <c r="J205" s="544"/>
      <c r="K205" s="544"/>
      <c r="L205" s="544"/>
      <c r="M205" s="544"/>
      <c r="N205" s="544"/>
      <c r="O205" s="544"/>
      <c r="P205" s="544"/>
      <c r="Q205" s="544"/>
      <c r="R205" s="544"/>
      <c r="S205" s="544"/>
      <c r="T205" s="544"/>
      <c r="U205" s="544"/>
    </row>
    <row r="206" spans="1:21" x14ac:dyDescent="0.35">
      <c r="A206" s="544"/>
      <c r="B206" s="544"/>
      <c r="C206" s="544"/>
      <c r="D206" s="708"/>
      <c r="E206" s="544"/>
      <c r="F206" s="544"/>
      <c r="G206" s="544"/>
      <c r="H206" s="544"/>
      <c r="I206" s="544"/>
      <c r="J206" s="544"/>
      <c r="K206" s="544"/>
      <c r="L206" s="544"/>
      <c r="M206" s="544"/>
      <c r="N206" s="544"/>
      <c r="O206" s="544"/>
      <c r="P206" s="544"/>
      <c r="Q206" s="544"/>
      <c r="R206" s="544"/>
      <c r="S206" s="544"/>
      <c r="T206" s="544"/>
      <c r="U206" s="544"/>
    </row>
    <row r="207" spans="1:21" x14ac:dyDescent="0.35">
      <c r="A207" s="544"/>
      <c r="B207" s="544"/>
      <c r="C207" s="544"/>
      <c r="D207" s="708"/>
      <c r="E207" s="544"/>
      <c r="F207" s="544"/>
      <c r="G207" s="544"/>
      <c r="H207" s="544"/>
      <c r="I207" s="544"/>
      <c r="J207" s="544"/>
      <c r="K207" s="544"/>
      <c r="L207" s="544"/>
      <c r="M207" s="544"/>
      <c r="N207" s="544"/>
      <c r="O207" s="544"/>
      <c r="P207" s="544"/>
      <c r="Q207" s="544"/>
      <c r="R207" s="544"/>
      <c r="S207" s="544"/>
      <c r="T207" s="544"/>
      <c r="U207" s="544"/>
    </row>
    <row r="208" spans="1:21" x14ac:dyDescent="0.35">
      <c r="A208" s="544"/>
      <c r="B208" s="544"/>
      <c r="C208" s="544"/>
      <c r="D208" s="708"/>
      <c r="E208" s="544"/>
      <c r="F208" s="544"/>
      <c r="G208" s="544"/>
      <c r="H208" s="544"/>
      <c r="I208" s="544"/>
      <c r="J208" s="544"/>
      <c r="K208" s="544"/>
      <c r="L208" s="544"/>
      <c r="M208" s="544"/>
      <c r="N208" s="544"/>
      <c r="O208" s="544"/>
      <c r="P208" s="544"/>
      <c r="Q208" s="544"/>
      <c r="R208" s="544"/>
      <c r="S208" s="544"/>
      <c r="T208" s="544"/>
      <c r="U208" s="544"/>
    </row>
    <row r="209" spans="1:21" x14ac:dyDescent="0.35">
      <c r="A209" s="544"/>
      <c r="B209" s="544"/>
      <c r="C209" s="544"/>
      <c r="D209" s="708"/>
      <c r="E209" s="544"/>
      <c r="F209" s="544"/>
      <c r="G209" s="544"/>
      <c r="H209" s="544"/>
      <c r="I209" s="544"/>
      <c r="J209" s="544"/>
      <c r="K209" s="544"/>
      <c r="L209" s="544"/>
      <c r="M209" s="544"/>
      <c r="N209" s="544"/>
      <c r="O209" s="544"/>
      <c r="P209" s="544"/>
      <c r="Q209" s="544"/>
      <c r="R209" s="544"/>
      <c r="S209" s="544"/>
      <c r="T209" s="544"/>
      <c r="U209" s="544"/>
    </row>
    <row r="210" spans="1:21" x14ac:dyDescent="0.35">
      <c r="A210" s="544"/>
      <c r="B210" s="544"/>
      <c r="C210" s="544"/>
      <c r="D210" s="708"/>
      <c r="E210" s="544"/>
      <c r="F210" s="544"/>
      <c r="G210" s="544"/>
      <c r="H210" s="544"/>
      <c r="I210" s="544"/>
      <c r="J210" s="544"/>
      <c r="K210" s="544"/>
      <c r="L210" s="544"/>
      <c r="M210" s="544"/>
      <c r="N210" s="544"/>
      <c r="O210" s="544"/>
      <c r="P210" s="544"/>
      <c r="Q210" s="544"/>
      <c r="R210" s="544"/>
      <c r="S210" s="544"/>
      <c r="T210" s="544"/>
      <c r="U210" s="544"/>
    </row>
    <row r="211" spans="1:21" x14ac:dyDescent="0.35">
      <c r="A211" s="544"/>
      <c r="B211" s="544"/>
      <c r="C211" s="544"/>
      <c r="D211" s="708"/>
      <c r="E211" s="544"/>
      <c r="F211" s="544"/>
      <c r="G211" s="544"/>
      <c r="H211" s="544"/>
      <c r="I211" s="544"/>
      <c r="J211" s="544"/>
      <c r="K211" s="544"/>
      <c r="L211" s="544"/>
      <c r="M211" s="544"/>
      <c r="N211" s="544"/>
      <c r="O211" s="544"/>
      <c r="P211" s="544"/>
      <c r="Q211" s="544"/>
      <c r="R211" s="544"/>
      <c r="S211" s="544"/>
      <c r="T211" s="544"/>
      <c r="U211" s="544"/>
    </row>
    <row r="212" spans="1:21" x14ac:dyDescent="0.35">
      <c r="A212" s="544"/>
      <c r="B212" s="544"/>
      <c r="C212" s="544"/>
      <c r="D212" s="708"/>
      <c r="E212" s="544"/>
      <c r="F212" s="544"/>
      <c r="G212" s="544"/>
      <c r="H212" s="544"/>
      <c r="I212" s="544"/>
      <c r="J212" s="544"/>
      <c r="K212" s="544"/>
      <c r="L212" s="544"/>
      <c r="M212" s="544"/>
      <c r="N212" s="544"/>
      <c r="O212" s="544"/>
      <c r="P212" s="544"/>
      <c r="Q212" s="544"/>
      <c r="R212" s="544"/>
      <c r="S212" s="544"/>
      <c r="T212" s="544"/>
      <c r="U212" s="544"/>
    </row>
    <row r="213" spans="1:21" x14ac:dyDescent="0.35">
      <c r="A213" s="544"/>
      <c r="B213" s="544"/>
      <c r="C213" s="544"/>
      <c r="D213" s="708"/>
      <c r="E213" s="544"/>
      <c r="F213" s="544"/>
      <c r="G213" s="544"/>
      <c r="H213" s="544"/>
      <c r="I213" s="544"/>
      <c r="J213" s="544"/>
      <c r="K213" s="544"/>
      <c r="L213" s="544"/>
      <c r="M213" s="544"/>
      <c r="N213" s="544"/>
      <c r="O213" s="544"/>
      <c r="P213" s="544"/>
      <c r="Q213" s="544"/>
      <c r="R213" s="544"/>
      <c r="S213" s="544"/>
      <c r="T213" s="544"/>
      <c r="U213" s="544"/>
    </row>
    <row r="214" spans="1:21" x14ac:dyDescent="0.35">
      <c r="A214" s="544"/>
      <c r="B214" s="544"/>
      <c r="C214" s="544"/>
      <c r="D214" s="708"/>
      <c r="E214" s="544"/>
      <c r="F214" s="544"/>
      <c r="G214" s="544"/>
      <c r="H214" s="544"/>
      <c r="I214" s="544"/>
      <c r="J214" s="544"/>
      <c r="K214" s="544"/>
      <c r="L214" s="544"/>
      <c r="M214" s="544"/>
      <c r="N214" s="544"/>
      <c r="O214" s="544"/>
      <c r="P214" s="544"/>
      <c r="Q214" s="544"/>
      <c r="R214" s="544"/>
      <c r="S214" s="544"/>
      <c r="T214" s="544"/>
      <c r="U214" s="544"/>
    </row>
    <row r="215" spans="1:21" x14ac:dyDescent="0.35">
      <c r="A215" s="544"/>
      <c r="B215" s="544"/>
      <c r="C215" s="544"/>
      <c r="D215" s="708"/>
      <c r="E215" s="544"/>
      <c r="F215" s="544"/>
      <c r="G215" s="544"/>
      <c r="H215" s="544"/>
      <c r="I215" s="544"/>
      <c r="J215" s="544"/>
      <c r="K215" s="544"/>
      <c r="L215" s="544"/>
      <c r="M215" s="544"/>
      <c r="N215" s="544"/>
      <c r="O215" s="544"/>
      <c r="P215" s="544"/>
      <c r="Q215" s="544"/>
      <c r="R215" s="544"/>
      <c r="S215" s="544"/>
      <c r="T215" s="544"/>
      <c r="U215" s="544"/>
    </row>
    <row r="216" spans="1:21" x14ac:dyDescent="0.35">
      <c r="A216" s="544"/>
      <c r="B216" s="544"/>
      <c r="C216" s="544"/>
      <c r="D216" s="708"/>
      <c r="E216" s="544"/>
      <c r="F216" s="544"/>
      <c r="G216" s="544"/>
      <c r="H216" s="544"/>
      <c r="I216" s="544"/>
      <c r="J216" s="544"/>
      <c r="K216" s="544"/>
      <c r="L216" s="544"/>
      <c r="M216" s="544"/>
      <c r="N216" s="544"/>
      <c r="O216" s="544"/>
      <c r="P216" s="544"/>
      <c r="Q216" s="544"/>
      <c r="R216" s="544"/>
      <c r="S216" s="544"/>
      <c r="T216" s="544"/>
      <c r="U216" s="544"/>
    </row>
    <row r="217" spans="1:21" x14ac:dyDescent="0.35">
      <c r="A217" s="544"/>
      <c r="B217" s="544"/>
      <c r="C217" s="544"/>
      <c r="D217" s="708"/>
      <c r="E217" s="544"/>
      <c r="F217" s="544"/>
      <c r="G217" s="544"/>
      <c r="H217" s="544"/>
      <c r="I217" s="544"/>
      <c r="J217" s="544"/>
      <c r="K217" s="544"/>
      <c r="L217" s="544"/>
      <c r="M217" s="544"/>
      <c r="N217" s="544"/>
      <c r="O217" s="544"/>
      <c r="P217" s="544"/>
      <c r="Q217" s="544"/>
      <c r="R217" s="544"/>
      <c r="S217" s="544"/>
      <c r="T217" s="544"/>
      <c r="U217" s="544"/>
    </row>
    <row r="218" spans="1:21" x14ac:dyDescent="0.35">
      <c r="A218" s="544"/>
      <c r="B218" s="544"/>
      <c r="C218" s="544"/>
      <c r="D218" s="708"/>
      <c r="E218" s="544"/>
      <c r="F218" s="544"/>
      <c r="G218" s="544"/>
      <c r="H218" s="544"/>
      <c r="I218" s="544"/>
      <c r="J218" s="544"/>
      <c r="K218" s="544"/>
      <c r="L218" s="544"/>
      <c r="M218" s="544"/>
      <c r="N218" s="544"/>
      <c r="O218" s="544"/>
      <c r="P218" s="544"/>
      <c r="Q218" s="544"/>
      <c r="R218" s="544"/>
      <c r="S218" s="544"/>
      <c r="T218" s="544"/>
      <c r="U218" s="544"/>
    </row>
    <row r="219" spans="1:21" x14ac:dyDescent="0.35">
      <c r="A219" s="544"/>
      <c r="B219" s="544"/>
      <c r="C219" s="544"/>
      <c r="D219" s="708"/>
      <c r="E219" s="544"/>
      <c r="F219" s="544"/>
      <c r="G219" s="544"/>
      <c r="H219" s="544"/>
      <c r="I219" s="544"/>
      <c r="J219" s="544"/>
      <c r="K219" s="544"/>
      <c r="L219" s="544"/>
      <c r="M219" s="544"/>
      <c r="N219" s="544"/>
      <c r="O219" s="544"/>
      <c r="P219" s="544"/>
      <c r="Q219" s="544"/>
      <c r="R219" s="544"/>
      <c r="S219" s="544"/>
      <c r="T219" s="544"/>
      <c r="U219" s="544"/>
    </row>
    <row r="220" spans="1:21" x14ac:dyDescent="0.35">
      <c r="A220" s="544"/>
      <c r="B220" s="544"/>
      <c r="C220" s="544"/>
      <c r="D220" s="708"/>
      <c r="E220" s="544"/>
      <c r="F220" s="544"/>
      <c r="G220" s="544"/>
      <c r="H220" s="544"/>
      <c r="I220" s="544"/>
      <c r="J220" s="544"/>
      <c r="K220" s="544"/>
      <c r="L220" s="544"/>
      <c r="M220" s="544"/>
      <c r="N220" s="544"/>
      <c r="O220" s="544"/>
      <c r="P220" s="544"/>
      <c r="Q220" s="544"/>
      <c r="R220" s="544"/>
      <c r="S220" s="544"/>
      <c r="T220" s="544"/>
      <c r="U220" s="544"/>
    </row>
    <row r="221" spans="1:21" x14ac:dyDescent="0.35">
      <c r="A221" s="544"/>
      <c r="B221" s="544"/>
      <c r="C221" s="544"/>
      <c r="D221" s="708"/>
      <c r="E221" s="544"/>
      <c r="F221" s="544"/>
      <c r="G221" s="544"/>
      <c r="H221" s="544"/>
      <c r="I221" s="544"/>
      <c r="J221" s="544"/>
      <c r="K221" s="544"/>
      <c r="L221" s="544"/>
      <c r="M221" s="544"/>
      <c r="N221" s="544"/>
      <c r="O221" s="544"/>
      <c r="P221" s="544"/>
      <c r="Q221" s="544"/>
      <c r="R221" s="544"/>
      <c r="S221" s="544"/>
      <c r="T221" s="544"/>
      <c r="U221" s="544"/>
    </row>
    <row r="222" spans="1:21" x14ac:dyDescent="0.35">
      <c r="A222" s="544"/>
      <c r="B222" s="544"/>
      <c r="C222" s="544"/>
      <c r="D222" s="708"/>
      <c r="E222" s="544"/>
      <c r="F222" s="544"/>
      <c r="G222" s="544"/>
      <c r="H222" s="544"/>
      <c r="I222" s="544"/>
      <c r="J222" s="544"/>
      <c r="K222" s="544"/>
      <c r="L222" s="544"/>
      <c r="M222" s="544"/>
      <c r="N222" s="544"/>
      <c r="O222" s="544"/>
      <c r="P222" s="544"/>
      <c r="Q222" s="544"/>
      <c r="R222" s="544"/>
      <c r="S222" s="544"/>
      <c r="T222" s="544"/>
      <c r="U222" s="544"/>
    </row>
    <row r="223" spans="1:21" x14ac:dyDescent="0.35">
      <c r="A223" s="544"/>
      <c r="B223" s="544"/>
      <c r="C223" s="544"/>
      <c r="D223" s="708"/>
      <c r="E223" s="544"/>
      <c r="F223" s="544"/>
      <c r="G223" s="544"/>
      <c r="H223" s="544"/>
      <c r="I223" s="544"/>
      <c r="J223" s="544"/>
      <c r="K223" s="544"/>
      <c r="L223" s="544"/>
      <c r="M223" s="544"/>
      <c r="N223" s="544"/>
      <c r="O223" s="544"/>
      <c r="P223" s="544"/>
      <c r="Q223" s="544"/>
      <c r="R223" s="544"/>
      <c r="S223" s="544"/>
      <c r="T223" s="544"/>
      <c r="U223" s="544"/>
    </row>
    <row r="224" spans="1:21" x14ac:dyDescent="0.35">
      <c r="A224" s="544"/>
      <c r="B224" s="544"/>
      <c r="C224" s="544"/>
      <c r="D224" s="708"/>
      <c r="E224" s="544"/>
      <c r="F224" s="544"/>
      <c r="G224" s="544"/>
      <c r="H224" s="544"/>
      <c r="I224" s="544"/>
      <c r="J224" s="544"/>
      <c r="K224" s="544"/>
      <c r="L224" s="544"/>
      <c r="M224" s="544"/>
      <c r="N224" s="544"/>
      <c r="O224" s="544"/>
      <c r="P224" s="544"/>
      <c r="Q224" s="544"/>
      <c r="R224" s="544"/>
      <c r="S224" s="544"/>
      <c r="T224" s="544"/>
      <c r="U224" s="544"/>
    </row>
    <row r="225" spans="1:21" x14ac:dyDescent="0.35">
      <c r="A225" s="544"/>
      <c r="B225" s="544"/>
      <c r="C225" s="544"/>
      <c r="D225" s="708"/>
      <c r="E225" s="544"/>
      <c r="F225" s="544"/>
      <c r="G225" s="544"/>
      <c r="H225" s="544"/>
      <c r="I225" s="544"/>
      <c r="J225" s="544"/>
      <c r="K225" s="544"/>
      <c r="L225" s="544"/>
      <c r="M225" s="544"/>
      <c r="N225" s="544"/>
      <c r="O225" s="544"/>
      <c r="P225" s="544"/>
      <c r="Q225" s="544"/>
      <c r="R225" s="544"/>
      <c r="S225" s="544"/>
      <c r="T225" s="544"/>
      <c r="U225" s="544"/>
    </row>
    <row r="226" spans="1:21" x14ac:dyDescent="0.35">
      <c r="A226" s="544"/>
      <c r="B226" s="544"/>
      <c r="C226" s="544"/>
      <c r="D226" s="708"/>
      <c r="E226" s="544"/>
      <c r="F226" s="544"/>
      <c r="G226" s="544"/>
      <c r="H226" s="544"/>
      <c r="I226" s="544"/>
      <c r="J226" s="544"/>
      <c r="K226" s="544"/>
      <c r="L226" s="544"/>
      <c r="M226" s="544"/>
      <c r="N226" s="544"/>
      <c r="O226" s="544"/>
      <c r="P226" s="544"/>
      <c r="Q226" s="544"/>
      <c r="R226" s="544"/>
      <c r="S226" s="544"/>
      <c r="T226" s="544"/>
      <c r="U226" s="544"/>
    </row>
    <row r="227" spans="1:21" x14ac:dyDescent="0.35">
      <c r="A227" s="544"/>
      <c r="B227" s="544"/>
      <c r="C227" s="544"/>
      <c r="D227" s="708"/>
      <c r="E227" s="544"/>
      <c r="F227" s="544"/>
      <c r="G227" s="544"/>
      <c r="H227" s="544"/>
      <c r="I227" s="544"/>
      <c r="J227" s="544"/>
      <c r="K227" s="544"/>
      <c r="L227" s="544"/>
      <c r="M227" s="544"/>
      <c r="N227" s="544"/>
      <c r="O227" s="544"/>
      <c r="P227" s="544"/>
      <c r="Q227" s="544"/>
      <c r="R227" s="544"/>
      <c r="S227" s="544"/>
      <c r="T227" s="544"/>
      <c r="U227" s="544"/>
    </row>
    <row r="228" spans="1:21" x14ac:dyDescent="0.35">
      <c r="A228" s="544"/>
      <c r="B228" s="544"/>
      <c r="C228" s="544"/>
      <c r="D228" s="708"/>
      <c r="E228" s="544"/>
      <c r="F228" s="544"/>
      <c r="G228" s="544"/>
      <c r="H228" s="544"/>
      <c r="I228" s="544"/>
      <c r="J228" s="544"/>
      <c r="K228" s="544"/>
      <c r="L228" s="544"/>
      <c r="M228" s="544"/>
      <c r="N228" s="544"/>
      <c r="O228" s="544"/>
      <c r="P228" s="544"/>
      <c r="Q228" s="544"/>
      <c r="R228" s="544"/>
      <c r="S228" s="544"/>
      <c r="T228" s="544"/>
      <c r="U228" s="544"/>
    </row>
    <row r="229" spans="1:21" x14ac:dyDescent="0.35">
      <c r="A229" s="544"/>
      <c r="B229" s="544"/>
      <c r="C229" s="544"/>
      <c r="D229" s="708"/>
      <c r="E229" s="544"/>
      <c r="F229" s="544"/>
      <c r="G229" s="544"/>
      <c r="H229" s="544"/>
      <c r="I229" s="544"/>
      <c r="J229" s="544"/>
      <c r="K229" s="544"/>
      <c r="L229" s="544"/>
      <c r="M229" s="544"/>
      <c r="N229" s="544"/>
      <c r="O229" s="544"/>
      <c r="P229" s="544"/>
      <c r="Q229" s="544"/>
      <c r="R229" s="544"/>
      <c r="S229" s="544"/>
      <c r="T229" s="544"/>
      <c r="U229" s="544"/>
    </row>
    <row r="230" spans="1:21" x14ac:dyDescent="0.35">
      <c r="A230" s="544"/>
      <c r="B230" s="544"/>
      <c r="C230" s="544"/>
      <c r="D230" s="708"/>
      <c r="E230" s="544"/>
      <c r="F230" s="544"/>
      <c r="G230" s="544"/>
      <c r="H230" s="544"/>
      <c r="I230" s="544"/>
      <c r="J230" s="544"/>
      <c r="K230" s="544"/>
      <c r="L230" s="544"/>
      <c r="M230" s="544"/>
      <c r="N230" s="544"/>
      <c r="O230" s="544"/>
      <c r="P230" s="544"/>
      <c r="Q230" s="544"/>
      <c r="R230" s="544"/>
      <c r="S230" s="544"/>
      <c r="T230" s="544"/>
      <c r="U230" s="544"/>
    </row>
    <row r="231" spans="1:21" x14ac:dyDescent="0.35">
      <c r="A231" s="544"/>
      <c r="B231" s="544"/>
      <c r="C231" s="544"/>
      <c r="D231" s="708"/>
      <c r="E231" s="544"/>
      <c r="F231" s="544"/>
      <c r="G231" s="544"/>
      <c r="H231" s="544"/>
      <c r="I231" s="544"/>
      <c r="J231" s="544"/>
      <c r="K231" s="544"/>
      <c r="L231" s="544"/>
      <c r="M231" s="544"/>
      <c r="N231" s="544"/>
      <c r="O231" s="544"/>
      <c r="P231" s="544"/>
      <c r="Q231" s="544"/>
      <c r="R231" s="544"/>
      <c r="S231" s="544"/>
      <c r="T231" s="544"/>
      <c r="U231" s="544"/>
    </row>
    <row r="232" spans="1:21" x14ac:dyDescent="0.35">
      <c r="A232" s="544"/>
      <c r="B232" s="544"/>
      <c r="C232" s="544"/>
      <c r="D232" s="708"/>
      <c r="E232" s="544"/>
      <c r="F232" s="544"/>
      <c r="G232" s="544"/>
      <c r="H232" s="544"/>
      <c r="I232" s="544"/>
      <c r="J232" s="544"/>
      <c r="K232" s="544"/>
      <c r="L232" s="544"/>
      <c r="M232" s="544"/>
      <c r="N232" s="544"/>
      <c r="O232" s="544"/>
      <c r="P232" s="544"/>
      <c r="Q232" s="544"/>
      <c r="R232" s="544"/>
      <c r="S232" s="544"/>
      <c r="T232" s="544"/>
      <c r="U232" s="544"/>
    </row>
    <row r="233" spans="1:21" x14ac:dyDescent="0.35">
      <c r="A233" s="544"/>
      <c r="B233" s="544"/>
      <c r="C233" s="544"/>
      <c r="D233" s="708"/>
      <c r="E233" s="544"/>
      <c r="F233" s="544"/>
      <c r="G233" s="544"/>
      <c r="H233" s="544"/>
      <c r="I233" s="544"/>
      <c r="J233" s="544"/>
      <c r="K233" s="544"/>
      <c r="L233" s="544"/>
      <c r="M233" s="544"/>
      <c r="N233" s="544"/>
      <c r="O233" s="544"/>
      <c r="P233" s="544"/>
      <c r="Q233" s="544"/>
      <c r="R233" s="544"/>
      <c r="S233" s="544"/>
      <c r="T233" s="544"/>
      <c r="U233" s="544"/>
    </row>
    <row r="234" spans="1:21" x14ac:dyDescent="0.35">
      <c r="A234" s="544"/>
      <c r="B234" s="544"/>
      <c r="C234" s="544"/>
      <c r="D234" s="708"/>
      <c r="E234" s="544"/>
      <c r="F234" s="544"/>
      <c r="G234" s="544"/>
      <c r="H234" s="544"/>
      <c r="I234" s="544"/>
      <c r="J234" s="544"/>
      <c r="K234" s="544"/>
      <c r="L234" s="544"/>
      <c r="M234" s="544"/>
      <c r="N234" s="544"/>
      <c r="O234" s="544"/>
      <c r="P234" s="544"/>
      <c r="Q234" s="544"/>
      <c r="R234" s="544"/>
      <c r="S234" s="544"/>
      <c r="T234" s="544"/>
      <c r="U234" s="544"/>
    </row>
    <row r="235" spans="1:21" x14ac:dyDescent="0.35">
      <c r="A235" s="544"/>
      <c r="B235" s="544"/>
      <c r="C235" s="544"/>
      <c r="D235" s="708"/>
      <c r="E235" s="544"/>
      <c r="F235" s="544"/>
      <c r="G235" s="544"/>
      <c r="H235" s="544"/>
      <c r="I235" s="544"/>
      <c r="J235" s="544"/>
      <c r="K235" s="544"/>
      <c r="L235" s="544"/>
      <c r="M235" s="544"/>
      <c r="N235" s="544"/>
      <c r="O235" s="544"/>
      <c r="P235" s="544"/>
      <c r="Q235" s="544"/>
      <c r="R235" s="544"/>
      <c r="S235" s="544"/>
      <c r="T235" s="544"/>
      <c r="U235" s="544"/>
    </row>
    <row r="236" spans="1:21" x14ac:dyDescent="0.35">
      <c r="A236" s="544"/>
      <c r="B236" s="544"/>
      <c r="C236" s="544"/>
      <c r="D236" s="708"/>
      <c r="E236" s="544"/>
      <c r="F236" s="544"/>
      <c r="G236" s="544"/>
      <c r="H236" s="544"/>
      <c r="I236" s="544"/>
      <c r="J236" s="544"/>
      <c r="K236" s="544"/>
      <c r="L236" s="544"/>
      <c r="M236" s="544"/>
      <c r="N236" s="544"/>
      <c r="O236" s="544"/>
      <c r="P236" s="544"/>
      <c r="Q236" s="544"/>
      <c r="R236" s="544"/>
      <c r="S236" s="544"/>
      <c r="T236" s="544"/>
      <c r="U236" s="544"/>
    </row>
    <row r="237" spans="1:21" x14ac:dyDescent="0.35">
      <c r="A237" s="544"/>
      <c r="B237" s="544"/>
      <c r="C237" s="544"/>
      <c r="D237" s="708"/>
      <c r="E237" s="544"/>
      <c r="F237" s="544"/>
      <c r="G237" s="544"/>
      <c r="H237" s="544"/>
      <c r="I237" s="544"/>
      <c r="J237" s="544"/>
      <c r="K237" s="544"/>
      <c r="L237" s="544"/>
      <c r="M237" s="544"/>
      <c r="N237" s="544"/>
      <c r="O237" s="544"/>
      <c r="P237" s="544"/>
      <c r="Q237" s="544"/>
      <c r="R237" s="544"/>
      <c r="S237" s="544"/>
      <c r="T237" s="544"/>
      <c r="U237" s="544"/>
    </row>
    <row r="238" spans="1:21" x14ac:dyDescent="0.35">
      <c r="A238" s="544"/>
      <c r="B238" s="544"/>
      <c r="C238" s="544"/>
      <c r="D238" s="708"/>
      <c r="E238" s="544"/>
      <c r="F238" s="544"/>
      <c r="G238" s="544"/>
      <c r="H238" s="544"/>
      <c r="I238" s="544"/>
      <c r="J238" s="544"/>
      <c r="K238" s="544"/>
      <c r="L238" s="544"/>
      <c r="M238" s="544"/>
      <c r="N238" s="544"/>
      <c r="O238" s="544"/>
      <c r="P238" s="544"/>
      <c r="Q238" s="544"/>
      <c r="R238" s="544"/>
      <c r="S238" s="544"/>
      <c r="T238" s="544"/>
      <c r="U238" s="544"/>
    </row>
    <row r="239" spans="1:21" x14ac:dyDescent="0.35">
      <c r="A239" s="544"/>
      <c r="B239" s="544"/>
      <c r="C239" s="544"/>
      <c r="D239" s="708"/>
      <c r="E239" s="544"/>
      <c r="F239" s="544"/>
      <c r="G239" s="544"/>
      <c r="H239" s="544"/>
      <c r="I239" s="544"/>
      <c r="J239" s="544"/>
      <c r="K239" s="544"/>
      <c r="L239" s="544"/>
      <c r="M239" s="544"/>
      <c r="N239" s="544"/>
      <c r="O239" s="544"/>
      <c r="P239" s="544"/>
      <c r="Q239" s="544"/>
      <c r="R239" s="544"/>
      <c r="S239" s="544"/>
      <c r="T239" s="544"/>
      <c r="U239" s="544"/>
    </row>
    <row r="240" spans="1:21" x14ac:dyDescent="0.35">
      <c r="A240" s="544"/>
      <c r="B240" s="544"/>
      <c r="C240" s="544"/>
      <c r="D240" s="708"/>
      <c r="E240" s="544"/>
      <c r="F240" s="544"/>
      <c r="G240" s="544"/>
      <c r="H240" s="544"/>
      <c r="I240" s="544"/>
      <c r="J240" s="544"/>
      <c r="K240" s="544"/>
      <c r="L240" s="544"/>
      <c r="M240" s="544"/>
      <c r="N240" s="544"/>
      <c r="O240" s="544"/>
      <c r="P240" s="544"/>
      <c r="Q240" s="544"/>
      <c r="R240" s="544"/>
      <c r="S240" s="544"/>
      <c r="T240" s="544"/>
      <c r="U240" s="544"/>
    </row>
    <row r="241" spans="1:21" x14ac:dyDescent="0.35">
      <c r="A241" s="544"/>
      <c r="B241" s="544"/>
      <c r="C241" s="544"/>
      <c r="D241" s="708"/>
      <c r="E241" s="544"/>
      <c r="F241" s="544"/>
      <c r="G241" s="544"/>
      <c r="H241" s="544"/>
      <c r="I241" s="544"/>
      <c r="J241" s="544"/>
      <c r="K241" s="544"/>
      <c r="L241" s="544"/>
      <c r="M241" s="544"/>
      <c r="N241" s="544"/>
      <c r="O241" s="544"/>
      <c r="P241" s="544"/>
      <c r="Q241" s="544"/>
      <c r="R241" s="544"/>
      <c r="S241" s="544"/>
      <c r="T241" s="544"/>
      <c r="U241" s="544"/>
    </row>
    <row r="242" spans="1:21" x14ac:dyDescent="0.35">
      <c r="A242" s="544"/>
      <c r="B242" s="544"/>
      <c r="C242" s="544"/>
      <c r="D242" s="708"/>
      <c r="E242" s="544"/>
      <c r="F242" s="544"/>
      <c r="G242" s="544"/>
      <c r="H242" s="544"/>
      <c r="I242" s="544"/>
      <c r="J242" s="544"/>
      <c r="K242" s="544"/>
      <c r="L242" s="544"/>
      <c r="M242" s="544"/>
      <c r="N242" s="544"/>
      <c r="O242" s="544"/>
      <c r="P242" s="544"/>
      <c r="Q242" s="544"/>
      <c r="R242" s="544"/>
      <c r="S242" s="544"/>
      <c r="T242" s="544"/>
      <c r="U242" s="544"/>
    </row>
    <row r="243" spans="1:21" x14ac:dyDescent="0.35">
      <c r="A243" s="544"/>
      <c r="B243" s="544"/>
      <c r="C243" s="544"/>
      <c r="D243" s="708"/>
      <c r="E243" s="544"/>
      <c r="F243" s="544"/>
      <c r="G243" s="544"/>
      <c r="H243" s="544"/>
      <c r="I243" s="544"/>
      <c r="J243" s="544"/>
      <c r="K243" s="544"/>
      <c r="L243" s="544"/>
      <c r="M243" s="544"/>
      <c r="N243" s="544"/>
      <c r="O243" s="544"/>
      <c r="P243" s="544"/>
      <c r="Q243" s="544"/>
      <c r="R243" s="544"/>
      <c r="S243" s="544"/>
      <c r="T243" s="544"/>
      <c r="U243" s="544"/>
    </row>
    <row r="244" spans="1:21" x14ac:dyDescent="0.35">
      <c r="A244" s="544"/>
      <c r="B244" s="544"/>
      <c r="C244" s="544"/>
      <c r="D244" s="708"/>
      <c r="E244" s="544"/>
      <c r="F244" s="544"/>
      <c r="G244" s="544"/>
      <c r="H244" s="544"/>
      <c r="I244" s="544"/>
      <c r="J244" s="544"/>
      <c r="K244" s="544"/>
      <c r="L244" s="544"/>
      <c r="M244" s="544"/>
      <c r="N244" s="544"/>
      <c r="O244" s="544"/>
      <c r="P244" s="544"/>
      <c r="Q244" s="544"/>
      <c r="R244" s="544"/>
      <c r="S244" s="544"/>
      <c r="T244" s="544"/>
      <c r="U244" s="544"/>
    </row>
    <row r="245" spans="1:21" x14ac:dyDescent="0.35">
      <c r="A245" s="544"/>
      <c r="B245" s="544"/>
      <c r="C245" s="544"/>
      <c r="D245" s="708"/>
      <c r="E245" s="544"/>
      <c r="F245" s="544"/>
      <c r="G245" s="544"/>
      <c r="H245" s="544"/>
      <c r="I245" s="544"/>
      <c r="J245" s="544"/>
      <c r="K245" s="544"/>
      <c r="L245" s="544"/>
      <c r="M245" s="544"/>
      <c r="N245" s="544"/>
      <c r="O245" s="544"/>
      <c r="P245" s="544"/>
      <c r="Q245" s="544"/>
      <c r="R245" s="544"/>
      <c r="S245" s="544"/>
      <c r="T245" s="544"/>
      <c r="U245" s="544"/>
    </row>
    <row r="246" spans="1:21" x14ac:dyDescent="0.35">
      <c r="A246" s="544"/>
      <c r="B246" s="544"/>
      <c r="C246" s="544"/>
      <c r="D246" s="708"/>
      <c r="E246" s="544"/>
      <c r="F246" s="544"/>
      <c r="G246" s="544"/>
      <c r="H246" s="544"/>
      <c r="I246" s="544"/>
      <c r="J246" s="544"/>
      <c r="K246" s="544"/>
      <c r="L246" s="544"/>
      <c r="M246" s="544"/>
      <c r="N246" s="544"/>
      <c r="O246" s="544"/>
      <c r="P246" s="544"/>
      <c r="Q246" s="544"/>
      <c r="R246" s="544"/>
      <c r="S246" s="544"/>
      <c r="T246" s="544"/>
      <c r="U246" s="544"/>
    </row>
    <row r="247" spans="1:21" x14ac:dyDescent="0.35">
      <c r="A247" s="544"/>
      <c r="B247" s="544"/>
      <c r="C247" s="544"/>
      <c r="D247" s="708"/>
      <c r="E247" s="544"/>
      <c r="F247" s="544"/>
      <c r="G247" s="544"/>
      <c r="H247" s="544"/>
      <c r="I247" s="544"/>
      <c r="J247" s="544"/>
      <c r="K247" s="544"/>
      <c r="L247" s="544"/>
      <c r="M247" s="544"/>
      <c r="N247" s="544"/>
      <c r="O247" s="544"/>
      <c r="P247" s="544"/>
      <c r="Q247" s="544"/>
      <c r="R247" s="544"/>
      <c r="S247" s="544"/>
      <c r="T247" s="544"/>
      <c r="U247" s="544"/>
    </row>
    <row r="248" spans="1:21" x14ac:dyDescent="0.35">
      <c r="A248" s="544"/>
      <c r="B248" s="544"/>
      <c r="C248" s="544"/>
      <c r="D248" s="708"/>
      <c r="E248" s="544"/>
      <c r="F248" s="544"/>
      <c r="G248" s="544"/>
      <c r="H248" s="544"/>
      <c r="I248" s="544"/>
      <c r="J248" s="544"/>
      <c r="K248" s="544"/>
      <c r="L248" s="544"/>
      <c r="M248" s="544"/>
      <c r="N248" s="544"/>
      <c r="O248" s="544"/>
      <c r="P248" s="544"/>
      <c r="Q248" s="544"/>
      <c r="R248" s="544"/>
      <c r="S248" s="544"/>
      <c r="T248" s="544"/>
      <c r="U248" s="544"/>
    </row>
    <row r="249" spans="1:21" x14ac:dyDescent="0.35">
      <c r="A249" s="544"/>
      <c r="B249" s="544"/>
      <c r="C249" s="544"/>
      <c r="D249" s="708"/>
      <c r="E249" s="544"/>
      <c r="F249" s="544"/>
      <c r="G249" s="544"/>
      <c r="H249" s="544"/>
      <c r="I249" s="544"/>
      <c r="J249" s="544"/>
      <c r="K249" s="544"/>
      <c r="L249" s="544"/>
      <c r="M249" s="544"/>
      <c r="N249" s="544"/>
      <c r="O249" s="544"/>
      <c r="P249" s="544"/>
      <c r="Q249" s="544"/>
      <c r="R249" s="544"/>
      <c r="S249" s="544"/>
      <c r="T249" s="544"/>
      <c r="U249" s="544"/>
    </row>
    <row r="250" spans="1:21" x14ac:dyDescent="0.35">
      <c r="A250" s="544"/>
      <c r="B250" s="544"/>
      <c r="C250" s="544"/>
      <c r="D250" s="708"/>
      <c r="E250" s="544"/>
      <c r="F250" s="544"/>
      <c r="G250" s="544"/>
      <c r="H250" s="544"/>
      <c r="I250" s="544"/>
      <c r="J250" s="544"/>
      <c r="K250" s="544"/>
      <c r="L250" s="544"/>
      <c r="M250" s="544"/>
      <c r="N250" s="544"/>
      <c r="O250" s="544"/>
      <c r="P250" s="544"/>
      <c r="Q250" s="544"/>
      <c r="R250" s="544"/>
      <c r="S250" s="544"/>
      <c r="T250" s="544"/>
      <c r="U250" s="544"/>
    </row>
    <row r="251" spans="1:21" x14ac:dyDescent="0.35">
      <c r="A251" s="544"/>
      <c r="B251" s="544"/>
      <c r="C251" s="544"/>
      <c r="D251" s="708"/>
      <c r="E251" s="544"/>
      <c r="F251" s="544"/>
      <c r="G251" s="544"/>
      <c r="H251" s="544"/>
      <c r="I251" s="544"/>
      <c r="J251" s="544"/>
      <c r="K251" s="544"/>
      <c r="L251" s="544"/>
      <c r="M251" s="544"/>
      <c r="N251" s="544"/>
      <c r="O251" s="544"/>
      <c r="P251" s="544"/>
      <c r="Q251" s="544"/>
      <c r="R251" s="544"/>
      <c r="S251" s="544"/>
      <c r="T251" s="544"/>
      <c r="U251" s="544"/>
    </row>
    <row r="252" spans="1:21" x14ac:dyDescent="0.35">
      <c r="A252" s="544"/>
      <c r="B252" s="544"/>
      <c r="C252" s="544"/>
      <c r="D252" s="708"/>
      <c r="E252" s="544"/>
      <c r="F252" s="544"/>
      <c r="G252" s="544"/>
      <c r="H252" s="544"/>
      <c r="I252" s="544"/>
      <c r="J252" s="544"/>
      <c r="K252" s="544"/>
      <c r="L252" s="544"/>
      <c r="M252" s="544"/>
      <c r="N252" s="544"/>
      <c r="O252" s="544"/>
      <c r="P252" s="544"/>
      <c r="Q252" s="544"/>
      <c r="R252" s="544"/>
      <c r="S252" s="544"/>
      <c r="T252" s="544"/>
      <c r="U252" s="544"/>
    </row>
    <row r="253" spans="1:21" x14ac:dyDescent="0.35">
      <c r="A253" s="544"/>
      <c r="B253" s="544"/>
      <c r="C253" s="544"/>
      <c r="D253" s="708"/>
      <c r="E253" s="544"/>
      <c r="F253" s="544"/>
      <c r="G253" s="544"/>
      <c r="H253" s="544"/>
      <c r="I253" s="544"/>
      <c r="J253" s="544"/>
      <c r="K253" s="544"/>
      <c r="L253" s="544"/>
      <c r="M253" s="544"/>
      <c r="N253" s="544"/>
      <c r="O253" s="544"/>
      <c r="P253" s="544"/>
      <c r="Q253" s="544"/>
      <c r="R253" s="544"/>
      <c r="S253" s="544"/>
      <c r="T253" s="544"/>
      <c r="U253" s="544"/>
    </row>
    <row r="254" spans="1:21" x14ac:dyDescent="0.35">
      <c r="A254" s="544"/>
      <c r="B254" s="544"/>
      <c r="C254" s="544"/>
      <c r="D254" s="708"/>
      <c r="E254" s="544"/>
      <c r="F254" s="544"/>
      <c r="G254" s="544"/>
      <c r="H254" s="544"/>
      <c r="I254" s="544"/>
      <c r="J254" s="544"/>
      <c r="K254" s="544"/>
      <c r="L254" s="544"/>
      <c r="M254" s="544"/>
      <c r="N254" s="544"/>
      <c r="O254" s="544"/>
      <c r="P254" s="544"/>
      <c r="Q254" s="544"/>
      <c r="R254" s="544"/>
      <c r="S254" s="544"/>
      <c r="T254" s="544"/>
      <c r="U254" s="544"/>
    </row>
    <row r="255" spans="1:21" x14ac:dyDescent="0.35">
      <c r="A255" s="544"/>
      <c r="B255" s="544"/>
      <c r="C255" s="544"/>
      <c r="D255" s="708"/>
      <c r="E255" s="544"/>
      <c r="F255" s="544"/>
      <c r="G255" s="544"/>
      <c r="H255" s="544"/>
      <c r="I255" s="544"/>
      <c r="J255" s="544"/>
      <c r="K255" s="544"/>
      <c r="L255" s="544"/>
      <c r="M255" s="544"/>
      <c r="N255" s="544"/>
      <c r="O255" s="544"/>
      <c r="P255" s="544"/>
      <c r="Q255" s="544"/>
      <c r="R255" s="544"/>
      <c r="S255" s="544"/>
      <c r="T255" s="544"/>
      <c r="U255" s="544"/>
    </row>
    <row r="256" spans="1:21" x14ac:dyDescent="0.35">
      <c r="A256" s="544"/>
      <c r="B256" s="544"/>
      <c r="C256" s="544"/>
      <c r="D256" s="708"/>
      <c r="E256" s="544"/>
      <c r="F256" s="544"/>
      <c r="G256" s="544"/>
      <c r="H256" s="544"/>
      <c r="I256" s="544"/>
      <c r="J256" s="544"/>
      <c r="K256" s="544"/>
      <c r="L256" s="544"/>
      <c r="M256" s="544"/>
      <c r="N256" s="544"/>
      <c r="O256" s="544"/>
      <c r="P256" s="544"/>
      <c r="Q256" s="544"/>
      <c r="R256" s="544"/>
      <c r="S256" s="544"/>
      <c r="T256" s="544"/>
      <c r="U256" s="544"/>
    </row>
    <row r="257" spans="1:21" x14ac:dyDescent="0.35">
      <c r="A257" s="544"/>
      <c r="B257" s="544"/>
      <c r="C257" s="544"/>
      <c r="D257" s="708"/>
      <c r="E257" s="544"/>
      <c r="F257" s="544"/>
      <c r="G257" s="544"/>
      <c r="H257" s="544"/>
      <c r="I257" s="544"/>
      <c r="J257" s="544"/>
      <c r="K257" s="544"/>
      <c r="L257" s="544"/>
      <c r="M257" s="544"/>
      <c r="N257" s="544"/>
      <c r="O257" s="544"/>
      <c r="P257" s="544"/>
      <c r="Q257" s="544"/>
      <c r="R257" s="544"/>
      <c r="S257" s="544"/>
      <c r="T257" s="544"/>
      <c r="U257" s="544"/>
    </row>
    <row r="258" spans="1:21" x14ac:dyDescent="0.35">
      <c r="A258" s="544"/>
      <c r="B258" s="544"/>
      <c r="C258" s="544"/>
      <c r="D258" s="708"/>
      <c r="E258" s="544"/>
      <c r="F258" s="544"/>
      <c r="G258" s="544"/>
      <c r="H258" s="544"/>
      <c r="I258" s="544"/>
      <c r="J258" s="544"/>
      <c r="K258" s="544"/>
      <c r="L258" s="544"/>
      <c r="M258" s="544"/>
      <c r="N258" s="544"/>
      <c r="O258" s="544"/>
      <c r="P258" s="544"/>
      <c r="Q258" s="544"/>
      <c r="R258" s="544"/>
      <c r="S258" s="544"/>
      <c r="T258" s="544"/>
      <c r="U258" s="544"/>
    </row>
    <row r="259" spans="1:21" x14ac:dyDescent="0.35">
      <c r="A259" s="544"/>
      <c r="B259" s="544"/>
      <c r="C259" s="544"/>
      <c r="D259" s="708"/>
      <c r="E259" s="544"/>
      <c r="F259" s="544"/>
      <c r="G259" s="544"/>
      <c r="H259" s="544"/>
      <c r="I259" s="544"/>
      <c r="J259" s="544"/>
      <c r="K259" s="544"/>
      <c r="L259" s="544"/>
      <c r="M259" s="544"/>
      <c r="N259" s="544"/>
      <c r="O259" s="544"/>
      <c r="P259" s="544"/>
      <c r="Q259" s="544"/>
      <c r="R259" s="544"/>
      <c r="S259" s="544"/>
      <c r="T259" s="544"/>
      <c r="U259" s="544"/>
    </row>
    <row r="260" spans="1:21" x14ac:dyDescent="0.35">
      <c r="A260" s="544"/>
      <c r="B260" s="544"/>
      <c r="C260" s="544"/>
      <c r="D260" s="708"/>
      <c r="E260" s="544"/>
      <c r="F260" s="544"/>
      <c r="G260" s="544"/>
      <c r="H260" s="544"/>
      <c r="I260" s="544"/>
      <c r="J260" s="544"/>
      <c r="K260" s="544"/>
      <c r="L260" s="544"/>
      <c r="M260" s="544"/>
      <c r="N260" s="544"/>
      <c r="O260" s="544"/>
      <c r="P260" s="544"/>
      <c r="Q260" s="544"/>
      <c r="R260" s="544"/>
      <c r="S260" s="544"/>
      <c r="T260" s="544"/>
      <c r="U260" s="544"/>
    </row>
    <row r="261" spans="1:21" x14ac:dyDescent="0.35">
      <c r="A261" s="544"/>
      <c r="B261" s="544"/>
      <c r="C261" s="544"/>
      <c r="D261" s="708"/>
      <c r="E261" s="544"/>
      <c r="F261" s="544"/>
      <c r="G261" s="544"/>
      <c r="H261" s="544"/>
      <c r="I261" s="544"/>
      <c r="J261" s="544"/>
      <c r="K261" s="544"/>
      <c r="L261" s="544"/>
      <c r="M261" s="544"/>
      <c r="N261" s="544"/>
      <c r="O261" s="544"/>
      <c r="P261" s="544"/>
      <c r="Q261" s="544"/>
      <c r="R261" s="544"/>
      <c r="S261" s="544"/>
      <c r="T261" s="544"/>
      <c r="U261" s="544"/>
    </row>
    <row r="262" spans="1:21" x14ac:dyDescent="0.35">
      <c r="A262" s="544"/>
      <c r="B262" s="544"/>
      <c r="C262" s="544"/>
      <c r="D262" s="708"/>
      <c r="E262" s="544"/>
      <c r="F262" s="544"/>
      <c r="G262" s="544"/>
      <c r="H262" s="544"/>
      <c r="I262" s="544"/>
      <c r="J262" s="544"/>
      <c r="K262" s="544"/>
      <c r="L262" s="544"/>
      <c r="M262" s="544"/>
      <c r="N262" s="544"/>
      <c r="O262" s="544"/>
      <c r="P262" s="544"/>
      <c r="Q262" s="544"/>
      <c r="R262" s="544"/>
      <c r="S262" s="544"/>
      <c r="T262" s="544"/>
      <c r="U262" s="544"/>
    </row>
    <row r="263" spans="1:21" x14ac:dyDescent="0.35">
      <c r="A263" s="544"/>
      <c r="B263" s="544"/>
      <c r="C263" s="544"/>
      <c r="D263" s="708"/>
      <c r="E263" s="544"/>
      <c r="F263" s="544"/>
      <c r="G263" s="544"/>
      <c r="H263" s="544"/>
      <c r="I263" s="544"/>
      <c r="J263" s="544"/>
      <c r="K263" s="544"/>
      <c r="L263" s="544"/>
      <c r="M263" s="544"/>
      <c r="N263" s="544"/>
      <c r="O263" s="544"/>
      <c r="P263" s="544"/>
      <c r="Q263" s="544"/>
      <c r="R263" s="544"/>
      <c r="S263" s="544"/>
      <c r="T263" s="544"/>
      <c r="U263" s="544"/>
    </row>
    <row r="264" spans="1:21" x14ac:dyDescent="0.35">
      <c r="A264" s="544"/>
      <c r="B264" s="544"/>
      <c r="C264" s="544"/>
      <c r="D264" s="708"/>
      <c r="E264" s="544"/>
      <c r="F264" s="544"/>
      <c r="G264" s="544"/>
      <c r="H264" s="544"/>
      <c r="I264" s="544"/>
      <c r="J264" s="544"/>
      <c r="K264" s="544"/>
      <c r="L264" s="544"/>
      <c r="M264" s="544"/>
      <c r="N264" s="544"/>
      <c r="O264" s="544"/>
      <c r="P264" s="544"/>
      <c r="Q264" s="544"/>
      <c r="R264" s="544"/>
      <c r="S264" s="544"/>
      <c r="T264" s="544"/>
      <c r="U264" s="544"/>
    </row>
    <row r="265" spans="1:21" x14ac:dyDescent="0.35">
      <c r="A265" s="544"/>
      <c r="B265" s="544"/>
      <c r="C265" s="544"/>
      <c r="D265" s="708"/>
      <c r="E265" s="544"/>
      <c r="F265" s="544"/>
      <c r="G265" s="544"/>
      <c r="H265" s="544"/>
      <c r="I265" s="544"/>
      <c r="J265" s="544"/>
      <c r="K265" s="544"/>
      <c r="L265" s="544"/>
      <c r="M265" s="544"/>
      <c r="N265" s="544"/>
      <c r="O265" s="544"/>
      <c r="P265" s="544"/>
      <c r="Q265" s="544"/>
      <c r="R265" s="544"/>
      <c r="S265" s="544"/>
      <c r="T265" s="544"/>
      <c r="U265" s="544"/>
    </row>
    <row r="266" spans="1:21" x14ac:dyDescent="0.35">
      <c r="A266" s="544"/>
      <c r="B266" s="544"/>
      <c r="C266" s="544"/>
      <c r="D266" s="708"/>
      <c r="E266" s="544"/>
      <c r="F266" s="544"/>
      <c r="G266" s="544"/>
      <c r="H266" s="544"/>
      <c r="I266" s="544"/>
      <c r="J266" s="544"/>
      <c r="K266" s="544"/>
      <c r="L266" s="544"/>
      <c r="M266" s="544"/>
      <c r="N266" s="544"/>
      <c r="O266" s="544"/>
      <c r="P266" s="544"/>
      <c r="Q266" s="544"/>
      <c r="R266" s="544"/>
      <c r="S266" s="544"/>
      <c r="T266" s="544"/>
      <c r="U266" s="544"/>
    </row>
    <row r="267" spans="1:21" x14ac:dyDescent="0.35">
      <c r="A267" s="544"/>
      <c r="B267" s="544"/>
      <c r="C267" s="544"/>
      <c r="D267" s="708"/>
      <c r="E267" s="544"/>
      <c r="F267" s="544"/>
      <c r="G267" s="544"/>
      <c r="H267" s="544"/>
      <c r="I267" s="544"/>
      <c r="J267" s="544"/>
      <c r="K267" s="544"/>
      <c r="L267" s="544"/>
      <c r="M267" s="544"/>
      <c r="N267" s="544"/>
      <c r="O267" s="544"/>
      <c r="P267" s="544"/>
      <c r="Q267" s="544"/>
      <c r="R267" s="544"/>
      <c r="S267" s="544"/>
      <c r="T267" s="544"/>
      <c r="U267" s="544"/>
    </row>
    <row r="268" spans="1:21" x14ac:dyDescent="0.35">
      <c r="A268" s="544"/>
      <c r="B268" s="544"/>
      <c r="C268" s="544"/>
      <c r="D268" s="708"/>
      <c r="E268" s="544"/>
      <c r="F268" s="544"/>
      <c r="G268" s="544"/>
      <c r="H268" s="544"/>
      <c r="I268" s="544"/>
      <c r="J268" s="544"/>
      <c r="K268" s="544"/>
      <c r="L268" s="544"/>
      <c r="M268" s="544"/>
      <c r="N268" s="544"/>
      <c r="O268" s="544"/>
      <c r="P268" s="544"/>
      <c r="Q268" s="544"/>
      <c r="R268" s="544"/>
      <c r="S268" s="544"/>
      <c r="T268" s="544"/>
      <c r="U268" s="544"/>
    </row>
    <row r="269" spans="1:21" x14ac:dyDescent="0.35">
      <c r="A269" s="544"/>
      <c r="B269" s="544"/>
      <c r="C269" s="544"/>
      <c r="D269" s="708"/>
      <c r="E269" s="544"/>
      <c r="F269" s="544"/>
      <c r="G269" s="544"/>
      <c r="H269" s="544"/>
      <c r="I269" s="544"/>
      <c r="J269" s="544"/>
      <c r="K269" s="544"/>
      <c r="L269" s="544"/>
      <c r="M269" s="544"/>
      <c r="N269" s="544"/>
      <c r="O269" s="544"/>
      <c r="P269" s="544"/>
      <c r="Q269" s="544"/>
      <c r="R269" s="544"/>
      <c r="S269" s="544"/>
      <c r="T269" s="544"/>
      <c r="U269" s="544"/>
    </row>
    <row r="270" spans="1:21" x14ac:dyDescent="0.35">
      <c r="A270" s="544"/>
      <c r="B270" s="544"/>
      <c r="C270" s="544"/>
      <c r="D270" s="708"/>
      <c r="E270" s="544"/>
      <c r="F270" s="544"/>
      <c r="G270" s="544"/>
      <c r="H270" s="544"/>
      <c r="I270" s="544"/>
      <c r="J270" s="544"/>
      <c r="K270" s="544"/>
      <c r="L270" s="544"/>
      <c r="M270" s="544"/>
      <c r="N270" s="544"/>
      <c r="O270" s="544"/>
      <c r="P270" s="544"/>
      <c r="Q270" s="544"/>
      <c r="R270" s="544"/>
      <c r="S270" s="544"/>
      <c r="T270" s="544"/>
      <c r="U270" s="544"/>
    </row>
    <row r="271" spans="1:21" x14ac:dyDescent="0.35">
      <c r="A271" s="544"/>
      <c r="B271" s="544"/>
      <c r="C271" s="544"/>
      <c r="D271" s="708"/>
      <c r="E271" s="544"/>
      <c r="F271" s="544"/>
      <c r="G271" s="544"/>
      <c r="H271" s="544"/>
      <c r="I271" s="544"/>
      <c r="J271" s="544"/>
      <c r="K271" s="544"/>
      <c r="L271" s="544"/>
      <c r="M271" s="544"/>
      <c r="N271" s="544"/>
      <c r="O271" s="544"/>
      <c r="P271" s="544"/>
      <c r="Q271" s="544"/>
      <c r="R271" s="544"/>
      <c r="S271" s="544"/>
      <c r="T271" s="544"/>
      <c r="U271" s="544"/>
    </row>
    <row r="272" spans="1:21" x14ac:dyDescent="0.35">
      <c r="A272" s="544"/>
      <c r="B272" s="544"/>
      <c r="C272" s="544"/>
      <c r="D272" s="708"/>
      <c r="E272" s="544"/>
      <c r="F272" s="544"/>
      <c r="G272" s="544"/>
      <c r="H272" s="544"/>
      <c r="I272" s="544"/>
      <c r="J272" s="544"/>
      <c r="K272" s="544"/>
      <c r="L272" s="544"/>
      <c r="M272" s="544"/>
      <c r="N272" s="544"/>
      <c r="O272" s="544"/>
      <c r="P272" s="544"/>
      <c r="Q272" s="544"/>
      <c r="R272" s="544"/>
      <c r="S272" s="544"/>
      <c r="T272" s="544"/>
      <c r="U272" s="544"/>
    </row>
    <row r="273" spans="1:21" x14ac:dyDescent="0.35">
      <c r="A273" s="544"/>
      <c r="B273" s="544"/>
      <c r="C273" s="544"/>
      <c r="D273" s="708"/>
      <c r="E273" s="544"/>
      <c r="F273" s="544"/>
      <c r="G273" s="544"/>
      <c r="H273" s="544"/>
      <c r="I273" s="544"/>
      <c r="J273" s="544"/>
      <c r="K273" s="544"/>
      <c r="L273" s="544"/>
      <c r="M273" s="544"/>
      <c r="N273" s="544"/>
      <c r="O273" s="544"/>
      <c r="P273" s="544"/>
      <c r="Q273" s="544"/>
      <c r="R273" s="544"/>
      <c r="S273" s="544"/>
      <c r="T273" s="544"/>
      <c r="U273" s="544"/>
    </row>
    <row r="274" spans="1:21" x14ac:dyDescent="0.35">
      <c r="A274" s="544"/>
      <c r="B274" s="544"/>
      <c r="C274" s="544"/>
      <c r="D274" s="708"/>
      <c r="E274" s="544"/>
      <c r="F274" s="544"/>
      <c r="G274" s="544"/>
      <c r="H274" s="544"/>
      <c r="I274" s="544"/>
      <c r="J274" s="544"/>
      <c r="K274" s="544"/>
      <c r="L274" s="544"/>
      <c r="M274" s="544"/>
      <c r="N274" s="544"/>
      <c r="O274" s="544"/>
      <c r="P274" s="544"/>
      <c r="Q274" s="544"/>
      <c r="R274" s="544"/>
      <c r="S274" s="544"/>
      <c r="T274" s="544"/>
      <c r="U274" s="544"/>
    </row>
    <row r="275" spans="1:21" x14ac:dyDescent="0.35">
      <c r="A275" s="544"/>
      <c r="B275" s="544"/>
      <c r="C275" s="544"/>
      <c r="D275" s="708"/>
      <c r="E275" s="544"/>
      <c r="F275" s="544"/>
      <c r="G275" s="544"/>
      <c r="H275" s="544"/>
      <c r="I275" s="544"/>
      <c r="J275" s="544"/>
      <c r="K275" s="544"/>
      <c r="L275" s="544"/>
      <c r="M275" s="544"/>
      <c r="N275" s="544"/>
      <c r="O275" s="544"/>
      <c r="P275" s="544"/>
      <c r="Q275" s="544"/>
      <c r="R275" s="544"/>
      <c r="S275" s="544"/>
      <c r="T275" s="544"/>
      <c r="U275" s="544"/>
    </row>
    <row r="276" spans="1:21" x14ac:dyDescent="0.35">
      <c r="A276" s="544"/>
      <c r="B276" s="544"/>
      <c r="C276" s="544"/>
      <c r="D276" s="708"/>
      <c r="E276" s="544"/>
      <c r="F276" s="544"/>
      <c r="G276" s="544"/>
      <c r="H276" s="544"/>
      <c r="I276" s="544"/>
      <c r="J276" s="544"/>
      <c r="K276" s="544"/>
      <c r="L276" s="544"/>
      <c r="M276" s="544"/>
      <c r="N276" s="544"/>
      <c r="O276" s="544"/>
      <c r="P276" s="544"/>
      <c r="Q276" s="544"/>
      <c r="R276" s="544"/>
      <c r="S276" s="544"/>
      <c r="T276" s="544"/>
      <c r="U276" s="544"/>
    </row>
    <row r="277" spans="1:21" x14ac:dyDescent="0.35">
      <c r="A277" s="544"/>
      <c r="B277" s="544"/>
      <c r="C277" s="544"/>
      <c r="D277" s="708"/>
      <c r="E277" s="544"/>
      <c r="F277" s="544"/>
      <c r="G277" s="544"/>
      <c r="H277" s="544"/>
      <c r="I277" s="544"/>
      <c r="J277" s="544"/>
      <c r="K277" s="544"/>
      <c r="L277" s="544"/>
      <c r="M277" s="544"/>
      <c r="N277" s="544"/>
      <c r="O277" s="544"/>
      <c r="P277" s="544"/>
      <c r="Q277" s="544"/>
      <c r="R277" s="544"/>
      <c r="S277" s="544"/>
      <c r="T277" s="544"/>
      <c r="U277" s="544"/>
    </row>
    <row r="278" spans="1:21" x14ac:dyDescent="0.35">
      <c r="A278" s="544"/>
      <c r="B278" s="544"/>
      <c r="C278" s="544"/>
      <c r="D278" s="708"/>
      <c r="E278" s="544"/>
      <c r="F278" s="544"/>
      <c r="G278" s="544"/>
      <c r="H278" s="544"/>
      <c r="I278" s="544"/>
      <c r="J278" s="544"/>
      <c r="K278" s="544"/>
      <c r="L278" s="544"/>
      <c r="M278" s="544"/>
      <c r="N278" s="544"/>
      <c r="O278" s="544"/>
      <c r="P278" s="544"/>
      <c r="Q278" s="544"/>
      <c r="R278" s="544"/>
      <c r="S278" s="544"/>
      <c r="T278" s="544"/>
      <c r="U278" s="544"/>
    </row>
    <row r="279" spans="1:21" x14ac:dyDescent="0.35">
      <c r="A279" s="544"/>
      <c r="B279" s="544"/>
      <c r="C279" s="544"/>
      <c r="D279" s="708"/>
      <c r="E279" s="544"/>
      <c r="F279" s="544"/>
      <c r="G279" s="544"/>
      <c r="H279" s="544"/>
      <c r="I279" s="544"/>
      <c r="J279" s="544"/>
      <c r="K279" s="544"/>
      <c r="L279" s="544"/>
      <c r="M279" s="544"/>
      <c r="N279" s="544"/>
      <c r="O279" s="544"/>
      <c r="P279" s="544"/>
      <c r="Q279" s="544"/>
      <c r="R279" s="544"/>
      <c r="S279" s="544"/>
      <c r="T279" s="544"/>
      <c r="U279" s="544"/>
    </row>
    <row r="280" spans="1:21" x14ac:dyDescent="0.35">
      <c r="A280" s="544"/>
      <c r="B280" s="544"/>
      <c r="C280" s="544"/>
      <c r="D280" s="708"/>
      <c r="E280" s="544"/>
      <c r="F280" s="544"/>
      <c r="G280" s="544"/>
      <c r="H280" s="544"/>
      <c r="I280" s="544"/>
      <c r="J280" s="544"/>
      <c r="K280" s="544"/>
      <c r="L280" s="544"/>
      <c r="M280" s="544"/>
      <c r="N280" s="544"/>
      <c r="O280" s="544"/>
      <c r="P280" s="544"/>
      <c r="Q280" s="544"/>
      <c r="R280" s="544"/>
      <c r="S280" s="544"/>
      <c r="T280" s="544"/>
      <c r="U280" s="544"/>
    </row>
    <row r="281" spans="1:21" x14ac:dyDescent="0.35">
      <c r="A281" s="544"/>
      <c r="B281" s="544"/>
      <c r="C281" s="544"/>
      <c r="D281" s="708"/>
      <c r="E281" s="544"/>
      <c r="F281" s="544"/>
      <c r="G281" s="544"/>
      <c r="H281" s="544"/>
      <c r="I281" s="544"/>
      <c r="J281" s="544"/>
      <c r="K281" s="544"/>
      <c r="L281" s="544"/>
      <c r="M281" s="544"/>
      <c r="N281" s="544"/>
      <c r="O281" s="544"/>
      <c r="P281" s="544"/>
      <c r="Q281" s="544"/>
      <c r="R281" s="544"/>
      <c r="S281" s="544"/>
      <c r="T281" s="544"/>
      <c r="U281" s="544"/>
    </row>
    <row r="282" spans="1:21" x14ac:dyDescent="0.35">
      <c r="A282" s="544"/>
      <c r="B282" s="544"/>
      <c r="C282" s="544"/>
      <c r="D282" s="708"/>
      <c r="E282" s="544"/>
      <c r="F282" s="544"/>
      <c r="G282" s="544"/>
      <c r="H282" s="544"/>
      <c r="I282" s="544"/>
      <c r="J282" s="544"/>
      <c r="K282" s="544"/>
      <c r="L282" s="544"/>
      <c r="M282" s="544"/>
      <c r="N282" s="544"/>
      <c r="O282" s="544"/>
      <c r="P282" s="544"/>
      <c r="Q282" s="544"/>
      <c r="R282" s="544"/>
      <c r="S282" s="544"/>
      <c r="T282" s="544"/>
      <c r="U282" s="544"/>
    </row>
    <row r="283" spans="1:21" x14ac:dyDescent="0.35">
      <c r="A283" s="544"/>
      <c r="B283" s="544"/>
      <c r="C283" s="544"/>
      <c r="D283" s="708"/>
      <c r="E283" s="544"/>
      <c r="F283" s="544"/>
      <c r="G283" s="544"/>
      <c r="H283" s="544"/>
      <c r="I283" s="544"/>
      <c r="J283" s="544"/>
      <c r="K283" s="544"/>
      <c r="L283" s="544"/>
      <c r="M283" s="544"/>
      <c r="N283" s="544"/>
      <c r="O283" s="544"/>
      <c r="P283" s="544"/>
      <c r="Q283" s="544"/>
      <c r="R283" s="544"/>
      <c r="S283" s="544"/>
      <c r="T283" s="544"/>
      <c r="U283" s="544"/>
    </row>
    <row r="284" spans="1:21" x14ac:dyDescent="0.35">
      <c r="A284" s="544"/>
      <c r="B284" s="544"/>
      <c r="C284" s="544"/>
      <c r="D284" s="708"/>
      <c r="E284" s="544"/>
      <c r="F284" s="544"/>
      <c r="G284" s="544"/>
      <c r="H284" s="544"/>
      <c r="I284" s="544"/>
      <c r="J284" s="544"/>
      <c r="K284" s="544"/>
      <c r="L284" s="544"/>
      <c r="M284" s="544"/>
      <c r="N284" s="544"/>
      <c r="O284" s="544"/>
      <c r="P284" s="544"/>
      <c r="Q284" s="544"/>
      <c r="R284" s="544"/>
      <c r="S284" s="544"/>
      <c r="T284" s="544"/>
      <c r="U284" s="544"/>
    </row>
    <row r="285" spans="1:21" x14ac:dyDescent="0.35">
      <c r="A285" s="544"/>
      <c r="B285" s="544"/>
      <c r="C285" s="544"/>
      <c r="D285" s="708"/>
      <c r="E285" s="544"/>
      <c r="F285" s="544"/>
      <c r="G285" s="544"/>
      <c r="H285" s="544"/>
      <c r="I285" s="544"/>
      <c r="J285" s="544"/>
      <c r="K285" s="544"/>
      <c r="L285" s="544"/>
      <c r="M285" s="544"/>
      <c r="N285" s="544"/>
      <c r="O285" s="544"/>
      <c r="P285" s="544"/>
      <c r="Q285" s="544"/>
      <c r="R285" s="544"/>
      <c r="S285" s="544"/>
      <c r="T285" s="544"/>
      <c r="U285" s="544"/>
    </row>
    <row r="286" spans="1:21" x14ac:dyDescent="0.35">
      <c r="A286" s="544"/>
      <c r="B286" s="544"/>
      <c r="C286" s="544"/>
      <c r="D286" s="708"/>
      <c r="E286" s="544"/>
      <c r="F286" s="544"/>
      <c r="G286" s="544"/>
      <c r="H286" s="544"/>
      <c r="I286" s="544"/>
      <c r="J286" s="544"/>
      <c r="K286" s="544"/>
      <c r="L286" s="544"/>
      <c r="M286" s="544"/>
      <c r="N286" s="544"/>
      <c r="O286" s="544"/>
      <c r="P286" s="544"/>
      <c r="Q286" s="544"/>
      <c r="R286" s="544"/>
      <c r="S286" s="544"/>
      <c r="T286" s="544"/>
      <c r="U286" s="544"/>
    </row>
    <row r="287" spans="1:21" x14ac:dyDescent="0.35">
      <c r="A287" s="544"/>
      <c r="B287" s="544"/>
      <c r="C287" s="544"/>
      <c r="D287" s="708"/>
      <c r="E287" s="544"/>
      <c r="F287" s="544"/>
      <c r="G287" s="544"/>
      <c r="H287" s="544"/>
      <c r="I287" s="544"/>
      <c r="J287" s="544"/>
      <c r="K287" s="544"/>
      <c r="L287" s="544"/>
      <c r="M287" s="544"/>
      <c r="N287" s="544"/>
      <c r="O287" s="544"/>
      <c r="P287" s="544"/>
      <c r="Q287" s="544"/>
      <c r="R287" s="544"/>
      <c r="S287" s="544"/>
      <c r="T287" s="544"/>
      <c r="U287" s="544"/>
    </row>
    <row r="288" spans="1:21" x14ac:dyDescent="0.35">
      <c r="A288" s="544"/>
      <c r="B288" s="544"/>
      <c r="C288" s="544"/>
      <c r="D288" s="708"/>
      <c r="E288" s="544"/>
      <c r="F288" s="544"/>
      <c r="G288" s="544"/>
      <c r="H288" s="544"/>
      <c r="I288" s="544"/>
      <c r="J288" s="544"/>
      <c r="K288" s="544"/>
      <c r="L288" s="544"/>
      <c r="M288" s="544"/>
      <c r="N288" s="544"/>
      <c r="O288" s="544"/>
      <c r="P288" s="544"/>
      <c r="Q288" s="544"/>
      <c r="R288" s="544"/>
      <c r="S288" s="544"/>
      <c r="T288" s="544"/>
      <c r="U288" s="544"/>
    </row>
    <row r="289" spans="1:21" x14ac:dyDescent="0.35">
      <c r="A289" s="544"/>
      <c r="B289" s="544"/>
      <c r="C289" s="544"/>
      <c r="D289" s="708"/>
      <c r="E289" s="544"/>
      <c r="F289" s="544"/>
      <c r="G289" s="544"/>
      <c r="H289" s="544"/>
      <c r="I289" s="544"/>
      <c r="J289" s="544"/>
      <c r="K289" s="544"/>
      <c r="L289" s="544"/>
      <c r="M289" s="544"/>
      <c r="N289" s="544"/>
      <c r="O289" s="544"/>
      <c r="P289" s="544"/>
      <c r="Q289" s="544"/>
      <c r="R289" s="544"/>
      <c r="S289" s="544"/>
      <c r="T289" s="544"/>
      <c r="U289" s="544"/>
    </row>
    <row r="290" spans="1:21" x14ac:dyDescent="0.35">
      <c r="A290" s="544"/>
      <c r="B290" s="544"/>
      <c r="C290" s="544"/>
      <c r="D290" s="708"/>
      <c r="E290" s="544"/>
      <c r="F290" s="544"/>
      <c r="G290" s="544"/>
      <c r="H290" s="544"/>
      <c r="I290" s="544"/>
      <c r="J290" s="544"/>
      <c r="K290" s="544"/>
      <c r="L290" s="544"/>
      <c r="M290" s="544"/>
      <c r="N290" s="544"/>
      <c r="O290" s="544"/>
      <c r="P290" s="544"/>
      <c r="Q290" s="544"/>
      <c r="R290" s="544"/>
      <c r="S290" s="544"/>
      <c r="T290" s="544"/>
      <c r="U290" s="544"/>
    </row>
    <row r="291" spans="1:21" x14ac:dyDescent="0.35">
      <c r="A291" s="544"/>
      <c r="B291" s="544"/>
      <c r="C291" s="544"/>
      <c r="D291" s="708"/>
      <c r="E291" s="544"/>
      <c r="F291" s="544"/>
      <c r="G291" s="544"/>
      <c r="H291" s="544"/>
      <c r="I291" s="544"/>
      <c r="J291" s="544"/>
      <c r="K291" s="544"/>
      <c r="L291" s="544"/>
      <c r="M291" s="544"/>
      <c r="N291" s="544"/>
      <c r="O291" s="544"/>
      <c r="P291" s="544"/>
      <c r="Q291" s="544"/>
      <c r="R291" s="544"/>
      <c r="S291" s="544"/>
      <c r="T291" s="544"/>
      <c r="U291" s="544"/>
    </row>
    <row r="292" spans="1:21" x14ac:dyDescent="0.35">
      <c r="A292" s="544"/>
      <c r="B292" s="544"/>
      <c r="C292" s="544"/>
      <c r="D292" s="708"/>
      <c r="E292" s="544"/>
      <c r="F292" s="544"/>
      <c r="G292" s="544"/>
      <c r="H292" s="544"/>
      <c r="I292" s="544"/>
      <c r="J292" s="544"/>
      <c r="K292" s="544"/>
      <c r="L292" s="544"/>
      <c r="M292" s="544"/>
      <c r="N292" s="544"/>
      <c r="O292" s="544"/>
      <c r="P292" s="544"/>
      <c r="Q292" s="544"/>
      <c r="R292" s="544"/>
      <c r="S292" s="544"/>
      <c r="T292" s="544"/>
      <c r="U292" s="544"/>
    </row>
    <row r="293" spans="1:21" x14ac:dyDescent="0.35">
      <c r="A293" s="544"/>
      <c r="B293" s="544"/>
      <c r="C293" s="544"/>
      <c r="D293" s="708"/>
      <c r="E293" s="544"/>
      <c r="F293" s="544"/>
      <c r="G293" s="544"/>
      <c r="H293" s="544"/>
      <c r="I293" s="544"/>
      <c r="J293" s="544"/>
      <c r="K293" s="544"/>
      <c r="L293" s="544"/>
      <c r="M293" s="544"/>
      <c r="N293" s="544"/>
      <c r="O293" s="544"/>
      <c r="P293" s="544"/>
      <c r="Q293" s="544"/>
      <c r="R293" s="544"/>
      <c r="S293" s="544"/>
      <c r="T293" s="544"/>
      <c r="U293" s="544"/>
    </row>
    <row r="294" spans="1:21" x14ac:dyDescent="0.35">
      <c r="A294" s="544"/>
      <c r="B294" s="544"/>
      <c r="C294" s="544"/>
      <c r="D294" s="708"/>
      <c r="E294" s="544"/>
      <c r="F294" s="544"/>
      <c r="G294" s="544"/>
      <c r="H294" s="544"/>
      <c r="I294" s="544"/>
      <c r="J294" s="544"/>
      <c r="K294" s="544"/>
      <c r="L294" s="544"/>
      <c r="M294" s="544"/>
      <c r="N294" s="544"/>
      <c r="O294" s="544"/>
      <c r="P294" s="544"/>
      <c r="Q294" s="544"/>
      <c r="R294" s="544"/>
      <c r="S294" s="544"/>
      <c r="T294" s="544"/>
      <c r="U294" s="544"/>
    </row>
    <row r="295" spans="1:21" x14ac:dyDescent="0.35">
      <c r="A295" s="544"/>
      <c r="B295" s="544"/>
      <c r="C295" s="544"/>
      <c r="D295" s="708"/>
      <c r="E295" s="544"/>
      <c r="F295" s="544"/>
      <c r="G295" s="544"/>
      <c r="H295" s="544"/>
      <c r="I295" s="544"/>
      <c r="J295" s="544"/>
      <c r="K295" s="544"/>
      <c r="L295" s="544"/>
      <c r="M295" s="544"/>
      <c r="N295" s="544"/>
      <c r="O295" s="544"/>
      <c r="P295" s="544"/>
      <c r="Q295" s="544"/>
      <c r="R295" s="544"/>
      <c r="S295" s="544"/>
      <c r="T295" s="544"/>
      <c r="U295" s="544"/>
    </row>
    <row r="296" spans="1:21" x14ac:dyDescent="0.35">
      <c r="A296" s="544"/>
      <c r="B296" s="544"/>
      <c r="C296" s="544"/>
      <c r="D296" s="708"/>
      <c r="E296" s="544"/>
      <c r="F296" s="544"/>
      <c r="G296" s="544"/>
      <c r="H296" s="544"/>
      <c r="I296" s="544"/>
      <c r="J296" s="544"/>
      <c r="K296" s="544"/>
      <c r="L296" s="544"/>
      <c r="M296" s="544"/>
      <c r="N296" s="544"/>
      <c r="O296" s="544"/>
      <c r="P296" s="544"/>
      <c r="Q296" s="544"/>
      <c r="R296" s="544"/>
      <c r="S296" s="544"/>
      <c r="T296" s="544"/>
      <c r="U296" s="544"/>
    </row>
    <row r="297" spans="1:21" x14ac:dyDescent="0.35">
      <c r="A297" s="544"/>
      <c r="B297" s="544"/>
      <c r="C297" s="544"/>
      <c r="D297" s="708"/>
      <c r="E297" s="544"/>
      <c r="F297" s="544"/>
      <c r="G297" s="544"/>
      <c r="H297" s="544"/>
      <c r="I297" s="544"/>
      <c r="J297" s="544"/>
      <c r="K297" s="544"/>
      <c r="L297" s="544"/>
      <c r="M297" s="544"/>
      <c r="N297" s="544"/>
      <c r="O297" s="544"/>
      <c r="P297" s="544"/>
      <c r="Q297" s="544"/>
      <c r="R297" s="544"/>
      <c r="S297" s="544"/>
      <c r="T297" s="544"/>
      <c r="U297" s="544"/>
    </row>
    <row r="298" spans="1:21" x14ac:dyDescent="0.35">
      <c r="A298" s="544"/>
      <c r="B298" s="544"/>
      <c r="C298" s="544"/>
      <c r="D298" s="708"/>
      <c r="E298" s="544"/>
      <c r="F298" s="544"/>
      <c r="G298" s="544"/>
      <c r="H298" s="544"/>
      <c r="I298" s="544"/>
      <c r="J298" s="544"/>
      <c r="K298" s="544"/>
      <c r="L298" s="544"/>
      <c r="M298" s="544"/>
      <c r="N298" s="544"/>
      <c r="O298" s="544"/>
      <c r="P298" s="544"/>
      <c r="Q298" s="544"/>
      <c r="R298" s="544"/>
      <c r="S298" s="544"/>
      <c r="T298" s="544"/>
      <c r="U298" s="544"/>
    </row>
    <row r="299" spans="1:21" x14ac:dyDescent="0.35">
      <c r="A299" s="544"/>
      <c r="B299" s="544"/>
      <c r="C299" s="544"/>
      <c r="D299" s="708"/>
      <c r="E299" s="544"/>
      <c r="F299" s="544"/>
      <c r="G299" s="544"/>
      <c r="H299" s="544"/>
      <c r="I299" s="544"/>
      <c r="J299" s="544"/>
      <c r="K299" s="544"/>
      <c r="L299" s="544"/>
      <c r="M299" s="544"/>
      <c r="N299" s="544"/>
      <c r="O299" s="544"/>
      <c r="P299" s="544"/>
      <c r="Q299" s="544"/>
      <c r="R299" s="544"/>
      <c r="S299" s="544"/>
      <c r="T299" s="544"/>
      <c r="U299" s="544"/>
    </row>
    <row r="300" spans="1:21" x14ac:dyDescent="0.35">
      <c r="A300" s="544"/>
      <c r="B300" s="544"/>
      <c r="C300" s="544"/>
      <c r="D300" s="708"/>
      <c r="E300" s="544"/>
      <c r="F300" s="544"/>
      <c r="G300" s="544"/>
      <c r="H300" s="544"/>
      <c r="I300" s="544"/>
      <c r="J300" s="544"/>
      <c r="K300" s="544"/>
      <c r="L300" s="544"/>
      <c r="M300" s="544"/>
      <c r="N300" s="544"/>
      <c r="O300" s="544"/>
      <c r="P300" s="544"/>
      <c r="Q300" s="544"/>
      <c r="R300" s="544"/>
      <c r="S300" s="544"/>
      <c r="T300" s="544"/>
      <c r="U300" s="544"/>
    </row>
    <row r="301" spans="1:21" x14ac:dyDescent="0.35">
      <c r="A301" s="544"/>
      <c r="B301" s="544"/>
      <c r="C301" s="544"/>
      <c r="D301" s="708"/>
      <c r="E301" s="544"/>
      <c r="F301" s="544"/>
      <c r="G301" s="544"/>
      <c r="H301" s="544"/>
      <c r="I301" s="544"/>
      <c r="J301" s="544"/>
      <c r="K301" s="544"/>
      <c r="L301" s="544"/>
      <c r="M301" s="544"/>
      <c r="N301" s="544"/>
      <c r="O301" s="544"/>
      <c r="P301" s="544"/>
      <c r="Q301" s="544"/>
      <c r="R301" s="544"/>
      <c r="S301" s="544"/>
      <c r="T301" s="544"/>
      <c r="U301" s="544"/>
    </row>
    <row r="302" spans="1:21" x14ac:dyDescent="0.35">
      <c r="A302" s="544"/>
      <c r="B302" s="544"/>
      <c r="C302" s="544"/>
      <c r="D302" s="708"/>
      <c r="E302" s="544"/>
      <c r="F302" s="544"/>
      <c r="G302" s="544"/>
      <c r="H302" s="544"/>
      <c r="I302" s="544"/>
      <c r="J302" s="544"/>
      <c r="K302" s="544"/>
      <c r="L302" s="544"/>
      <c r="M302" s="544"/>
      <c r="N302" s="544"/>
      <c r="O302" s="544"/>
      <c r="P302" s="544"/>
      <c r="Q302" s="544"/>
      <c r="R302" s="544"/>
      <c r="S302" s="544"/>
      <c r="T302" s="544"/>
      <c r="U302" s="544"/>
    </row>
    <row r="303" spans="1:21" x14ac:dyDescent="0.35">
      <c r="A303" s="544"/>
      <c r="B303" s="544"/>
      <c r="C303" s="544"/>
      <c r="D303" s="708"/>
      <c r="E303" s="544"/>
      <c r="F303" s="544"/>
      <c r="G303" s="544"/>
      <c r="H303" s="544"/>
      <c r="I303" s="544"/>
      <c r="J303" s="544"/>
      <c r="K303" s="544"/>
      <c r="L303" s="544"/>
      <c r="M303" s="544"/>
      <c r="N303" s="544"/>
      <c r="O303" s="544"/>
      <c r="P303" s="544"/>
      <c r="Q303" s="544"/>
      <c r="R303" s="544"/>
      <c r="S303" s="544"/>
      <c r="T303" s="544"/>
      <c r="U303" s="544"/>
    </row>
    <row r="304" spans="1:21" x14ac:dyDescent="0.35">
      <c r="A304" s="544"/>
      <c r="B304" s="544"/>
      <c r="C304" s="544"/>
      <c r="D304" s="708"/>
      <c r="E304" s="544"/>
      <c r="F304" s="544"/>
      <c r="G304" s="544"/>
      <c r="H304" s="544"/>
      <c r="I304" s="544"/>
      <c r="J304" s="544"/>
      <c r="K304" s="544"/>
      <c r="L304" s="544"/>
      <c r="M304" s="544"/>
      <c r="N304" s="544"/>
      <c r="O304" s="544"/>
      <c r="P304" s="544"/>
      <c r="Q304" s="544"/>
      <c r="R304" s="544"/>
      <c r="S304" s="544"/>
      <c r="T304" s="544"/>
      <c r="U304" s="544"/>
    </row>
    <row r="305" spans="1:21" x14ac:dyDescent="0.35">
      <c r="A305" s="544"/>
      <c r="B305" s="544"/>
      <c r="C305" s="544"/>
      <c r="D305" s="708"/>
      <c r="E305" s="544"/>
      <c r="F305" s="544"/>
      <c r="G305" s="544"/>
      <c r="H305" s="544"/>
      <c r="I305" s="544"/>
      <c r="J305" s="544"/>
      <c r="K305" s="544"/>
      <c r="L305" s="544"/>
      <c r="M305" s="544"/>
      <c r="N305" s="544"/>
      <c r="O305" s="544"/>
      <c r="P305" s="544"/>
      <c r="Q305" s="544"/>
      <c r="R305" s="544"/>
      <c r="S305" s="544"/>
      <c r="T305" s="544"/>
      <c r="U305" s="544"/>
    </row>
    <row r="306" spans="1:21" x14ac:dyDescent="0.35">
      <c r="A306" s="544"/>
      <c r="B306" s="544"/>
      <c r="C306" s="544"/>
      <c r="D306" s="708"/>
      <c r="E306" s="544"/>
      <c r="F306" s="544"/>
      <c r="G306" s="544"/>
      <c r="H306" s="544"/>
      <c r="I306" s="544"/>
      <c r="J306" s="544"/>
      <c r="K306" s="544"/>
      <c r="L306" s="544"/>
      <c r="M306" s="544"/>
      <c r="N306" s="544"/>
      <c r="O306" s="544"/>
      <c r="P306" s="544"/>
      <c r="Q306" s="544"/>
      <c r="R306" s="544"/>
      <c r="S306" s="544"/>
      <c r="T306" s="544"/>
      <c r="U306" s="544"/>
    </row>
    <row r="307" spans="1:21" x14ac:dyDescent="0.35">
      <c r="A307" s="544"/>
      <c r="B307" s="544"/>
      <c r="C307" s="544"/>
      <c r="D307" s="708"/>
      <c r="E307" s="544"/>
      <c r="F307" s="544"/>
      <c r="G307" s="544"/>
      <c r="H307" s="544"/>
      <c r="I307" s="544"/>
      <c r="J307" s="544"/>
      <c r="K307" s="544"/>
      <c r="L307" s="544"/>
      <c r="M307" s="544"/>
      <c r="N307" s="544"/>
      <c r="O307" s="544"/>
      <c r="P307" s="544"/>
      <c r="Q307" s="544"/>
      <c r="R307" s="544"/>
      <c r="S307" s="544"/>
      <c r="T307" s="544"/>
      <c r="U307" s="544"/>
    </row>
    <row r="308" spans="1:21" x14ac:dyDescent="0.35">
      <c r="A308" s="544"/>
      <c r="B308" s="544"/>
      <c r="C308" s="544"/>
      <c r="D308" s="708"/>
      <c r="E308" s="544"/>
      <c r="F308" s="544"/>
      <c r="G308" s="544"/>
      <c r="H308" s="544"/>
      <c r="I308" s="544"/>
      <c r="J308" s="544"/>
      <c r="K308" s="544"/>
      <c r="L308" s="544"/>
      <c r="M308" s="544"/>
      <c r="N308" s="544"/>
      <c r="O308" s="544"/>
      <c r="P308" s="544"/>
      <c r="Q308" s="544"/>
      <c r="R308" s="544"/>
      <c r="S308" s="544"/>
      <c r="T308" s="544"/>
      <c r="U308" s="544"/>
    </row>
    <row r="309" spans="1:21" x14ac:dyDescent="0.35">
      <c r="A309" s="544"/>
      <c r="B309" s="544"/>
      <c r="C309" s="544"/>
      <c r="D309" s="708"/>
      <c r="E309" s="544"/>
      <c r="F309" s="544"/>
      <c r="G309" s="544"/>
      <c r="H309" s="544"/>
      <c r="I309" s="544"/>
      <c r="J309" s="544"/>
      <c r="K309" s="544"/>
      <c r="L309" s="544"/>
      <c r="M309" s="544"/>
      <c r="N309" s="544"/>
      <c r="O309" s="544"/>
      <c r="P309" s="544"/>
      <c r="Q309" s="544"/>
      <c r="R309" s="544"/>
      <c r="S309" s="544"/>
      <c r="T309" s="544"/>
      <c r="U309" s="544"/>
    </row>
    <row r="310" spans="1:21" x14ac:dyDescent="0.35">
      <c r="A310" s="544"/>
      <c r="B310" s="544"/>
      <c r="C310" s="544"/>
      <c r="D310" s="708"/>
      <c r="E310" s="544"/>
      <c r="F310" s="544"/>
      <c r="G310" s="544"/>
      <c r="H310" s="544"/>
      <c r="I310" s="544"/>
      <c r="J310" s="544"/>
      <c r="K310" s="544"/>
      <c r="L310" s="544"/>
      <c r="M310" s="544"/>
      <c r="N310" s="544"/>
      <c r="O310" s="544"/>
      <c r="P310" s="544"/>
      <c r="Q310" s="544"/>
      <c r="R310" s="544"/>
      <c r="S310" s="544"/>
      <c r="T310" s="544"/>
      <c r="U310" s="544"/>
    </row>
    <row r="311" spans="1:21" x14ac:dyDescent="0.35">
      <c r="A311" s="544"/>
      <c r="B311" s="544"/>
      <c r="C311" s="544"/>
      <c r="D311" s="708"/>
      <c r="E311" s="544"/>
      <c r="F311" s="544"/>
      <c r="G311" s="544"/>
      <c r="H311" s="544"/>
      <c r="I311" s="544"/>
      <c r="J311" s="544"/>
      <c r="K311" s="544"/>
      <c r="L311" s="544"/>
      <c r="M311" s="544"/>
      <c r="N311" s="544"/>
      <c r="O311" s="544"/>
      <c r="P311" s="544"/>
      <c r="Q311" s="544"/>
      <c r="R311" s="544"/>
      <c r="S311" s="544"/>
      <c r="T311" s="544"/>
      <c r="U311" s="544"/>
    </row>
    <row r="312" spans="1:21" x14ac:dyDescent="0.35">
      <c r="A312" s="544"/>
      <c r="B312" s="544"/>
      <c r="C312" s="544"/>
      <c r="D312" s="708"/>
      <c r="E312" s="544"/>
      <c r="F312" s="544"/>
      <c r="G312" s="544"/>
      <c r="H312" s="544"/>
      <c r="I312" s="544"/>
      <c r="J312" s="544"/>
      <c r="K312" s="544"/>
      <c r="L312" s="544"/>
      <c r="M312" s="544"/>
      <c r="N312" s="544"/>
      <c r="O312" s="544"/>
      <c r="P312" s="544"/>
      <c r="Q312" s="544"/>
      <c r="R312" s="544"/>
      <c r="S312" s="544"/>
      <c r="T312" s="544"/>
      <c r="U312" s="544"/>
    </row>
    <row r="313" spans="1:21" x14ac:dyDescent="0.35">
      <c r="A313" s="544"/>
      <c r="B313" s="544"/>
      <c r="C313" s="544"/>
      <c r="D313" s="708"/>
      <c r="E313" s="544"/>
      <c r="F313" s="544"/>
      <c r="G313" s="544"/>
      <c r="H313" s="544"/>
      <c r="I313" s="544"/>
      <c r="J313" s="544"/>
      <c r="K313" s="544"/>
      <c r="L313" s="544"/>
      <c r="M313" s="544"/>
      <c r="N313" s="544"/>
      <c r="O313" s="544"/>
      <c r="P313" s="544"/>
      <c r="Q313" s="544"/>
      <c r="R313" s="544"/>
      <c r="S313" s="544"/>
      <c r="T313" s="544"/>
      <c r="U313" s="544"/>
    </row>
    <row r="314" spans="1:21" x14ac:dyDescent="0.35">
      <c r="A314" s="544"/>
      <c r="B314" s="544"/>
      <c r="C314" s="544"/>
      <c r="D314" s="708"/>
      <c r="E314" s="544"/>
      <c r="F314" s="544"/>
      <c r="G314" s="544"/>
      <c r="H314" s="544"/>
      <c r="I314" s="544"/>
      <c r="J314" s="544"/>
      <c r="K314" s="544"/>
      <c r="L314" s="544"/>
      <c r="M314" s="544"/>
      <c r="N314" s="544"/>
      <c r="O314" s="544"/>
      <c r="P314" s="544"/>
      <c r="Q314" s="544"/>
      <c r="R314" s="544"/>
      <c r="S314" s="544"/>
      <c r="T314" s="544"/>
      <c r="U314" s="544"/>
    </row>
    <row r="315" spans="1:21" x14ac:dyDescent="0.35">
      <c r="A315" s="544"/>
      <c r="B315" s="544"/>
      <c r="C315" s="544"/>
      <c r="D315" s="708"/>
      <c r="E315" s="544"/>
      <c r="F315" s="544"/>
      <c r="G315" s="544"/>
      <c r="H315" s="544"/>
      <c r="I315" s="544"/>
      <c r="J315" s="544"/>
      <c r="K315" s="544"/>
      <c r="L315" s="544"/>
      <c r="M315" s="544"/>
      <c r="N315" s="544"/>
      <c r="O315" s="544"/>
      <c r="P315" s="544"/>
      <c r="Q315" s="544"/>
      <c r="R315" s="544"/>
      <c r="S315" s="544"/>
      <c r="T315" s="544"/>
      <c r="U315" s="544"/>
    </row>
    <row r="316" spans="1:21" x14ac:dyDescent="0.35">
      <c r="A316" s="544"/>
      <c r="B316" s="544"/>
      <c r="C316" s="544"/>
      <c r="D316" s="708"/>
      <c r="E316" s="544"/>
      <c r="F316" s="544"/>
      <c r="G316" s="544"/>
      <c r="H316" s="544"/>
      <c r="I316" s="544"/>
      <c r="J316" s="544"/>
      <c r="K316" s="544"/>
      <c r="L316" s="544"/>
      <c r="M316" s="544"/>
      <c r="N316" s="544"/>
      <c r="O316" s="544"/>
      <c r="P316" s="544"/>
      <c r="Q316" s="544"/>
      <c r="R316" s="544"/>
      <c r="S316" s="544"/>
      <c r="T316" s="544"/>
      <c r="U316" s="544"/>
    </row>
    <row r="317" spans="1:21" x14ac:dyDescent="0.35">
      <c r="A317" s="544"/>
      <c r="B317" s="544"/>
      <c r="C317" s="544"/>
      <c r="D317" s="708"/>
      <c r="E317" s="544"/>
      <c r="F317" s="544"/>
      <c r="G317" s="544"/>
      <c r="H317" s="544"/>
      <c r="I317" s="544"/>
      <c r="J317" s="544"/>
      <c r="K317" s="544"/>
      <c r="L317" s="544"/>
      <c r="M317" s="544"/>
      <c r="N317" s="544"/>
      <c r="O317" s="544"/>
      <c r="P317" s="544"/>
      <c r="Q317" s="544"/>
      <c r="R317" s="544"/>
      <c r="S317" s="544"/>
      <c r="T317" s="544"/>
      <c r="U317" s="544"/>
    </row>
    <row r="318" spans="1:21" x14ac:dyDescent="0.35">
      <c r="A318" s="544"/>
      <c r="B318" s="544"/>
      <c r="C318" s="544"/>
      <c r="D318" s="708"/>
      <c r="E318" s="544"/>
      <c r="F318" s="544"/>
      <c r="G318" s="544"/>
      <c r="H318" s="544"/>
      <c r="I318" s="544"/>
      <c r="J318" s="544"/>
      <c r="K318" s="544"/>
      <c r="L318" s="544"/>
      <c r="M318" s="544"/>
      <c r="N318" s="544"/>
      <c r="O318" s="544"/>
      <c r="P318" s="544"/>
      <c r="Q318" s="544"/>
      <c r="R318" s="544"/>
      <c r="S318" s="544"/>
      <c r="T318" s="544"/>
      <c r="U318" s="544"/>
    </row>
    <row r="319" spans="1:21" x14ac:dyDescent="0.35">
      <c r="A319" s="544"/>
      <c r="B319" s="544"/>
      <c r="C319" s="544"/>
      <c r="D319" s="708"/>
      <c r="E319" s="544"/>
      <c r="F319" s="544"/>
      <c r="G319" s="544"/>
      <c r="H319" s="544"/>
      <c r="I319" s="544"/>
      <c r="J319" s="544"/>
      <c r="K319" s="544"/>
      <c r="L319" s="544"/>
      <c r="M319" s="544"/>
      <c r="N319" s="544"/>
      <c r="O319" s="544"/>
      <c r="P319" s="544"/>
      <c r="Q319" s="544"/>
      <c r="R319" s="544"/>
      <c r="S319" s="544"/>
      <c r="T319" s="544"/>
      <c r="U319" s="544"/>
    </row>
    <row r="320" spans="1:21" x14ac:dyDescent="0.35">
      <c r="A320" s="544"/>
      <c r="B320" s="544"/>
      <c r="C320" s="544"/>
      <c r="D320" s="708"/>
      <c r="E320" s="544"/>
      <c r="F320" s="544"/>
      <c r="G320" s="544"/>
      <c r="H320" s="544"/>
      <c r="I320" s="544"/>
      <c r="J320" s="544"/>
      <c r="K320" s="544"/>
      <c r="L320" s="544"/>
      <c r="M320" s="544"/>
      <c r="N320" s="544"/>
      <c r="O320" s="544"/>
      <c r="P320" s="544"/>
      <c r="Q320" s="544"/>
      <c r="R320" s="544"/>
      <c r="S320" s="544"/>
      <c r="T320" s="544"/>
      <c r="U320" s="544"/>
    </row>
    <row r="321" spans="1:21" x14ac:dyDescent="0.35">
      <c r="A321" s="544"/>
      <c r="B321" s="544"/>
      <c r="C321" s="544"/>
      <c r="D321" s="708"/>
      <c r="E321" s="544"/>
      <c r="F321" s="544"/>
      <c r="G321" s="544"/>
      <c r="H321" s="544"/>
      <c r="I321" s="544"/>
      <c r="J321" s="544"/>
      <c r="K321" s="544"/>
      <c r="L321" s="544"/>
      <c r="M321" s="544"/>
      <c r="N321" s="544"/>
      <c r="O321" s="544"/>
      <c r="P321" s="544"/>
      <c r="Q321" s="544"/>
      <c r="R321" s="544"/>
      <c r="S321" s="544"/>
      <c r="T321" s="544"/>
      <c r="U321" s="544"/>
    </row>
    <row r="322" spans="1:21" x14ac:dyDescent="0.35">
      <c r="A322" s="544"/>
      <c r="B322" s="544"/>
      <c r="C322" s="544"/>
      <c r="D322" s="708"/>
      <c r="E322" s="544"/>
      <c r="F322" s="544"/>
      <c r="G322" s="544"/>
      <c r="H322" s="544"/>
      <c r="I322" s="544"/>
      <c r="J322" s="544"/>
      <c r="K322" s="544"/>
      <c r="L322" s="544"/>
      <c r="M322" s="544"/>
      <c r="N322" s="544"/>
      <c r="O322" s="544"/>
      <c r="P322" s="544"/>
      <c r="Q322" s="544"/>
      <c r="R322" s="544"/>
      <c r="S322" s="544"/>
      <c r="T322" s="544"/>
      <c r="U322" s="544"/>
    </row>
    <row r="323" spans="1:21" x14ac:dyDescent="0.35">
      <c r="A323" s="544"/>
      <c r="B323" s="544"/>
      <c r="C323" s="544"/>
      <c r="D323" s="708"/>
      <c r="E323" s="544"/>
      <c r="F323" s="544"/>
      <c r="G323" s="544"/>
      <c r="H323" s="544"/>
      <c r="I323" s="544"/>
      <c r="J323" s="544"/>
      <c r="K323" s="544"/>
      <c r="L323" s="544"/>
      <c r="M323" s="544"/>
      <c r="N323" s="544"/>
      <c r="O323" s="544"/>
      <c r="P323" s="544"/>
      <c r="Q323" s="544"/>
      <c r="R323" s="544"/>
      <c r="S323" s="544"/>
      <c r="T323" s="544"/>
      <c r="U323" s="544"/>
    </row>
    <row r="324" spans="1:21" x14ac:dyDescent="0.35">
      <c r="A324" s="544"/>
      <c r="B324" s="544"/>
      <c r="C324" s="544"/>
      <c r="D324" s="708"/>
      <c r="E324" s="544"/>
      <c r="F324" s="544"/>
      <c r="G324" s="544"/>
      <c r="H324" s="544"/>
      <c r="I324" s="544"/>
      <c r="J324" s="544"/>
      <c r="K324" s="544"/>
      <c r="L324" s="544"/>
      <c r="M324" s="544"/>
      <c r="N324" s="544"/>
      <c r="O324" s="544"/>
      <c r="P324" s="544"/>
      <c r="Q324" s="544"/>
      <c r="R324" s="544"/>
      <c r="S324" s="544"/>
      <c r="T324" s="544"/>
      <c r="U324" s="544"/>
    </row>
    <row r="325" spans="1:21" x14ac:dyDescent="0.35">
      <c r="A325" s="544"/>
      <c r="B325" s="544"/>
      <c r="C325" s="544"/>
      <c r="D325" s="708"/>
      <c r="E325" s="544"/>
      <c r="F325" s="544"/>
      <c r="G325" s="544"/>
      <c r="H325" s="544"/>
      <c r="I325" s="544"/>
      <c r="J325" s="544"/>
      <c r="K325" s="544"/>
      <c r="L325" s="544"/>
      <c r="M325" s="544"/>
      <c r="N325" s="544"/>
      <c r="O325" s="544"/>
      <c r="P325" s="544"/>
      <c r="Q325" s="544"/>
      <c r="R325" s="544"/>
      <c r="S325" s="544"/>
      <c r="T325" s="544"/>
      <c r="U325" s="544"/>
    </row>
    <row r="326" spans="1:21" x14ac:dyDescent="0.35">
      <c r="A326" s="544"/>
      <c r="B326" s="544"/>
      <c r="C326" s="544"/>
      <c r="D326" s="708"/>
      <c r="E326" s="544"/>
      <c r="F326" s="544"/>
      <c r="G326" s="544"/>
      <c r="H326" s="544"/>
      <c r="I326" s="544"/>
      <c r="J326" s="544"/>
      <c r="K326" s="544"/>
      <c r="L326" s="544"/>
      <c r="M326" s="544"/>
      <c r="N326" s="544"/>
      <c r="O326" s="544"/>
      <c r="P326" s="544"/>
      <c r="Q326" s="544"/>
      <c r="R326" s="544"/>
      <c r="S326" s="544"/>
      <c r="T326" s="544"/>
      <c r="U326" s="544"/>
    </row>
    <row r="327" spans="1:21" x14ac:dyDescent="0.35">
      <c r="A327" s="544"/>
      <c r="B327" s="544"/>
      <c r="C327" s="544"/>
      <c r="D327" s="708"/>
      <c r="E327" s="544"/>
      <c r="F327" s="544"/>
      <c r="G327" s="544"/>
      <c r="H327" s="544"/>
      <c r="I327" s="544"/>
      <c r="J327" s="544"/>
      <c r="K327" s="544"/>
      <c r="L327" s="544"/>
      <c r="M327" s="544"/>
      <c r="N327" s="544"/>
      <c r="O327" s="544"/>
      <c r="P327" s="544"/>
      <c r="Q327" s="544"/>
      <c r="R327" s="544"/>
      <c r="S327" s="544"/>
      <c r="T327" s="544"/>
      <c r="U327" s="544"/>
    </row>
    <row r="328" spans="1:21" x14ac:dyDescent="0.35">
      <c r="A328" s="544"/>
      <c r="B328" s="544"/>
      <c r="C328" s="544"/>
      <c r="D328" s="708"/>
      <c r="E328" s="544"/>
      <c r="F328" s="544"/>
      <c r="G328" s="544"/>
      <c r="H328" s="544"/>
      <c r="I328" s="544"/>
      <c r="J328" s="544"/>
      <c r="K328" s="544"/>
      <c r="L328" s="544"/>
      <c r="M328" s="544"/>
      <c r="N328" s="544"/>
      <c r="O328" s="544"/>
      <c r="P328" s="544"/>
      <c r="Q328" s="544"/>
      <c r="R328" s="544"/>
      <c r="S328" s="544"/>
      <c r="T328" s="544"/>
      <c r="U328" s="544"/>
    </row>
    <row r="329" spans="1:21" x14ac:dyDescent="0.35">
      <c r="A329" s="544"/>
      <c r="B329" s="544"/>
      <c r="C329" s="544"/>
      <c r="D329" s="708"/>
      <c r="E329" s="544"/>
      <c r="F329" s="544"/>
      <c r="G329" s="544"/>
      <c r="H329" s="544"/>
      <c r="I329" s="544"/>
      <c r="J329" s="544"/>
      <c r="K329" s="544"/>
      <c r="L329" s="544"/>
      <c r="M329" s="544"/>
      <c r="N329" s="544"/>
      <c r="O329" s="544"/>
      <c r="P329" s="544"/>
      <c r="Q329" s="544"/>
      <c r="R329" s="544"/>
      <c r="S329" s="544"/>
      <c r="T329" s="544"/>
      <c r="U329" s="544"/>
    </row>
    <row r="330" spans="1:21" x14ac:dyDescent="0.35">
      <c r="A330" s="544"/>
      <c r="B330" s="544"/>
      <c r="C330" s="544"/>
      <c r="D330" s="708"/>
      <c r="E330" s="544"/>
      <c r="F330" s="544"/>
      <c r="G330" s="544"/>
      <c r="H330" s="544"/>
      <c r="I330" s="544"/>
      <c r="J330" s="544"/>
      <c r="K330" s="544"/>
      <c r="L330" s="544"/>
      <c r="M330" s="544"/>
      <c r="N330" s="544"/>
      <c r="O330" s="544"/>
      <c r="P330" s="544"/>
      <c r="Q330" s="544"/>
      <c r="R330" s="544"/>
      <c r="S330" s="544"/>
      <c r="T330" s="544"/>
      <c r="U330" s="544"/>
    </row>
    <row r="331" spans="1:21" x14ac:dyDescent="0.35">
      <c r="A331" s="544"/>
      <c r="B331" s="544"/>
      <c r="C331" s="544"/>
      <c r="D331" s="708"/>
      <c r="E331" s="544"/>
      <c r="F331" s="544"/>
      <c r="G331" s="544"/>
      <c r="H331" s="544"/>
      <c r="I331" s="544"/>
      <c r="J331" s="544"/>
      <c r="K331" s="544"/>
      <c r="L331" s="544"/>
      <c r="M331" s="544"/>
      <c r="N331" s="544"/>
      <c r="O331" s="544"/>
      <c r="P331" s="544"/>
      <c r="Q331" s="544"/>
      <c r="R331" s="544"/>
      <c r="S331" s="544"/>
      <c r="T331" s="544"/>
      <c r="U331" s="544"/>
    </row>
    <row r="332" spans="1:21" x14ac:dyDescent="0.35">
      <c r="A332" s="544"/>
      <c r="B332" s="544"/>
      <c r="C332" s="544"/>
      <c r="D332" s="708"/>
      <c r="E332" s="544"/>
      <c r="F332" s="544"/>
      <c r="G332" s="544"/>
      <c r="H332" s="544"/>
      <c r="I332" s="544"/>
      <c r="J332" s="544"/>
      <c r="K332" s="544"/>
      <c r="L332" s="544"/>
      <c r="M332" s="544"/>
      <c r="N332" s="544"/>
      <c r="O332" s="544"/>
      <c r="P332" s="544"/>
      <c r="Q332" s="544"/>
      <c r="R332" s="544"/>
      <c r="S332" s="544"/>
      <c r="T332" s="544"/>
      <c r="U332" s="544"/>
    </row>
    <row r="333" spans="1:21" x14ac:dyDescent="0.35">
      <c r="A333" s="544"/>
      <c r="B333" s="544"/>
      <c r="C333" s="544"/>
      <c r="D333" s="708"/>
      <c r="E333" s="544"/>
      <c r="F333" s="544"/>
      <c r="G333" s="544"/>
      <c r="H333" s="544"/>
      <c r="I333" s="544"/>
      <c r="J333" s="544"/>
      <c r="K333" s="544"/>
      <c r="L333" s="544"/>
      <c r="M333" s="544"/>
      <c r="N333" s="544"/>
      <c r="O333" s="544"/>
      <c r="P333" s="544"/>
      <c r="Q333" s="544"/>
      <c r="R333" s="544"/>
      <c r="S333" s="544"/>
      <c r="T333" s="544"/>
      <c r="U333" s="544"/>
    </row>
    <row r="334" spans="1:21" x14ac:dyDescent="0.35">
      <c r="A334" s="544"/>
      <c r="B334" s="544"/>
      <c r="C334" s="544"/>
      <c r="D334" s="708"/>
      <c r="E334" s="544"/>
      <c r="F334" s="544"/>
      <c r="G334" s="544"/>
      <c r="H334" s="544"/>
      <c r="I334" s="544"/>
      <c r="J334" s="544"/>
      <c r="K334" s="544"/>
      <c r="L334" s="544"/>
      <c r="M334" s="544"/>
      <c r="N334" s="544"/>
      <c r="O334" s="544"/>
      <c r="P334" s="544"/>
      <c r="Q334" s="544"/>
      <c r="R334" s="544"/>
      <c r="S334" s="544"/>
      <c r="T334" s="544"/>
      <c r="U334" s="544"/>
    </row>
    <row r="335" spans="1:21" x14ac:dyDescent="0.35">
      <c r="A335" s="544"/>
      <c r="B335" s="544"/>
      <c r="C335" s="544"/>
      <c r="D335" s="708"/>
      <c r="E335" s="544"/>
      <c r="F335" s="544"/>
      <c r="G335" s="544"/>
      <c r="H335" s="544"/>
      <c r="I335" s="544"/>
      <c r="J335" s="544"/>
      <c r="K335" s="544"/>
      <c r="L335" s="544"/>
      <c r="M335" s="544"/>
      <c r="N335" s="544"/>
      <c r="O335" s="544"/>
      <c r="P335" s="544"/>
      <c r="Q335" s="544"/>
      <c r="R335" s="544"/>
      <c r="S335" s="544"/>
      <c r="T335" s="544"/>
      <c r="U335" s="544"/>
    </row>
    <row r="336" spans="1:21" x14ac:dyDescent="0.35">
      <c r="A336" s="544"/>
      <c r="B336" s="544"/>
      <c r="C336" s="544"/>
      <c r="D336" s="708"/>
      <c r="E336" s="544"/>
      <c r="F336" s="544"/>
      <c r="G336" s="544"/>
      <c r="H336" s="544"/>
      <c r="I336" s="544"/>
      <c r="J336" s="544"/>
      <c r="K336" s="544"/>
      <c r="L336" s="544"/>
      <c r="M336" s="544"/>
      <c r="N336" s="544"/>
      <c r="O336" s="544"/>
      <c r="P336" s="544"/>
      <c r="Q336" s="544"/>
      <c r="R336" s="544"/>
      <c r="S336" s="544"/>
      <c r="T336" s="544"/>
      <c r="U336" s="544"/>
    </row>
    <row r="337" spans="1:21" x14ac:dyDescent="0.35">
      <c r="A337" s="544"/>
      <c r="B337" s="544"/>
      <c r="C337" s="544"/>
      <c r="D337" s="708"/>
      <c r="E337" s="544"/>
      <c r="F337" s="544"/>
      <c r="G337" s="544"/>
      <c r="H337" s="544"/>
      <c r="I337" s="544"/>
      <c r="J337" s="544"/>
      <c r="K337" s="544"/>
      <c r="L337" s="544"/>
      <c r="M337" s="544"/>
      <c r="N337" s="544"/>
      <c r="O337" s="544"/>
      <c r="P337" s="544"/>
      <c r="Q337" s="544"/>
      <c r="R337" s="544"/>
      <c r="S337" s="544"/>
      <c r="T337" s="544"/>
      <c r="U337" s="544"/>
    </row>
    <row r="338" spans="1:21" x14ac:dyDescent="0.35">
      <c r="A338" s="544"/>
      <c r="B338" s="544"/>
      <c r="C338" s="544"/>
      <c r="D338" s="708"/>
      <c r="E338" s="544"/>
      <c r="F338" s="544"/>
      <c r="G338" s="544"/>
      <c r="H338" s="544"/>
      <c r="I338" s="544"/>
      <c r="J338" s="544"/>
      <c r="K338" s="544"/>
      <c r="L338" s="544"/>
      <c r="M338" s="544"/>
      <c r="N338" s="544"/>
      <c r="O338" s="544"/>
      <c r="P338" s="544"/>
      <c r="Q338" s="544"/>
      <c r="R338" s="544"/>
      <c r="S338" s="544"/>
      <c r="T338" s="544"/>
      <c r="U338" s="544"/>
    </row>
    <row r="339" spans="1:21" x14ac:dyDescent="0.35">
      <c r="A339" s="544"/>
      <c r="B339" s="544"/>
      <c r="C339" s="544"/>
      <c r="D339" s="708"/>
      <c r="E339" s="544"/>
      <c r="F339" s="544"/>
      <c r="G339" s="544"/>
      <c r="H339" s="544"/>
      <c r="I339" s="544"/>
      <c r="J339" s="544"/>
      <c r="K339" s="544"/>
      <c r="L339" s="544"/>
      <c r="M339" s="544"/>
      <c r="N339" s="544"/>
      <c r="O339" s="544"/>
      <c r="P339" s="544"/>
      <c r="Q339" s="544"/>
      <c r="R339" s="544"/>
      <c r="S339" s="544"/>
      <c r="T339" s="544"/>
      <c r="U339" s="544"/>
    </row>
    <row r="340" spans="1:21" x14ac:dyDescent="0.35">
      <c r="A340" s="544"/>
      <c r="B340" s="544"/>
      <c r="C340" s="544"/>
      <c r="D340" s="708"/>
      <c r="E340" s="544"/>
      <c r="F340" s="544"/>
      <c r="G340" s="544"/>
      <c r="H340" s="544"/>
      <c r="I340" s="544"/>
      <c r="J340" s="544"/>
      <c r="K340" s="544"/>
      <c r="L340" s="544"/>
      <c r="M340" s="544"/>
      <c r="N340" s="544"/>
      <c r="O340" s="544"/>
      <c r="P340" s="544"/>
      <c r="Q340" s="544"/>
      <c r="R340" s="544"/>
      <c r="S340" s="544"/>
      <c r="T340" s="544"/>
      <c r="U340" s="544"/>
    </row>
    <row r="341" spans="1:21" x14ac:dyDescent="0.35">
      <c r="A341" s="544"/>
      <c r="B341" s="544"/>
      <c r="C341" s="544"/>
      <c r="D341" s="708"/>
      <c r="E341" s="544"/>
      <c r="F341" s="544"/>
      <c r="G341" s="544"/>
      <c r="H341" s="544"/>
      <c r="I341" s="544"/>
      <c r="J341" s="544"/>
      <c r="K341" s="544"/>
      <c r="L341" s="544"/>
      <c r="M341" s="544"/>
      <c r="N341" s="544"/>
      <c r="O341" s="544"/>
      <c r="P341" s="544"/>
      <c r="Q341" s="544"/>
      <c r="R341" s="544"/>
      <c r="S341" s="544"/>
      <c r="T341" s="544"/>
      <c r="U341" s="544"/>
    </row>
    <row r="342" spans="1:21" x14ac:dyDescent="0.35">
      <c r="A342" s="544"/>
      <c r="B342" s="544"/>
      <c r="C342" s="544"/>
      <c r="D342" s="708"/>
      <c r="E342" s="544"/>
      <c r="F342" s="544"/>
      <c r="G342" s="544"/>
      <c r="H342" s="544"/>
      <c r="I342" s="544"/>
      <c r="J342" s="544"/>
      <c r="K342" s="544"/>
      <c r="L342" s="544"/>
      <c r="M342" s="544"/>
      <c r="N342" s="544"/>
      <c r="O342" s="544"/>
      <c r="P342" s="544"/>
      <c r="Q342" s="544"/>
      <c r="R342" s="544"/>
      <c r="S342" s="544"/>
      <c r="T342" s="544"/>
      <c r="U342" s="544"/>
    </row>
    <row r="343" spans="1:21" x14ac:dyDescent="0.35">
      <c r="A343" s="544"/>
      <c r="B343" s="544"/>
      <c r="C343" s="544"/>
      <c r="D343" s="708"/>
      <c r="E343" s="544"/>
      <c r="F343" s="544"/>
      <c r="G343" s="544"/>
      <c r="H343" s="544"/>
      <c r="I343" s="544"/>
      <c r="J343" s="544"/>
      <c r="K343" s="544"/>
      <c r="L343" s="544"/>
      <c r="M343" s="544"/>
      <c r="N343" s="544"/>
      <c r="O343" s="544"/>
      <c r="P343" s="544"/>
      <c r="Q343" s="544"/>
      <c r="R343" s="544"/>
      <c r="S343" s="544"/>
      <c r="T343" s="544"/>
      <c r="U343" s="544"/>
    </row>
    <row r="344" spans="1:21" x14ac:dyDescent="0.35">
      <c r="A344" s="544"/>
      <c r="B344" s="544"/>
      <c r="C344" s="544"/>
      <c r="D344" s="708"/>
      <c r="E344" s="544"/>
      <c r="F344" s="544"/>
      <c r="G344" s="544"/>
      <c r="H344" s="544"/>
      <c r="I344" s="544"/>
      <c r="J344" s="544"/>
      <c r="K344" s="544"/>
      <c r="L344" s="544"/>
      <c r="M344" s="544"/>
      <c r="N344" s="544"/>
      <c r="O344" s="544"/>
      <c r="P344" s="544"/>
      <c r="Q344" s="544"/>
      <c r="R344" s="544"/>
      <c r="S344" s="544"/>
      <c r="T344" s="544"/>
      <c r="U344" s="544"/>
    </row>
    <row r="345" spans="1:21" x14ac:dyDescent="0.35">
      <c r="A345" s="544"/>
      <c r="B345" s="544"/>
      <c r="C345" s="544"/>
      <c r="D345" s="708"/>
      <c r="E345" s="544"/>
      <c r="F345" s="544"/>
      <c r="G345" s="544"/>
      <c r="H345" s="544"/>
      <c r="I345" s="544"/>
      <c r="J345" s="544"/>
      <c r="K345" s="544"/>
      <c r="L345" s="544"/>
      <c r="M345" s="544"/>
      <c r="N345" s="544"/>
      <c r="O345" s="544"/>
      <c r="P345" s="544"/>
      <c r="Q345" s="544"/>
      <c r="R345" s="544"/>
      <c r="S345" s="544"/>
      <c r="T345" s="544"/>
      <c r="U345" s="544"/>
    </row>
    <row r="346" spans="1:21" x14ac:dyDescent="0.35">
      <c r="A346" s="544"/>
      <c r="B346" s="544"/>
      <c r="C346" s="544"/>
      <c r="D346" s="708"/>
      <c r="E346" s="544"/>
      <c r="F346" s="544"/>
      <c r="G346" s="544"/>
      <c r="H346" s="544"/>
      <c r="I346" s="544"/>
      <c r="J346" s="544"/>
      <c r="K346" s="544"/>
      <c r="L346" s="544"/>
      <c r="M346" s="544"/>
      <c r="N346" s="544"/>
      <c r="O346" s="544"/>
      <c r="P346" s="544"/>
      <c r="Q346" s="544"/>
      <c r="R346" s="544"/>
      <c r="S346" s="544"/>
      <c r="T346" s="544"/>
      <c r="U346" s="544"/>
    </row>
    <row r="347" spans="1:21" x14ac:dyDescent="0.35">
      <c r="A347" s="544"/>
      <c r="B347" s="544"/>
      <c r="C347" s="544"/>
      <c r="D347" s="708"/>
      <c r="E347" s="544"/>
      <c r="F347" s="544"/>
      <c r="G347" s="544"/>
      <c r="H347" s="544"/>
      <c r="I347" s="544"/>
      <c r="J347" s="544"/>
      <c r="K347" s="544"/>
      <c r="L347" s="544"/>
      <c r="M347" s="544"/>
      <c r="N347" s="544"/>
      <c r="O347" s="544"/>
      <c r="P347" s="544"/>
      <c r="Q347" s="544"/>
      <c r="R347" s="544"/>
      <c r="S347" s="544"/>
      <c r="T347" s="544"/>
      <c r="U347" s="544"/>
    </row>
    <row r="348" spans="1:21" x14ac:dyDescent="0.35">
      <c r="A348" s="544"/>
      <c r="B348" s="544"/>
      <c r="C348" s="544"/>
      <c r="D348" s="708"/>
      <c r="E348" s="544"/>
      <c r="F348" s="544"/>
      <c r="G348" s="544"/>
      <c r="H348" s="544"/>
      <c r="I348" s="544"/>
      <c r="J348" s="544"/>
      <c r="K348" s="544"/>
      <c r="L348" s="544"/>
      <c r="M348" s="544"/>
      <c r="N348" s="544"/>
      <c r="O348" s="544"/>
      <c r="P348" s="544"/>
      <c r="Q348" s="544"/>
      <c r="R348" s="544"/>
      <c r="S348" s="544"/>
      <c r="T348" s="544"/>
      <c r="U348" s="544"/>
    </row>
    <row r="349" spans="1:21" x14ac:dyDescent="0.35">
      <c r="A349" s="544"/>
      <c r="B349" s="544"/>
      <c r="C349" s="544"/>
      <c r="D349" s="708"/>
      <c r="E349" s="544"/>
      <c r="F349" s="544"/>
      <c r="G349" s="544"/>
      <c r="H349" s="544"/>
      <c r="I349" s="544"/>
      <c r="J349" s="544"/>
      <c r="K349" s="544"/>
      <c r="L349" s="544"/>
      <c r="M349" s="544"/>
      <c r="N349" s="544"/>
      <c r="O349" s="544"/>
      <c r="P349" s="544"/>
      <c r="Q349" s="544"/>
      <c r="R349" s="544"/>
      <c r="S349" s="544"/>
      <c r="T349" s="544"/>
      <c r="U349" s="544"/>
    </row>
    <row r="350" spans="1:21" x14ac:dyDescent="0.35">
      <c r="A350" s="544"/>
      <c r="B350" s="544"/>
      <c r="C350" s="544"/>
      <c r="D350" s="708"/>
      <c r="E350" s="544"/>
      <c r="F350" s="544"/>
      <c r="G350" s="544"/>
      <c r="H350" s="544"/>
      <c r="I350" s="544"/>
      <c r="J350" s="544"/>
      <c r="K350" s="544"/>
      <c r="L350" s="544"/>
      <c r="M350" s="544"/>
      <c r="N350" s="544"/>
      <c r="O350" s="544"/>
      <c r="P350" s="544"/>
      <c r="Q350" s="544"/>
      <c r="R350" s="544"/>
      <c r="S350" s="544"/>
      <c r="T350" s="544"/>
      <c r="U350" s="544"/>
    </row>
    <row r="351" spans="1:21" x14ac:dyDescent="0.35">
      <c r="A351" s="544"/>
      <c r="B351" s="544"/>
      <c r="C351" s="544"/>
      <c r="D351" s="708"/>
      <c r="E351" s="544"/>
      <c r="F351" s="544"/>
      <c r="G351" s="544"/>
      <c r="H351" s="544"/>
      <c r="I351" s="544"/>
      <c r="J351" s="544"/>
      <c r="K351" s="544"/>
      <c r="L351" s="544"/>
      <c r="M351" s="544"/>
      <c r="N351" s="544"/>
      <c r="O351" s="544"/>
      <c r="P351" s="544"/>
      <c r="Q351" s="544"/>
      <c r="R351" s="544"/>
      <c r="S351" s="544"/>
      <c r="T351" s="544"/>
      <c r="U351" s="544"/>
    </row>
    <row r="352" spans="1:21" x14ac:dyDescent="0.35">
      <c r="A352" s="544"/>
      <c r="B352" s="544"/>
      <c r="C352" s="544"/>
      <c r="D352" s="708"/>
      <c r="E352" s="544"/>
      <c r="F352" s="544"/>
      <c r="G352" s="544"/>
      <c r="H352" s="544"/>
      <c r="I352" s="544"/>
      <c r="J352" s="544"/>
      <c r="K352" s="544"/>
      <c r="L352" s="544"/>
      <c r="M352" s="544"/>
      <c r="N352" s="544"/>
      <c r="O352" s="544"/>
      <c r="P352" s="544"/>
      <c r="Q352" s="544"/>
      <c r="R352" s="544"/>
      <c r="S352" s="544"/>
      <c r="T352" s="544"/>
      <c r="U352" s="544"/>
    </row>
    <row r="353" spans="1:21" x14ac:dyDescent="0.35">
      <c r="A353" s="544"/>
      <c r="B353" s="544"/>
      <c r="C353" s="544"/>
      <c r="D353" s="708"/>
      <c r="E353" s="544"/>
      <c r="F353" s="544"/>
      <c r="G353" s="544"/>
      <c r="H353" s="544"/>
      <c r="I353" s="544"/>
      <c r="J353" s="544"/>
      <c r="K353" s="544"/>
      <c r="L353" s="544"/>
      <c r="M353" s="544"/>
      <c r="N353" s="544"/>
      <c r="O353" s="544"/>
      <c r="P353" s="544"/>
      <c r="Q353" s="544"/>
      <c r="R353" s="544"/>
      <c r="S353" s="544"/>
      <c r="T353" s="544"/>
      <c r="U353" s="544"/>
    </row>
    <row r="354" spans="1:21" x14ac:dyDescent="0.35">
      <c r="A354" s="544"/>
      <c r="B354" s="544"/>
      <c r="C354" s="544"/>
      <c r="D354" s="708"/>
      <c r="E354" s="544"/>
      <c r="F354" s="544"/>
      <c r="G354" s="544"/>
      <c r="H354" s="544"/>
      <c r="I354" s="544"/>
      <c r="J354" s="544"/>
      <c r="K354" s="544"/>
      <c r="L354" s="544"/>
      <c r="M354" s="544"/>
      <c r="N354" s="544"/>
      <c r="O354" s="544"/>
      <c r="P354" s="544"/>
      <c r="Q354" s="544"/>
      <c r="R354" s="544"/>
      <c r="S354" s="544"/>
      <c r="T354" s="544"/>
      <c r="U354" s="544"/>
    </row>
    <row r="355" spans="1:21" x14ac:dyDescent="0.35">
      <c r="A355" s="544"/>
      <c r="B355" s="544"/>
      <c r="C355" s="544"/>
      <c r="D355" s="708"/>
      <c r="E355" s="544"/>
      <c r="F355" s="544"/>
      <c r="G355" s="544"/>
      <c r="H355" s="544"/>
      <c r="I355" s="544"/>
      <c r="J355" s="544"/>
      <c r="K355" s="544"/>
      <c r="L355" s="544"/>
      <c r="M355" s="544"/>
      <c r="N355" s="544"/>
      <c r="O355" s="544"/>
      <c r="P355" s="544"/>
      <c r="Q355" s="544"/>
      <c r="R355" s="544"/>
      <c r="S355" s="544"/>
      <c r="T355" s="544"/>
      <c r="U355" s="544"/>
    </row>
    <row r="356" spans="1:21" x14ac:dyDescent="0.35">
      <c r="A356" s="544"/>
      <c r="B356" s="544"/>
      <c r="C356" s="544"/>
      <c r="D356" s="708"/>
      <c r="E356" s="544"/>
      <c r="F356" s="544"/>
      <c r="G356" s="544"/>
      <c r="H356" s="544"/>
      <c r="I356" s="544"/>
      <c r="J356" s="544"/>
      <c r="K356" s="544"/>
      <c r="L356" s="544"/>
      <c r="M356" s="544"/>
      <c r="N356" s="544"/>
      <c r="O356" s="544"/>
      <c r="P356" s="544"/>
      <c r="Q356" s="544"/>
      <c r="R356" s="544"/>
      <c r="S356" s="544"/>
      <c r="T356" s="544"/>
      <c r="U356" s="544"/>
    </row>
    <row r="357" spans="1:21" x14ac:dyDescent="0.35">
      <c r="A357" s="544"/>
      <c r="B357" s="544"/>
      <c r="C357" s="544"/>
      <c r="D357" s="708"/>
      <c r="E357" s="544"/>
      <c r="F357" s="544"/>
      <c r="G357" s="544"/>
      <c r="H357" s="544"/>
      <c r="I357" s="544"/>
      <c r="J357" s="544"/>
      <c r="K357" s="544"/>
      <c r="L357" s="544"/>
      <c r="M357" s="544"/>
      <c r="N357" s="544"/>
      <c r="O357" s="544"/>
      <c r="P357" s="544"/>
      <c r="Q357" s="544"/>
      <c r="R357" s="544"/>
      <c r="S357" s="544"/>
      <c r="T357" s="544"/>
      <c r="U357" s="544"/>
    </row>
    <row r="358" spans="1:21" x14ac:dyDescent="0.35">
      <c r="A358" s="544"/>
      <c r="B358" s="544"/>
      <c r="C358" s="544"/>
      <c r="D358" s="708"/>
      <c r="E358" s="544"/>
      <c r="F358" s="544"/>
      <c r="G358" s="544"/>
      <c r="H358" s="544"/>
      <c r="I358" s="544"/>
      <c r="J358" s="544"/>
      <c r="K358" s="544"/>
      <c r="L358" s="544"/>
      <c r="M358" s="544"/>
      <c r="N358" s="544"/>
      <c r="O358" s="544"/>
      <c r="P358" s="544"/>
      <c r="Q358" s="544"/>
      <c r="R358" s="544"/>
      <c r="S358" s="544"/>
      <c r="T358" s="544"/>
      <c r="U358" s="544"/>
    </row>
    <row r="359" spans="1:21" x14ac:dyDescent="0.35">
      <c r="A359" s="544"/>
      <c r="B359" s="544"/>
      <c r="C359" s="544"/>
      <c r="D359" s="708"/>
      <c r="E359" s="544"/>
      <c r="F359" s="544"/>
      <c r="G359" s="544"/>
      <c r="H359" s="544"/>
      <c r="I359" s="544"/>
      <c r="J359" s="544"/>
      <c r="K359" s="544"/>
      <c r="L359" s="544"/>
      <c r="M359" s="544"/>
      <c r="N359" s="544"/>
      <c r="O359" s="544"/>
      <c r="P359" s="544"/>
      <c r="Q359" s="544"/>
      <c r="R359" s="544"/>
      <c r="S359" s="544"/>
      <c r="T359" s="544"/>
      <c r="U359" s="544"/>
    </row>
    <row r="360" spans="1:21" x14ac:dyDescent="0.35">
      <c r="A360" s="544"/>
      <c r="B360" s="544"/>
      <c r="C360" s="544"/>
      <c r="D360" s="708"/>
      <c r="E360" s="544"/>
      <c r="F360" s="544"/>
      <c r="G360" s="544"/>
      <c r="H360" s="544"/>
      <c r="I360" s="544"/>
      <c r="J360" s="544"/>
      <c r="K360" s="544"/>
      <c r="L360" s="544"/>
      <c r="M360" s="544"/>
      <c r="N360" s="544"/>
      <c r="O360" s="544"/>
      <c r="P360" s="544"/>
      <c r="Q360" s="544"/>
      <c r="R360" s="544"/>
      <c r="S360" s="544"/>
      <c r="T360" s="544"/>
      <c r="U360" s="544"/>
    </row>
    <row r="361" spans="1:21" x14ac:dyDescent="0.35">
      <c r="A361" s="544"/>
      <c r="B361" s="544"/>
      <c r="C361" s="544"/>
      <c r="D361" s="708"/>
      <c r="E361" s="544"/>
      <c r="F361" s="544"/>
      <c r="G361" s="544"/>
      <c r="H361" s="544"/>
      <c r="I361" s="544"/>
      <c r="J361" s="544"/>
      <c r="K361" s="544"/>
      <c r="L361" s="544"/>
      <c r="M361" s="544"/>
      <c r="N361" s="544"/>
      <c r="O361" s="544"/>
      <c r="P361" s="544"/>
      <c r="Q361" s="544"/>
      <c r="R361" s="544"/>
      <c r="S361" s="544"/>
      <c r="T361" s="544"/>
      <c r="U361" s="544"/>
    </row>
    <row r="362" spans="1:21" x14ac:dyDescent="0.35">
      <c r="A362" s="544"/>
      <c r="B362" s="544"/>
      <c r="C362" s="544"/>
      <c r="D362" s="708"/>
      <c r="E362" s="544"/>
      <c r="F362" s="544"/>
      <c r="G362" s="544"/>
      <c r="H362" s="544"/>
      <c r="I362" s="544"/>
      <c r="J362" s="544"/>
      <c r="K362" s="544"/>
      <c r="L362" s="544"/>
      <c r="M362" s="544"/>
      <c r="N362" s="544"/>
      <c r="O362" s="544"/>
      <c r="P362" s="544"/>
      <c r="Q362" s="544"/>
      <c r="R362" s="544"/>
      <c r="S362" s="544"/>
      <c r="T362" s="544"/>
      <c r="U362" s="544"/>
    </row>
    <row r="363" spans="1:21" x14ac:dyDescent="0.35">
      <c r="A363" s="544"/>
      <c r="B363" s="544"/>
      <c r="C363" s="544"/>
      <c r="D363" s="708"/>
      <c r="E363" s="544"/>
      <c r="F363" s="544"/>
      <c r="G363" s="544"/>
      <c r="H363" s="544"/>
      <c r="I363" s="544"/>
      <c r="J363" s="544"/>
      <c r="K363" s="544"/>
      <c r="L363" s="544"/>
      <c r="M363" s="544"/>
      <c r="N363" s="544"/>
      <c r="O363" s="544"/>
      <c r="P363" s="544"/>
      <c r="Q363" s="544"/>
      <c r="R363" s="544"/>
      <c r="S363" s="544"/>
      <c r="T363" s="544"/>
      <c r="U363" s="544"/>
    </row>
    <row r="364" spans="1:21" x14ac:dyDescent="0.35">
      <c r="A364" s="544"/>
      <c r="B364" s="544"/>
      <c r="C364" s="544"/>
      <c r="D364" s="708"/>
      <c r="E364" s="544"/>
      <c r="F364" s="544"/>
      <c r="G364" s="544"/>
      <c r="H364" s="544"/>
      <c r="I364" s="544"/>
      <c r="J364" s="544"/>
      <c r="K364" s="544"/>
      <c r="L364" s="544"/>
      <c r="M364" s="544"/>
      <c r="N364" s="544"/>
      <c r="O364" s="544"/>
      <c r="P364" s="544"/>
      <c r="Q364" s="544"/>
      <c r="R364" s="544"/>
      <c r="S364" s="544"/>
      <c r="T364" s="544"/>
      <c r="U364" s="544"/>
    </row>
    <row r="365" spans="1:21" x14ac:dyDescent="0.35">
      <c r="A365" s="544"/>
      <c r="B365" s="544"/>
      <c r="C365" s="544"/>
      <c r="D365" s="708"/>
      <c r="E365" s="544"/>
      <c r="F365" s="544"/>
      <c r="G365" s="544"/>
      <c r="H365" s="544"/>
      <c r="I365" s="544"/>
      <c r="J365" s="544"/>
      <c r="K365" s="544"/>
      <c r="L365" s="544"/>
      <c r="M365" s="544"/>
      <c r="N365" s="544"/>
      <c r="O365" s="544"/>
      <c r="P365" s="544"/>
      <c r="Q365" s="544"/>
      <c r="R365" s="544"/>
      <c r="S365" s="544"/>
      <c r="T365" s="544"/>
      <c r="U365" s="544"/>
    </row>
    <row r="366" spans="1:21" x14ac:dyDescent="0.35">
      <c r="A366" s="544"/>
      <c r="B366" s="544"/>
      <c r="C366" s="544"/>
      <c r="D366" s="708"/>
      <c r="E366" s="544"/>
      <c r="F366" s="544"/>
      <c r="G366" s="544"/>
      <c r="H366" s="544"/>
      <c r="I366" s="544"/>
      <c r="J366" s="544"/>
      <c r="K366" s="544"/>
      <c r="L366" s="544"/>
      <c r="M366" s="544"/>
      <c r="N366" s="544"/>
      <c r="O366" s="544"/>
      <c r="P366" s="544"/>
      <c r="Q366" s="544"/>
      <c r="R366" s="544"/>
      <c r="S366" s="544"/>
      <c r="T366" s="544"/>
      <c r="U366" s="544"/>
    </row>
    <row r="367" spans="1:21" x14ac:dyDescent="0.35">
      <c r="A367" s="544"/>
      <c r="B367" s="544"/>
      <c r="C367" s="544"/>
      <c r="D367" s="708"/>
      <c r="E367" s="544"/>
      <c r="F367" s="544"/>
      <c r="G367" s="544"/>
      <c r="H367" s="544"/>
      <c r="I367" s="544"/>
      <c r="J367" s="544"/>
      <c r="K367" s="544"/>
      <c r="L367" s="544"/>
      <c r="M367" s="544"/>
      <c r="N367" s="544"/>
      <c r="O367" s="544"/>
      <c r="P367" s="544"/>
      <c r="Q367" s="544"/>
      <c r="R367" s="544"/>
      <c r="S367" s="544"/>
      <c r="T367" s="544"/>
      <c r="U367" s="544"/>
    </row>
    <row r="368" spans="1:21" x14ac:dyDescent="0.35">
      <c r="A368" s="544"/>
      <c r="B368" s="544"/>
      <c r="C368" s="544"/>
      <c r="D368" s="708"/>
      <c r="E368" s="544"/>
      <c r="F368" s="544"/>
      <c r="G368" s="544"/>
      <c r="H368" s="544"/>
      <c r="I368" s="544"/>
      <c r="J368" s="544"/>
      <c r="K368" s="544"/>
      <c r="L368" s="544"/>
      <c r="M368" s="544"/>
      <c r="N368" s="544"/>
      <c r="O368" s="544"/>
      <c r="P368" s="544"/>
      <c r="Q368" s="544"/>
      <c r="R368" s="544"/>
      <c r="S368" s="544"/>
      <c r="T368" s="544"/>
      <c r="U368" s="544"/>
    </row>
    <row r="369" spans="1:21" x14ac:dyDescent="0.35">
      <c r="A369" s="544"/>
      <c r="B369" s="544"/>
      <c r="C369" s="544"/>
      <c r="D369" s="708"/>
      <c r="E369" s="544"/>
      <c r="F369" s="544"/>
      <c r="G369" s="544"/>
      <c r="H369" s="544"/>
      <c r="I369" s="544"/>
      <c r="J369" s="544"/>
      <c r="K369" s="544"/>
      <c r="L369" s="544"/>
      <c r="M369" s="544"/>
      <c r="N369" s="544"/>
      <c r="O369" s="544"/>
      <c r="P369" s="544"/>
      <c r="Q369" s="544"/>
      <c r="R369" s="544"/>
      <c r="S369" s="544"/>
      <c r="T369" s="544"/>
      <c r="U369" s="544"/>
    </row>
    <row r="370" spans="1:21" x14ac:dyDescent="0.35">
      <c r="A370" s="544"/>
      <c r="B370" s="544"/>
      <c r="C370" s="544"/>
      <c r="D370" s="708"/>
      <c r="E370" s="544"/>
      <c r="F370" s="544"/>
      <c r="G370" s="544"/>
      <c r="H370" s="544"/>
      <c r="I370" s="544"/>
      <c r="J370" s="544"/>
      <c r="K370" s="544"/>
      <c r="L370" s="544"/>
      <c r="M370" s="544"/>
      <c r="N370" s="544"/>
      <c r="O370" s="544"/>
      <c r="P370" s="544"/>
      <c r="Q370" s="544"/>
      <c r="R370" s="544"/>
      <c r="S370" s="544"/>
      <c r="T370" s="544"/>
      <c r="U370" s="544"/>
    </row>
    <row r="371" spans="1:21" x14ac:dyDescent="0.35">
      <c r="A371" s="544"/>
      <c r="B371" s="544"/>
      <c r="C371" s="544"/>
      <c r="D371" s="708"/>
      <c r="E371" s="544"/>
      <c r="F371" s="544"/>
      <c r="G371" s="544"/>
      <c r="H371" s="544"/>
      <c r="I371" s="544"/>
      <c r="J371" s="544"/>
      <c r="K371" s="544"/>
      <c r="L371" s="544"/>
      <c r="M371" s="544"/>
      <c r="N371" s="544"/>
      <c r="O371" s="544"/>
      <c r="P371" s="544"/>
      <c r="Q371" s="544"/>
      <c r="R371" s="544"/>
      <c r="S371" s="544"/>
      <c r="T371" s="544"/>
      <c r="U371" s="544"/>
    </row>
    <row r="372" spans="1:21" x14ac:dyDescent="0.35">
      <c r="A372" s="544"/>
      <c r="B372" s="544"/>
      <c r="C372" s="544"/>
      <c r="D372" s="708"/>
      <c r="E372" s="544"/>
      <c r="F372" s="544"/>
      <c r="G372" s="544"/>
      <c r="H372" s="544"/>
      <c r="I372" s="544"/>
      <c r="J372" s="544"/>
      <c r="K372" s="544"/>
      <c r="L372" s="544"/>
      <c r="M372" s="544"/>
      <c r="N372" s="544"/>
      <c r="O372" s="544"/>
      <c r="P372" s="544"/>
      <c r="Q372" s="544"/>
      <c r="R372" s="544"/>
      <c r="S372" s="544"/>
      <c r="T372" s="544"/>
      <c r="U372" s="544"/>
    </row>
    <row r="373" spans="1:21" x14ac:dyDescent="0.35">
      <c r="A373" s="544"/>
      <c r="B373" s="544"/>
      <c r="C373" s="544"/>
      <c r="D373" s="708"/>
      <c r="E373" s="544"/>
      <c r="F373" s="544"/>
      <c r="G373" s="544"/>
      <c r="H373" s="544"/>
      <c r="I373" s="544"/>
      <c r="J373" s="544"/>
      <c r="K373" s="544"/>
      <c r="L373" s="544"/>
      <c r="M373" s="544"/>
      <c r="N373" s="544"/>
      <c r="O373" s="544"/>
      <c r="P373" s="544"/>
      <c r="Q373" s="544"/>
      <c r="R373" s="544"/>
      <c r="S373" s="544"/>
      <c r="T373" s="544"/>
      <c r="U373" s="544"/>
    </row>
    <row r="374" spans="1:21" x14ac:dyDescent="0.35">
      <c r="A374" s="544"/>
      <c r="B374" s="544"/>
      <c r="C374" s="544"/>
      <c r="D374" s="708"/>
      <c r="E374" s="544"/>
      <c r="F374" s="544"/>
      <c r="G374" s="544"/>
      <c r="H374" s="544"/>
      <c r="I374" s="544"/>
      <c r="J374" s="544"/>
      <c r="K374" s="544"/>
      <c r="L374" s="544"/>
      <c r="M374" s="544"/>
      <c r="N374" s="544"/>
      <c r="O374" s="544"/>
      <c r="P374" s="544"/>
      <c r="Q374" s="544"/>
      <c r="R374" s="544"/>
      <c r="S374" s="544"/>
      <c r="T374" s="544"/>
      <c r="U374" s="544"/>
    </row>
  </sheetData>
  <sheetProtection password="C8C1" sheet="1" objects="1" scenarios="1" selectLockedCells="1"/>
  <mergeCells count="10">
    <mergeCell ref="B2:G2"/>
    <mergeCell ref="D58:E58"/>
    <mergeCell ref="D59:E59"/>
    <mergeCell ref="D60:E60"/>
    <mergeCell ref="B18:J18"/>
    <mergeCell ref="B19:J19"/>
    <mergeCell ref="B21:J21"/>
    <mergeCell ref="B45:J45"/>
    <mergeCell ref="B53:J53"/>
    <mergeCell ref="D57:E57"/>
  </mergeCells>
  <conditionalFormatting sqref="F60:G60 F57:J59 D57:D59">
    <cfRule type="cellIs" dxfId="930" priority="14" operator="lessThan">
      <formula>0.5</formula>
    </cfRule>
  </conditionalFormatting>
  <conditionalFormatting sqref="F60:G60 F57:J59 D57:D59">
    <cfRule type="cellIs" dxfId="929" priority="12" operator="between">
      <formula>0.5</formula>
      <formula>0.749999</formula>
    </cfRule>
  </conditionalFormatting>
  <conditionalFormatting sqref="F60:G60 F57:J59 D57:D59">
    <cfRule type="cellIs" dxfId="928" priority="13" operator="greaterThan">
      <formula>0.74999999999999</formula>
    </cfRule>
  </conditionalFormatting>
  <conditionalFormatting sqref="C56:C57">
    <cfRule type="cellIs" dxfId="927" priority="11" operator="greaterThan">
      <formula>0.74999999999999</formula>
    </cfRule>
  </conditionalFormatting>
  <conditionalFormatting sqref="C56:C57">
    <cfRule type="cellIs" dxfId="926" priority="9" operator="between">
      <formula>0.5</formula>
      <formula>0.7499999</formula>
    </cfRule>
    <cfRule type="cellIs" dxfId="925" priority="10" operator="lessThan">
      <formula>0.5</formula>
    </cfRule>
  </conditionalFormatting>
  <conditionalFormatting sqref="O33:O36">
    <cfRule type="cellIs" priority="8" operator="between">
      <formula>0</formula>
      <formula>1</formula>
    </cfRule>
  </conditionalFormatting>
  <conditionalFormatting sqref="D57:J57">
    <cfRule type="expression" dxfId="924" priority="1">
      <formula>D57="NA"</formula>
    </cfRule>
  </conditionalFormatting>
  <printOptions horizontalCentered="1"/>
  <pageMargins left="0.75" right="0.75" top="0.75" bottom="0.75" header="0.3" footer="0.3"/>
  <pageSetup paperSize="9" scale="6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pageSetUpPr fitToPage="1"/>
  </sheetPr>
  <dimension ref="A1:JA395"/>
  <sheetViews>
    <sheetView showGridLines="0" showRowColHeaders="0" zoomScale="80" zoomScaleNormal="80" workbookViewId="0">
      <pane ySplit="3" topLeftCell="A4" activePane="bottomLeft" state="frozen"/>
      <selection pane="bottomLeft" activeCell="A4" sqref="A4"/>
    </sheetView>
  </sheetViews>
  <sheetFormatPr defaultColWidth="9.1796875" defaultRowHeight="14.5" x14ac:dyDescent="0.35"/>
  <cols>
    <col min="1" max="1" width="3.26953125" style="17" customWidth="1"/>
    <col min="2" max="2" width="30.7265625" style="17" customWidth="1"/>
    <col min="3" max="3" width="11.7265625" style="17" customWidth="1"/>
    <col min="4" max="4" width="6.7265625" style="17" customWidth="1"/>
    <col min="5" max="5" width="3.26953125" style="544" customWidth="1"/>
    <col min="6" max="6" width="30.7265625" style="17" customWidth="1"/>
    <col min="7" max="7" width="11.7265625" style="17" customWidth="1"/>
    <col min="8" max="8" width="6.7265625" style="98" customWidth="1"/>
    <col min="9" max="9" width="3.26953125" style="544" customWidth="1"/>
    <col min="10" max="10" width="30.7265625" style="17" customWidth="1"/>
    <col min="11" max="11" width="11.7265625" style="17" customWidth="1"/>
    <col min="12" max="12" width="6.7265625" style="17" customWidth="1"/>
    <col min="13" max="13" width="3.26953125" style="544" customWidth="1"/>
    <col min="14" max="14" width="30.7265625" style="17" customWidth="1"/>
    <col min="15" max="15" width="11.7265625" style="17" customWidth="1"/>
    <col min="16" max="16" width="6.7265625" style="17" customWidth="1"/>
    <col min="17" max="17" width="3.26953125" style="544" customWidth="1"/>
    <col min="18" max="18" width="30.7265625" style="17" customWidth="1"/>
    <col min="19" max="19" width="11.7265625" style="17" customWidth="1"/>
    <col min="20" max="20" width="6.7265625" style="17" customWidth="1"/>
    <col min="21" max="21" width="3.26953125" style="544" customWidth="1"/>
    <col min="22" max="22" width="30.7265625" style="17" customWidth="1"/>
    <col min="23" max="23" width="11.7265625" style="17" customWidth="1"/>
    <col min="24" max="24" width="6.7265625" style="17" customWidth="1"/>
    <col min="25" max="25" width="3.26953125" style="17" customWidth="1"/>
    <col min="26" max="261" width="9.1796875" style="544"/>
    <col min="262" max="16384" width="9.1796875" style="17"/>
  </cols>
  <sheetData>
    <row r="1" spans="1:261" s="575" customFormat="1" ht="36.75" customHeight="1" x14ac:dyDescent="0.45">
      <c r="B1" s="824" t="str">
        <f>'User interface_RES'!AJ11</f>
        <v>Any city in , the world</v>
      </c>
      <c r="H1" s="706"/>
    </row>
    <row r="2" spans="1:261" s="562" customFormat="1" ht="57" customHeight="1" x14ac:dyDescent="0.3">
      <c r="B2" s="1536" t="s">
        <v>41</v>
      </c>
      <c r="C2" s="1536"/>
      <c r="D2" s="1536"/>
      <c r="E2" s="1536"/>
      <c r="F2" s="1536"/>
      <c r="G2" s="1536"/>
      <c r="H2" s="745"/>
      <c r="R2" s="746"/>
    </row>
    <row r="3" spans="1:261" s="478" customFormat="1" ht="18" hidden="1" customHeight="1" x14ac:dyDescent="0.3">
      <c r="H3" s="523"/>
      <c r="R3" s="571"/>
    </row>
    <row r="4" spans="1:261" s="478" customFormat="1" ht="18" customHeight="1" x14ac:dyDescent="0.35">
      <c r="A4" s="870"/>
      <c r="H4" s="523"/>
    </row>
    <row r="5" spans="1:261" s="63" customFormat="1" ht="30" customHeight="1" x14ac:dyDescent="0.35">
      <c r="A5" s="478"/>
      <c r="B5" s="1537" t="s">
        <v>42</v>
      </c>
      <c r="C5" s="1537"/>
      <c r="D5" s="1537"/>
      <c r="E5" s="730"/>
      <c r="F5" s="1537" t="s">
        <v>43</v>
      </c>
      <c r="G5" s="1537"/>
      <c r="H5" s="1537"/>
      <c r="I5" s="730"/>
      <c r="J5" s="1537" t="s">
        <v>44</v>
      </c>
      <c r="K5" s="1537"/>
      <c r="L5" s="1537"/>
      <c r="M5" s="730"/>
      <c r="N5" s="1537" t="s">
        <v>45</v>
      </c>
      <c r="O5" s="1537"/>
      <c r="P5" s="1537"/>
      <c r="Q5" s="730"/>
      <c r="R5" s="1537" t="s">
        <v>46</v>
      </c>
      <c r="S5" s="1537"/>
      <c r="T5" s="1537"/>
      <c r="U5" s="730"/>
      <c r="V5" s="1537" t="s">
        <v>47</v>
      </c>
      <c r="W5" s="1537"/>
      <c r="X5" s="1537"/>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c r="DM5" s="726"/>
      <c r="DN5" s="726"/>
      <c r="DO5" s="726"/>
      <c r="DP5" s="726"/>
      <c r="DQ5" s="726"/>
      <c r="DR5" s="726"/>
      <c r="DS5" s="726"/>
      <c r="DT5" s="726"/>
      <c r="DU5" s="726"/>
      <c r="DV5" s="726"/>
      <c r="DW5" s="726"/>
      <c r="DX5" s="726"/>
      <c r="DY5" s="726"/>
      <c r="DZ5" s="726"/>
      <c r="EA5" s="726"/>
      <c r="EB5" s="726"/>
      <c r="EC5" s="726"/>
      <c r="ED5" s="726"/>
      <c r="EE5" s="726"/>
      <c r="EF5" s="726"/>
      <c r="EG5" s="726"/>
      <c r="EH5" s="726"/>
      <c r="EI5" s="726"/>
      <c r="EJ5" s="726"/>
      <c r="EK5" s="726"/>
      <c r="EL5" s="726"/>
      <c r="EM5" s="726"/>
      <c r="EN5" s="726"/>
      <c r="EO5" s="726"/>
      <c r="EP5" s="726"/>
      <c r="EQ5" s="726"/>
      <c r="ER5" s="726"/>
      <c r="ES5" s="726"/>
      <c r="ET5" s="726"/>
      <c r="EU5" s="726"/>
      <c r="EV5" s="726"/>
      <c r="EW5" s="726"/>
      <c r="EX5" s="726"/>
      <c r="EY5" s="726"/>
      <c r="EZ5" s="726"/>
      <c r="FA5" s="726"/>
      <c r="FB5" s="726"/>
      <c r="FC5" s="726"/>
      <c r="FD5" s="726"/>
      <c r="FE5" s="726"/>
      <c r="FF5" s="726"/>
      <c r="FG5" s="726"/>
      <c r="FH5" s="726"/>
      <c r="FI5" s="726"/>
      <c r="FJ5" s="726"/>
      <c r="FK5" s="726"/>
      <c r="FL5" s="726"/>
      <c r="FM5" s="726"/>
      <c r="FN5" s="726"/>
      <c r="FO5" s="726"/>
      <c r="FP5" s="726"/>
      <c r="FQ5" s="726"/>
      <c r="FR5" s="726"/>
      <c r="FS5" s="726"/>
      <c r="FT5" s="726"/>
      <c r="FU5" s="726"/>
      <c r="FV5" s="726"/>
      <c r="FW5" s="726"/>
      <c r="FX5" s="726"/>
      <c r="FY5" s="726"/>
      <c r="FZ5" s="726"/>
      <c r="GA5" s="726"/>
      <c r="GB5" s="726"/>
      <c r="GC5" s="726"/>
      <c r="GD5" s="726"/>
      <c r="GE5" s="726"/>
      <c r="GF5" s="726"/>
      <c r="GG5" s="726"/>
      <c r="GH5" s="726"/>
      <c r="GI5" s="726"/>
      <c r="GJ5" s="726"/>
      <c r="GK5" s="726"/>
      <c r="GL5" s="726"/>
      <c r="GM5" s="726"/>
      <c r="GN5" s="726"/>
      <c r="GO5" s="726"/>
      <c r="GP5" s="726"/>
      <c r="GQ5" s="726"/>
      <c r="GR5" s="726"/>
      <c r="GS5" s="726"/>
      <c r="GT5" s="726"/>
      <c r="GU5" s="726"/>
      <c r="GV5" s="726"/>
      <c r="GW5" s="726"/>
      <c r="GX5" s="726"/>
      <c r="GY5" s="726"/>
      <c r="GZ5" s="726"/>
      <c r="HA5" s="726"/>
      <c r="HB5" s="726"/>
      <c r="HC5" s="726"/>
      <c r="HD5" s="726"/>
      <c r="HE5" s="726"/>
      <c r="HF5" s="726"/>
      <c r="HG5" s="726"/>
      <c r="HH5" s="726"/>
      <c r="HI5" s="726"/>
      <c r="HJ5" s="726"/>
      <c r="HK5" s="726"/>
      <c r="HL5" s="726"/>
      <c r="HM5" s="726"/>
      <c r="HN5" s="726"/>
      <c r="HO5" s="726"/>
      <c r="HP5" s="726"/>
      <c r="HQ5" s="726"/>
      <c r="HR5" s="726"/>
      <c r="HS5" s="726"/>
      <c r="HT5" s="726"/>
      <c r="HU5" s="726"/>
      <c r="HV5" s="726"/>
      <c r="HW5" s="726"/>
      <c r="HX5" s="726"/>
      <c r="HY5" s="726"/>
      <c r="HZ5" s="726"/>
      <c r="IA5" s="726"/>
      <c r="IB5" s="726"/>
      <c r="IC5" s="726"/>
      <c r="ID5" s="726"/>
      <c r="IE5" s="726"/>
      <c r="IF5" s="726"/>
      <c r="IG5" s="726"/>
      <c r="IH5" s="726"/>
      <c r="II5" s="726"/>
      <c r="IJ5" s="726"/>
      <c r="IK5" s="726"/>
      <c r="IL5" s="726"/>
      <c r="IM5" s="726"/>
      <c r="IN5" s="726"/>
      <c r="IO5" s="726"/>
      <c r="IP5" s="726"/>
      <c r="IQ5" s="726"/>
      <c r="IR5" s="726"/>
      <c r="IS5" s="726"/>
      <c r="IT5" s="726"/>
      <c r="IU5" s="726"/>
      <c r="IV5" s="726"/>
      <c r="IW5" s="726"/>
      <c r="IX5" s="726"/>
      <c r="IY5" s="726"/>
      <c r="IZ5" s="726"/>
      <c r="JA5" s="726"/>
    </row>
    <row r="6" spans="1:261" s="3" customFormat="1" ht="18" customHeight="1" x14ac:dyDescent="0.35">
      <c r="A6" s="478"/>
      <c r="B6" s="478"/>
      <c r="C6" s="478"/>
      <c r="D6" s="478"/>
      <c r="E6" s="478"/>
      <c r="F6" s="478"/>
      <c r="G6" s="478"/>
      <c r="H6" s="523"/>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c r="BA6" s="478"/>
      <c r="BB6" s="478"/>
      <c r="BC6" s="478"/>
      <c r="BD6" s="478"/>
      <c r="BE6" s="478"/>
      <c r="BF6" s="478"/>
      <c r="BG6" s="478"/>
      <c r="BH6" s="478"/>
      <c r="BI6" s="478"/>
      <c r="BJ6" s="478"/>
      <c r="BK6" s="478"/>
      <c r="BL6" s="478"/>
      <c r="BM6" s="478"/>
      <c r="BN6" s="478"/>
      <c r="BO6" s="478"/>
      <c r="BP6" s="478"/>
      <c r="BQ6" s="478"/>
      <c r="BR6" s="478"/>
      <c r="BS6" s="478"/>
      <c r="BT6" s="478"/>
      <c r="BU6" s="478"/>
      <c r="BV6" s="478"/>
      <c r="BW6" s="478"/>
      <c r="BX6" s="478"/>
      <c r="BY6" s="478"/>
      <c r="BZ6" s="478"/>
      <c r="CA6" s="478"/>
      <c r="CB6" s="478"/>
      <c r="CC6" s="478"/>
      <c r="CD6" s="478"/>
      <c r="CE6" s="478"/>
      <c r="CF6" s="478"/>
      <c r="CG6" s="478"/>
      <c r="CH6" s="478"/>
      <c r="CI6" s="478"/>
      <c r="CJ6" s="478"/>
      <c r="CK6" s="478"/>
      <c r="CL6" s="478"/>
      <c r="CM6" s="478"/>
      <c r="CN6" s="478"/>
      <c r="CO6" s="478"/>
      <c r="CP6" s="478"/>
      <c r="CQ6" s="478"/>
      <c r="CR6" s="478"/>
      <c r="CS6" s="478"/>
      <c r="CT6" s="478"/>
      <c r="CU6" s="478"/>
      <c r="CV6" s="478"/>
      <c r="CW6" s="478"/>
      <c r="CX6" s="478"/>
      <c r="CY6" s="478"/>
      <c r="CZ6" s="478"/>
      <c r="DA6" s="478"/>
      <c r="DB6" s="478"/>
      <c r="DC6" s="478"/>
      <c r="DD6" s="478"/>
      <c r="DE6" s="478"/>
      <c r="DF6" s="478"/>
      <c r="DG6" s="478"/>
      <c r="DH6" s="478"/>
      <c r="DI6" s="478"/>
      <c r="DJ6" s="478"/>
      <c r="DK6" s="478"/>
      <c r="DL6" s="478"/>
      <c r="DM6" s="478"/>
      <c r="DN6" s="478"/>
      <c r="DO6" s="478"/>
      <c r="DP6" s="478"/>
      <c r="DQ6" s="478"/>
      <c r="DR6" s="478"/>
      <c r="DS6" s="478"/>
      <c r="DT6" s="478"/>
      <c r="DU6" s="478"/>
      <c r="DV6" s="478"/>
      <c r="DW6" s="478"/>
      <c r="DX6" s="478"/>
      <c r="DY6" s="478"/>
      <c r="DZ6" s="478"/>
      <c r="EA6" s="478"/>
      <c r="EB6" s="478"/>
      <c r="EC6" s="478"/>
      <c r="ED6" s="478"/>
      <c r="EE6" s="478"/>
      <c r="EF6" s="478"/>
      <c r="EG6" s="478"/>
      <c r="EH6" s="478"/>
      <c r="EI6" s="478"/>
      <c r="EJ6" s="478"/>
      <c r="EK6" s="478"/>
      <c r="EL6" s="478"/>
      <c r="EM6" s="478"/>
      <c r="EN6" s="478"/>
      <c r="EO6" s="478"/>
      <c r="EP6" s="478"/>
      <c r="EQ6" s="478"/>
      <c r="ER6" s="478"/>
      <c r="ES6" s="478"/>
      <c r="ET6" s="478"/>
      <c r="EU6" s="478"/>
      <c r="EV6" s="478"/>
      <c r="EW6" s="478"/>
      <c r="EX6" s="478"/>
      <c r="EY6" s="478"/>
      <c r="EZ6" s="478"/>
      <c r="FA6" s="478"/>
      <c r="FB6" s="478"/>
      <c r="FC6" s="478"/>
      <c r="FD6" s="478"/>
      <c r="FE6" s="478"/>
      <c r="FF6" s="478"/>
      <c r="FG6" s="478"/>
      <c r="FH6" s="478"/>
      <c r="FI6" s="478"/>
      <c r="FJ6" s="478"/>
      <c r="FK6" s="478"/>
      <c r="FL6" s="478"/>
      <c r="FM6" s="478"/>
      <c r="FN6" s="478"/>
      <c r="FO6" s="478"/>
      <c r="FP6" s="478"/>
      <c r="FQ6" s="478"/>
      <c r="FR6" s="478"/>
      <c r="FS6" s="478"/>
      <c r="FT6" s="478"/>
      <c r="FU6" s="478"/>
      <c r="FV6" s="478"/>
      <c r="FW6" s="478"/>
      <c r="FX6" s="478"/>
      <c r="FY6" s="478"/>
      <c r="FZ6" s="478"/>
      <c r="GA6" s="478"/>
      <c r="GB6" s="478"/>
      <c r="GC6" s="478"/>
      <c r="GD6" s="478"/>
      <c r="GE6" s="478"/>
      <c r="GF6" s="478"/>
      <c r="GG6" s="478"/>
      <c r="GH6" s="478"/>
      <c r="GI6" s="478"/>
      <c r="GJ6" s="478"/>
      <c r="GK6" s="478"/>
      <c r="GL6" s="478"/>
      <c r="GM6" s="478"/>
      <c r="GN6" s="478"/>
      <c r="GO6" s="478"/>
      <c r="GP6" s="478"/>
      <c r="GQ6" s="478"/>
      <c r="GR6" s="478"/>
      <c r="GS6" s="478"/>
      <c r="GT6" s="478"/>
      <c r="GU6" s="478"/>
      <c r="GV6" s="478"/>
      <c r="GW6" s="478"/>
      <c r="GX6" s="478"/>
      <c r="GY6" s="478"/>
      <c r="GZ6" s="478"/>
      <c r="HA6" s="478"/>
      <c r="HB6" s="478"/>
      <c r="HC6" s="478"/>
      <c r="HD6" s="478"/>
      <c r="HE6" s="478"/>
      <c r="HF6" s="478"/>
      <c r="HG6" s="478"/>
      <c r="HH6" s="478"/>
      <c r="HI6" s="478"/>
      <c r="HJ6" s="478"/>
      <c r="HK6" s="478"/>
      <c r="HL6" s="478"/>
      <c r="HM6" s="478"/>
      <c r="HN6" s="478"/>
      <c r="HO6" s="478"/>
      <c r="HP6" s="478"/>
      <c r="HQ6" s="478"/>
      <c r="HR6" s="478"/>
      <c r="HS6" s="478"/>
      <c r="HT6" s="478"/>
      <c r="HU6" s="478"/>
      <c r="HV6" s="478"/>
      <c r="HW6" s="478"/>
      <c r="HX6" s="478"/>
      <c r="HY6" s="478"/>
      <c r="HZ6" s="478"/>
      <c r="IA6" s="478"/>
      <c r="IB6" s="478"/>
      <c r="IC6" s="478"/>
      <c r="ID6" s="478"/>
      <c r="IE6" s="478"/>
      <c r="IF6" s="478"/>
      <c r="IG6" s="478"/>
      <c r="IH6" s="478"/>
      <c r="II6" s="478"/>
      <c r="IJ6" s="478"/>
      <c r="IK6" s="478"/>
      <c r="IL6" s="478"/>
      <c r="IM6" s="478"/>
      <c r="IN6" s="478"/>
      <c r="IO6" s="478"/>
      <c r="IP6" s="478"/>
      <c r="IQ6" s="478"/>
      <c r="IR6" s="478"/>
      <c r="IS6" s="478"/>
      <c r="IT6" s="478"/>
      <c r="IU6" s="478"/>
      <c r="IV6" s="478"/>
      <c r="IW6" s="478"/>
      <c r="IX6" s="478"/>
      <c r="IY6" s="478"/>
      <c r="IZ6" s="478"/>
      <c r="JA6" s="478"/>
    </row>
    <row r="7" spans="1:261" ht="18" customHeight="1" x14ac:dyDescent="0.35">
      <c r="A7" s="478"/>
      <c r="B7" s="135" t="s">
        <v>48</v>
      </c>
      <c r="C7" s="1523">
        <f>C9+C10</f>
        <v>34911075</v>
      </c>
      <c r="D7" s="747">
        <f>IF($C$7=0,0,C7/C$7)</f>
        <v>1</v>
      </c>
      <c r="F7" s="144" t="s">
        <v>49</v>
      </c>
      <c r="G7" s="1523">
        <f>G9+G10</f>
        <v>34891050</v>
      </c>
      <c r="H7" s="747">
        <f>IF($G$7=0,0,G7/G$7)</f>
        <v>1</v>
      </c>
      <c r="J7" s="144" t="s">
        <v>50</v>
      </c>
      <c r="K7" s="1523">
        <f>K9+K10</f>
        <v>32696725</v>
      </c>
      <c r="L7" s="747">
        <f>IF($K$7=0,0,K7/K$7)</f>
        <v>1</v>
      </c>
      <c r="N7" s="144" t="s">
        <v>51</v>
      </c>
      <c r="O7" s="1523">
        <f>O12+O18+O23+O31</f>
        <v>31837750</v>
      </c>
      <c r="P7" s="747">
        <f>IF(O$7=0,0,O7/O$7)</f>
        <v>1</v>
      </c>
      <c r="R7" s="144" t="s">
        <v>52</v>
      </c>
      <c r="S7" s="1523">
        <f>S12+S18+S23+S27</f>
        <v>29136675</v>
      </c>
      <c r="T7" s="747">
        <f>IF(S$7=0,0,S7/S$7)</f>
        <v>1</v>
      </c>
      <c r="V7" s="144" t="s">
        <v>53</v>
      </c>
      <c r="W7" s="1523">
        <f>W12+W14+W23+W25</f>
        <v>29136675</v>
      </c>
      <c r="X7" s="747">
        <f>IF(W$7=0,0,W7/W$7)</f>
        <v>1</v>
      </c>
      <c r="Y7" s="544"/>
    </row>
    <row r="8" spans="1:261" s="3" customFormat="1" ht="18" customHeight="1" x14ac:dyDescent="0.35">
      <c r="A8" s="478"/>
      <c r="B8" s="650"/>
      <c r="C8" s="737"/>
      <c r="D8" s="665"/>
      <c r="E8" s="478"/>
      <c r="F8" s="736"/>
      <c r="G8" s="737"/>
      <c r="H8" s="665"/>
      <c r="I8" s="478"/>
      <c r="J8" s="736"/>
      <c r="K8" s="737"/>
      <c r="L8" s="665"/>
      <c r="M8" s="478"/>
      <c r="N8" s="736"/>
      <c r="O8" s="737"/>
      <c r="P8" s="665"/>
      <c r="Q8" s="478"/>
      <c r="R8" s="736"/>
      <c r="S8" s="737"/>
      <c r="T8" s="665"/>
      <c r="U8" s="478"/>
      <c r="V8" s="736"/>
      <c r="W8" s="737"/>
      <c r="X8" s="665"/>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478"/>
      <c r="BI8" s="478"/>
      <c r="BJ8" s="478"/>
      <c r="BK8" s="478"/>
      <c r="BL8" s="478"/>
      <c r="BM8" s="478"/>
      <c r="BN8" s="478"/>
      <c r="BO8" s="478"/>
      <c r="BP8" s="478"/>
      <c r="BQ8" s="478"/>
      <c r="BR8" s="478"/>
      <c r="BS8" s="478"/>
      <c r="BT8" s="478"/>
      <c r="BU8" s="478"/>
      <c r="BV8" s="478"/>
      <c r="BW8" s="478"/>
      <c r="BX8" s="478"/>
      <c r="BY8" s="478"/>
      <c r="BZ8" s="478"/>
      <c r="CA8" s="478"/>
      <c r="CB8" s="478"/>
      <c r="CC8" s="478"/>
      <c r="CD8" s="478"/>
      <c r="CE8" s="478"/>
      <c r="CF8" s="478"/>
      <c r="CG8" s="478"/>
      <c r="CH8" s="478"/>
      <c r="CI8" s="478"/>
      <c r="CJ8" s="478"/>
      <c r="CK8" s="478"/>
      <c r="CL8" s="478"/>
      <c r="CM8" s="478"/>
      <c r="CN8" s="478"/>
      <c r="CO8" s="478"/>
      <c r="CP8" s="478"/>
      <c r="CQ8" s="478"/>
      <c r="CR8" s="478"/>
      <c r="CS8" s="478"/>
      <c r="CT8" s="478"/>
      <c r="CU8" s="478"/>
      <c r="CV8" s="478"/>
      <c r="CW8" s="478"/>
      <c r="CX8" s="478"/>
      <c r="CY8" s="478"/>
      <c r="CZ8" s="478"/>
      <c r="DA8" s="478"/>
      <c r="DB8" s="478"/>
      <c r="DC8" s="478"/>
      <c r="DD8" s="478"/>
      <c r="DE8" s="478"/>
      <c r="DF8" s="478"/>
      <c r="DG8" s="478"/>
      <c r="DH8" s="478"/>
      <c r="DI8" s="478"/>
      <c r="DJ8" s="478"/>
      <c r="DK8" s="478"/>
      <c r="DL8" s="478"/>
      <c r="DM8" s="478"/>
      <c r="DN8" s="478"/>
      <c r="DO8" s="478"/>
      <c r="DP8" s="478"/>
      <c r="DQ8" s="478"/>
      <c r="DR8" s="478"/>
      <c r="DS8" s="478"/>
      <c r="DT8" s="478"/>
      <c r="DU8" s="478"/>
      <c r="DV8" s="478"/>
      <c r="DW8" s="478"/>
      <c r="DX8" s="478"/>
      <c r="DY8" s="478"/>
      <c r="DZ8" s="478"/>
      <c r="EA8" s="478"/>
      <c r="EB8" s="478"/>
      <c r="EC8" s="478"/>
      <c r="ED8" s="478"/>
      <c r="EE8" s="478"/>
      <c r="EF8" s="478"/>
      <c r="EG8" s="478"/>
      <c r="EH8" s="478"/>
      <c r="EI8" s="478"/>
      <c r="EJ8" s="478"/>
      <c r="EK8" s="478"/>
      <c r="EL8" s="478"/>
      <c r="EM8" s="478"/>
      <c r="EN8" s="478"/>
      <c r="EO8" s="478"/>
      <c r="EP8" s="478"/>
      <c r="EQ8" s="478"/>
      <c r="ER8" s="478"/>
      <c r="ES8" s="478"/>
      <c r="ET8" s="478"/>
      <c r="EU8" s="478"/>
      <c r="EV8" s="478"/>
      <c r="EW8" s="478"/>
      <c r="EX8" s="478"/>
      <c r="EY8" s="478"/>
      <c r="EZ8" s="478"/>
      <c r="FA8" s="478"/>
      <c r="FB8" s="478"/>
      <c r="FC8" s="478"/>
      <c r="FD8" s="478"/>
      <c r="FE8" s="478"/>
      <c r="FF8" s="478"/>
      <c r="FG8" s="478"/>
      <c r="FH8" s="478"/>
      <c r="FI8" s="478"/>
      <c r="FJ8" s="478"/>
      <c r="FK8" s="478"/>
      <c r="FL8" s="478"/>
      <c r="FM8" s="478"/>
      <c r="FN8" s="478"/>
      <c r="FO8" s="478"/>
      <c r="FP8" s="478"/>
      <c r="FQ8" s="478"/>
      <c r="FR8" s="478"/>
      <c r="FS8" s="478"/>
      <c r="FT8" s="478"/>
      <c r="FU8" s="478"/>
      <c r="FV8" s="478"/>
      <c r="FW8" s="478"/>
      <c r="FX8" s="478"/>
      <c r="FY8" s="478"/>
      <c r="FZ8" s="478"/>
      <c r="GA8" s="478"/>
      <c r="GB8" s="478"/>
      <c r="GC8" s="478"/>
      <c r="GD8" s="478"/>
      <c r="GE8" s="478"/>
      <c r="GF8" s="478"/>
      <c r="GG8" s="478"/>
      <c r="GH8" s="478"/>
      <c r="GI8" s="478"/>
      <c r="GJ8" s="478"/>
      <c r="GK8" s="478"/>
      <c r="GL8" s="478"/>
      <c r="GM8" s="478"/>
      <c r="GN8" s="478"/>
      <c r="GO8" s="478"/>
      <c r="GP8" s="478"/>
      <c r="GQ8" s="478"/>
      <c r="GR8" s="478"/>
      <c r="GS8" s="478"/>
      <c r="GT8" s="478"/>
      <c r="GU8" s="478"/>
      <c r="GV8" s="478"/>
      <c r="GW8" s="478"/>
      <c r="GX8" s="478"/>
      <c r="GY8" s="478"/>
      <c r="GZ8" s="478"/>
      <c r="HA8" s="478"/>
      <c r="HB8" s="478"/>
      <c r="HC8" s="478"/>
      <c r="HD8" s="478"/>
      <c r="HE8" s="478"/>
      <c r="HF8" s="478"/>
      <c r="HG8" s="478"/>
      <c r="HH8" s="478"/>
      <c r="HI8" s="478"/>
      <c r="HJ8" s="478"/>
      <c r="HK8" s="478"/>
      <c r="HL8" s="478"/>
      <c r="HM8" s="478"/>
      <c r="HN8" s="478"/>
      <c r="HO8" s="478"/>
      <c r="HP8" s="478"/>
      <c r="HQ8" s="478"/>
      <c r="HR8" s="478"/>
      <c r="HS8" s="478"/>
      <c r="HT8" s="478"/>
      <c r="HU8" s="478"/>
      <c r="HV8" s="478"/>
      <c r="HW8" s="478"/>
      <c r="HX8" s="478"/>
      <c r="HY8" s="478"/>
      <c r="HZ8" s="478"/>
      <c r="IA8" s="478"/>
      <c r="IB8" s="478"/>
      <c r="IC8" s="478"/>
      <c r="ID8" s="478"/>
      <c r="IE8" s="478"/>
      <c r="IF8" s="478"/>
      <c r="IG8" s="478"/>
      <c r="IH8" s="478"/>
      <c r="II8" s="478"/>
      <c r="IJ8" s="478"/>
      <c r="IK8" s="478"/>
      <c r="IL8" s="478"/>
      <c r="IM8" s="478"/>
      <c r="IN8" s="478"/>
      <c r="IO8" s="478"/>
      <c r="IP8" s="478"/>
      <c r="IQ8" s="478"/>
      <c r="IR8" s="478"/>
      <c r="IS8" s="478"/>
      <c r="IT8" s="478"/>
      <c r="IU8" s="478"/>
      <c r="IV8" s="478"/>
      <c r="IW8" s="478"/>
      <c r="IX8" s="478"/>
      <c r="IY8" s="478"/>
      <c r="IZ8" s="478"/>
      <c r="JA8" s="478"/>
    </row>
    <row r="9" spans="1:261" ht="18" customHeight="1" x14ac:dyDescent="0.35">
      <c r="A9" s="478"/>
      <c r="B9" s="146" t="s">
        <v>54</v>
      </c>
      <c r="C9" s="1523">
        <f>C12</f>
        <v>34891050</v>
      </c>
      <c r="D9" s="1462">
        <f>IF($C$7=0,0,C9/C$7)</f>
        <v>0.99942639978860581</v>
      </c>
      <c r="F9" s="146" t="s">
        <v>54</v>
      </c>
      <c r="G9" s="1523">
        <f>G12+G18</f>
        <v>32696725</v>
      </c>
      <c r="H9" s="1462">
        <f>IF($G$7=0,0,G9/G$7)</f>
        <v>0.93710923001743995</v>
      </c>
      <c r="J9" s="146" t="s">
        <v>54</v>
      </c>
      <c r="K9" s="1523">
        <f>K12+K18</f>
        <v>31837750</v>
      </c>
      <c r="L9" s="1462">
        <f>IF($K$7=0,0,K9/K$7)</f>
        <v>0.97372902026120356</v>
      </c>
      <c r="N9" s="146" t="s">
        <v>54</v>
      </c>
      <c r="O9" s="1523">
        <f>O12+O18</f>
        <v>29136675</v>
      </c>
      <c r="P9" s="1462">
        <f>IF(O$7=0,0,O9/O$7)</f>
        <v>0.91516124726150561</v>
      </c>
      <c r="R9" s="146" t="s">
        <v>54</v>
      </c>
      <c r="S9" s="1523">
        <f>S12+S18</f>
        <v>9274136.25</v>
      </c>
      <c r="T9" s="1462">
        <f>IF(S$7=0,0,S9/S$7)</f>
        <v>0.31829768667838731</v>
      </c>
      <c r="V9" s="146" t="s">
        <v>54</v>
      </c>
      <c r="W9" s="1523">
        <f>W12+W14</f>
        <v>9274136.25</v>
      </c>
      <c r="X9" s="1462">
        <f>IF(W$7=0,0,W9/W$7)</f>
        <v>0.31829768667838731</v>
      </c>
      <c r="Y9" s="544"/>
    </row>
    <row r="10" spans="1:261" ht="18" customHeight="1" x14ac:dyDescent="0.35">
      <c r="A10" s="478"/>
      <c r="B10" s="147" t="s">
        <v>11</v>
      </c>
      <c r="C10" s="1523">
        <f>C23</f>
        <v>20025</v>
      </c>
      <c r="D10" s="1462">
        <f>IF($C$7=0,0,C10/C$7)</f>
        <v>5.7360021139423519E-4</v>
      </c>
      <c r="F10" s="147" t="s">
        <v>11</v>
      </c>
      <c r="G10" s="1523">
        <f>G23</f>
        <v>2194325</v>
      </c>
      <c r="H10" s="1462">
        <f>IF($G$7=0,0,G10/G$7)</f>
        <v>6.2890769982559991E-2</v>
      </c>
      <c r="J10" s="147" t="s">
        <v>11</v>
      </c>
      <c r="K10" s="1523">
        <f>K23+K28+K31</f>
        <v>858975</v>
      </c>
      <c r="L10" s="1462">
        <f>IF($K$7=0,0,K10/K$7)</f>
        <v>2.6270979738796468E-2</v>
      </c>
      <c r="N10" s="147" t="s">
        <v>11</v>
      </c>
      <c r="O10" s="1523">
        <f>O23+O31</f>
        <v>2701075</v>
      </c>
      <c r="P10" s="1462">
        <f>IF(O$7=0,0,O10/O$7)</f>
        <v>8.4838752738494394E-2</v>
      </c>
      <c r="R10" s="147" t="s">
        <v>11</v>
      </c>
      <c r="S10" s="1523">
        <f>S23</f>
        <v>19862538.75</v>
      </c>
      <c r="T10" s="1462">
        <f>IF(S$7=0,0,S10/S$7)</f>
        <v>0.68170231332161269</v>
      </c>
      <c r="V10" s="147" t="s">
        <v>11</v>
      </c>
      <c r="W10" s="1523">
        <f>W23+W25</f>
        <v>19862538.75</v>
      </c>
      <c r="X10" s="1462">
        <f>IF(W$7=0,0,W10/W$7)</f>
        <v>0.68170231332161269</v>
      </c>
      <c r="Y10" s="544"/>
    </row>
    <row r="11" spans="1:261" s="13" customFormat="1" ht="18" customHeight="1" x14ac:dyDescent="0.35">
      <c r="A11" s="564"/>
      <c r="B11" s="851" t="s">
        <v>55</v>
      </c>
      <c r="C11" s="852"/>
      <c r="D11" s="564"/>
      <c r="E11" s="564"/>
      <c r="F11" s="851" t="s">
        <v>55</v>
      </c>
      <c r="G11" s="851"/>
      <c r="H11" s="853"/>
      <c r="I11" s="564"/>
      <c r="J11" s="851" t="s">
        <v>55</v>
      </c>
      <c r="K11" s="851"/>
      <c r="L11" s="564"/>
      <c r="M11" s="564"/>
      <c r="N11" s="851" t="s">
        <v>55</v>
      </c>
      <c r="O11" s="852"/>
      <c r="P11" s="564"/>
      <c r="Q11" s="564"/>
      <c r="R11" s="851" t="s">
        <v>55</v>
      </c>
      <c r="S11" s="851"/>
      <c r="T11" s="564"/>
      <c r="U11" s="564"/>
      <c r="V11" s="851" t="s">
        <v>55</v>
      </c>
      <c r="W11" s="851"/>
      <c r="X11" s="564"/>
      <c r="Y11" s="564"/>
      <c r="Z11" s="5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564"/>
      <c r="BW11" s="564"/>
      <c r="BX11" s="564"/>
      <c r="BY11" s="564"/>
      <c r="BZ11" s="564"/>
      <c r="CA11" s="564"/>
      <c r="CB11" s="564"/>
      <c r="CC11" s="564"/>
      <c r="CD11" s="564"/>
      <c r="CE11" s="564"/>
      <c r="CF11" s="564"/>
      <c r="CG11" s="564"/>
      <c r="CH11" s="564"/>
      <c r="CI11" s="564"/>
      <c r="CJ11" s="564"/>
      <c r="CK11" s="564"/>
      <c r="CL11" s="564"/>
      <c r="CM11" s="564"/>
      <c r="CN11" s="564"/>
      <c r="CO11" s="564"/>
      <c r="CP11" s="564"/>
      <c r="CQ11" s="564"/>
      <c r="CR11" s="564"/>
      <c r="CS11" s="564"/>
      <c r="CT11" s="564"/>
      <c r="CU11" s="564"/>
      <c r="CV11" s="564"/>
      <c r="CW11" s="564"/>
      <c r="CX11" s="564"/>
      <c r="CY11" s="564"/>
      <c r="CZ11" s="564"/>
      <c r="DA11" s="564"/>
      <c r="DB11" s="564"/>
      <c r="DC11" s="564"/>
      <c r="DD11" s="564"/>
      <c r="DE11" s="564"/>
      <c r="DF11" s="564"/>
      <c r="DG11" s="564"/>
      <c r="DH11" s="564"/>
      <c r="DI11" s="564"/>
      <c r="DJ11" s="564"/>
      <c r="DK11" s="564"/>
      <c r="DL11" s="564"/>
      <c r="DM11" s="564"/>
      <c r="DN11" s="564"/>
      <c r="DO11" s="564"/>
      <c r="DP11" s="564"/>
      <c r="DQ11" s="564"/>
      <c r="DR11" s="564"/>
      <c r="DS11" s="564"/>
      <c r="DT11" s="564"/>
      <c r="DU11" s="564"/>
      <c r="DV11" s="564"/>
      <c r="DW11" s="564"/>
      <c r="DX11" s="564"/>
      <c r="DY11" s="564"/>
      <c r="DZ11" s="564"/>
      <c r="EA11" s="564"/>
      <c r="EB11" s="564"/>
      <c r="EC11" s="564"/>
      <c r="ED11" s="564"/>
      <c r="EE11" s="564"/>
      <c r="EF11" s="564"/>
      <c r="EG11" s="564"/>
      <c r="EH11" s="564"/>
      <c r="EI11" s="564"/>
      <c r="EJ11" s="564"/>
      <c r="EK11" s="564"/>
      <c r="EL11" s="564"/>
      <c r="EM11" s="564"/>
      <c r="EN11" s="564"/>
      <c r="EO11" s="564"/>
      <c r="EP11" s="564"/>
      <c r="EQ11" s="564"/>
      <c r="ER11" s="564"/>
      <c r="ES11" s="564"/>
      <c r="ET11" s="564"/>
      <c r="EU11" s="564"/>
      <c r="EV11" s="564"/>
      <c r="EW11" s="564"/>
      <c r="EX11" s="564"/>
      <c r="EY11" s="564"/>
      <c r="EZ11" s="564"/>
      <c r="FA11" s="564"/>
      <c r="FB11" s="564"/>
      <c r="FC11" s="564"/>
      <c r="FD11" s="564"/>
      <c r="FE11" s="564"/>
      <c r="FF11" s="564"/>
      <c r="FG11" s="564"/>
      <c r="FH11" s="564"/>
      <c r="FI11" s="564"/>
      <c r="FJ11" s="564"/>
      <c r="FK11" s="564"/>
      <c r="FL11" s="564"/>
      <c r="FM11" s="564"/>
      <c r="FN11" s="564"/>
      <c r="FO11" s="564"/>
      <c r="FP11" s="564"/>
      <c r="FQ11" s="564"/>
      <c r="FR11" s="564"/>
      <c r="FS11" s="564"/>
      <c r="FT11" s="564"/>
      <c r="FU11" s="564"/>
      <c r="FV11" s="564"/>
      <c r="FW11" s="564"/>
      <c r="FX11" s="564"/>
      <c r="FY11" s="564"/>
      <c r="FZ11" s="564"/>
      <c r="GA11" s="564"/>
      <c r="GB11" s="564"/>
      <c r="GC11" s="564"/>
      <c r="GD11" s="564"/>
      <c r="GE11" s="564"/>
      <c r="GF11" s="564"/>
      <c r="GG11" s="564"/>
      <c r="GH11" s="564"/>
      <c r="GI11" s="564"/>
      <c r="GJ11" s="564"/>
      <c r="GK11" s="564"/>
      <c r="GL11" s="564"/>
      <c r="GM11" s="564"/>
      <c r="GN11" s="564"/>
      <c r="GO11" s="564"/>
      <c r="GP11" s="564"/>
      <c r="GQ11" s="564"/>
      <c r="GR11" s="564"/>
      <c r="GS11" s="564"/>
      <c r="GT11" s="564"/>
      <c r="GU11" s="564"/>
      <c r="GV11" s="564"/>
      <c r="GW11" s="564"/>
      <c r="GX11" s="564"/>
      <c r="GY11" s="564"/>
      <c r="GZ11" s="564"/>
      <c r="HA11" s="564"/>
      <c r="HB11" s="564"/>
      <c r="HC11" s="564"/>
      <c r="HD11" s="564"/>
      <c r="HE11" s="564"/>
      <c r="HF11" s="564"/>
      <c r="HG11" s="564"/>
      <c r="HH11" s="564"/>
      <c r="HI11" s="564"/>
      <c r="HJ11" s="564"/>
      <c r="HK11" s="564"/>
      <c r="HL11" s="564"/>
      <c r="HM11" s="564"/>
      <c r="HN11" s="564"/>
      <c r="HO11" s="564"/>
      <c r="HP11" s="564"/>
      <c r="HQ11" s="564"/>
      <c r="HR11" s="564"/>
      <c r="HS11" s="564"/>
      <c r="HT11" s="564"/>
      <c r="HU11" s="564"/>
      <c r="HV11" s="564"/>
      <c r="HW11" s="564"/>
      <c r="HX11" s="564"/>
      <c r="HY11" s="564"/>
      <c r="HZ11" s="564"/>
      <c r="IA11" s="564"/>
      <c r="IB11" s="564"/>
      <c r="IC11" s="564"/>
      <c r="ID11" s="564"/>
      <c r="IE11" s="564"/>
      <c r="IF11" s="564"/>
      <c r="IG11" s="564"/>
      <c r="IH11" s="564"/>
      <c r="II11" s="564"/>
      <c r="IJ11" s="564"/>
      <c r="IK11" s="564"/>
      <c r="IL11" s="564"/>
      <c r="IM11" s="564"/>
      <c r="IN11" s="564"/>
      <c r="IO11" s="564"/>
      <c r="IP11" s="564"/>
      <c r="IQ11" s="564"/>
      <c r="IR11" s="564"/>
      <c r="IS11" s="564"/>
      <c r="IT11" s="564"/>
      <c r="IU11" s="564"/>
      <c r="IV11" s="564"/>
      <c r="IW11" s="564"/>
      <c r="IX11" s="564"/>
      <c r="IY11" s="564"/>
      <c r="IZ11" s="564"/>
      <c r="JA11" s="564"/>
    </row>
    <row r="12" spans="1:261" s="12" customFormat="1" ht="18" customHeight="1" x14ac:dyDescent="0.35">
      <c r="A12" s="478"/>
      <c r="B12" s="146" t="s">
        <v>56</v>
      </c>
      <c r="C12" s="150">
        <f>SUM(C13:C16)</f>
        <v>34891050</v>
      </c>
      <c r="D12" s="747">
        <f>IF($C$7=0,0,C12/C$7)</f>
        <v>0.99942639978860581</v>
      </c>
      <c r="E12" s="570"/>
      <c r="F12" s="146" t="s">
        <v>57</v>
      </c>
      <c r="G12" s="150">
        <f>SUM(G13:G16)</f>
        <v>7164875</v>
      </c>
      <c r="H12" s="747">
        <f>IF($G$7=0,0,G12/G$7)</f>
        <v>0.20534993931108408</v>
      </c>
      <c r="I12" s="570"/>
      <c r="J12" s="146" t="s">
        <v>58</v>
      </c>
      <c r="K12" s="150">
        <f>SUM(K13:K14)</f>
        <v>147900</v>
      </c>
      <c r="L12" s="747">
        <f>IF($K$7=0,0,K12/K$7)</f>
        <v>4.5233888103472135E-3</v>
      </c>
      <c r="M12" s="570"/>
      <c r="N12" s="146" t="s">
        <v>59</v>
      </c>
      <c r="O12" s="150">
        <f>O13</f>
        <v>0</v>
      </c>
      <c r="P12" s="747">
        <f>IF(O$7=0,0,O12/O$7)</f>
        <v>0</v>
      </c>
      <c r="Q12" s="570"/>
      <c r="R12" s="146" t="s">
        <v>60</v>
      </c>
      <c r="S12" s="150">
        <f>SUM(S13:S14)</f>
        <v>9274136.25</v>
      </c>
      <c r="T12" s="747">
        <f>IF(S$7=0,0,S12/S$7)</f>
        <v>0.31829768667838731</v>
      </c>
      <c r="U12" s="570"/>
      <c r="V12" s="146" t="s">
        <v>61</v>
      </c>
      <c r="W12" s="158">
        <f>'Disposal volumes'!B11</f>
        <v>9274136.25</v>
      </c>
      <c r="X12" s="747">
        <f>IF(W$7=0,0,W12/W$7)</f>
        <v>0.31829768667838731</v>
      </c>
      <c r="Y12" s="570"/>
      <c r="Z12" s="570"/>
      <c r="AA12" s="570"/>
      <c r="AB12" s="570"/>
      <c r="AC12" s="570"/>
      <c r="AD12" s="570"/>
      <c r="AE12" s="570"/>
      <c r="AF12" s="570"/>
      <c r="AG12" s="570"/>
      <c r="AH12" s="570"/>
      <c r="AI12" s="570"/>
      <c r="AJ12" s="570"/>
      <c r="AK12" s="570"/>
      <c r="AL12" s="570"/>
      <c r="AM12" s="570"/>
      <c r="AN12" s="570"/>
      <c r="AO12" s="570"/>
      <c r="AP12" s="570"/>
      <c r="AQ12" s="570"/>
      <c r="AR12" s="570"/>
      <c r="AS12" s="570"/>
      <c r="AT12" s="570"/>
      <c r="AU12" s="570"/>
      <c r="AV12" s="570"/>
      <c r="AW12" s="570"/>
      <c r="AX12" s="570"/>
      <c r="AY12" s="570"/>
      <c r="AZ12" s="570"/>
      <c r="BA12" s="570"/>
      <c r="BB12" s="570"/>
      <c r="BC12" s="570"/>
      <c r="BD12" s="570"/>
      <c r="BE12" s="570"/>
      <c r="BF12" s="570"/>
      <c r="BG12" s="570"/>
      <c r="BH12" s="570"/>
      <c r="BI12" s="570"/>
      <c r="BJ12" s="570"/>
      <c r="BK12" s="570"/>
      <c r="BL12" s="570"/>
      <c r="BM12" s="570"/>
      <c r="BN12" s="570"/>
      <c r="BO12" s="570"/>
      <c r="BP12" s="570"/>
      <c r="BQ12" s="570"/>
      <c r="BR12" s="570"/>
      <c r="BS12" s="570"/>
      <c r="BT12" s="570"/>
      <c r="BU12" s="570"/>
      <c r="BV12" s="570"/>
      <c r="BW12" s="570"/>
      <c r="BX12" s="570"/>
      <c r="BY12" s="570"/>
      <c r="BZ12" s="570"/>
      <c r="CA12" s="570"/>
      <c r="CB12" s="570"/>
      <c r="CC12" s="570"/>
      <c r="CD12" s="570"/>
      <c r="CE12" s="570"/>
      <c r="CF12" s="570"/>
      <c r="CG12" s="570"/>
      <c r="CH12" s="570"/>
      <c r="CI12" s="570"/>
      <c r="CJ12" s="570"/>
      <c r="CK12" s="570"/>
      <c r="CL12" s="570"/>
      <c r="CM12" s="570"/>
      <c r="CN12" s="570"/>
      <c r="CO12" s="570"/>
      <c r="CP12" s="570"/>
      <c r="CQ12" s="570"/>
      <c r="CR12" s="570"/>
      <c r="CS12" s="570"/>
      <c r="CT12" s="570"/>
      <c r="CU12" s="570"/>
      <c r="CV12" s="570"/>
      <c r="CW12" s="570"/>
      <c r="CX12" s="570"/>
      <c r="CY12" s="570"/>
      <c r="CZ12" s="570"/>
      <c r="DA12" s="570"/>
      <c r="DB12" s="570"/>
      <c r="DC12" s="570"/>
      <c r="DD12" s="570"/>
      <c r="DE12" s="570"/>
      <c r="DF12" s="570"/>
      <c r="DG12" s="570"/>
      <c r="DH12" s="570"/>
      <c r="DI12" s="570"/>
      <c r="DJ12" s="570"/>
      <c r="DK12" s="570"/>
      <c r="DL12" s="570"/>
      <c r="DM12" s="570"/>
      <c r="DN12" s="570"/>
      <c r="DO12" s="570"/>
      <c r="DP12" s="570"/>
      <c r="DQ12" s="570"/>
      <c r="DR12" s="570"/>
      <c r="DS12" s="570"/>
      <c r="DT12" s="570"/>
      <c r="DU12" s="570"/>
      <c r="DV12" s="570"/>
      <c r="DW12" s="570"/>
      <c r="DX12" s="570"/>
      <c r="DY12" s="570"/>
      <c r="DZ12" s="570"/>
      <c r="EA12" s="570"/>
      <c r="EB12" s="570"/>
      <c r="EC12" s="570"/>
      <c r="ED12" s="570"/>
      <c r="EE12" s="570"/>
      <c r="EF12" s="570"/>
      <c r="EG12" s="570"/>
      <c r="EH12" s="570"/>
      <c r="EI12" s="570"/>
      <c r="EJ12" s="570"/>
      <c r="EK12" s="570"/>
      <c r="EL12" s="570"/>
      <c r="EM12" s="570"/>
      <c r="EN12" s="570"/>
      <c r="EO12" s="570"/>
      <c r="EP12" s="570"/>
      <c r="EQ12" s="570"/>
      <c r="ER12" s="570"/>
      <c r="ES12" s="570"/>
      <c r="ET12" s="570"/>
      <c r="EU12" s="570"/>
      <c r="EV12" s="570"/>
      <c r="EW12" s="570"/>
      <c r="EX12" s="570"/>
      <c r="EY12" s="570"/>
      <c r="EZ12" s="570"/>
      <c r="FA12" s="570"/>
      <c r="FB12" s="570"/>
      <c r="FC12" s="570"/>
      <c r="FD12" s="570"/>
      <c r="FE12" s="570"/>
      <c r="FF12" s="570"/>
      <c r="FG12" s="570"/>
      <c r="FH12" s="570"/>
      <c r="FI12" s="570"/>
      <c r="FJ12" s="570"/>
      <c r="FK12" s="570"/>
      <c r="FL12" s="570"/>
      <c r="FM12" s="570"/>
      <c r="FN12" s="570"/>
      <c r="FO12" s="570"/>
      <c r="FP12" s="570"/>
      <c r="FQ12" s="570"/>
      <c r="FR12" s="570"/>
      <c r="FS12" s="570"/>
      <c r="FT12" s="570"/>
      <c r="FU12" s="570"/>
      <c r="FV12" s="570"/>
      <c r="FW12" s="570"/>
      <c r="FX12" s="570"/>
      <c r="FY12" s="570"/>
      <c r="FZ12" s="570"/>
      <c r="GA12" s="570"/>
      <c r="GB12" s="570"/>
      <c r="GC12" s="570"/>
      <c r="GD12" s="570"/>
      <c r="GE12" s="570"/>
      <c r="GF12" s="570"/>
      <c r="GG12" s="570"/>
      <c r="GH12" s="570"/>
      <c r="GI12" s="570"/>
      <c r="GJ12" s="570"/>
      <c r="GK12" s="570"/>
      <c r="GL12" s="570"/>
      <c r="GM12" s="570"/>
      <c r="GN12" s="570"/>
      <c r="GO12" s="570"/>
      <c r="GP12" s="570"/>
      <c r="GQ12" s="570"/>
      <c r="GR12" s="570"/>
      <c r="GS12" s="570"/>
      <c r="GT12" s="570"/>
      <c r="GU12" s="570"/>
      <c r="GV12" s="570"/>
      <c r="GW12" s="570"/>
      <c r="GX12" s="570"/>
      <c r="GY12" s="570"/>
      <c r="GZ12" s="570"/>
      <c r="HA12" s="570"/>
      <c r="HB12" s="570"/>
      <c r="HC12" s="570"/>
      <c r="HD12" s="570"/>
      <c r="HE12" s="570"/>
      <c r="HF12" s="570"/>
      <c r="HG12" s="570"/>
      <c r="HH12" s="570"/>
      <c r="HI12" s="570"/>
      <c r="HJ12" s="570"/>
      <c r="HK12" s="570"/>
      <c r="HL12" s="570"/>
      <c r="HM12" s="570"/>
      <c r="HN12" s="570"/>
      <c r="HO12" s="570"/>
      <c r="HP12" s="570"/>
      <c r="HQ12" s="570"/>
      <c r="HR12" s="570"/>
      <c r="HS12" s="570"/>
      <c r="HT12" s="570"/>
      <c r="HU12" s="570"/>
      <c r="HV12" s="570"/>
      <c r="HW12" s="570"/>
      <c r="HX12" s="570"/>
      <c r="HY12" s="570"/>
      <c r="HZ12" s="570"/>
      <c r="IA12" s="570"/>
      <c r="IB12" s="570"/>
      <c r="IC12" s="570"/>
      <c r="ID12" s="570"/>
      <c r="IE12" s="570"/>
      <c r="IF12" s="570"/>
      <c r="IG12" s="570"/>
      <c r="IH12" s="570"/>
      <c r="II12" s="570"/>
      <c r="IJ12" s="570"/>
      <c r="IK12" s="570"/>
      <c r="IL12" s="570"/>
      <c r="IM12" s="570"/>
      <c r="IN12" s="570"/>
      <c r="IO12" s="570"/>
      <c r="IP12" s="570"/>
      <c r="IQ12" s="570"/>
      <c r="IR12" s="570"/>
      <c r="IS12" s="570"/>
      <c r="IT12" s="570"/>
      <c r="IU12" s="570"/>
      <c r="IV12" s="570"/>
      <c r="IW12" s="570"/>
      <c r="IX12" s="570"/>
      <c r="IY12" s="570"/>
      <c r="IZ12" s="570"/>
      <c r="JA12" s="570"/>
    </row>
    <row r="13" spans="1:261" ht="18" customHeight="1" x14ac:dyDescent="0.35">
      <c r="A13" s="478"/>
      <c r="B13" s="143" t="s">
        <v>62</v>
      </c>
      <c r="C13" s="1520">
        <f>'Capture volumes'!B11</f>
        <v>25531850</v>
      </c>
      <c r="D13" s="748">
        <f>IF($C$7=0,0,C13/C$7)</f>
        <v>0.73133955342251711</v>
      </c>
      <c r="E13" s="478"/>
      <c r="F13" s="143" t="s">
        <v>63</v>
      </c>
      <c r="G13" s="153">
        <f>'Containment volumes'!B11</f>
        <v>0</v>
      </c>
      <c r="H13" s="748">
        <f>IF($G$7=0,0,G13/G$7)</f>
        <v>0</v>
      </c>
      <c r="I13" s="478"/>
      <c r="J13" s="143" t="s">
        <v>64</v>
      </c>
      <c r="K13" s="153">
        <f>'Emptying volumes'!B11</f>
        <v>0</v>
      </c>
      <c r="L13" s="748">
        <f>IF($K$7=0,0,K13/K$7)</f>
        <v>0</v>
      </c>
      <c r="M13" s="478"/>
      <c r="N13" s="143" t="s">
        <v>65</v>
      </c>
      <c r="O13" s="160">
        <f>'Transport volumes'!B11</f>
        <v>0</v>
      </c>
      <c r="P13" s="748">
        <f>IF(O$7=0,0,O13/O$7)</f>
        <v>0</v>
      </c>
      <c r="Q13" s="478"/>
      <c r="R13" s="143" t="s">
        <v>66</v>
      </c>
      <c r="S13" s="1520">
        <f>'Treatment volumes'!B11</f>
        <v>9274136.25</v>
      </c>
      <c r="T13" s="748">
        <f>IF(S$7=0,0,S13/S$7)</f>
        <v>0.31829768667838731</v>
      </c>
      <c r="V13" s="732" t="s">
        <v>67</v>
      </c>
      <c r="W13" s="735"/>
      <c r="X13" s="544"/>
      <c r="Y13" s="544"/>
    </row>
    <row r="14" spans="1:261" ht="18" customHeight="1" x14ac:dyDescent="0.35">
      <c r="A14" s="478"/>
      <c r="B14" s="143" t="s">
        <v>68</v>
      </c>
      <c r="C14" s="1520">
        <f>'Capture volumes'!B12</f>
        <v>0</v>
      </c>
      <c r="D14" s="748">
        <f>IF($C$7=0,0,C14/C$7)</f>
        <v>0</v>
      </c>
      <c r="E14" s="478"/>
      <c r="F14" s="143" t="s">
        <v>69</v>
      </c>
      <c r="G14" s="153">
        <f>'Containment volumes'!B12</f>
        <v>0</v>
      </c>
      <c r="H14" s="748">
        <f>IF($G$7=0,0,G14/G$7)</f>
        <v>0</v>
      </c>
      <c r="I14" s="478"/>
      <c r="J14" s="143" t="s">
        <v>70</v>
      </c>
      <c r="K14" s="153">
        <f>'Emptying volumes'!B12</f>
        <v>147900</v>
      </c>
      <c r="L14" s="748">
        <f>IF($K$7=0,0,K14/K$7)</f>
        <v>4.5233888103472135E-3</v>
      </c>
      <c r="M14" s="478"/>
      <c r="N14" s="508"/>
      <c r="O14" s="739"/>
      <c r="P14" s="740"/>
      <c r="Q14" s="478"/>
      <c r="R14" s="143" t="s">
        <v>71</v>
      </c>
      <c r="S14" s="1520">
        <f>'Treatment volumes'!B12</f>
        <v>0</v>
      </c>
      <c r="T14" s="748">
        <f>IF(S$7=0,0,S14/S$7)</f>
        <v>0</v>
      </c>
      <c r="V14" s="146" t="s">
        <v>72</v>
      </c>
      <c r="W14" s="158">
        <f>'Disposal volumes'!B12</f>
        <v>0</v>
      </c>
      <c r="X14" s="747">
        <f>IF(W$7=0,0,W14/W$7)</f>
        <v>0</v>
      </c>
      <c r="Y14" s="544"/>
    </row>
    <row r="15" spans="1:261" ht="18" customHeight="1" x14ac:dyDescent="0.35">
      <c r="A15" s="478"/>
      <c r="B15" s="143" t="s">
        <v>73</v>
      </c>
      <c r="C15" s="1520">
        <f>'Capture volumes'!B13</f>
        <v>7277950</v>
      </c>
      <c r="D15" s="748">
        <f>IF($C$7=0,0,C15/C$7)</f>
        <v>0.20847109405826089</v>
      </c>
      <c r="E15" s="478"/>
      <c r="F15" s="143" t="s">
        <v>74</v>
      </c>
      <c r="G15" s="153">
        <f>'Containment volumes'!B13</f>
        <v>6256575</v>
      </c>
      <c r="H15" s="748">
        <f>IF($G$7=0,0,G15/G$7)</f>
        <v>0.1793174753984188</v>
      </c>
      <c r="I15" s="478"/>
      <c r="J15" s="508"/>
      <c r="K15" s="508"/>
      <c r="L15" s="508"/>
      <c r="M15" s="478"/>
      <c r="N15" s="478"/>
      <c r="O15" s="738"/>
      <c r="P15" s="478"/>
      <c r="Q15" s="478"/>
      <c r="R15" s="478"/>
      <c r="S15" s="478"/>
      <c r="T15" s="478"/>
      <c r="V15" s="544"/>
      <c r="W15" s="729"/>
      <c r="X15" s="544"/>
      <c r="Y15" s="544"/>
    </row>
    <row r="16" spans="1:261" ht="18" customHeight="1" x14ac:dyDescent="0.35">
      <c r="A16" s="478"/>
      <c r="B16" s="143" t="s">
        <v>75</v>
      </c>
      <c r="C16" s="1520">
        <f>'Capture volumes'!B14</f>
        <v>2081250</v>
      </c>
      <c r="D16" s="748">
        <f>IF($C$7=0,0,C16/C$7)</f>
        <v>5.961575230782782E-2</v>
      </c>
      <c r="E16" s="478"/>
      <c r="F16" s="143" t="s">
        <v>76</v>
      </c>
      <c r="G16" s="153">
        <f>'Containment volumes'!B14</f>
        <v>908300</v>
      </c>
      <c r="H16" s="748">
        <f>IF($G$7=0,0,G16/G$7)</f>
        <v>2.6032463912665282E-2</v>
      </c>
      <c r="I16" s="478"/>
      <c r="J16" s="489"/>
      <c r="K16" s="489"/>
      <c r="L16" s="489"/>
      <c r="M16" s="478"/>
      <c r="N16" s="478"/>
      <c r="O16" s="738"/>
      <c r="P16" s="478"/>
      <c r="Q16" s="478"/>
      <c r="R16" s="478"/>
      <c r="S16" s="478"/>
      <c r="T16" s="478"/>
      <c r="V16" s="544"/>
      <c r="W16" s="729"/>
      <c r="X16" s="544"/>
      <c r="Y16" s="544"/>
    </row>
    <row r="17" spans="1:261" s="13" customFormat="1" ht="18" customHeight="1" x14ac:dyDescent="0.35">
      <c r="A17" s="564"/>
      <c r="B17" s="858" t="s">
        <v>77</v>
      </c>
      <c r="C17" s="854"/>
      <c r="D17" s="855"/>
      <c r="E17" s="564"/>
      <c r="F17" s="851" t="s">
        <v>67</v>
      </c>
      <c r="G17" s="856"/>
      <c r="H17" s="853"/>
      <c r="I17" s="564"/>
      <c r="J17" s="851" t="s">
        <v>67</v>
      </c>
      <c r="K17" s="851"/>
      <c r="L17" s="853"/>
      <c r="M17" s="564"/>
      <c r="N17" s="851" t="s">
        <v>67</v>
      </c>
      <c r="O17" s="852"/>
      <c r="P17" s="564"/>
      <c r="Q17" s="564"/>
      <c r="R17" s="564"/>
      <c r="S17" s="564"/>
      <c r="T17" s="564"/>
      <c r="U17" s="564"/>
      <c r="V17" s="564"/>
      <c r="W17" s="857"/>
      <c r="X17" s="564"/>
      <c r="Y17" s="564"/>
      <c r="Z17" s="564"/>
      <c r="AA17" s="564"/>
      <c r="AB17" s="564"/>
      <c r="AC17" s="564"/>
      <c r="AD17" s="564"/>
      <c r="AE17" s="564"/>
      <c r="AF17" s="564"/>
      <c r="AG17" s="564"/>
      <c r="AH17" s="564"/>
      <c r="AI17" s="564"/>
      <c r="AJ17" s="564"/>
      <c r="AK17" s="564"/>
      <c r="AL17" s="564"/>
      <c r="AM17" s="564"/>
      <c r="AN17" s="564"/>
      <c r="AO17" s="564"/>
      <c r="AP17" s="564"/>
      <c r="AQ17" s="564"/>
      <c r="AR17" s="564"/>
      <c r="AS17" s="564"/>
      <c r="AT17" s="564"/>
      <c r="AU17" s="564"/>
      <c r="AV17" s="564"/>
      <c r="AW17" s="564"/>
      <c r="AX17" s="564"/>
      <c r="AY17" s="564"/>
      <c r="AZ17" s="564"/>
      <c r="BA17" s="564"/>
      <c r="BB17" s="564"/>
      <c r="BC17" s="564"/>
      <c r="BD17" s="564"/>
      <c r="BE17" s="564"/>
      <c r="BF17" s="564"/>
      <c r="BG17" s="564"/>
      <c r="BH17" s="564"/>
      <c r="BI17" s="564"/>
      <c r="BJ17" s="564"/>
      <c r="BK17" s="564"/>
      <c r="BL17" s="564"/>
      <c r="BM17" s="564"/>
      <c r="BN17" s="564"/>
      <c r="BO17" s="564"/>
      <c r="BP17" s="564"/>
      <c r="BQ17" s="564"/>
      <c r="BR17" s="564"/>
      <c r="BS17" s="564"/>
      <c r="BT17" s="564"/>
      <c r="BU17" s="564"/>
      <c r="BV17" s="564"/>
      <c r="BW17" s="564"/>
      <c r="BX17" s="564"/>
      <c r="BY17" s="564"/>
      <c r="BZ17" s="564"/>
      <c r="CA17" s="564"/>
      <c r="CB17" s="564"/>
      <c r="CC17" s="564"/>
      <c r="CD17" s="564"/>
      <c r="CE17" s="564"/>
      <c r="CF17" s="564"/>
      <c r="CG17" s="564"/>
      <c r="CH17" s="564"/>
      <c r="CI17" s="564"/>
      <c r="CJ17" s="564"/>
      <c r="CK17" s="564"/>
      <c r="CL17" s="564"/>
      <c r="CM17" s="564"/>
      <c r="CN17" s="564"/>
      <c r="CO17" s="564"/>
      <c r="CP17" s="564"/>
      <c r="CQ17" s="564"/>
      <c r="CR17" s="564"/>
      <c r="CS17" s="564"/>
      <c r="CT17" s="564"/>
      <c r="CU17" s="564"/>
      <c r="CV17" s="564"/>
      <c r="CW17" s="564"/>
      <c r="CX17" s="564"/>
      <c r="CY17" s="564"/>
      <c r="CZ17" s="564"/>
      <c r="DA17" s="564"/>
      <c r="DB17" s="564"/>
      <c r="DC17" s="564"/>
      <c r="DD17" s="564"/>
      <c r="DE17" s="564"/>
      <c r="DF17" s="564"/>
      <c r="DG17" s="564"/>
      <c r="DH17" s="564"/>
      <c r="DI17" s="564"/>
      <c r="DJ17" s="564"/>
      <c r="DK17" s="564"/>
      <c r="DL17" s="564"/>
      <c r="DM17" s="564"/>
      <c r="DN17" s="564"/>
      <c r="DO17" s="564"/>
      <c r="DP17" s="564"/>
      <c r="DQ17" s="564"/>
      <c r="DR17" s="564"/>
      <c r="DS17" s="564"/>
      <c r="DT17" s="564"/>
      <c r="DU17" s="564"/>
      <c r="DV17" s="564"/>
      <c r="DW17" s="564"/>
      <c r="DX17" s="564"/>
      <c r="DY17" s="564"/>
      <c r="DZ17" s="564"/>
      <c r="EA17" s="564"/>
      <c r="EB17" s="564"/>
      <c r="EC17" s="564"/>
      <c r="ED17" s="564"/>
      <c r="EE17" s="564"/>
      <c r="EF17" s="564"/>
      <c r="EG17" s="564"/>
      <c r="EH17" s="564"/>
      <c r="EI17" s="564"/>
      <c r="EJ17" s="564"/>
      <c r="EK17" s="564"/>
      <c r="EL17" s="564"/>
      <c r="EM17" s="564"/>
      <c r="EN17" s="564"/>
      <c r="EO17" s="564"/>
      <c r="EP17" s="564"/>
      <c r="EQ17" s="564"/>
      <c r="ER17" s="564"/>
      <c r="ES17" s="564"/>
      <c r="ET17" s="564"/>
      <c r="EU17" s="564"/>
      <c r="EV17" s="564"/>
      <c r="EW17" s="564"/>
      <c r="EX17" s="564"/>
      <c r="EY17" s="564"/>
      <c r="EZ17" s="564"/>
      <c r="FA17" s="564"/>
      <c r="FB17" s="564"/>
      <c r="FC17" s="564"/>
      <c r="FD17" s="564"/>
      <c r="FE17" s="564"/>
      <c r="FF17" s="564"/>
      <c r="FG17" s="564"/>
      <c r="FH17" s="564"/>
      <c r="FI17" s="564"/>
      <c r="FJ17" s="564"/>
      <c r="FK17" s="564"/>
      <c r="FL17" s="564"/>
      <c r="FM17" s="564"/>
      <c r="FN17" s="564"/>
      <c r="FO17" s="564"/>
      <c r="FP17" s="564"/>
      <c r="FQ17" s="564"/>
      <c r="FR17" s="564"/>
      <c r="FS17" s="564"/>
      <c r="FT17" s="564"/>
      <c r="FU17" s="564"/>
      <c r="FV17" s="564"/>
      <c r="FW17" s="564"/>
      <c r="FX17" s="564"/>
      <c r="FY17" s="564"/>
      <c r="FZ17" s="564"/>
      <c r="GA17" s="564"/>
      <c r="GB17" s="564"/>
      <c r="GC17" s="564"/>
      <c r="GD17" s="564"/>
      <c r="GE17" s="564"/>
      <c r="GF17" s="564"/>
      <c r="GG17" s="564"/>
      <c r="GH17" s="564"/>
      <c r="GI17" s="564"/>
      <c r="GJ17" s="564"/>
      <c r="GK17" s="564"/>
      <c r="GL17" s="564"/>
      <c r="GM17" s="564"/>
      <c r="GN17" s="564"/>
      <c r="GO17" s="564"/>
      <c r="GP17" s="564"/>
      <c r="GQ17" s="564"/>
      <c r="GR17" s="564"/>
      <c r="GS17" s="564"/>
      <c r="GT17" s="564"/>
      <c r="GU17" s="564"/>
      <c r="GV17" s="564"/>
      <c r="GW17" s="564"/>
      <c r="GX17" s="564"/>
      <c r="GY17" s="564"/>
      <c r="GZ17" s="564"/>
      <c r="HA17" s="564"/>
      <c r="HB17" s="564"/>
      <c r="HC17" s="564"/>
      <c r="HD17" s="564"/>
      <c r="HE17" s="564"/>
      <c r="HF17" s="564"/>
      <c r="HG17" s="564"/>
      <c r="HH17" s="564"/>
      <c r="HI17" s="564"/>
      <c r="HJ17" s="564"/>
      <c r="HK17" s="564"/>
      <c r="HL17" s="564"/>
      <c r="HM17" s="564"/>
      <c r="HN17" s="564"/>
      <c r="HO17" s="564"/>
      <c r="HP17" s="564"/>
      <c r="HQ17" s="564"/>
      <c r="HR17" s="564"/>
      <c r="HS17" s="564"/>
      <c r="HT17" s="564"/>
      <c r="HU17" s="564"/>
      <c r="HV17" s="564"/>
      <c r="HW17" s="564"/>
      <c r="HX17" s="564"/>
      <c r="HY17" s="564"/>
      <c r="HZ17" s="564"/>
      <c r="IA17" s="564"/>
      <c r="IB17" s="564"/>
      <c r="IC17" s="564"/>
      <c r="ID17" s="564"/>
      <c r="IE17" s="564"/>
      <c r="IF17" s="564"/>
      <c r="IG17" s="564"/>
      <c r="IH17" s="564"/>
      <c r="II17" s="564"/>
      <c r="IJ17" s="564"/>
      <c r="IK17" s="564"/>
      <c r="IL17" s="564"/>
      <c r="IM17" s="564"/>
      <c r="IN17" s="564"/>
      <c r="IO17" s="564"/>
      <c r="IP17" s="564"/>
      <c r="IQ17" s="564"/>
      <c r="IR17" s="564"/>
      <c r="IS17" s="564"/>
      <c r="IT17" s="564"/>
      <c r="IU17" s="564"/>
      <c r="IV17" s="564"/>
      <c r="IW17" s="564"/>
      <c r="IX17" s="564"/>
      <c r="IY17" s="564"/>
      <c r="IZ17" s="564"/>
      <c r="JA17" s="564"/>
    </row>
    <row r="18" spans="1:261" ht="18" customHeight="1" x14ac:dyDescent="0.3">
      <c r="A18" s="478"/>
      <c r="B18" s="551"/>
      <c r="C18" s="737"/>
      <c r="D18" s="731"/>
      <c r="E18" s="731"/>
      <c r="F18" s="146" t="s">
        <v>78</v>
      </c>
      <c r="G18" s="150">
        <f>SUM(G19:G20)</f>
        <v>25531850</v>
      </c>
      <c r="H18" s="747">
        <f>IF($G$7=0,0,G18/G$7)</f>
        <v>0.73175929070635592</v>
      </c>
      <c r="J18" s="146" t="s">
        <v>79</v>
      </c>
      <c r="K18" s="150">
        <f>SUM(K19:K21)</f>
        <v>31689850</v>
      </c>
      <c r="L18" s="747">
        <f>IF($K$7=0,0,K18/K$7)</f>
        <v>0.96920563145085636</v>
      </c>
      <c r="N18" s="146" t="s">
        <v>78</v>
      </c>
      <c r="O18" s="150">
        <f>SUM(O19:O21)</f>
        <v>29136675</v>
      </c>
      <c r="P18" s="747">
        <f>IF(O$7=0,0,O18/O$7)</f>
        <v>0.91516124726150561</v>
      </c>
      <c r="R18" s="571"/>
      <c r="S18" s="571"/>
      <c r="T18" s="571"/>
      <c r="V18" s="544"/>
      <c r="W18" s="729"/>
      <c r="X18" s="544"/>
      <c r="Y18" s="544"/>
    </row>
    <row r="19" spans="1:261" ht="18" customHeight="1" x14ac:dyDescent="0.3">
      <c r="A19" s="478"/>
      <c r="B19" s="650"/>
      <c r="C19" s="530"/>
      <c r="D19" s="478"/>
      <c r="E19" s="478"/>
      <c r="F19" s="143" t="s">
        <v>62</v>
      </c>
      <c r="G19" s="153">
        <f>'Containment volumes'!B17</f>
        <v>25531850</v>
      </c>
      <c r="H19" s="748">
        <f>IF($G$7=0,0,G19/G$7)</f>
        <v>0.73175929070635592</v>
      </c>
      <c r="I19" s="478"/>
      <c r="J19" s="143" t="s">
        <v>62</v>
      </c>
      <c r="K19" s="153">
        <f>'Emptying volumes'!B15</f>
        <v>25531850</v>
      </c>
      <c r="L19" s="748">
        <f>IF($K$7=0,0,K19/K$7)</f>
        <v>0.78086872614917857</v>
      </c>
      <c r="M19" s="478"/>
      <c r="N19" s="143" t="s">
        <v>80</v>
      </c>
      <c r="O19" s="1520">
        <f>'Transport volumes'!B14</f>
        <v>22978675</v>
      </c>
      <c r="P19" s="748">
        <f>IF(O$7=0,0,O19/O$7)</f>
        <v>0.72174305659162474</v>
      </c>
      <c r="Q19" s="478"/>
      <c r="R19" s="571"/>
      <c r="S19" s="571"/>
      <c r="T19" s="571"/>
      <c r="U19" s="478"/>
      <c r="V19" s="733"/>
      <c r="W19" s="734"/>
      <c r="X19" s="478"/>
      <c r="Y19" s="544"/>
    </row>
    <row r="20" spans="1:261" ht="18" customHeight="1" x14ac:dyDescent="0.3">
      <c r="A20" s="478"/>
      <c r="B20" s="478"/>
      <c r="C20" s="530"/>
      <c r="D20" s="478"/>
      <c r="E20" s="478"/>
      <c r="F20" s="478"/>
      <c r="G20" s="478"/>
      <c r="H20" s="478"/>
      <c r="I20" s="478"/>
      <c r="J20" s="143" t="s">
        <v>81</v>
      </c>
      <c r="K20" s="153">
        <f>'Emptying volumes'!B16</f>
        <v>0</v>
      </c>
      <c r="L20" s="748">
        <f>IF($K$7=0,0,K20/K$7)</f>
        <v>0</v>
      </c>
      <c r="M20" s="478"/>
      <c r="N20" s="143" t="s">
        <v>82</v>
      </c>
      <c r="O20" s="1520">
        <f>'Transport volumes'!B15</f>
        <v>0</v>
      </c>
      <c r="P20" s="748">
        <f>IF(O$7=0,0,O20/O$7)</f>
        <v>0</v>
      </c>
      <c r="Q20" s="478"/>
      <c r="R20" s="571"/>
      <c r="S20" s="571"/>
      <c r="T20" s="571"/>
      <c r="U20" s="478"/>
      <c r="V20" s="478"/>
      <c r="W20" s="530"/>
      <c r="X20" s="478"/>
      <c r="Y20" s="544"/>
    </row>
    <row r="21" spans="1:261" ht="18" customHeight="1" x14ac:dyDescent="0.35">
      <c r="A21" s="478"/>
      <c r="B21" s="478"/>
      <c r="C21" s="530"/>
      <c r="D21" s="478"/>
      <c r="E21" s="478"/>
      <c r="F21" s="489"/>
      <c r="G21" s="741"/>
      <c r="H21" s="713"/>
      <c r="I21" s="818"/>
      <c r="J21" s="143" t="s">
        <v>83</v>
      </c>
      <c r="K21" s="153">
        <f>'Emptying volumes'!B17</f>
        <v>6158000</v>
      </c>
      <c r="L21" s="748">
        <f>IF($K$7=0,0,K21/K$7)</f>
        <v>0.18833690530167777</v>
      </c>
      <c r="M21" s="478"/>
      <c r="N21" s="143" t="s">
        <v>84</v>
      </c>
      <c r="O21" s="1520">
        <f>'Transport volumes'!B16</f>
        <v>6158000</v>
      </c>
      <c r="P21" s="748">
        <f>IF(O$7=0,0,O21/O$7)</f>
        <v>0.19341819066988089</v>
      </c>
      <c r="Q21" s="478"/>
      <c r="R21" s="478"/>
      <c r="S21" s="478"/>
      <c r="T21" s="478"/>
      <c r="U21" s="478"/>
      <c r="V21" s="478"/>
      <c r="W21" s="530"/>
      <c r="X21" s="478"/>
      <c r="Y21" s="544"/>
    </row>
    <row r="22" spans="1:261" s="13" customFormat="1" ht="18" customHeight="1" x14ac:dyDescent="0.35">
      <c r="A22" s="564"/>
      <c r="B22" s="851" t="s">
        <v>67</v>
      </c>
      <c r="C22" s="852"/>
      <c r="D22" s="564"/>
      <c r="E22" s="564"/>
      <c r="F22" s="851" t="s">
        <v>67</v>
      </c>
      <c r="G22" s="851"/>
      <c r="H22" s="853"/>
      <c r="I22" s="564"/>
      <c r="J22" s="851" t="s">
        <v>67</v>
      </c>
      <c r="K22" s="851"/>
      <c r="L22" s="564"/>
      <c r="M22" s="564"/>
      <c r="N22" s="851" t="s">
        <v>67</v>
      </c>
      <c r="O22" s="852"/>
      <c r="P22" s="564"/>
      <c r="Q22" s="564"/>
      <c r="R22" s="851" t="s">
        <v>67</v>
      </c>
      <c r="S22" s="851"/>
      <c r="T22" s="564"/>
      <c r="U22" s="564"/>
      <c r="V22" s="851" t="s">
        <v>67</v>
      </c>
      <c r="W22" s="851"/>
      <c r="X22" s="564"/>
      <c r="Y22" s="564"/>
      <c r="Z22" s="564"/>
      <c r="AA22" s="564"/>
      <c r="AB22" s="564"/>
      <c r="AC22" s="564"/>
      <c r="AD22" s="564"/>
      <c r="AE22" s="564"/>
      <c r="AF22" s="564"/>
      <c r="AG22" s="564"/>
      <c r="AH22" s="564"/>
      <c r="AI22" s="564"/>
      <c r="AJ22" s="564"/>
      <c r="AK22" s="564"/>
      <c r="AL22" s="564"/>
      <c r="AM22" s="564"/>
      <c r="AN22" s="564"/>
      <c r="AO22" s="564"/>
      <c r="AP22" s="564"/>
      <c r="AQ22" s="564"/>
      <c r="AR22" s="564"/>
      <c r="AS22" s="564"/>
      <c r="AT22" s="564"/>
      <c r="AU22" s="564"/>
      <c r="AV22" s="564"/>
      <c r="AW22" s="564"/>
      <c r="AX22" s="564"/>
      <c r="AY22" s="564"/>
      <c r="AZ22" s="564"/>
      <c r="BA22" s="564"/>
      <c r="BB22" s="564"/>
      <c r="BC22" s="564"/>
      <c r="BD22" s="564"/>
      <c r="BE22" s="564"/>
      <c r="BF22" s="564"/>
      <c r="BG22" s="564"/>
      <c r="BH22" s="564"/>
      <c r="BI22" s="564"/>
      <c r="BJ22" s="564"/>
      <c r="BK22" s="564"/>
      <c r="BL22" s="564"/>
      <c r="BM22" s="564"/>
      <c r="BN22" s="564"/>
      <c r="BO22" s="564"/>
      <c r="BP22" s="564"/>
      <c r="BQ22" s="564"/>
      <c r="BR22" s="564"/>
      <c r="BS22" s="564"/>
      <c r="BT22" s="564"/>
      <c r="BU22" s="564"/>
      <c r="BV22" s="564"/>
      <c r="BW22" s="564"/>
      <c r="BX22" s="564"/>
      <c r="BY22" s="564"/>
      <c r="BZ22" s="564"/>
      <c r="CA22" s="564"/>
      <c r="CB22" s="564"/>
      <c r="CC22" s="564"/>
      <c r="CD22" s="564"/>
      <c r="CE22" s="564"/>
      <c r="CF22" s="564"/>
      <c r="CG22" s="564"/>
      <c r="CH22" s="564"/>
      <c r="CI22" s="564"/>
      <c r="CJ22" s="564"/>
      <c r="CK22" s="564"/>
      <c r="CL22" s="564"/>
      <c r="CM22" s="564"/>
      <c r="CN22" s="564"/>
      <c r="CO22" s="564"/>
      <c r="CP22" s="564"/>
      <c r="CQ22" s="564"/>
      <c r="CR22" s="564"/>
      <c r="CS22" s="564"/>
      <c r="CT22" s="564"/>
      <c r="CU22" s="564"/>
      <c r="CV22" s="564"/>
      <c r="CW22" s="564"/>
      <c r="CX22" s="564"/>
      <c r="CY22" s="564"/>
      <c r="CZ22" s="564"/>
      <c r="DA22" s="564"/>
      <c r="DB22" s="564"/>
      <c r="DC22" s="564"/>
      <c r="DD22" s="564"/>
      <c r="DE22" s="564"/>
      <c r="DF22" s="564"/>
      <c r="DG22" s="564"/>
      <c r="DH22" s="564"/>
      <c r="DI22" s="564"/>
      <c r="DJ22" s="564"/>
      <c r="DK22" s="564"/>
      <c r="DL22" s="564"/>
      <c r="DM22" s="564"/>
      <c r="DN22" s="564"/>
      <c r="DO22" s="564"/>
      <c r="DP22" s="564"/>
      <c r="DQ22" s="564"/>
      <c r="DR22" s="564"/>
      <c r="DS22" s="564"/>
      <c r="DT22" s="564"/>
      <c r="DU22" s="564"/>
      <c r="DV22" s="564"/>
      <c r="DW22" s="564"/>
      <c r="DX22" s="564"/>
      <c r="DY22" s="564"/>
      <c r="DZ22" s="564"/>
      <c r="EA22" s="564"/>
      <c r="EB22" s="564"/>
      <c r="EC22" s="564"/>
      <c r="ED22" s="564"/>
      <c r="EE22" s="564"/>
      <c r="EF22" s="564"/>
      <c r="EG22" s="564"/>
      <c r="EH22" s="564"/>
      <c r="EI22" s="564"/>
      <c r="EJ22" s="564"/>
      <c r="EK22" s="564"/>
      <c r="EL22" s="564"/>
      <c r="EM22" s="564"/>
      <c r="EN22" s="564"/>
      <c r="EO22" s="564"/>
      <c r="EP22" s="564"/>
      <c r="EQ22" s="564"/>
      <c r="ER22" s="564"/>
      <c r="ES22" s="564"/>
      <c r="ET22" s="564"/>
      <c r="EU22" s="564"/>
      <c r="EV22" s="564"/>
      <c r="EW22" s="564"/>
      <c r="EX22" s="564"/>
      <c r="EY22" s="564"/>
      <c r="EZ22" s="564"/>
      <c r="FA22" s="564"/>
      <c r="FB22" s="564"/>
      <c r="FC22" s="564"/>
      <c r="FD22" s="564"/>
      <c r="FE22" s="564"/>
      <c r="FF22" s="564"/>
      <c r="FG22" s="564"/>
      <c r="FH22" s="564"/>
      <c r="FI22" s="564"/>
      <c r="FJ22" s="564"/>
      <c r="FK22" s="564"/>
      <c r="FL22" s="564"/>
      <c r="FM22" s="564"/>
      <c r="FN22" s="564"/>
      <c r="FO22" s="564"/>
      <c r="FP22" s="564"/>
      <c r="FQ22" s="564"/>
      <c r="FR22" s="564"/>
      <c r="FS22" s="564"/>
      <c r="FT22" s="564"/>
      <c r="FU22" s="564"/>
      <c r="FV22" s="564"/>
      <c r="FW22" s="564"/>
      <c r="FX22" s="564"/>
      <c r="FY22" s="564"/>
      <c r="FZ22" s="564"/>
      <c r="GA22" s="564"/>
      <c r="GB22" s="564"/>
      <c r="GC22" s="564"/>
      <c r="GD22" s="564"/>
      <c r="GE22" s="564"/>
      <c r="GF22" s="564"/>
      <c r="GG22" s="564"/>
      <c r="GH22" s="564"/>
      <c r="GI22" s="564"/>
      <c r="GJ22" s="564"/>
      <c r="GK22" s="564"/>
      <c r="GL22" s="564"/>
      <c r="GM22" s="564"/>
      <c r="GN22" s="564"/>
      <c r="GO22" s="564"/>
      <c r="GP22" s="564"/>
      <c r="GQ22" s="564"/>
      <c r="GR22" s="564"/>
      <c r="GS22" s="564"/>
      <c r="GT22" s="564"/>
      <c r="GU22" s="564"/>
      <c r="GV22" s="564"/>
      <c r="GW22" s="564"/>
      <c r="GX22" s="564"/>
      <c r="GY22" s="564"/>
      <c r="GZ22" s="564"/>
      <c r="HA22" s="564"/>
      <c r="HB22" s="564"/>
      <c r="HC22" s="564"/>
      <c r="HD22" s="564"/>
      <c r="HE22" s="564"/>
      <c r="HF22" s="564"/>
      <c r="HG22" s="564"/>
      <c r="HH22" s="564"/>
      <c r="HI22" s="564"/>
      <c r="HJ22" s="564"/>
      <c r="HK22" s="564"/>
      <c r="HL22" s="564"/>
      <c r="HM22" s="564"/>
      <c r="HN22" s="564"/>
      <c r="HO22" s="564"/>
      <c r="HP22" s="564"/>
      <c r="HQ22" s="564"/>
      <c r="HR22" s="564"/>
      <c r="HS22" s="564"/>
      <c r="HT22" s="564"/>
      <c r="HU22" s="564"/>
      <c r="HV22" s="564"/>
      <c r="HW22" s="564"/>
      <c r="HX22" s="564"/>
      <c r="HY22" s="564"/>
      <c r="HZ22" s="564"/>
      <c r="IA22" s="564"/>
      <c r="IB22" s="564"/>
      <c r="IC22" s="564"/>
      <c r="ID22" s="564"/>
      <c r="IE22" s="564"/>
      <c r="IF22" s="564"/>
      <c r="IG22" s="564"/>
      <c r="IH22" s="564"/>
      <c r="II22" s="564"/>
      <c r="IJ22" s="564"/>
      <c r="IK22" s="564"/>
      <c r="IL22" s="564"/>
      <c r="IM22" s="564"/>
      <c r="IN22" s="564"/>
      <c r="IO22" s="564"/>
      <c r="IP22" s="564"/>
      <c r="IQ22" s="564"/>
      <c r="IR22" s="564"/>
      <c r="IS22" s="564"/>
      <c r="IT22" s="564"/>
      <c r="IU22" s="564"/>
      <c r="IV22" s="564"/>
      <c r="IW22" s="564"/>
      <c r="IX22" s="564"/>
      <c r="IY22" s="564"/>
      <c r="IZ22" s="564"/>
      <c r="JA22" s="564"/>
    </row>
    <row r="23" spans="1:261" s="12" customFormat="1" ht="18" customHeight="1" x14ac:dyDescent="0.35">
      <c r="A23" s="478"/>
      <c r="B23" s="246" t="s">
        <v>85</v>
      </c>
      <c r="C23" s="151">
        <f>SUM(C24:C24)</f>
        <v>20025</v>
      </c>
      <c r="D23" s="747">
        <f>IF($C$7=0,0,C23/C$7)</f>
        <v>5.7360021139423519E-4</v>
      </c>
      <c r="E23" s="570"/>
      <c r="F23" s="147" t="s">
        <v>86</v>
      </c>
      <c r="G23" s="151">
        <f>SUM(G24:G26)</f>
        <v>2194325</v>
      </c>
      <c r="H23" s="747">
        <f>IF($G$7=0,0,G23/G$7)</f>
        <v>6.2890769982559991E-2</v>
      </c>
      <c r="I23" s="570"/>
      <c r="J23" s="147" t="s">
        <v>87</v>
      </c>
      <c r="K23" s="151">
        <f>SUM(K24:K25)</f>
        <v>0</v>
      </c>
      <c r="L23" s="747">
        <f>IF($K$7=0,0,K23/K$7)</f>
        <v>0</v>
      </c>
      <c r="M23" s="570"/>
      <c r="N23" s="147" t="s">
        <v>88</v>
      </c>
      <c r="O23" s="151">
        <f>SUM(O24:O25)</f>
        <v>147900</v>
      </c>
      <c r="P23" s="747">
        <f>IF(O$7=0,0,O23/O$7)</f>
        <v>4.645428775588727E-3</v>
      </c>
      <c r="Q23" s="570"/>
      <c r="R23" s="147" t="s">
        <v>89</v>
      </c>
      <c r="S23" s="151">
        <f>SUM(S24:S25)</f>
        <v>19862538.75</v>
      </c>
      <c r="T23" s="747">
        <f>IF(S$7=0,0,S23/S$7)</f>
        <v>0.68170231332161269</v>
      </c>
      <c r="U23" s="570"/>
      <c r="V23" s="147" t="s">
        <v>90</v>
      </c>
      <c r="W23" s="157">
        <f>'Disposal volumes'!B15</f>
        <v>19862538.75</v>
      </c>
      <c r="X23" s="747">
        <f>IF(W$7=0,0,W23/W$7)</f>
        <v>0.68170231332161269</v>
      </c>
      <c r="Y23" s="570"/>
      <c r="Z23" s="570"/>
      <c r="AA23" s="570"/>
      <c r="AB23" s="570"/>
      <c r="AC23" s="570"/>
      <c r="AD23" s="570"/>
      <c r="AE23" s="570"/>
      <c r="AF23" s="570"/>
      <c r="AG23" s="570"/>
      <c r="AH23" s="570"/>
      <c r="AI23" s="570"/>
      <c r="AJ23" s="570"/>
      <c r="AK23" s="570"/>
      <c r="AL23" s="570"/>
      <c r="AM23" s="570"/>
      <c r="AN23" s="570"/>
      <c r="AO23" s="570"/>
      <c r="AP23" s="570"/>
      <c r="AQ23" s="570"/>
      <c r="AR23" s="570"/>
      <c r="AS23" s="570"/>
      <c r="AT23" s="570"/>
      <c r="AU23" s="570"/>
      <c r="AV23" s="570"/>
      <c r="AW23" s="570"/>
      <c r="AX23" s="570"/>
      <c r="AY23" s="570"/>
      <c r="AZ23" s="570"/>
      <c r="BA23" s="570"/>
      <c r="BB23" s="570"/>
      <c r="BC23" s="570"/>
      <c r="BD23" s="570"/>
      <c r="BE23" s="570"/>
      <c r="BF23" s="570"/>
      <c r="BG23" s="570"/>
      <c r="BH23" s="570"/>
      <c r="BI23" s="570"/>
      <c r="BJ23" s="570"/>
      <c r="BK23" s="570"/>
      <c r="BL23" s="570"/>
      <c r="BM23" s="570"/>
      <c r="BN23" s="570"/>
      <c r="BO23" s="570"/>
      <c r="BP23" s="570"/>
      <c r="BQ23" s="570"/>
      <c r="BR23" s="570"/>
      <c r="BS23" s="570"/>
      <c r="BT23" s="570"/>
      <c r="BU23" s="570"/>
      <c r="BV23" s="570"/>
      <c r="BW23" s="570"/>
      <c r="BX23" s="570"/>
      <c r="BY23" s="570"/>
      <c r="BZ23" s="570"/>
      <c r="CA23" s="570"/>
      <c r="CB23" s="570"/>
      <c r="CC23" s="570"/>
      <c r="CD23" s="570"/>
      <c r="CE23" s="570"/>
      <c r="CF23" s="570"/>
      <c r="CG23" s="570"/>
      <c r="CH23" s="570"/>
      <c r="CI23" s="570"/>
      <c r="CJ23" s="570"/>
      <c r="CK23" s="570"/>
      <c r="CL23" s="570"/>
      <c r="CM23" s="570"/>
      <c r="CN23" s="570"/>
      <c r="CO23" s="570"/>
      <c r="CP23" s="570"/>
      <c r="CQ23" s="570"/>
      <c r="CR23" s="570"/>
      <c r="CS23" s="570"/>
      <c r="CT23" s="570"/>
      <c r="CU23" s="570"/>
      <c r="CV23" s="570"/>
      <c r="CW23" s="570"/>
      <c r="CX23" s="570"/>
      <c r="CY23" s="570"/>
      <c r="CZ23" s="570"/>
      <c r="DA23" s="570"/>
      <c r="DB23" s="570"/>
      <c r="DC23" s="570"/>
      <c r="DD23" s="570"/>
      <c r="DE23" s="570"/>
      <c r="DF23" s="570"/>
      <c r="DG23" s="570"/>
      <c r="DH23" s="570"/>
      <c r="DI23" s="570"/>
      <c r="DJ23" s="570"/>
      <c r="DK23" s="570"/>
      <c r="DL23" s="570"/>
      <c r="DM23" s="570"/>
      <c r="DN23" s="570"/>
      <c r="DO23" s="570"/>
      <c r="DP23" s="570"/>
      <c r="DQ23" s="570"/>
      <c r="DR23" s="570"/>
      <c r="DS23" s="570"/>
      <c r="DT23" s="570"/>
      <c r="DU23" s="570"/>
      <c r="DV23" s="570"/>
      <c r="DW23" s="570"/>
      <c r="DX23" s="570"/>
      <c r="DY23" s="570"/>
      <c r="DZ23" s="570"/>
      <c r="EA23" s="570"/>
      <c r="EB23" s="570"/>
      <c r="EC23" s="570"/>
      <c r="ED23" s="570"/>
      <c r="EE23" s="570"/>
      <c r="EF23" s="570"/>
      <c r="EG23" s="570"/>
      <c r="EH23" s="570"/>
      <c r="EI23" s="570"/>
      <c r="EJ23" s="570"/>
      <c r="EK23" s="570"/>
      <c r="EL23" s="570"/>
      <c r="EM23" s="570"/>
      <c r="EN23" s="570"/>
      <c r="EO23" s="570"/>
      <c r="EP23" s="570"/>
      <c r="EQ23" s="570"/>
      <c r="ER23" s="570"/>
      <c r="ES23" s="570"/>
      <c r="ET23" s="570"/>
      <c r="EU23" s="570"/>
      <c r="EV23" s="570"/>
      <c r="EW23" s="570"/>
      <c r="EX23" s="570"/>
      <c r="EY23" s="570"/>
      <c r="EZ23" s="570"/>
      <c r="FA23" s="570"/>
      <c r="FB23" s="570"/>
      <c r="FC23" s="570"/>
      <c r="FD23" s="570"/>
      <c r="FE23" s="570"/>
      <c r="FF23" s="570"/>
      <c r="FG23" s="570"/>
      <c r="FH23" s="570"/>
      <c r="FI23" s="570"/>
      <c r="FJ23" s="570"/>
      <c r="FK23" s="570"/>
      <c r="FL23" s="570"/>
      <c r="FM23" s="570"/>
      <c r="FN23" s="570"/>
      <c r="FO23" s="570"/>
      <c r="FP23" s="570"/>
      <c r="FQ23" s="570"/>
      <c r="FR23" s="570"/>
      <c r="FS23" s="570"/>
      <c r="FT23" s="570"/>
      <c r="FU23" s="570"/>
      <c r="FV23" s="570"/>
      <c r="FW23" s="570"/>
      <c r="FX23" s="570"/>
      <c r="FY23" s="570"/>
      <c r="FZ23" s="570"/>
      <c r="GA23" s="570"/>
      <c r="GB23" s="570"/>
      <c r="GC23" s="570"/>
      <c r="GD23" s="570"/>
      <c r="GE23" s="570"/>
      <c r="GF23" s="570"/>
      <c r="GG23" s="570"/>
      <c r="GH23" s="570"/>
      <c r="GI23" s="570"/>
      <c r="GJ23" s="570"/>
      <c r="GK23" s="570"/>
      <c r="GL23" s="570"/>
      <c r="GM23" s="570"/>
      <c r="GN23" s="570"/>
      <c r="GO23" s="570"/>
      <c r="GP23" s="570"/>
      <c r="GQ23" s="570"/>
      <c r="GR23" s="570"/>
      <c r="GS23" s="570"/>
      <c r="GT23" s="570"/>
      <c r="GU23" s="570"/>
      <c r="GV23" s="570"/>
      <c r="GW23" s="570"/>
      <c r="GX23" s="570"/>
      <c r="GY23" s="570"/>
      <c r="GZ23" s="570"/>
      <c r="HA23" s="570"/>
      <c r="HB23" s="570"/>
      <c r="HC23" s="570"/>
      <c r="HD23" s="570"/>
      <c r="HE23" s="570"/>
      <c r="HF23" s="570"/>
      <c r="HG23" s="570"/>
      <c r="HH23" s="570"/>
      <c r="HI23" s="570"/>
      <c r="HJ23" s="570"/>
      <c r="HK23" s="570"/>
      <c r="HL23" s="570"/>
      <c r="HM23" s="570"/>
      <c r="HN23" s="570"/>
      <c r="HO23" s="570"/>
      <c r="HP23" s="570"/>
      <c r="HQ23" s="570"/>
      <c r="HR23" s="570"/>
      <c r="HS23" s="570"/>
      <c r="HT23" s="570"/>
      <c r="HU23" s="570"/>
      <c r="HV23" s="570"/>
      <c r="HW23" s="570"/>
      <c r="HX23" s="570"/>
      <c r="HY23" s="570"/>
      <c r="HZ23" s="570"/>
      <c r="IA23" s="570"/>
      <c r="IB23" s="570"/>
      <c r="IC23" s="570"/>
      <c r="ID23" s="570"/>
      <c r="IE23" s="570"/>
      <c r="IF23" s="570"/>
      <c r="IG23" s="570"/>
      <c r="IH23" s="570"/>
      <c r="II23" s="570"/>
      <c r="IJ23" s="570"/>
      <c r="IK23" s="570"/>
      <c r="IL23" s="570"/>
      <c r="IM23" s="570"/>
      <c r="IN23" s="570"/>
      <c r="IO23" s="570"/>
      <c r="IP23" s="570"/>
      <c r="IQ23" s="570"/>
      <c r="IR23" s="570"/>
      <c r="IS23" s="570"/>
      <c r="IT23" s="570"/>
      <c r="IU23" s="570"/>
      <c r="IV23" s="570"/>
      <c r="IW23" s="570"/>
      <c r="IX23" s="570"/>
      <c r="IY23" s="570"/>
      <c r="IZ23" s="570"/>
      <c r="JA23" s="570"/>
    </row>
    <row r="24" spans="1:261" ht="18" customHeight="1" x14ac:dyDescent="0.35">
      <c r="A24" s="478"/>
      <c r="B24" s="159" t="s">
        <v>91</v>
      </c>
      <c r="C24" s="160">
        <f>'Capture volumes'!B17</f>
        <v>20025</v>
      </c>
      <c r="D24" s="748">
        <f>IF($C$7=0,0,C24/C$7)</f>
        <v>5.7360021139423519E-4</v>
      </c>
      <c r="E24" s="478"/>
      <c r="F24" s="143" t="s">
        <v>69</v>
      </c>
      <c r="G24" s="1520">
        <f>'Containment volumes'!B20</f>
        <v>0</v>
      </c>
      <c r="H24" s="748">
        <f>IF($G$7=0,0,G24/G$7)</f>
        <v>0</v>
      </c>
      <c r="I24" s="478"/>
      <c r="J24" s="143" t="s">
        <v>92</v>
      </c>
      <c r="K24" s="153">
        <f>'Emptying volumes'!B20</f>
        <v>0</v>
      </c>
      <c r="L24" s="748">
        <f>IF($K$7=0,0,K24/K$7)</f>
        <v>0</v>
      </c>
      <c r="M24" s="478"/>
      <c r="N24" s="154" t="s">
        <v>93</v>
      </c>
      <c r="O24" s="1520">
        <f>'Transport volumes'!B19</f>
        <v>0</v>
      </c>
      <c r="P24" s="748">
        <f>IF(O$7=0,0,O24/O$7)</f>
        <v>0</v>
      </c>
      <c r="Q24" s="478"/>
      <c r="R24" s="143" t="s">
        <v>94</v>
      </c>
      <c r="S24" s="1520">
        <f>'Treatment volumes'!B15</f>
        <v>19862538.75</v>
      </c>
      <c r="T24" s="748">
        <f>IF(S$7=0,0,S24/S$7)</f>
        <v>0.68170231332161269</v>
      </c>
      <c r="V24" s="732" t="s">
        <v>67</v>
      </c>
      <c r="W24" s="735"/>
      <c r="X24" s="544"/>
      <c r="Y24" s="544"/>
    </row>
    <row r="25" spans="1:261" ht="18" customHeight="1" x14ac:dyDescent="0.35">
      <c r="A25" s="478"/>
      <c r="B25" s="478"/>
      <c r="C25" s="478"/>
      <c r="D25" s="478"/>
      <c r="E25" s="478"/>
      <c r="F25" s="143" t="s">
        <v>74</v>
      </c>
      <c r="G25" s="1520">
        <f>'Containment volumes'!B21</f>
        <v>1021375</v>
      </c>
      <c r="H25" s="748">
        <f>IF($G$7=0,0,G25/G$7)</f>
        <v>2.9273266353405818E-2</v>
      </c>
      <c r="I25" s="478"/>
      <c r="J25" s="143" t="s">
        <v>95</v>
      </c>
      <c r="K25" s="153">
        <f>'Emptying volumes'!B21</f>
        <v>0</v>
      </c>
      <c r="L25" s="748">
        <f>IF($K$7=0,0,K25/K$7)</f>
        <v>0</v>
      </c>
      <c r="M25" s="478"/>
      <c r="N25" s="155" t="s">
        <v>96</v>
      </c>
      <c r="O25" s="1520">
        <f>'Transport volumes'!B20</f>
        <v>147900</v>
      </c>
      <c r="P25" s="748">
        <f>IF(O$7=0,0,O25/O$7)</f>
        <v>4.645428775588727E-3</v>
      </c>
      <c r="Q25" s="478"/>
      <c r="R25" s="143" t="s">
        <v>97</v>
      </c>
      <c r="S25" s="1520">
        <f>'Treatment volumes'!B16</f>
        <v>0</v>
      </c>
      <c r="T25" s="748">
        <f>IF(S$7=0,0,S25/S$7)</f>
        <v>0</v>
      </c>
      <c r="V25" s="147" t="s">
        <v>98</v>
      </c>
      <c r="W25" s="157">
        <f>'Disposal volumes'!B16</f>
        <v>0</v>
      </c>
      <c r="X25" s="747">
        <f>IF(W$7=0,0,W25/W$7)</f>
        <v>0</v>
      </c>
      <c r="Y25" s="544"/>
    </row>
    <row r="26" spans="1:261" ht="18" customHeight="1" x14ac:dyDescent="0.35">
      <c r="A26" s="478"/>
      <c r="B26" s="478"/>
      <c r="C26" s="478"/>
      <c r="D26" s="478"/>
      <c r="E26" s="478"/>
      <c r="F26" s="143" t="s">
        <v>76</v>
      </c>
      <c r="G26" s="1520">
        <f>'Containment volumes'!B22</f>
        <v>1172950</v>
      </c>
      <c r="H26" s="748">
        <f>IF($G$7=0,0,G26/G$7)</f>
        <v>3.361750362915418E-2</v>
      </c>
      <c r="I26" s="478"/>
      <c r="J26" s="508"/>
      <c r="K26" s="508"/>
      <c r="L26" s="508"/>
      <c r="M26" s="478"/>
      <c r="N26" s="742"/>
      <c r="O26" s="743"/>
      <c r="P26" s="749"/>
      <c r="Q26" s="478"/>
      <c r="R26" s="478"/>
      <c r="S26" s="478"/>
      <c r="T26" s="478"/>
      <c r="V26" s="544"/>
      <c r="W26" s="544"/>
      <c r="X26" s="544"/>
      <c r="Y26" s="544"/>
    </row>
    <row r="27" spans="1:261" s="13" customFormat="1" ht="18" customHeight="1" x14ac:dyDescent="0.35">
      <c r="A27" s="564"/>
      <c r="B27" s="851"/>
      <c r="C27" s="852"/>
      <c r="D27" s="564"/>
      <c r="E27" s="564"/>
      <c r="F27" s="851"/>
      <c r="G27" s="851"/>
      <c r="H27" s="853"/>
      <c r="I27" s="564"/>
      <c r="J27" s="851" t="s">
        <v>67</v>
      </c>
      <c r="K27" s="851"/>
      <c r="L27" s="564"/>
      <c r="M27" s="564"/>
      <c r="N27" s="851"/>
      <c r="O27" s="852"/>
      <c r="P27" s="564"/>
      <c r="Q27" s="564"/>
      <c r="R27" s="851"/>
      <c r="S27" s="851"/>
      <c r="T27" s="564"/>
      <c r="U27" s="564"/>
      <c r="V27" s="851"/>
      <c r="W27" s="851"/>
      <c r="X27" s="564"/>
      <c r="Y27" s="564"/>
      <c r="Z27" s="564"/>
      <c r="AA27" s="564"/>
      <c r="AB27" s="564"/>
      <c r="AC27" s="564"/>
      <c r="AD27" s="564"/>
      <c r="AE27" s="564"/>
      <c r="AF27" s="564"/>
      <c r="AG27" s="564"/>
      <c r="AH27" s="564"/>
      <c r="AI27" s="564"/>
      <c r="AJ27" s="564"/>
      <c r="AK27" s="564"/>
      <c r="AL27" s="564"/>
      <c r="AM27" s="564"/>
      <c r="AN27" s="564"/>
      <c r="AO27" s="564"/>
      <c r="AP27" s="564"/>
      <c r="AQ27" s="564"/>
      <c r="AR27" s="564"/>
      <c r="AS27" s="564"/>
      <c r="AT27" s="564"/>
      <c r="AU27" s="564"/>
      <c r="AV27" s="564"/>
      <c r="AW27" s="564"/>
      <c r="AX27" s="564"/>
      <c r="AY27" s="564"/>
      <c r="AZ27" s="564"/>
      <c r="BA27" s="564"/>
      <c r="BB27" s="564"/>
      <c r="BC27" s="564"/>
      <c r="BD27" s="564"/>
      <c r="BE27" s="564"/>
      <c r="BF27" s="564"/>
      <c r="BG27" s="564"/>
      <c r="BH27" s="564"/>
      <c r="BI27" s="564"/>
      <c r="BJ27" s="564"/>
      <c r="BK27" s="564"/>
      <c r="BL27" s="564"/>
      <c r="BM27" s="564"/>
      <c r="BN27" s="564"/>
      <c r="BO27" s="564"/>
      <c r="BP27" s="564"/>
      <c r="BQ27" s="564"/>
      <c r="BR27" s="564"/>
      <c r="BS27" s="564"/>
      <c r="BT27" s="564"/>
      <c r="BU27" s="564"/>
      <c r="BV27" s="564"/>
      <c r="BW27" s="564"/>
      <c r="BX27" s="564"/>
      <c r="BY27" s="564"/>
      <c r="BZ27" s="564"/>
      <c r="CA27" s="564"/>
      <c r="CB27" s="564"/>
      <c r="CC27" s="564"/>
      <c r="CD27" s="564"/>
      <c r="CE27" s="564"/>
      <c r="CF27" s="564"/>
      <c r="CG27" s="564"/>
      <c r="CH27" s="564"/>
      <c r="CI27" s="564"/>
      <c r="CJ27" s="564"/>
      <c r="CK27" s="564"/>
      <c r="CL27" s="564"/>
      <c r="CM27" s="564"/>
      <c r="CN27" s="564"/>
      <c r="CO27" s="564"/>
      <c r="CP27" s="564"/>
      <c r="CQ27" s="564"/>
      <c r="CR27" s="564"/>
      <c r="CS27" s="564"/>
      <c r="CT27" s="564"/>
      <c r="CU27" s="564"/>
      <c r="CV27" s="564"/>
      <c r="CW27" s="564"/>
      <c r="CX27" s="564"/>
      <c r="CY27" s="564"/>
      <c r="CZ27" s="564"/>
      <c r="DA27" s="564"/>
      <c r="DB27" s="564"/>
      <c r="DC27" s="564"/>
      <c r="DD27" s="564"/>
      <c r="DE27" s="564"/>
      <c r="DF27" s="564"/>
      <c r="DG27" s="564"/>
      <c r="DH27" s="564"/>
      <c r="DI27" s="564"/>
      <c r="DJ27" s="564"/>
      <c r="DK27" s="564"/>
      <c r="DL27" s="564"/>
      <c r="DM27" s="564"/>
      <c r="DN27" s="564"/>
      <c r="DO27" s="564"/>
      <c r="DP27" s="564"/>
      <c r="DQ27" s="564"/>
      <c r="DR27" s="564"/>
      <c r="DS27" s="564"/>
      <c r="DT27" s="564"/>
      <c r="DU27" s="564"/>
      <c r="DV27" s="564"/>
      <c r="DW27" s="564"/>
      <c r="DX27" s="564"/>
      <c r="DY27" s="564"/>
      <c r="DZ27" s="564"/>
      <c r="EA27" s="564"/>
      <c r="EB27" s="564"/>
      <c r="EC27" s="564"/>
      <c r="ED27" s="564"/>
      <c r="EE27" s="564"/>
      <c r="EF27" s="564"/>
      <c r="EG27" s="564"/>
      <c r="EH27" s="564"/>
      <c r="EI27" s="564"/>
      <c r="EJ27" s="564"/>
      <c r="EK27" s="564"/>
      <c r="EL27" s="564"/>
      <c r="EM27" s="564"/>
      <c r="EN27" s="564"/>
      <c r="EO27" s="564"/>
      <c r="EP27" s="564"/>
      <c r="EQ27" s="564"/>
      <c r="ER27" s="564"/>
      <c r="ES27" s="564"/>
      <c r="ET27" s="564"/>
      <c r="EU27" s="564"/>
      <c r="EV27" s="564"/>
      <c r="EW27" s="564"/>
      <c r="EX27" s="564"/>
      <c r="EY27" s="564"/>
      <c r="EZ27" s="564"/>
      <c r="FA27" s="564"/>
      <c r="FB27" s="564"/>
      <c r="FC27" s="564"/>
      <c r="FD27" s="564"/>
      <c r="FE27" s="564"/>
      <c r="FF27" s="564"/>
      <c r="FG27" s="564"/>
      <c r="FH27" s="564"/>
      <c r="FI27" s="564"/>
      <c r="FJ27" s="564"/>
      <c r="FK27" s="564"/>
      <c r="FL27" s="564"/>
      <c r="FM27" s="564"/>
      <c r="FN27" s="564"/>
      <c r="FO27" s="564"/>
      <c r="FP27" s="564"/>
      <c r="FQ27" s="564"/>
      <c r="FR27" s="564"/>
      <c r="FS27" s="564"/>
      <c r="FT27" s="564"/>
      <c r="FU27" s="564"/>
      <c r="FV27" s="564"/>
      <c r="FW27" s="564"/>
      <c r="FX27" s="564"/>
      <c r="FY27" s="564"/>
      <c r="FZ27" s="564"/>
      <c r="GA27" s="564"/>
      <c r="GB27" s="564"/>
      <c r="GC27" s="564"/>
      <c r="GD27" s="564"/>
      <c r="GE27" s="564"/>
      <c r="GF27" s="564"/>
      <c r="GG27" s="564"/>
      <c r="GH27" s="564"/>
      <c r="GI27" s="564"/>
      <c r="GJ27" s="564"/>
      <c r="GK27" s="564"/>
      <c r="GL27" s="564"/>
      <c r="GM27" s="564"/>
      <c r="GN27" s="564"/>
      <c r="GO27" s="564"/>
      <c r="GP27" s="564"/>
      <c r="GQ27" s="564"/>
      <c r="GR27" s="564"/>
      <c r="GS27" s="564"/>
      <c r="GT27" s="564"/>
      <c r="GU27" s="564"/>
      <c r="GV27" s="564"/>
      <c r="GW27" s="564"/>
      <c r="GX27" s="564"/>
      <c r="GY27" s="564"/>
      <c r="GZ27" s="564"/>
      <c r="HA27" s="564"/>
      <c r="HB27" s="564"/>
      <c r="HC27" s="564"/>
      <c r="HD27" s="564"/>
      <c r="HE27" s="564"/>
      <c r="HF27" s="564"/>
      <c r="HG27" s="564"/>
      <c r="HH27" s="564"/>
      <c r="HI27" s="564"/>
      <c r="HJ27" s="564"/>
      <c r="HK27" s="564"/>
      <c r="HL27" s="564"/>
      <c r="HM27" s="564"/>
      <c r="HN27" s="564"/>
      <c r="HO27" s="564"/>
      <c r="HP27" s="564"/>
      <c r="HQ27" s="564"/>
      <c r="HR27" s="564"/>
      <c r="HS27" s="564"/>
      <c r="HT27" s="564"/>
      <c r="HU27" s="564"/>
      <c r="HV27" s="564"/>
      <c r="HW27" s="564"/>
      <c r="HX27" s="564"/>
      <c r="HY27" s="564"/>
      <c r="HZ27" s="564"/>
      <c r="IA27" s="564"/>
      <c r="IB27" s="564"/>
      <c r="IC27" s="564"/>
      <c r="ID27" s="564"/>
      <c r="IE27" s="564"/>
      <c r="IF27" s="564"/>
      <c r="IG27" s="564"/>
      <c r="IH27" s="564"/>
      <c r="II27" s="564"/>
      <c r="IJ27" s="564"/>
      <c r="IK27" s="564"/>
      <c r="IL27" s="564"/>
      <c r="IM27" s="564"/>
      <c r="IN27" s="564"/>
      <c r="IO27" s="564"/>
      <c r="IP27" s="564"/>
      <c r="IQ27" s="564"/>
      <c r="IR27" s="564"/>
      <c r="IS27" s="564"/>
      <c r="IT27" s="564"/>
      <c r="IU27" s="564"/>
      <c r="IV27" s="564"/>
      <c r="IW27" s="564"/>
      <c r="IX27" s="564"/>
      <c r="IY27" s="564"/>
      <c r="IZ27" s="564"/>
      <c r="JA27" s="564"/>
    </row>
    <row r="28" spans="1:261" ht="18" customHeight="1" x14ac:dyDescent="0.35">
      <c r="A28" s="478"/>
      <c r="B28" s="544"/>
      <c r="C28" s="544"/>
      <c r="D28" s="544"/>
      <c r="F28" s="544"/>
      <c r="G28" s="544"/>
      <c r="H28" s="708"/>
      <c r="J28" s="147" t="s">
        <v>99</v>
      </c>
      <c r="K28" s="151">
        <f>SUM(K29:K30)</f>
        <v>-150</v>
      </c>
      <c r="L28" s="747">
        <f>IF($K$7=0,0,K28/K$7)</f>
        <v>-4.5876154263156322E-6</v>
      </c>
      <c r="N28" s="732"/>
      <c r="O28" s="735"/>
      <c r="P28" s="750"/>
      <c r="R28" s="544"/>
      <c r="S28" s="544"/>
      <c r="T28" s="544"/>
      <c r="V28" s="544"/>
      <c r="W28" s="544"/>
      <c r="X28" s="544"/>
      <c r="Y28" s="544"/>
    </row>
    <row r="29" spans="1:261" ht="18" customHeight="1" x14ac:dyDescent="0.35">
      <c r="A29" s="478"/>
      <c r="B29" s="478"/>
      <c r="C29" s="478"/>
      <c r="D29" s="478"/>
      <c r="E29" s="478"/>
      <c r="F29" s="478"/>
      <c r="G29" s="478"/>
      <c r="H29" s="523"/>
      <c r="I29" s="478"/>
      <c r="J29" s="143" t="s">
        <v>100</v>
      </c>
      <c r="K29" s="1520">
        <f>'Emptying volumes'!B24</f>
        <v>-150</v>
      </c>
      <c r="L29" s="751">
        <f>IF($K$7=0,0,K29/K$7)</f>
        <v>-4.5876154263156322E-6</v>
      </c>
      <c r="M29" s="478"/>
      <c r="N29" s="733"/>
      <c r="O29" s="734"/>
      <c r="P29" s="749"/>
      <c r="Q29" s="478"/>
      <c r="R29" s="544"/>
      <c r="S29" s="544"/>
      <c r="T29" s="544"/>
      <c r="V29" s="544"/>
      <c r="W29" s="544"/>
      <c r="X29" s="544"/>
      <c r="Y29" s="544"/>
    </row>
    <row r="30" spans="1:261" s="13" customFormat="1" ht="18" customHeight="1" x14ac:dyDescent="0.35">
      <c r="A30" s="564"/>
      <c r="B30" s="851"/>
      <c r="C30" s="852"/>
      <c r="D30" s="564"/>
      <c r="E30" s="564"/>
      <c r="F30" s="851"/>
      <c r="G30" s="851"/>
      <c r="H30" s="853"/>
      <c r="I30" s="564"/>
      <c r="J30" s="851" t="s">
        <v>67</v>
      </c>
      <c r="K30" s="851"/>
      <c r="L30" s="564"/>
      <c r="M30" s="564"/>
      <c r="N30" s="851" t="s">
        <v>67</v>
      </c>
      <c r="O30" s="852"/>
      <c r="P30" s="564"/>
      <c r="Q30" s="564"/>
      <c r="R30" s="851"/>
      <c r="S30" s="851"/>
      <c r="T30" s="564"/>
      <c r="U30" s="564"/>
      <c r="V30" s="851"/>
      <c r="W30" s="851"/>
      <c r="X30" s="564"/>
      <c r="Y30" s="564"/>
      <c r="Z30" s="564"/>
      <c r="AA30" s="564"/>
      <c r="AB30" s="564"/>
      <c r="AC30" s="564"/>
      <c r="AD30" s="564"/>
      <c r="AE30" s="564"/>
      <c r="AF30" s="564"/>
      <c r="AG30" s="564"/>
      <c r="AH30" s="564"/>
      <c r="AI30" s="564"/>
      <c r="AJ30" s="564"/>
      <c r="AK30" s="564"/>
      <c r="AL30" s="564"/>
      <c r="AM30" s="564"/>
      <c r="AN30" s="564"/>
      <c r="AO30" s="564"/>
      <c r="AP30" s="564"/>
      <c r="AQ30" s="564"/>
      <c r="AR30" s="564"/>
      <c r="AS30" s="564"/>
      <c r="AT30" s="564"/>
      <c r="AU30" s="564"/>
      <c r="AV30" s="564"/>
      <c r="AW30" s="564"/>
      <c r="AX30" s="564"/>
      <c r="AY30" s="564"/>
      <c r="AZ30" s="564"/>
      <c r="BA30" s="564"/>
      <c r="BB30" s="564"/>
      <c r="BC30" s="564"/>
      <c r="BD30" s="564"/>
      <c r="BE30" s="564"/>
      <c r="BF30" s="564"/>
      <c r="BG30" s="564"/>
      <c r="BH30" s="564"/>
      <c r="BI30" s="564"/>
      <c r="BJ30" s="564"/>
      <c r="BK30" s="564"/>
      <c r="BL30" s="564"/>
      <c r="BM30" s="564"/>
      <c r="BN30" s="564"/>
      <c r="BO30" s="564"/>
      <c r="BP30" s="564"/>
      <c r="BQ30" s="564"/>
      <c r="BR30" s="564"/>
      <c r="BS30" s="564"/>
      <c r="BT30" s="564"/>
      <c r="BU30" s="564"/>
      <c r="BV30" s="564"/>
      <c r="BW30" s="564"/>
      <c r="BX30" s="564"/>
      <c r="BY30" s="564"/>
      <c r="BZ30" s="564"/>
      <c r="CA30" s="564"/>
      <c r="CB30" s="564"/>
      <c r="CC30" s="564"/>
      <c r="CD30" s="564"/>
      <c r="CE30" s="564"/>
      <c r="CF30" s="564"/>
      <c r="CG30" s="564"/>
      <c r="CH30" s="564"/>
      <c r="CI30" s="564"/>
      <c r="CJ30" s="564"/>
      <c r="CK30" s="564"/>
      <c r="CL30" s="564"/>
      <c r="CM30" s="564"/>
      <c r="CN30" s="564"/>
      <c r="CO30" s="564"/>
      <c r="CP30" s="564"/>
      <c r="CQ30" s="564"/>
      <c r="CR30" s="564"/>
      <c r="CS30" s="564"/>
      <c r="CT30" s="564"/>
      <c r="CU30" s="564"/>
      <c r="CV30" s="564"/>
      <c r="CW30" s="564"/>
      <c r="CX30" s="564"/>
      <c r="CY30" s="564"/>
      <c r="CZ30" s="564"/>
      <c r="DA30" s="564"/>
      <c r="DB30" s="564"/>
      <c r="DC30" s="564"/>
      <c r="DD30" s="564"/>
      <c r="DE30" s="564"/>
      <c r="DF30" s="564"/>
      <c r="DG30" s="564"/>
      <c r="DH30" s="564"/>
      <c r="DI30" s="564"/>
      <c r="DJ30" s="564"/>
      <c r="DK30" s="564"/>
      <c r="DL30" s="564"/>
      <c r="DM30" s="564"/>
      <c r="DN30" s="564"/>
      <c r="DO30" s="564"/>
      <c r="DP30" s="564"/>
      <c r="DQ30" s="564"/>
      <c r="DR30" s="564"/>
      <c r="DS30" s="564"/>
      <c r="DT30" s="564"/>
      <c r="DU30" s="564"/>
      <c r="DV30" s="564"/>
      <c r="DW30" s="564"/>
      <c r="DX30" s="564"/>
      <c r="DY30" s="564"/>
      <c r="DZ30" s="564"/>
      <c r="EA30" s="564"/>
      <c r="EB30" s="564"/>
      <c r="EC30" s="564"/>
      <c r="ED30" s="564"/>
      <c r="EE30" s="564"/>
      <c r="EF30" s="564"/>
      <c r="EG30" s="564"/>
      <c r="EH30" s="564"/>
      <c r="EI30" s="564"/>
      <c r="EJ30" s="564"/>
      <c r="EK30" s="564"/>
      <c r="EL30" s="564"/>
      <c r="EM30" s="564"/>
      <c r="EN30" s="564"/>
      <c r="EO30" s="564"/>
      <c r="EP30" s="564"/>
      <c r="EQ30" s="564"/>
      <c r="ER30" s="564"/>
      <c r="ES30" s="564"/>
      <c r="ET30" s="564"/>
      <c r="EU30" s="564"/>
      <c r="EV30" s="564"/>
      <c r="EW30" s="564"/>
      <c r="EX30" s="564"/>
      <c r="EY30" s="564"/>
      <c r="EZ30" s="564"/>
      <c r="FA30" s="564"/>
      <c r="FB30" s="564"/>
      <c r="FC30" s="564"/>
      <c r="FD30" s="564"/>
      <c r="FE30" s="564"/>
      <c r="FF30" s="564"/>
      <c r="FG30" s="564"/>
      <c r="FH30" s="564"/>
      <c r="FI30" s="564"/>
      <c r="FJ30" s="564"/>
      <c r="FK30" s="564"/>
      <c r="FL30" s="564"/>
      <c r="FM30" s="564"/>
      <c r="FN30" s="564"/>
      <c r="FO30" s="564"/>
      <c r="FP30" s="564"/>
      <c r="FQ30" s="564"/>
      <c r="FR30" s="564"/>
      <c r="FS30" s="564"/>
      <c r="FT30" s="564"/>
      <c r="FU30" s="564"/>
      <c r="FV30" s="564"/>
      <c r="FW30" s="564"/>
      <c r="FX30" s="564"/>
      <c r="FY30" s="564"/>
      <c r="FZ30" s="564"/>
      <c r="GA30" s="564"/>
      <c r="GB30" s="564"/>
      <c r="GC30" s="564"/>
      <c r="GD30" s="564"/>
      <c r="GE30" s="564"/>
      <c r="GF30" s="564"/>
      <c r="GG30" s="564"/>
      <c r="GH30" s="564"/>
      <c r="GI30" s="564"/>
      <c r="GJ30" s="564"/>
      <c r="GK30" s="564"/>
      <c r="GL30" s="564"/>
      <c r="GM30" s="564"/>
      <c r="GN30" s="564"/>
      <c r="GO30" s="564"/>
      <c r="GP30" s="564"/>
      <c r="GQ30" s="564"/>
      <c r="GR30" s="564"/>
      <c r="GS30" s="564"/>
      <c r="GT30" s="564"/>
      <c r="GU30" s="564"/>
      <c r="GV30" s="564"/>
      <c r="GW30" s="564"/>
      <c r="GX30" s="564"/>
      <c r="GY30" s="564"/>
      <c r="GZ30" s="564"/>
      <c r="HA30" s="564"/>
      <c r="HB30" s="564"/>
      <c r="HC30" s="564"/>
      <c r="HD30" s="564"/>
      <c r="HE30" s="564"/>
      <c r="HF30" s="564"/>
      <c r="HG30" s="564"/>
      <c r="HH30" s="564"/>
      <c r="HI30" s="564"/>
      <c r="HJ30" s="564"/>
      <c r="HK30" s="564"/>
      <c r="HL30" s="564"/>
      <c r="HM30" s="564"/>
      <c r="HN30" s="564"/>
      <c r="HO30" s="564"/>
      <c r="HP30" s="564"/>
      <c r="HQ30" s="564"/>
      <c r="HR30" s="564"/>
      <c r="HS30" s="564"/>
      <c r="HT30" s="564"/>
      <c r="HU30" s="564"/>
      <c r="HV30" s="564"/>
      <c r="HW30" s="564"/>
      <c r="HX30" s="564"/>
      <c r="HY30" s="564"/>
      <c r="HZ30" s="564"/>
      <c r="IA30" s="564"/>
      <c r="IB30" s="564"/>
      <c r="IC30" s="564"/>
      <c r="ID30" s="564"/>
      <c r="IE30" s="564"/>
      <c r="IF30" s="564"/>
      <c r="IG30" s="564"/>
      <c r="IH30" s="564"/>
      <c r="II30" s="564"/>
      <c r="IJ30" s="564"/>
      <c r="IK30" s="564"/>
      <c r="IL30" s="564"/>
      <c r="IM30" s="564"/>
      <c r="IN30" s="564"/>
      <c r="IO30" s="564"/>
      <c r="IP30" s="564"/>
      <c r="IQ30" s="564"/>
      <c r="IR30" s="564"/>
      <c r="IS30" s="564"/>
      <c r="IT30" s="564"/>
      <c r="IU30" s="564"/>
      <c r="IV30" s="564"/>
      <c r="IW30" s="564"/>
      <c r="IX30" s="564"/>
      <c r="IY30" s="564"/>
      <c r="IZ30" s="564"/>
      <c r="JA30" s="564"/>
    </row>
    <row r="31" spans="1:261" ht="18" customHeight="1" x14ac:dyDescent="0.35">
      <c r="A31" s="478"/>
      <c r="B31" s="544"/>
      <c r="C31" s="544"/>
      <c r="D31" s="544"/>
      <c r="F31" s="544"/>
      <c r="G31" s="544"/>
      <c r="H31" s="708"/>
      <c r="J31" s="147" t="s">
        <v>101</v>
      </c>
      <c r="K31" s="151">
        <f>SUM(K32:K33)</f>
        <v>859125</v>
      </c>
      <c r="L31" s="747">
        <f>IF($K$7=0,0,K31/K$7)</f>
        <v>2.6275567354222786E-2</v>
      </c>
      <c r="N31" s="147" t="s">
        <v>101</v>
      </c>
      <c r="O31" s="151">
        <f>SUM(O32:O33)</f>
        <v>2553175</v>
      </c>
      <c r="P31" s="747">
        <f>IF(O$7=0,0,O31/O$7)</f>
        <v>8.0193323962905669E-2</v>
      </c>
      <c r="R31" s="544"/>
      <c r="S31" s="544"/>
      <c r="T31" s="544"/>
      <c r="V31" s="544"/>
      <c r="W31" s="544"/>
      <c r="X31" s="544"/>
      <c r="Y31" s="544"/>
    </row>
    <row r="32" spans="1:261" ht="18" customHeight="1" x14ac:dyDescent="0.35">
      <c r="A32" s="478"/>
      <c r="B32" s="544"/>
      <c r="C32" s="544"/>
      <c r="D32" s="544"/>
      <c r="F32" s="544"/>
      <c r="G32" s="544"/>
      <c r="H32" s="708"/>
      <c r="J32" s="143" t="s">
        <v>102</v>
      </c>
      <c r="K32" s="1520">
        <f>'Emptying volumes'!B27</f>
        <v>859125</v>
      </c>
      <c r="L32" s="748">
        <f>IF($K$7=0,0,K32/K$7)</f>
        <v>2.6275567354222786E-2</v>
      </c>
      <c r="M32" s="478"/>
      <c r="N32" s="143" t="s">
        <v>103</v>
      </c>
      <c r="O32" s="1520">
        <f>'Transport volumes'!B23</f>
        <v>2553175</v>
      </c>
      <c r="P32" s="748">
        <f>IF(O$7=0,0,O32/O$7)</f>
        <v>8.0193323962905669E-2</v>
      </c>
      <c r="R32" s="544"/>
      <c r="S32" s="544"/>
      <c r="T32" s="544"/>
      <c r="V32" s="544"/>
      <c r="W32" s="544"/>
      <c r="X32" s="544"/>
      <c r="Y32" s="544"/>
    </row>
    <row r="33" spans="1:25" x14ac:dyDescent="0.35">
      <c r="A33" s="478"/>
      <c r="B33" s="544"/>
      <c r="C33" s="544"/>
      <c r="D33" s="544"/>
      <c r="F33" s="544"/>
      <c r="G33" s="544"/>
      <c r="H33" s="708"/>
      <c r="J33" s="478"/>
      <c r="K33" s="478"/>
      <c r="L33" s="478"/>
      <c r="M33" s="478"/>
      <c r="N33" s="143" t="s">
        <v>104</v>
      </c>
      <c r="O33" s="1520">
        <f>'Transport volumes'!B24</f>
        <v>0</v>
      </c>
      <c r="P33" s="748">
        <f>IF(O$7=0,0,O33/O$7)</f>
        <v>0</v>
      </c>
      <c r="R33" s="544"/>
      <c r="S33" s="544"/>
      <c r="T33" s="544"/>
      <c r="V33" s="544"/>
      <c r="W33" s="544"/>
      <c r="X33" s="544"/>
      <c r="Y33" s="544"/>
    </row>
    <row r="34" spans="1:25" x14ac:dyDescent="0.35">
      <c r="A34" s="478"/>
      <c r="B34" s="544"/>
      <c r="C34" s="544"/>
      <c r="D34" s="544"/>
      <c r="F34" s="544"/>
      <c r="G34" s="544"/>
      <c r="H34" s="708"/>
      <c r="J34" s="544"/>
      <c r="K34" s="544"/>
      <c r="L34" s="544"/>
      <c r="N34" s="544"/>
      <c r="O34" s="544"/>
      <c r="P34" s="744"/>
      <c r="R34" s="544"/>
      <c r="S34" s="544"/>
      <c r="T34" s="544"/>
      <c r="V34" s="544"/>
      <c r="W34" s="544"/>
      <c r="X34" s="544"/>
      <c r="Y34" s="544"/>
    </row>
    <row r="35" spans="1:25" s="544" customFormat="1" x14ac:dyDescent="0.35">
      <c r="A35" s="478"/>
      <c r="H35" s="708"/>
    </row>
    <row r="36" spans="1:25" s="544" customFormat="1" x14ac:dyDescent="0.35">
      <c r="A36" s="478"/>
      <c r="H36" s="708"/>
    </row>
    <row r="37" spans="1:25" s="544" customFormat="1" x14ac:dyDescent="0.35">
      <c r="A37" s="478"/>
      <c r="H37" s="708"/>
      <c r="L37" s="727"/>
    </row>
    <row r="38" spans="1:25" s="544" customFormat="1" x14ac:dyDescent="0.35">
      <c r="A38" s="478"/>
      <c r="H38" s="708"/>
      <c r="L38" s="727"/>
    </row>
    <row r="39" spans="1:25" s="544" customFormat="1" x14ac:dyDescent="0.35">
      <c r="A39" s="478"/>
      <c r="F39" s="544" t="s">
        <v>86</v>
      </c>
      <c r="G39" s="1322">
        <f>G23</f>
        <v>2194325</v>
      </c>
      <c r="H39" s="708"/>
      <c r="L39" s="728"/>
    </row>
    <row r="40" spans="1:25" s="544" customFormat="1" x14ac:dyDescent="0.35">
      <c r="A40" s="478"/>
      <c r="F40" s="544" t="s">
        <v>99</v>
      </c>
      <c r="G40" s="1322">
        <f>K28</f>
        <v>-150</v>
      </c>
      <c r="H40" s="708"/>
    </row>
    <row r="41" spans="1:25" s="544" customFormat="1" x14ac:dyDescent="0.35">
      <c r="A41" s="478"/>
      <c r="F41" s="544" t="s">
        <v>101</v>
      </c>
      <c r="G41" s="1322">
        <f>K31</f>
        <v>859125</v>
      </c>
      <c r="H41" s="708"/>
    </row>
    <row r="42" spans="1:25" s="544" customFormat="1" x14ac:dyDescent="0.35">
      <c r="A42" s="478"/>
      <c r="G42" s="1322">
        <f>SUM(G39:G41)</f>
        <v>3053300</v>
      </c>
      <c r="H42" s="1323">
        <f>G42/C7</f>
        <v>8.7459352082397926E-2</v>
      </c>
    </row>
    <row r="43" spans="1:25" s="544" customFormat="1" x14ac:dyDescent="0.35">
      <c r="A43" s="478"/>
      <c r="H43" s="708"/>
    </row>
    <row r="44" spans="1:25" s="544" customFormat="1" x14ac:dyDescent="0.35">
      <c r="A44" s="478"/>
      <c r="H44" s="708"/>
    </row>
    <row r="45" spans="1:25" s="544" customFormat="1" x14ac:dyDescent="0.35">
      <c r="A45" s="478"/>
      <c r="C45" s="729"/>
      <c r="H45" s="708"/>
    </row>
    <row r="46" spans="1:25" s="544" customFormat="1" x14ac:dyDescent="0.35">
      <c r="A46" s="478"/>
      <c r="C46" s="729"/>
      <c r="G46" s="729"/>
      <c r="H46" s="708"/>
    </row>
    <row r="47" spans="1:25" s="544" customFormat="1" x14ac:dyDescent="0.35">
      <c r="A47" s="478"/>
      <c r="C47" s="729"/>
      <c r="G47" s="729"/>
      <c r="H47" s="708"/>
    </row>
    <row r="48" spans="1:25" s="544" customFormat="1" x14ac:dyDescent="0.35">
      <c r="A48" s="478"/>
      <c r="G48" s="729"/>
      <c r="H48" s="708"/>
    </row>
    <row r="49" spans="1:8" s="544" customFormat="1" x14ac:dyDescent="0.35">
      <c r="A49" s="478"/>
      <c r="H49" s="708"/>
    </row>
    <row r="50" spans="1:8" s="544" customFormat="1" x14ac:dyDescent="0.35">
      <c r="A50" s="478"/>
      <c r="H50" s="708"/>
    </row>
    <row r="51" spans="1:8" s="544" customFormat="1" x14ac:dyDescent="0.35">
      <c r="A51" s="478"/>
      <c r="H51" s="708"/>
    </row>
    <row r="52" spans="1:8" s="544" customFormat="1" x14ac:dyDescent="0.35">
      <c r="A52" s="478"/>
      <c r="H52" s="708"/>
    </row>
    <row r="53" spans="1:8" s="544" customFormat="1" x14ac:dyDescent="0.35">
      <c r="A53" s="478"/>
      <c r="H53" s="708"/>
    </row>
    <row r="54" spans="1:8" s="544" customFormat="1" x14ac:dyDescent="0.35">
      <c r="A54" s="478"/>
      <c r="H54" s="708"/>
    </row>
    <row r="55" spans="1:8" s="544" customFormat="1" x14ac:dyDescent="0.35">
      <c r="A55" s="478"/>
      <c r="H55" s="708"/>
    </row>
    <row r="56" spans="1:8" s="544" customFormat="1" x14ac:dyDescent="0.35">
      <c r="A56" s="478"/>
      <c r="H56" s="708"/>
    </row>
    <row r="57" spans="1:8" s="544" customFormat="1" x14ac:dyDescent="0.35">
      <c r="A57" s="478"/>
      <c r="H57" s="708"/>
    </row>
    <row r="58" spans="1:8" s="544" customFormat="1" x14ac:dyDescent="0.35">
      <c r="A58" s="478"/>
      <c r="H58" s="708"/>
    </row>
    <row r="59" spans="1:8" s="544" customFormat="1" x14ac:dyDescent="0.35">
      <c r="A59" s="478"/>
      <c r="H59" s="708"/>
    </row>
    <row r="60" spans="1:8" s="544" customFormat="1" x14ac:dyDescent="0.35">
      <c r="A60" s="478"/>
      <c r="H60" s="708"/>
    </row>
    <row r="61" spans="1:8" s="544" customFormat="1" x14ac:dyDescent="0.35">
      <c r="A61" s="478"/>
      <c r="H61" s="708"/>
    </row>
    <row r="62" spans="1:8" s="544" customFormat="1" x14ac:dyDescent="0.35">
      <c r="A62" s="478"/>
      <c r="H62" s="708"/>
    </row>
    <row r="63" spans="1:8" s="544" customFormat="1" x14ac:dyDescent="0.35">
      <c r="A63" s="478"/>
      <c r="H63" s="708"/>
    </row>
    <row r="64" spans="1:8" s="544" customFormat="1" x14ac:dyDescent="0.35">
      <c r="A64" s="478"/>
      <c r="H64" s="708"/>
    </row>
    <row r="65" spans="1:8" s="544" customFormat="1" x14ac:dyDescent="0.35">
      <c r="A65" s="478"/>
      <c r="H65" s="708"/>
    </row>
    <row r="66" spans="1:8" s="544" customFormat="1" x14ac:dyDescent="0.35">
      <c r="A66" s="478"/>
      <c r="H66" s="708"/>
    </row>
    <row r="67" spans="1:8" s="544" customFormat="1" x14ac:dyDescent="0.35">
      <c r="A67" s="478"/>
      <c r="H67" s="708"/>
    </row>
    <row r="68" spans="1:8" s="544" customFormat="1" x14ac:dyDescent="0.35">
      <c r="A68" s="478"/>
      <c r="H68" s="708"/>
    </row>
    <row r="69" spans="1:8" s="544" customFormat="1" x14ac:dyDescent="0.35">
      <c r="A69" s="478"/>
      <c r="H69" s="708"/>
    </row>
    <row r="70" spans="1:8" s="544" customFormat="1" x14ac:dyDescent="0.35">
      <c r="A70" s="478"/>
      <c r="H70" s="708"/>
    </row>
    <row r="71" spans="1:8" s="544" customFormat="1" x14ac:dyDescent="0.35">
      <c r="A71" s="478"/>
      <c r="H71" s="708"/>
    </row>
    <row r="72" spans="1:8" s="544" customFormat="1" x14ac:dyDescent="0.35">
      <c r="A72" s="478"/>
      <c r="H72" s="708"/>
    </row>
    <row r="73" spans="1:8" s="544" customFormat="1" x14ac:dyDescent="0.35">
      <c r="A73" s="478"/>
      <c r="H73" s="708"/>
    </row>
    <row r="74" spans="1:8" s="544" customFormat="1" x14ac:dyDescent="0.35">
      <c r="A74" s="478"/>
      <c r="H74" s="708"/>
    </row>
    <row r="75" spans="1:8" s="544" customFormat="1" x14ac:dyDescent="0.35">
      <c r="A75" s="478"/>
      <c r="H75" s="708"/>
    </row>
    <row r="76" spans="1:8" s="544" customFormat="1" x14ac:dyDescent="0.35">
      <c r="A76" s="478"/>
      <c r="H76" s="708"/>
    </row>
    <row r="77" spans="1:8" s="544" customFormat="1" x14ac:dyDescent="0.35">
      <c r="A77" s="478"/>
      <c r="H77" s="708"/>
    </row>
    <row r="78" spans="1:8" s="544" customFormat="1" x14ac:dyDescent="0.35">
      <c r="A78" s="478"/>
      <c r="H78" s="708"/>
    </row>
    <row r="79" spans="1:8" s="544" customFormat="1" x14ac:dyDescent="0.35">
      <c r="A79" s="478"/>
      <c r="H79" s="708"/>
    </row>
    <row r="80" spans="1:8" s="544" customFormat="1" x14ac:dyDescent="0.35">
      <c r="A80" s="478"/>
      <c r="H80" s="708"/>
    </row>
    <row r="81" spans="1:8" s="544" customFormat="1" x14ac:dyDescent="0.35">
      <c r="A81" s="478"/>
      <c r="H81" s="708"/>
    </row>
    <row r="82" spans="1:8" s="544" customFormat="1" x14ac:dyDescent="0.35">
      <c r="A82" s="478"/>
      <c r="H82" s="708"/>
    </row>
    <row r="83" spans="1:8" s="544" customFormat="1" x14ac:dyDescent="0.35">
      <c r="A83" s="478"/>
      <c r="H83" s="708"/>
    </row>
    <row r="84" spans="1:8" s="544" customFormat="1" x14ac:dyDescent="0.35">
      <c r="A84" s="478"/>
      <c r="H84" s="708"/>
    </row>
    <row r="85" spans="1:8" s="544" customFormat="1" x14ac:dyDescent="0.35">
      <c r="A85" s="478"/>
      <c r="H85" s="708"/>
    </row>
    <row r="86" spans="1:8" s="544" customFormat="1" x14ac:dyDescent="0.35">
      <c r="A86" s="478"/>
      <c r="H86" s="708"/>
    </row>
    <row r="87" spans="1:8" s="544" customFormat="1" x14ac:dyDescent="0.35">
      <c r="A87" s="478"/>
      <c r="H87" s="708"/>
    </row>
    <row r="88" spans="1:8" s="544" customFormat="1" x14ac:dyDescent="0.35">
      <c r="A88" s="478"/>
      <c r="H88" s="708"/>
    </row>
    <row r="89" spans="1:8" s="544" customFormat="1" x14ac:dyDescent="0.35">
      <c r="A89" s="478"/>
      <c r="H89" s="708"/>
    </row>
    <row r="90" spans="1:8" s="544" customFormat="1" x14ac:dyDescent="0.35">
      <c r="A90" s="478"/>
      <c r="H90" s="708"/>
    </row>
    <row r="91" spans="1:8" s="544" customFormat="1" x14ac:dyDescent="0.35">
      <c r="A91" s="478"/>
      <c r="H91" s="708"/>
    </row>
    <row r="92" spans="1:8" s="544" customFormat="1" x14ac:dyDescent="0.35">
      <c r="A92" s="478"/>
      <c r="H92" s="708"/>
    </row>
    <row r="93" spans="1:8" s="544" customFormat="1" x14ac:dyDescent="0.35">
      <c r="A93" s="478"/>
      <c r="H93" s="708"/>
    </row>
    <row r="94" spans="1:8" s="544" customFormat="1" x14ac:dyDescent="0.35">
      <c r="A94" s="478"/>
      <c r="H94" s="708"/>
    </row>
    <row r="95" spans="1:8" s="544" customFormat="1" x14ac:dyDescent="0.35">
      <c r="A95" s="478"/>
      <c r="H95" s="708"/>
    </row>
    <row r="96" spans="1:8" s="544" customFormat="1" x14ac:dyDescent="0.35">
      <c r="A96" s="478"/>
      <c r="H96" s="708"/>
    </row>
    <row r="97" spans="1:8" s="544" customFormat="1" x14ac:dyDescent="0.35">
      <c r="A97" s="478"/>
      <c r="H97" s="708"/>
    </row>
    <row r="98" spans="1:8" s="544" customFormat="1" x14ac:dyDescent="0.35">
      <c r="A98" s="478"/>
      <c r="H98" s="708"/>
    </row>
    <row r="99" spans="1:8" s="544" customFormat="1" x14ac:dyDescent="0.35">
      <c r="A99" s="478"/>
      <c r="H99" s="708"/>
    </row>
    <row r="100" spans="1:8" s="544" customFormat="1" x14ac:dyDescent="0.35">
      <c r="A100" s="478"/>
      <c r="H100" s="708"/>
    </row>
    <row r="101" spans="1:8" s="544" customFormat="1" x14ac:dyDescent="0.35">
      <c r="A101" s="478"/>
      <c r="H101" s="708"/>
    </row>
    <row r="102" spans="1:8" s="544" customFormat="1" x14ac:dyDescent="0.35">
      <c r="A102" s="478"/>
      <c r="H102" s="708"/>
    </row>
    <row r="103" spans="1:8" s="544" customFormat="1" x14ac:dyDescent="0.35">
      <c r="A103" s="478"/>
      <c r="H103" s="708"/>
    </row>
    <row r="104" spans="1:8" s="544" customFormat="1" x14ac:dyDescent="0.35">
      <c r="A104" s="478"/>
      <c r="H104" s="708"/>
    </row>
    <row r="105" spans="1:8" s="544" customFormat="1" x14ac:dyDescent="0.35">
      <c r="A105" s="478"/>
      <c r="H105" s="708"/>
    </row>
    <row r="106" spans="1:8" s="544" customFormat="1" x14ac:dyDescent="0.35">
      <c r="A106" s="478"/>
      <c r="H106" s="708"/>
    </row>
    <row r="107" spans="1:8" s="544" customFormat="1" x14ac:dyDescent="0.35">
      <c r="A107" s="478"/>
      <c r="H107" s="708"/>
    </row>
    <row r="108" spans="1:8" s="544" customFormat="1" x14ac:dyDescent="0.35">
      <c r="A108" s="478"/>
      <c r="H108" s="708"/>
    </row>
    <row r="109" spans="1:8" s="544" customFormat="1" x14ac:dyDescent="0.35">
      <c r="A109" s="478"/>
      <c r="H109" s="708"/>
    </row>
    <row r="110" spans="1:8" s="544" customFormat="1" x14ac:dyDescent="0.35">
      <c r="A110" s="478"/>
      <c r="H110" s="708"/>
    </row>
    <row r="111" spans="1:8" s="544" customFormat="1" x14ac:dyDescent="0.35">
      <c r="A111" s="478"/>
      <c r="H111" s="708"/>
    </row>
    <row r="112" spans="1:8" s="544" customFormat="1" x14ac:dyDescent="0.35">
      <c r="A112" s="478"/>
      <c r="H112" s="708"/>
    </row>
    <row r="113" spans="1:8" s="544" customFormat="1" x14ac:dyDescent="0.35">
      <c r="A113" s="478"/>
      <c r="H113" s="708"/>
    </row>
    <row r="114" spans="1:8" s="544" customFormat="1" x14ac:dyDescent="0.35">
      <c r="A114" s="478"/>
      <c r="H114" s="708"/>
    </row>
    <row r="115" spans="1:8" s="544" customFormat="1" x14ac:dyDescent="0.35">
      <c r="A115" s="478"/>
      <c r="H115" s="708"/>
    </row>
    <row r="116" spans="1:8" s="544" customFormat="1" x14ac:dyDescent="0.35">
      <c r="A116" s="478"/>
      <c r="H116" s="708"/>
    </row>
    <row r="117" spans="1:8" s="544" customFormat="1" x14ac:dyDescent="0.35">
      <c r="A117" s="478"/>
      <c r="H117" s="708"/>
    </row>
    <row r="118" spans="1:8" s="544" customFormat="1" x14ac:dyDescent="0.35">
      <c r="A118" s="478"/>
      <c r="H118" s="708"/>
    </row>
    <row r="119" spans="1:8" s="544" customFormat="1" x14ac:dyDescent="0.35">
      <c r="A119" s="478"/>
      <c r="H119" s="708"/>
    </row>
    <row r="120" spans="1:8" s="544" customFormat="1" x14ac:dyDescent="0.35">
      <c r="A120" s="478"/>
      <c r="H120" s="708"/>
    </row>
    <row r="121" spans="1:8" s="544" customFormat="1" x14ac:dyDescent="0.35">
      <c r="A121" s="478"/>
      <c r="H121" s="708"/>
    </row>
    <row r="122" spans="1:8" s="544" customFormat="1" x14ac:dyDescent="0.35">
      <c r="A122" s="478"/>
      <c r="H122" s="708"/>
    </row>
    <row r="123" spans="1:8" s="544" customFormat="1" x14ac:dyDescent="0.35">
      <c r="A123" s="478"/>
      <c r="H123" s="708"/>
    </row>
    <row r="124" spans="1:8" s="544" customFormat="1" x14ac:dyDescent="0.35">
      <c r="A124" s="478"/>
      <c r="H124" s="708"/>
    </row>
    <row r="125" spans="1:8" s="544" customFormat="1" x14ac:dyDescent="0.35">
      <c r="A125" s="478"/>
      <c r="H125" s="708"/>
    </row>
    <row r="126" spans="1:8" s="544" customFormat="1" x14ac:dyDescent="0.35">
      <c r="A126" s="478"/>
      <c r="H126" s="708"/>
    </row>
    <row r="127" spans="1:8" s="544" customFormat="1" x14ac:dyDescent="0.35">
      <c r="A127" s="478"/>
      <c r="H127" s="708"/>
    </row>
    <row r="128" spans="1:8" s="544" customFormat="1" x14ac:dyDescent="0.35">
      <c r="A128" s="478"/>
      <c r="H128" s="708"/>
    </row>
    <row r="129" spans="1:8" s="544" customFormat="1" x14ac:dyDescent="0.35">
      <c r="A129" s="478"/>
      <c r="H129" s="708"/>
    </row>
    <row r="130" spans="1:8" s="544" customFormat="1" x14ac:dyDescent="0.35">
      <c r="A130" s="478"/>
      <c r="H130" s="708"/>
    </row>
    <row r="131" spans="1:8" s="544" customFormat="1" x14ac:dyDescent="0.35">
      <c r="A131" s="478"/>
      <c r="H131" s="708"/>
    </row>
    <row r="132" spans="1:8" s="544" customFormat="1" x14ac:dyDescent="0.35">
      <c r="A132" s="478"/>
      <c r="H132" s="708"/>
    </row>
    <row r="133" spans="1:8" s="544" customFormat="1" x14ac:dyDescent="0.35">
      <c r="A133" s="478"/>
      <c r="H133" s="708"/>
    </row>
    <row r="134" spans="1:8" s="544" customFormat="1" x14ac:dyDescent="0.35">
      <c r="A134" s="478"/>
      <c r="H134" s="708"/>
    </row>
    <row r="135" spans="1:8" s="544" customFormat="1" x14ac:dyDescent="0.35">
      <c r="A135" s="478"/>
      <c r="H135" s="708"/>
    </row>
    <row r="136" spans="1:8" s="544" customFormat="1" x14ac:dyDescent="0.35">
      <c r="A136" s="478"/>
      <c r="H136" s="708"/>
    </row>
    <row r="137" spans="1:8" s="544" customFormat="1" x14ac:dyDescent="0.35">
      <c r="A137" s="478"/>
      <c r="H137" s="708"/>
    </row>
    <row r="138" spans="1:8" s="544" customFormat="1" x14ac:dyDescent="0.35">
      <c r="A138" s="478"/>
      <c r="H138" s="708"/>
    </row>
    <row r="139" spans="1:8" s="544" customFormat="1" x14ac:dyDescent="0.35">
      <c r="A139" s="478"/>
      <c r="H139" s="708"/>
    </row>
    <row r="140" spans="1:8" s="544" customFormat="1" x14ac:dyDescent="0.35">
      <c r="A140" s="478"/>
      <c r="H140" s="708"/>
    </row>
    <row r="141" spans="1:8" s="544" customFormat="1" x14ac:dyDescent="0.35">
      <c r="A141" s="478"/>
      <c r="H141" s="708"/>
    </row>
    <row r="142" spans="1:8" s="544" customFormat="1" x14ac:dyDescent="0.35">
      <c r="A142" s="478"/>
      <c r="H142" s="708"/>
    </row>
    <row r="143" spans="1:8" s="544" customFormat="1" x14ac:dyDescent="0.35">
      <c r="A143" s="478"/>
      <c r="H143" s="708"/>
    </row>
    <row r="144" spans="1:8" s="544" customFormat="1" x14ac:dyDescent="0.35">
      <c r="A144" s="478"/>
      <c r="H144" s="708"/>
    </row>
    <row r="145" spans="1:8" s="544" customFormat="1" x14ac:dyDescent="0.35">
      <c r="A145" s="478"/>
      <c r="H145" s="708"/>
    </row>
    <row r="146" spans="1:8" s="544" customFormat="1" x14ac:dyDescent="0.35">
      <c r="A146" s="478"/>
      <c r="H146" s="708"/>
    </row>
    <row r="147" spans="1:8" s="544" customFormat="1" x14ac:dyDescent="0.35">
      <c r="A147" s="478"/>
      <c r="H147" s="708"/>
    </row>
    <row r="148" spans="1:8" s="544" customFormat="1" x14ac:dyDescent="0.35">
      <c r="A148" s="478"/>
      <c r="H148" s="708"/>
    </row>
    <row r="149" spans="1:8" s="544" customFormat="1" x14ac:dyDescent="0.35">
      <c r="A149" s="478"/>
      <c r="H149" s="708"/>
    </row>
    <row r="150" spans="1:8" s="544" customFormat="1" x14ac:dyDescent="0.35">
      <c r="A150" s="478"/>
      <c r="H150" s="708"/>
    </row>
    <row r="151" spans="1:8" s="544" customFormat="1" x14ac:dyDescent="0.35">
      <c r="A151" s="478"/>
      <c r="H151" s="708"/>
    </row>
    <row r="152" spans="1:8" s="544" customFormat="1" x14ac:dyDescent="0.35">
      <c r="A152" s="478"/>
      <c r="H152" s="708"/>
    </row>
    <row r="153" spans="1:8" s="544" customFormat="1" x14ac:dyDescent="0.35">
      <c r="A153" s="478"/>
      <c r="H153" s="708"/>
    </row>
    <row r="154" spans="1:8" s="544" customFormat="1" x14ac:dyDescent="0.35">
      <c r="A154" s="478"/>
      <c r="H154" s="708"/>
    </row>
    <row r="155" spans="1:8" s="544" customFormat="1" x14ac:dyDescent="0.35">
      <c r="A155" s="478"/>
      <c r="H155" s="708"/>
    </row>
    <row r="156" spans="1:8" s="544" customFormat="1" x14ac:dyDescent="0.35">
      <c r="A156" s="478"/>
      <c r="H156" s="708"/>
    </row>
    <row r="157" spans="1:8" s="544" customFormat="1" x14ac:dyDescent="0.35">
      <c r="A157" s="478"/>
      <c r="H157" s="708"/>
    </row>
    <row r="158" spans="1:8" s="544" customFormat="1" x14ac:dyDescent="0.35">
      <c r="A158" s="478"/>
      <c r="H158" s="708"/>
    </row>
    <row r="159" spans="1:8" s="544" customFormat="1" x14ac:dyDescent="0.35">
      <c r="A159" s="478"/>
      <c r="H159" s="708"/>
    </row>
    <row r="160" spans="1:8" s="544" customFormat="1" x14ac:dyDescent="0.35">
      <c r="A160" s="478"/>
      <c r="H160" s="708"/>
    </row>
    <row r="161" spans="1:8" s="544" customFormat="1" x14ac:dyDescent="0.35">
      <c r="A161" s="478"/>
      <c r="H161" s="708"/>
    </row>
    <row r="162" spans="1:8" s="544" customFormat="1" x14ac:dyDescent="0.35">
      <c r="A162" s="478"/>
      <c r="H162" s="708"/>
    </row>
    <row r="163" spans="1:8" s="544" customFormat="1" x14ac:dyDescent="0.35">
      <c r="A163" s="478"/>
      <c r="H163" s="708"/>
    </row>
    <row r="164" spans="1:8" s="544" customFormat="1" x14ac:dyDescent="0.35">
      <c r="A164" s="478"/>
      <c r="H164" s="708"/>
    </row>
    <row r="165" spans="1:8" s="544" customFormat="1" x14ac:dyDescent="0.35">
      <c r="A165" s="478"/>
      <c r="H165" s="708"/>
    </row>
    <row r="166" spans="1:8" s="544" customFormat="1" x14ac:dyDescent="0.35">
      <c r="A166" s="478"/>
      <c r="H166" s="708"/>
    </row>
    <row r="167" spans="1:8" s="544" customFormat="1" x14ac:dyDescent="0.35">
      <c r="A167" s="478"/>
      <c r="H167" s="708"/>
    </row>
    <row r="168" spans="1:8" s="544" customFormat="1" x14ac:dyDescent="0.35">
      <c r="A168" s="478"/>
      <c r="H168" s="708"/>
    </row>
    <row r="169" spans="1:8" s="544" customFormat="1" x14ac:dyDescent="0.35">
      <c r="A169" s="478"/>
      <c r="H169" s="708"/>
    </row>
    <row r="170" spans="1:8" s="544" customFormat="1" x14ac:dyDescent="0.35">
      <c r="A170" s="478"/>
      <c r="H170" s="708"/>
    </row>
    <row r="171" spans="1:8" s="544" customFormat="1" x14ac:dyDescent="0.35">
      <c r="A171" s="478"/>
      <c r="H171" s="708"/>
    </row>
    <row r="172" spans="1:8" s="544" customFormat="1" x14ac:dyDescent="0.35">
      <c r="A172" s="478"/>
      <c r="H172" s="708"/>
    </row>
    <row r="173" spans="1:8" s="544" customFormat="1" x14ac:dyDescent="0.35">
      <c r="A173" s="478"/>
      <c r="H173" s="708"/>
    </row>
    <row r="174" spans="1:8" s="544" customFormat="1" x14ac:dyDescent="0.35">
      <c r="A174" s="478"/>
      <c r="H174" s="708"/>
    </row>
    <row r="175" spans="1:8" s="544" customFormat="1" x14ac:dyDescent="0.35">
      <c r="A175" s="478"/>
      <c r="H175" s="708"/>
    </row>
    <row r="176" spans="1:8" s="544" customFormat="1" x14ac:dyDescent="0.35">
      <c r="A176" s="478"/>
      <c r="H176" s="708"/>
    </row>
    <row r="177" spans="1:8" s="544" customFormat="1" x14ac:dyDescent="0.35">
      <c r="A177" s="478"/>
      <c r="H177" s="708"/>
    </row>
    <row r="178" spans="1:8" s="544" customFormat="1" x14ac:dyDescent="0.35">
      <c r="A178" s="478"/>
      <c r="H178" s="708"/>
    </row>
    <row r="179" spans="1:8" s="544" customFormat="1" x14ac:dyDescent="0.35">
      <c r="A179" s="478"/>
      <c r="H179" s="708"/>
    </row>
    <row r="180" spans="1:8" s="544" customFormat="1" x14ac:dyDescent="0.35">
      <c r="A180" s="478"/>
      <c r="H180" s="708"/>
    </row>
    <row r="181" spans="1:8" s="544" customFormat="1" x14ac:dyDescent="0.35">
      <c r="A181" s="478"/>
      <c r="H181" s="708"/>
    </row>
    <row r="182" spans="1:8" s="544" customFormat="1" x14ac:dyDescent="0.35">
      <c r="A182" s="478"/>
      <c r="H182" s="708"/>
    </row>
    <row r="183" spans="1:8" s="544" customFormat="1" x14ac:dyDescent="0.35">
      <c r="A183" s="478"/>
      <c r="H183" s="708"/>
    </row>
    <row r="184" spans="1:8" s="544" customFormat="1" x14ac:dyDescent="0.35">
      <c r="A184" s="478"/>
      <c r="H184" s="708"/>
    </row>
    <row r="185" spans="1:8" s="544" customFormat="1" x14ac:dyDescent="0.35">
      <c r="A185" s="478"/>
      <c r="H185" s="708"/>
    </row>
    <row r="186" spans="1:8" s="544" customFormat="1" x14ac:dyDescent="0.35">
      <c r="A186" s="478"/>
      <c r="H186" s="708"/>
    </row>
    <row r="187" spans="1:8" s="544" customFormat="1" x14ac:dyDescent="0.35">
      <c r="A187" s="478"/>
      <c r="H187" s="708"/>
    </row>
    <row r="188" spans="1:8" s="544" customFormat="1" x14ac:dyDescent="0.35">
      <c r="A188" s="478"/>
      <c r="H188" s="708"/>
    </row>
    <row r="189" spans="1:8" s="544" customFormat="1" x14ac:dyDescent="0.35">
      <c r="A189" s="478"/>
      <c r="H189" s="708"/>
    </row>
    <row r="190" spans="1:8" s="544" customFormat="1" x14ac:dyDescent="0.35">
      <c r="A190" s="478"/>
      <c r="H190" s="708"/>
    </row>
    <row r="191" spans="1:8" s="544" customFormat="1" x14ac:dyDescent="0.35">
      <c r="A191" s="478"/>
      <c r="H191" s="708"/>
    </row>
    <row r="192" spans="1:8" s="544" customFormat="1" x14ac:dyDescent="0.35">
      <c r="H192" s="708"/>
    </row>
    <row r="193" spans="8:8" s="544" customFormat="1" x14ac:dyDescent="0.35">
      <c r="H193" s="708"/>
    </row>
    <row r="194" spans="8:8" s="544" customFormat="1" x14ac:dyDescent="0.35">
      <c r="H194" s="708"/>
    </row>
    <row r="195" spans="8:8" s="544" customFormat="1" x14ac:dyDescent="0.35">
      <c r="H195" s="708"/>
    </row>
    <row r="196" spans="8:8" s="544" customFormat="1" x14ac:dyDescent="0.35">
      <c r="H196" s="708"/>
    </row>
    <row r="197" spans="8:8" s="544" customFormat="1" x14ac:dyDescent="0.35">
      <c r="H197" s="708"/>
    </row>
    <row r="198" spans="8:8" s="544" customFormat="1" x14ac:dyDescent="0.35">
      <c r="H198" s="708"/>
    </row>
    <row r="199" spans="8:8" s="544" customFormat="1" x14ac:dyDescent="0.35">
      <c r="H199" s="708"/>
    </row>
    <row r="200" spans="8:8" s="544" customFormat="1" x14ac:dyDescent="0.35">
      <c r="H200" s="708"/>
    </row>
    <row r="201" spans="8:8" s="544" customFormat="1" x14ac:dyDescent="0.35">
      <c r="H201" s="708"/>
    </row>
    <row r="202" spans="8:8" s="544" customFormat="1" x14ac:dyDescent="0.35">
      <c r="H202" s="708"/>
    </row>
    <row r="203" spans="8:8" s="544" customFormat="1" x14ac:dyDescent="0.35">
      <c r="H203" s="708"/>
    </row>
    <row r="204" spans="8:8" s="544" customFormat="1" x14ac:dyDescent="0.35">
      <c r="H204" s="708"/>
    </row>
    <row r="205" spans="8:8" s="544" customFormat="1" x14ac:dyDescent="0.35">
      <c r="H205" s="708"/>
    </row>
    <row r="206" spans="8:8" s="544" customFormat="1" x14ac:dyDescent="0.35">
      <c r="H206" s="708"/>
    </row>
    <row r="207" spans="8:8" s="544" customFormat="1" x14ac:dyDescent="0.35">
      <c r="H207" s="708"/>
    </row>
    <row r="208" spans="8:8" s="544" customFormat="1" x14ac:dyDescent="0.35">
      <c r="H208" s="708"/>
    </row>
    <row r="209" spans="8:8" s="544" customFormat="1" x14ac:dyDescent="0.35">
      <c r="H209" s="708"/>
    </row>
    <row r="210" spans="8:8" s="544" customFormat="1" x14ac:dyDescent="0.35">
      <c r="H210" s="708"/>
    </row>
    <row r="211" spans="8:8" s="544" customFormat="1" x14ac:dyDescent="0.35">
      <c r="H211" s="708"/>
    </row>
    <row r="212" spans="8:8" s="544" customFormat="1" x14ac:dyDescent="0.35">
      <c r="H212" s="708"/>
    </row>
    <row r="213" spans="8:8" s="544" customFormat="1" x14ac:dyDescent="0.35">
      <c r="H213" s="708"/>
    </row>
    <row r="214" spans="8:8" s="544" customFormat="1" x14ac:dyDescent="0.35">
      <c r="H214" s="708"/>
    </row>
    <row r="215" spans="8:8" s="544" customFormat="1" x14ac:dyDescent="0.35">
      <c r="H215" s="708"/>
    </row>
    <row r="216" spans="8:8" s="544" customFormat="1" x14ac:dyDescent="0.35">
      <c r="H216" s="708"/>
    </row>
    <row r="217" spans="8:8" s="544" customFormat="1" x14ac:dyDescent="0.35">
      <c r="H217" s="708"/>
    </row>
    <row r="218" spans="8:8" s="544" customFormat="1" x14ac:dyDescent="0.35">
      <c r="H218" s="708"/>
    </row>
    <row r="219" spans="8:8" s="544" customFormat="1" x14ac:dyDescent="0.35">
      <c r="H219" s="708"/>
    </row>
    <row r="220" spans="8:8" s="544" customFormat="1" x14ac:dyDescent="0.35">
      <c r="H220" s="708"/>
    </row>
    <row r="221" spans="8:8" s="544" customFormat="1" x14ac:dyDescent="0.35">
      <c r="H221" s="708"/>
    </row>
    <row r="222" spans="8:8" s="544" customFormat="1" x14ac:dyDescent="0.35">
      <c r="H222" s="708"/>
    </row>
    <row r="223" spans="8:8" s="544" customFormat="1" x14ac:dyDescent="0.35">
      <c r="H223" s="708"/>
    </row>
    <row r="224" spans="8:8" s="544" customFormat="1" x14ac:dyDescent="0.35">
      <c r="H224" s="708"/>
    </row>
    <row r="225" spans="8:8" s="544" customFormat="1" x14ac:dyDescent="0.35">
      <c r="H225" s="708"/>
    </row>
    <row r="226" spans="8:8" s="544" customFormat="1" x14ac:dyDescent="0.35">
      <c r="H226" s="708"/>
    </row>
    <row r="227" spans="8:8" s="544" customFormat="1" x14ac:dyDescent="0.35">
      <c r="H227" s="708"/>
    </row>
    <row r="228" spans="8:8" s="544" customFormat="1" x14ac:dyDescent="0.35">
      <c r="H228" s="708"/>
    </row>
    <row r="229" spans="8:8" s="544" customFormat="1" x14ac:dyDescent="0.35">
      <c r="H229" s="708"/>
    </row>
    <row r="230" spans="8:8" s="544" customFormat="1" x14ac:dyDescent="0.35">
      <c r="H230" s="708"/>
    </row>
    <row r="231" spans="8:8" s="544" customFormat="1" x14ac:dyDescent="0.35">
      <c r="H231" s="708"/>
    </row>
    <row r="232" spans="8:8" s="544" customFormat="1" x14ac:dyDescent="0.35">
      <c r="H232" s="708"/>
    </row>
    <row r="233" spans="8:8" s="544" customFormat="1" x14ac:dyDescent="0.35">
      <c r="H233" s="708"/>
    </row>
    <row r="234" spans="8:8" s="544" customFormat="1" x14ac:dyDescent="0.35">
      <c r="H234" s="708"/>
    </row>
    <row r="235" spans="8:8" s="544" customFormat="1" x14ac:dyDescent="0.35">
      <c r="H235" s="708"/>
    </row>
    <row r="236" spans="8:8" s="544" customFormat="1" x14ac:dyDescent="0.35">
      <c r="H236" s="708"/>
    </row>
    <row r="237" spans="8:8" s="544" customFormat="1" x14ac:dyDescent="0.35">
      <c r="H237" s="708"/>
    </row>
    <row r="238" spans="8:8" s="544" customFormat="1" x14ac:dyDescent="0.35">
      <c r="H238" s="708"/>
    </row>
    <row r="239" spans="8:8" s="544" customFormat="1" x14ac:dyDescent="0.35">
      <c r="H239" s="708"/>
    </row>
    <row r="240" spans="8:8" s="544" customFormat="1" x14ac:dyDescent="0.35">
      <c r="H240" s="708"/>
    </row>
    <row r="241" spans="8:8" s="544" customFormat="1" x14ac:dyDescent="0.35">
      <c r="H241" s="708"/>
    </row>
    <row r="242" spans="8:8" s="544" customFormat="1" x14ac:dyDescent="0.35">
      <c r="H242" s="708"/>
    </row>
    <row r="243" spans="8:8" s="544" customFormat="1" x14ac:dyDescent="0.35">
      <c r="H243" s="708"/>
    </row>
    <row r="244" spans="8:8" s="544" customFormat="1" x14ac:dyDescent="0.35">
      <c r="H244" s="708"/>
    </row>
    <row r="245" spans="8:8" s="544" customFormat="1" x14ac:dyDescent="0.35">
      <c r="H245" s="708"/>
    </row>
    <row r="246" spans="8:8" s="544" customFormat="1" x14ac:dyDescent="0.35">
      <c r="H246" s="708"/>
    </row>
    <row r="247" spans="8:8" s="544" customFormat="1" x14ac:dyDescent="0.35">
      <c r="H247" s="708"/>
    </row>
    <row r="248" spans="8:8" s="544" customFormat="1" x14ac:dyDescent="0.35">
      <c r="H248" s="708"/>
    </row>
    <row r="249" spans="8:8" s="544" customFormat="1" x14ac:dyDescent="0.35">
      <c r="H249" s="708"/>
    </row>
    <row r="250" spans="8:8" s="544" customFormat="1" x14ac:dyDescent="0.35">
      <c r="H250" s="708"/>
    </row>
    <row r="251" spans="8:8" s="544" customFormat="1" x14ac:dyDescent="0.35">
      <c r="H251" s="708"/>
    </row>
    <row r="252" spans="8:8" s="544" customFormat="1" x14ac:dyDescent="0.35">
      <c r="H252" s="708"/>
    </row>
    <row r="253" spans="8:8" s="544" customFormat="1" x14ac:dyDescent="0.35">
      <c r="H253" s="708"/>
    </row>
    <row r="254" spans="8:8" s="544" customFormat="1" x14ac:dyDescent="0.35">
      <c r="H254" s="708"/>
    </row>
    <row r="255" spans="8:8" s="544" customFormat="1" x14ac:dyDescent="0.35">
      <c r="H255" s="708"/>
    </row>
    <row r="256" spans="8:8" s="544" customFormat="1" x14ac:dyDescent="0.35">
      <c r="H256" s="708"/>
    </row>
    <row r="257" spans="8:8" s="544" customFormat="1" x14ac:dyDescent="0.35">
      <c r="H257" s="708"/>
    </row>
    <row r="258" spans="8:8" s="544" customFormat="1" x14ac:dyDescent="0.35">
      <c r="H258" s="708"/>
    </row>
    <row r="259" spans="8:8" s="544" customFormat="1" x14ac:dyDescent="0.35">
      <c r="H259" s="708"/>
    </row>
    <row r="260" spans="8:8" s="544" customFormat="1" x14ac:dyDescent="0.35">
      <c r="H260" s="708"/>
    </row>
    <row r="261" spans="8:8" s="544" customFormat="1" x14ac:dyDescent="0.35">
      <c r="H261" s="708"/>
    </row>
    <row r="262" spans="8:8" s="544" customFormat="1" x14ac:dyDescent="0.35">
      <c r="H262" s="708"/>
    </row>
    <row r="263" spans="8:8" s="544" customFormat="1" x14ac:dyDescent="0.35">
      <c r="H263" s="708"/>
    </row>
    <row r="264" spans="8:8" s="544" customFormat="1" x14ac:dyDescent="0.35">
      <c r="H264" s="708"/>
    </row>
    <row r="265" spans="8:8" s="544" customFormat="1" x14ac:dyDescent="0.35">
      <c r="H265" s="708"/>
    </row>
    <row r="266" spans="8:8" s="544" customFormat="1" x14ac:dyDescent="0.35">
      <c r="H266" s="708"/>
    </row>
    <row r="267" spans="8:8" s="544" customFormat="1" x14ac:dyDescent="0.35">
      <c r="H267" s="708"/>
    </row>
    <row r="268" spans="8:8" s="544" customFormat="1" x14ac:dyDescent="0.35">
      <c r="H268" s="708"/>
    </row>
    <row r="269" spans="8:8" s="544" customFormat="1" x14ac:dyDescent="0.35">
      <c r="H269" s="708"/>
    </row>
    <row r="270" spans="8:8" s="544" customFormat="1" x14ac:dyDescent="0.35">
      <c r="H270" s="708"/>
    </row>
    <row r="271" spans="8:8" s="544" customFormat="1" x14ac:dyDescent="0.35">
      <c r="H271" s="708"/>
    </row>
    <row r="272" spans="8:8" s="544" customFormat="1" x14ac:dyDescent="0.35">
      <c r="H272" s="708"/>
    </row>
    <row r="273" spans="8:8" s="544" customFormat="1" x14ac:dyDescent="0.35">
      <c r="H273" s="708"/>
    </row>
    <row r="274" spans="8:8" s="544" customFormat="1" x14ac:dyDescent="0.35">
      <c r="H274" s="708"/>
    </row>
    <row r="275" spans="8:8" s="544" customFormat="1" x14ac:dyDescent="0.35">
      <c r="H275" s="708"/>
    </row>
    <row r="276" spans="8:8" s="544" customFormat="1" x14ac:dyDescent="0.35">
      <c r="H276" s="708"/>
    </row>
    <row r="277" spans="8:8" s="544" customFormat="1" x14ac:dyDescent="0.35">
      <c r="H277" s="708"/>
    </row>
    <row r="278" spans="8:8" s="544" customFormat="1" x14ac:dyDescent="0.35">
      <c r="H278" s="708"/>
    </row>
    <row r="279" spans="8:8" s="544" customFormat="1" x14ac:dyDescent="0.35">
      <c r="H279" s="708"/>
    </row>
    <row r="280" spans="8:8" s="544" customFormat="1" x14ac:dyDescent="0.35">
      <c r="H280" s="708"/>
    </row>
    <row r="281" spans="8:8" s="544" customFormat="1" x14ac:dyDescent="0.35">
      <c r="H281" s="708"/>
    </row>
    <row r="282" spans="8:8" s="544" customFormat="1" x14ac:dyDescent="0.35">
      <c r="H282" s="708"/>
    </row>
    <row r="283" spans="8:8" s="544" customFormat="1" x14ac:dyDescent="0.35">
      <c r="H283" s="708"/>
    </row>
    <row r="284" spans="8:8" s="544" customFormat="1" x14ac:dyDescent="0.35">
      <c r="H284" s="708"/>
    </row>
    <row r="285" spans="8:8" s="544" customFormat="1" x14ac:dyDescent="0.35">
      <c r="H285" s="708"/>
    </row>
    <row r="286" spans="8:8" s="544" customFormat="1" x14ac:dyDescent="0.35">
      <c r="H286" s="708"/>
    </row>
    <row r="287" spans="8:8" s="544" customFormat="1" x14ac:dyDescent="0.35">
      <c r="H287" s="708"/>
    </row>
    <row r="288" spans="8:8" s="544" customFormat="1" x14ac:dyDescent="0.35">
      <c r="H288" s="708"/>
    </row>
    <row r="289" spans="8:8" s="544" customFormat="1" x14ac:dyDescent="0.35">
      <c r="H289" s="708"/>
    </row>
    <row r="290" spans="8:8" s="544" customFormat="1" x14ac:dyDescent="0.35">
      <c r="H290" s="708"/>
    </row>
    <row r="291" spans="8:8" s="544" customFormat="1" x14ac:dyDescent="0.35">
      <c r="H291" s="708"/>
    </row>
    <row r="292" spans="8:8" s="544" customFormat="1" x14ac:dyDescent="0.35">
      <c r="H292" s="708"/>
    </row>
    <row r="293" spans="8:8" s="544" customFormat="1" x14ac:dyDescent="0.35">
      <c r="H293" s="708"/>
    </row>
    <row r="294" spans="8:8" s="544" customFormat="1" x14ac:dyDescent="0.35">
      <c r="H294" s="708"/>
    </row>
    <row r="295" spans="8:8" s="544" customFormat="1" x14ac:dyDescent="0.35">
      <c r="H295" s="708"/>
    </row>
    <row r="296" spans="8:8" s="544" customFormat="1" x14ac:dyDescent="0.35">
      <c r="H296" s="708"/>
    </row>
    <row r="297" spans="8:8" s="544" customFormat="1" x14ac:dyDescent="0.35">
      <c r="H297" s="708"/>
    </row>
    <row r="298" spans="8:8" s="544" customFormat="1" x14ac:dyDescent="0.35">
      <c r="H298" s="708"/>
    </row>
    <row r="299" spans="8:8" s="544" customFormat="1" x14ac:dyDescent="0.35">
      <c r="H299" s="708"/>
    </row>
    <row r="300" spans="8:8" s="544" customFormat="1" x14ac:dyDescent="0.35">
      <c r="H300" s="708"/>
    </row>
    <row r="301" spans="8:8" s="544" customFormat="1" x14ac:dyDescent="0.35">
      <c r="H301" s="708"/>
    </row>
    <row r="302" spans="8:8" s="544" customFormat="1" x14ac:dyDescent="0.35">
      <c r="H302" s="708"/>
    </row>
    <row r="303" spans="8:8" s="544" customFormat="1" x14ac:dyDescent="0.35">
      <c r="H303" s="708"/>
    </row>
    <row r="304" spans="8:8" s="544" customFormat="1" x14ac:dyDescent="0.35">
      <c r="H304" s="708"/>
    </row>
    <row r="305" spans="8:8" s="544" customFormat="1" x14ac:dyDescent="0.35">
      <c r="H305" s="708"/>
    </row>
    <row r="306" spans="8:8" s="544" customFormat="1" x14ac:dyDescent="0.35">
      <c r="H306" s="708"/>
    </row>
    <row r="307" spans="8:8" s="544" customFormat="1" x14ac:dyDescent="0.35">
      <c r="H307" s="708"/>
    </row>
    <row r="308" spans="8:8" s="544" customFormat="1" x14ac:dyDescent="0.35">
      <c r="H308" s="708"/>
    </row>
    <row r="309" spans="8:8" s="544" customFormat="1" x14ac:dyDescent="0.35">
      <c r="H309" s="708"/>
    </row>
    <row r="310" spans="8:8" s="544" customFormat="1" x14ac:dyDescent="0.35">
      <c r="H310" s="708"/>
    </row>
    <row r="311" spans="8:8" s="544" customFormat="1" x14ac:dyDescent="0.35">
      <c r="H311" s="708"/>
    </row>
    <row r="312" spans="8:8" s="544" customFormat="1" x14ac:dyDescent="0.35">
      <c r="H312" s="708"/>
    </row>
    <row r="313" spans="8:8" s="544" customFormat="1" x14ac:dyDescent="0.35">
      <c r="H313" s="708"/>
    </row>
    <row r="314" spans="8:8" s="544" customFormat="1" x14ac:dyDescent="0.35">
      <c r="H314" s="708"/>
    </row>
    <row r="315" spans="8:8" s="544" customFormat="1" x14ac:dyDescent="0.35">
      <c r="H315" s="708"/>
    </row>
    <row r="316" spans="8:8" s="544" customFormat="1" x14ac:dyDescent="0.35">
      <c r="H316" s="708"/>
    </row>
    <row r="317" spans="8:8" s="544" customFormat="1" x14ac:dyDescent="0.35">
      <c r="H317" s="708"/>
    </row>
    <row r="318" spans="8:8" s="544" customFormat="1" x14ac:dyDescent="0.35">
      <c r="H318" s="708"/>
    </row>
    <row r="319" spans="8:8" s="544" customFormat="1" x14ac:dyDescent="0.35">
      <c r="H319" s="708"/>
    </row>
    <row r="320" spans="8:8" s="544" customFormat="1" x14ac:dyDescent="0.35">
      <c r="H320" s="708"/>
    </row>
    <row r="321" spans="8:8" s="544" customFormat="1" x14ac:dyDescent="0.35">
      <c r="H321" s="708"/>
    </row>
    <row r="322" spans="8:8" s="544" customFormat="1" x14ac:dyDescent="0.35">
      <c r="H322" s="708"/>
    </row>
    <row r="323" spans="8:8" s="544" customFormat="1" x14ac:dyDescent="0.35">
      <c r="H323" s="708"/>
    </row>
    <row r="324" spans="8:8" s="544" customFormat="1" x14ac:dyDescent="0.35">
      <c r="H324" s="708"/>
    </row>
    <row r="325" spans="8:8" s="544" customFormat="1" x14ac:dyDescent="0.35">
      <c r="H325" s="708"/>
    </row>
    <row r="326" spans="8:8" s="544" customFormat="1" x14ac:dyDescent="0.35">
      <c r="H326" s="708"/>
    </row>
    <row r="327" spans="8:8" s="544" customFormat="1" x14ac:dyDescent="0.35">
      <c r="H327" s="708"/>
    </row>
    <row r="328" spans="8:8" s="544" customFormat="1" x14ac:dyDescent="0.35">
      <c r="H328" s="708"/>
    </row>
    <row r="329" spans="8:8" s="544" customFormat="1" x14ac:dyDescent="0.35">
      <c r="H329" s="708"/>
    </row>
    <row r="330" spans="8:8" s="544" customFormat="1" x14ac:dyDescent="0.35">
      <c r="H330" s="708"/>
    </row>
    <row r="331" spans="8:8" s="544" customFormat="1" x14ac:dyDescent="0.35">
      <c r="H331" s="708"/>
    </row>
    <row r="332" spans="8:8" s="544" customFormat="1" x14ac:dyDescent="0.35">
      <c r="H332" s="708"/>
    </row>
    <row r="333" spans="8:8" s="544" customFormat="1" x14ac:dyDescent="0.35">
      <c r="H333" s="708"/>
    </row>
    <row r="334" spans="8:8" s="544" customFormat="1" x14ac:dyDescent="0.35">
      <c r="H334" s="708"/>
    </row>
    <row r="335" spans="8:8" s="544" customFormat="1" x14ac:dyDescent="0.35">
      <c r="H335" s="708"/>
    </row>
    <row r="336" spans="8:8" s="544" customFormat="1" x14ac:dyDescent="0.35">
      <c r="H336" s="708"/>
    </row>
    <row r="337" spans="8:8" s="544" customFormat="1" x14ac:dyDescent="0.35">
      <c r="H337" s="708"/>
    </row>
    <row r="338" spans="8:8" s="544" customFormat="1" x14ac:dyDescent="0.35">
      <c r="H338" s="708"/>
    </row>
    <row r="339" spans="8:8" s="544" customFormat="1" x14ac:dyDescent="0.35">
      <c r="H339" s="708"/>
    </row>
    <row r="340" spans="8:8" s="544" customFormat="1" x14ac:dyDescent="0.35">
      <c r="H340" s="708"/>
    </row>
    <row r="341" spans="8:8" s="544" customFormat="1" x14ac:dyDescent="0.35">
      <c r="H341" s="708"/>
    </row>
    <row r="342" spans="8:8" s="544" customFormat="1" x14ac:dyDescent="0.35">
      <c r="H342" s="708"/>
    </row>
    <row r="343" spans="8:8" s="544" customFormat="1" x14ac:dyDescent="0.35">
      <c r="H343" s="708"/>
    </row>
    <row r="344" spans="8:8" s="544" customFormat="1" x14ac:dyDescent="0.35">
      <c r="H344" s="708"/>
    </row>
    <row r="345" spans="8:8" s="544" customFormat="1" x14ac:dyDescent="0.35">
      <c r="H345" s="708"/>
    </row>
    <row r="346" spans="8:8" s="544" customFormat="1" x14ac:dyDescent="0.35">
      <c r="H346" s="708"/>
    </row>
    <row r="347" spans="8:8" s="544" customFormat="1" x14ac:dyDescent="0.35">
      <c r="H347" s="708"/>
    </row>
    <row r="348" spans="8:8" s="544" customFormat="1" x14ac:dyDescent="0.35">
      <c r="H348" s="708"/>
    </row>
    <row r="349" spans="8:8" s="544" customFormat="1" x14ac:dyDescent="0.35">
      <c r="H349" s="708"/>
    </row>
    <row r="350" spans="8:8" s="544" customFormat="1" x14ac:dyDescent="0.35">
      <c r="H350" s="708"/>
    </row>
    <row r="351" spans="8:8" s="544" customFormat="1" x14ac:dyDescent="0.35">
      <c r="H351" s="708"/>
    </row>
    <row r="352" spans="8:8" s="544" customFormat="1" x14ac:dyDescent="0.35">
      <c r="H352" s="708"/>
    </row>
    <row r="353" spans="8:8" s="544" customFormat="1" x14ac:dyDescent="0.35">
      <c r="H353" s="708"/>
    </row>
    <row r="354" spans="8:8" s="544" customFormat="1" x14ac:dyDescent="0.35">
      <c r="H354" s="708"/>
    </row>
    <row r="355" spans="8:8" s="544" customFormat="1" x14ac:dyDescent="0.35">
      <c r="H355" s="708"/>
    </row>
    <row r="356" spans="8:8" s="544" customFormat="1" x14ac:dyDescent="0.35">
      <c r="H356" s="708"/>
    </row>
    <row r="357" spans="8:8" s="544" customFormat="1" x14ac:dyDescent="0.35">
      <c r="H357" s="708"/>
    </row>
    <row r="358" spans="8:8" s="544" customFormat="1" x14ac:dyDescent="0.35">
      <c r="H358" s="708"/>
    </row>
    <row r="359" spans="8:8" s="544" customFormat="1" x14ac:dyDescent="0.35">
      <c r="H359" s="708"/>
    </row>
    <row r="360" spans="8:8" s="544" customFormat="1" x14ac:dyDescent="0.35">
      <c r="H360" s="708"/>
    </row>
    <row r="361" spans="8:8" s="544" customFormat="1" x14ac:dyDescent="0.35">
      <c r="H361" s="708"/>
    </row>
    <row r="362" spans="8:8" s="544" customFormat="1" x14ac:dyDescent="0.35">
      <c r="H362" s="708"/>
    </row>
    <row r="363" spans="8:8" s="544" customFormat="1" x14ac:dyDescent="0.35">
      <c r="H363" s="708"/>
    </row>
    <row r="364" spans="8:8" s="544" customFormat="1" x14ac:dyDescent="0.35">
      <c r="H364" s="708"/>
    </row>
    <row r="365" spans="8:8" s="544" customFormat="1" x14ac:dyDescent="0.35">
      <c r="H365" s="708"/>
    </row>
    <row r="366" spans="8:8" s="544" customFormat="1" x14ac:dyDescent="0.35">
      <c r="H366" s="708"/>
    </row>
    <row r="367" spans="8:8" s="544" customFormat="1" x14ac:dyDescent="0.35">
      <c r="H367" s="708"/>
    </row>
    <row r="368" spans="8:8" s="544" customFormat="1" x14ac:dyDescent="0.35">
      <c r="H368" s="708"/>
    </row>
    <row r="369" spans="8:8" s="544" customFormat="1" x14ac:dyDescent="0.35">
      <c r="H369" s="708"/>
    </row>
    <row r="370" spans="8:8" s="544" customFormat="1" x14ac:dyDescent="0.35">
      <c r="H370" s="708"/>
    </row>
    <row r="371" spans="8:8" s="544" customFormat="1" x14ac:dyDescent="0.35">
      <c r="H371" s="708"/>
    </row>
    <row r="372" spans="8:8" s="544" customFormat="1" x14ac:dyDescent="0.35">
      <c r="H372" s="708"/>
    </row>
    <row r="373" spans="8:8" s="544" customFormat="1" x14ac:dyDescent="0.35">
      <c r="H373" s="708"/>
    </row>
    <row r="374" spans="8:8" s="544" customFormat="1" x14ac:dyDescent="0.35">
      <c r="H374" s="708"/>
    </row>
    <row r="375" spans="8:8" s="544" customFormat="1" x14ac:dyDescent="0.35">
      <c r="H375" s="708"/>
    </row>
    <row r="376" spans="8:8" s="544" customFormat="1" x14ac:dyDescent="0.35">
      <c r="H376" s="708"/>
    </row>
    <row r="377" spans="8:8" s="544" customFormat="1" x14ac:dyDescent="0.35">
      <c r="H377" s="708"/>
    </row>
    <row r="378" spans="8:8" s="544" customFormat="1" x14ac:dyDescent="0.35">
      <c r="H378" s="708"/>
    </row>
    <row r="379" spans="8:8" s="544" customFormat="1" x14ac:dyDescent="0.35">
      <c r="H379" s="708"/>
    </row>
    <row r="380" spans="8:8" s="544" customFormat="1" x14ac:dyDescent="0.35">
      <c r="H380" s="708"/>
    </row>
    <row r="381" spans="8:8" s="544" customFormat="1" x14ac:dyDescent="0.35">
      <c r="H381" s="708"/>
    </row>
    <row r="382" spans="8:8" s="544" customFormat="1" x14ac:dyDescent="0.35">
      <c r="H382" s="708"/>
    </row>
    <row r="383" spans="8:8" s="544" customFormat="1" x14ac:dyDescent="0.35">
      <c r="H383" s="708"/>
    </row>
    <row r="384" spans="8:8" s="544" customFormat="1" x14ac:dyDescent="0.35">
      <c r="H384" s="708"/>
    </row>
    <row r="385" spans="8:8" s="544" customFormat="1" x14ac:dyDescent="0.35">
      <c r="H385" s="708"/>
    </row>
    <row r="386" spans="8:8" s="544" customFormat="1" x14ac:dyDescent="0.35">
      <c r="H386" s="708"/>
    </row>
    <row r="387" spans="8:8" s="544" customFormat="1" x14ac:dyDescent="0.35">
      <c r="H387" s="708"/>
    </row>
    <row r="388" spans="8:8" s="544" customFormat="1" x14ac:dyDescent="0.35">
      <c r="H388" s="708"/>
    </row>
    <row r="389" spans="8:8" s="544" customFormat="1" x14ac:dyDescent="0.35">
      <c r="H389" s="708"/>
    </row>
    <row r="390" spans="8:8" s="544" customFormat="1" x14ac:dyDescent="0.35">
      <c r="H390" s="708"/>
    </row>
    <row r="391" spans="8:8" s="544" customFormat="1" x14ac:dyDescent="0.35">
      <c r="H391" s="708"/>
    </row>
    <row r="392" spans="8:8" s="544" customFormat="1" x14ac:dyDescent="0.35">
      <c r="H392" s="708"/>
    </row>
    <row r="393" spans="8:8" s="544" customFormat="1" x14ac:dyDescent="0.35">
      <c r="H393" s="708"/>
    </row>
    <row r="394" spans="8:8" s="544" customFormat="1" x14ac:dyDescent="0.35">
      <c r="H394" s="708"/>
    </row>
    <row r="395" spans="8:8" s="544" customFormat="1" x14ac:dyDescent="0.35">
      <c r="H395" s="708"/>
    </row>
  </sheetData>
  <sheetProtection password="C8C1" sheet="1" objects="1" scenarios="1" selectLockedCells="1"/>
  <mergeCells count="7">
    <mergeCell ref="B2:G2"/>
    <mergeCell ref="V5:X5"/>
    <mergeCell ref="B5:D5"/>
    <mergeCell ref="F5:H5"/>
    <mergeCell ref="J5:L5"/>
    <mergeCell ref="N5:P5"/>
    <mergeCell ref="R5:T5"/>
  </mergeCells>
  <pageMargins left="0.5" right="0.5" top="0.75" bottom="0.75" header="0.3" footer="0.3"/>
  <pageSetup paperSize="9" scale="44"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pageSetUpPr fitToPage="1"/>
  </sheetPr>
  <dimension ref="A1:IV351"/>
  <sheetViews>
    <sheetView showGridLines="0" showRowColHeaders="0" zoomScale="80" zoomScaleNormal="80" workbookViewId="0">
      <pane ySplit="2" topLeftCell="A3" activePane="bottomLeft" state="frozen"/>
      <selection pane="bottomLeft" activeCell="A3" sqref="A3"/>
    </sheetView>
  </sheetViews>
  <sheetFormatPr defaultColWidth="9.1796875" defaultRowHeight="14.5" x14ac:dyDescent="0.35"/>
  <cols>
    <col min="1" max="1" width="3.26953125" style="17" customWidth="1"/>
    <col min="2" max="3" width="14.7265625" style="17" customWidth="1"/>
    <col min="4" max="4" width="14.7265625" style="98" customWidth="1"/>
    <col min="5" max="10" width="14.7265625" style="17" customWidth="1"/>
    <col min="11" max="11" width="3.26953125" style="17" customWidth="1"/>
    <col min="12" max="21" width="14.7265625" style="17" customWidth="1"/>
    <col min="22" max="22" width="9.1796875" style="544" customWidth="1"/>
    <col min="23" max="23" width="9.453125" style="544" customWidth="1"/>
    <col min="24" max="24" width="9.1796875" style="544"/>
    <col min="25" max="25" width="7.81640625" style="544" customWidth="1"/>
    <col min="26" max="26" width="2" style="544" customWidth="1"/>
    <col min="27" max="28" width="9.1796875" style="544"/>
    <col min="29" max="29" width="2.1796875" style="544" customWidth="1"/>
    <col min="30" max="93" width="9.1796875" style="544"/>
    <col min="94" max="16384" width="9.1796875" style="17"/>
  </cols>
  <sheetData>
    <row r="1" spans="1:256" s="562" customFormat="1" ht="36.75" customHeight="1" x14ac:dyDescent="0.45">
      <c r="A1" s="823"/>
      <c r="B1" s="824" t="str">
        <f>'User interface_RES'!AJ11</f>
        <v>Any city in , the world</v>
      </c>
      <c r="D1" s="745"/>
    </row>
    <row r="2" spans="1:256" s="753" customFormat="1" ht="57" customHeight="1" thickBot="1" x14ac:dyDescent="0.4">
      <c r="A2" s="752"/>
      <c r="B2" s="825" t="s">
        <v>105</v>
      </c>
      <c r="D2" s="754"/>
    </row>
    <row r="3" spans="1:256" x14ac:dyDescent="0.35">
      <c r="A3" s="903"/>
      <c r="B3" s="544"/>
      <c r="C3" s="544"/>
      <c r="D3" s="708"/>
      <c r="E3" s="570"/>
      <c r="F3" s="544"/>
      <c r="G3" s="544"/>
      <c r="H3" s="544"/>
      <c r="I3" s="544"/>
      <c r="J3" s="544"/>
      <c r="K3" s="544"/>
      <c r="L3" s="544"/>
      <c r="M3" s="544"/>
      <c r="N3" s="544"/>
      <c r="O3" s="544"/>
      <c r="P3" s="544"/>
      <c r="Q3" s="544"/>
      <c r="R3" s="544"/>
      <c r="S3" s="544"/>
      <c r="T3" s="544"/>
      <c r="U3" s="544"/>
    </row>
    <row r="4" spans="1:256" x14ac:dyDescent="0.35">
      <c r="A4" s="544"/>
      <c r="B4" s="844"/>
      <c r="C4" s="544"/>
      <c r="D4" s="708"/>
      <c r="E4" s="544"/>
      <c r="F4" s="544"/>
      <c r="G4" s="570"/>
      <c r="H4" s="544"/>
      <c r="I4" s="544"/>
      <c r="J4" s="544"/>
      <c r="K4" s="544"/>
      <c r="L4" s="544"/>
      <c r="M4" s="544"/>
      <c r="N4" s="544"/>
      <c r="O4" s="544"/>
      <c r="P4" s="544"/>
      <c r="Q4" s="544"/>
      <c r="R4" s="544"/>
      <c r="S4" s="544"/>
      <c r="T4" s="544"/>
      <c r="U4" s="544"/>
    </row>
    <row r="5" spans="1:256" s="3" customFormat="1" ht="17.149999999999999" customHeight="1" x14ac:dyDescent="0.3">
      <c r="A5" s="478"/>
      <c r="B5" s="632"/>
      <c r="C5" s="628" t="s">
        <v>9</v>
      </c>
      <c r="D5" s="341" t="s">
        <v>10</v>
      </c>
      <c r="E5" s="342" t="s">
        <v>11</v>
      </c>
      <c r="F5" s="1479" t="s">
        <v>12</v>
      </c>
      <c r="G5" s="478"/>
      <c r="H5" s="632"/>
      <c r="I5" s="341" t="s">
        <v>10</v>
      </c>
      <c r="J5" s="342" t="s">
        <v>11</v>
      </c>
      <c r="K5" s="571"/>
      <c r="L5" s="478"/>
      <c r="M5" s="632"/>
      <c r="N5" s="341" t="s">
        <v>10</v>
      </c>
      <c r="O5" s="342" t="s">
        <v>11</v>
      </c>
      <c r="P5" s="478"/>
      <c r="Q5" s="1479" t="s">
        <v>12</v>
      </c>
      <c r="R5" s="714"/>
      <c r="S5" s="341" t="s">
        <v>10</v>
      </c>
      <c r="T5" s="342" t="s">
        <v>11</v>
      </c>
      <c r="U5" s="1479" t="s">
        <v>12</v>
      </c>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c r="BA5" s="478"/>
      <c r="BB5" s="478"/>
      <c r="BC5" s="478"/>
      <c r="BD5" s="478"/>
      <c r="BE5" s="478"/>
      <c r="BF5" s="478"/>
      <c r="BG5" s="478"/>
      <c r="BH5" s="478"/>
      <c r="BI5" s="478"/>
      <c r="BJ5" s="478"/>
      <c r="BK5" s="478"/>
      <c r="BL5" s="478"/>
      <c r="BM5" s="478"/>
      <c r="BN5" s="478"/>
      <c r="BO5" s="478"/>
      <c r="BP5" s="478"/>
      <c r="BQ5" s="478"/>
      <c r="BR5" s="478"/>
      <c r="BS5" s="478"/>
      <c r="BT5" s="478"/>
      <c r="BU5" s="478"/>
      <c r="BV5" s="478"/>
      <c r="BW5" s="478"/>
      <c r="BX5" s="478"/>
      <c r="BY5" s="478"/>
      <c r="BZ5" s="478"/>
      <c r="CA5" s="478"/>
      <c r="CB5" s="478"/>
      <c r="CC5" s="478"/>
      <c r="CD5" s="478"/>
      <c r="CE5" s="478"/>
      <c r="CF5" s="478"/>
      <c r="CG5" s="478"/>
      <c r="CH5" s="478"/>
      <c r="CI5" s="478"/>
      <c r="CJ5" s="478"/>
      <c r="CK5" s="478"/>
      <c r="CL5" s="478"/>
      <c r="CM5" s="478"/>
      <c r="CN5" s="478"/>
      <c r="CO5" s="478"/>
    </row>
    <row r="6" spans="1:256" s="3" customFormat="1" ht="17.149999999999999" customHeight="1" x14ac:dyDescent="0.3">
      <c r="A6" s="478"/>
      <c r="B6" s="720" t="s">
        <v>13</v>
      </c>
      <c r="C6" s="1520">
        <f>'FW Flows_SLUDGE'!C7</f>
        <v>206200</v>
      </c>
      <c r="D6" s="1520">
        <f>'FW Flows_SLUDGE'!C7</f>
        <v>206200</v>
      </c>
      <c r="E6" s="1520">
        <v>0</v>
      </c>
      <c r="F6" s="1520">
        <f>SUM(D6:E6)</f>
        <v>206200</v>
      </c>
      <c r="G6" s="709"/>
      <c r="H6" s="723" t="str">
        <f>B6</f>
        <v>Produced</v>
      </c>
      <c r="I6" s="1520">
        <f>D6</f>
        <v>206200</v>
      </c>
      <c r="J6" s="1520">
        <f>E6</f>
        <v>0</v>
      </c>
      <c r="K6" s="571"/>
      <c r="L6" s="478"/>
      <c r="M6" s="723" t="s">
        <v>106</v>
      </c>
      <c r="N6" s="343">
        <f t="shared" ref="N6:N13" si="0">IF(C6=0,0,D6/C6)</f>
        <v>1</v>
      </c>
      <c r="O6" s="343">
        <f t="shared" ref="O6:O13" si="1">IF(C6=0,0,E6/C6)</f>
        <v>0</v>
      </c>
      <c r="P6" s="478"/>
      <c r="Q6" s="343">
        <f>IF(C6=0,0,C6/C6)</f>
        <v>1</v>
      </c>
      <c r="R6" s="716" t="s">
        <v>13</v>
      </c>
      <c r="S6" s="431">
        <f>N6</f>
        <v>1</v>
      </c>
      <c r="T6" s="431">
        <f>O6</f>
        <v>0</v>
      </c>
      <c r="U6" s="1521"/>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c r="BA6" s="478"/>
      <c r="BB6" s="478"/>
      <c r="BC6" s="478"/>
      <c r="BD6" s="478"/>
      <c r="BE6" s="478"/>
      <c r="BF6" s="478"/>
      <c r="BG6" s="478"/>
      <c r="BH6" s="478"/>
      <c r="BI6" s="478"/>
      <c r="BJ6" s="478"/>
      <c r="BK6" s="478"/>
      <c r="BL6" s="478"/>
      <c r="BM6" s="478"/>
      <c r="BN6" s="478"/>
      <c r="BO6" s="478"/>
      <c r="BP6" s="478"/>
      <c r="BQ6" s="478"/>
      <c r="BR6" s="478"/>
      <c r="BS6" s="478"/>
      <c r="BT6" s="478"/>
      <c r="BU6" s="478"/>
      <c r="BV6" s="478"/>
      <c r="BW6" s="478"/>
      <c r="BX6" s="478"/>
      <c r="BY6" s="478"/>
      <c r="BZ6" s="478"/>
      <c r="CA6" s="478"/>
      <c r="CB6" s="478"/>
      <c r="CC6" s="478"/>
      <c r="CD6" s="478"/>
      <c r="CE6" s="478"/>
      <c r="CF6" s="478"/>
      <c r="CG6" s="478"/>
      <c r="CH6" s="478"/>
      <c r="CI6" s="478"/>
      <c r="CJ6" s="478"/>
      <c r="CK6" s="478"/>
      <c r="CL6" s="478"/>
      <c r="CM6" s="478"/>
      <c r="CN6" s="478"/>
      <c r="CO6" s="478"/>
    </row>
    <row r="7" spans="1:256" s="3" customFormat="1" ht="17.149999999999999" customHeight="1" x14ac:dyDescent="0.3">
      <c r="A7" s="478"/>
      <c r="B7" s="721" t="s">
        <v>14</v>
      </c>
      <c r="C7" s="1520">
        <f>'FW Flows_SLUDGE'!C7</f>
        <v>206200</v>
      </c>
      <c r="D7" s="1520">
        <f>'FW Flows_SLUDGE'!C9</f>
        <v>186175</v>
      </c>
      <c r="E7" s="1520">
        <f>'FW Flows_SLUDGE'!C10</f>
        <v>20025</v>
      </c>
      <c r="F7" s="1520">
        <f t="shared" ref="F7:F13" si="2">SUM(D7:E7)</f>
        <v>206200</v>
      </c>
      <c r="G7" s="709"/>
      <c r="H7" s="724" t="str">
        <f t="shared" ref="H7:H13" si="3">B7</f>
        <v>Capture</v>
      </c>
      <c r="I7" s="1520">
        <f t="shared" ref="I7:I13" si="4">D7</f>
        <v>186175</v>
      </c>
      <c r="J7" s="1520">
        <f t="shared" ref="J7:J13" si="5">E7</f>
        <v>20025</v>
      </c>
      <c r="K7" s="571"/>
      <c r="L7" s="478"/>
      <c r="M7" s="724" t="s">
        <v>15</v>
      </c>
      <c r="N7" s="343">
        <f t="shared" si="0"/>
        <v>0.90288554801163923</v>
      </c>
      <c r="O7" s="343">
        <f t="shared" si="1"/>
        <v>9.7114451988360814E-2</v>
      </c>
      <c r="P7" s="478"/>
      <c r="Q7" s="343">
        <f t="shared" ref="Q7:Q13" si="6">IF($C$6=0,0,C7/C$6)</f>
        <v>1</v>
      </c>
      <c r="R7" s="717" t="s">
        <v>14</v>
      </c>
      <c r="S7" s="432">
        <f>IF(C7=0,0,D7/C7)</f>
        <v>0.90288554801163923</v>
      </c>
      <c r="T7" s="432">
        <f>IF(C7=0,0,E7/C7)</f>
        <v>9.7114451988360814E-2</v>
      </c>
      <c r="U7" s="152">
        <f>SUM(S7:T7)</f>
        <v>1</v>
      </c>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c r="BA7" s="478"/>
      <c r="BB7" s="478"/>
      <c r="BC7" s="478"/>
      <c r="BD7" s="478"/>
      <c r="BE7" s="478"/>
      <c r="BF7" s="478"/>
      <c r="BG7" s="478"/>
      <c r="BH7" s="478"/>
      <c r="BI7" s="478"/>
      <c r="BJ7" s="478"/>
      <c r="BK7" s="478"/>
      <c r="BL7" s="478"/>
      <c r="BM7" s="478"/>
      <c r="BN7" s="478"/>
      <c r="BO7" s="478"/>
      <c r="BP7" s="478"/>
      <c r="BQ7" s="478"/>
      <c r="BR7" s="478"/>
      <c r="BS7" s="478"/>
      <c r="BT7" s="478"/>
      <c r="BU7" s="478"/>
      <c r="BV7" s="478"/>
      <c r="BW7" s="478"/>
      <c r="BX7" s="478"/>
      <c r="BY7" s="478"/>
      <c r="BZ7" s="478"/>
      <c r="CA7" s="478"/>
      <c r="CB7" s="478"/>
      <c r="CC7" s="478"/>
      <c r="CD7" s="478"/>
      <c r="CE7" s="478"/>
      <c r="CF7" s="478"/>
      <c r="CG7" s="478"/>
      <c r="CH7" s="478"/>
      <c r="CI7" s="478"/>
      <c r="CJ7" s="478"/>
      <c r="CK7" s="478"/>
      <c r="CL7" s="478"/>
      <c r="CM7" s="478"/>
      <c r="CN7" s="478"/>
      <c r="CO7" s="478"/>
    </row>
    <row r="8" spans="1:256" s="3" customFormat="1" ht="17.149999999999999" customHeight="1" x14ac:dyDescent="0.3">
      <c r="A8" s="478"/>
      <c r="B8" s="721" t="s">
        <v>16</v>
      </c>
      <c r="C8" s="1520">
        <f>'FW Flows_SLUDGE'!G7</f>
        <v>186175</v>
      </c>
      <c r="D8" s="1520">
        <f>'FW Flows_SLUDGE'!G9</f>
        <v>183925</v>
      </c>
      <c r="E8" s="1520">
        <f>'FW Flows_SLUDGE'!G10</f>
        <v>2250</v>
      </c>
      <c r="F8" s="1520">
        <f t="shared" si="2"/>
        <v>186175</v>
      </c>
      <c r="G8" s="478"/>
      <c r="H8" s="724" t="str">
        <f t="shared" si="3"/>
        <v>Containment</v>
      </c>
      <c r="I8" s="1520">
        <f t="shared" si="4"/>
        <v>183925</v>
      </c>
      <c r="J8" s="1520">
        <f t="shared" si="5"/>
        <v>2250</v>
      </c>
      <c r="K8" s="571"/>
      <c r="L8" s="478"/>
      <c r="M8" s="724" t="s">
        <v>17</v>
      </c>
      <c r="N8" s="343">
        <f t="shared" si="0"/>
        <v>0.9879145964818048</v>
      </c>
      <c r="O8" s="343">
        <f t="shared" si="1"/>
        <v>1.2085403518195247E-2</v>
      </c>
      <c r="P8" s="478"/>
      <c r="Q8" s="343">
        <f t="shared" si="6"/>
        <v>0.90288554801163923</v>
      </c>
      <c r="R8" s="717" t="s">
        <v>16</v>
      </c>
      <c r="S8" s="432">
        <f t="shared" ref="S8:S13" si="7">IF($C$6=0,0,C8/$C$6*N8)</f>
        <v>0.8919738118331717</v>
      </c>
      <c r="T8" s="432">
        <f t="shared" ref="T8:T13" si="8">IF($C$6=0,0,C8/$C$6*O8)</f>
        <v>1.0911736178467508E-2</v>
      </c>
      <c r="U8" s="152">
        <f t="shared" ref="U8:U13" si="9">SUM(S8:T8)</f>
        <v>0.90288554801163923</v>
      </c>
      <c r="V8" s="478"/>
      <c r="W8" s="478"/>
      <c r="X8" s="478"/>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478"/>
      <c r="BI8" s="478"/>
      <c r="BJ8" s="478"/>
      <c r="BK8" s="478"/>
      <c r="BL8" s="478"/>
      <c r="BM8" s="478"/>
      <c r="BN8" s="478"/>
      <c r="BO8" s="478"/>
      <c r="BP8" s="478"/>
      <c r="BQ8" s="478"/>
      <c r="BR8" s="478"/>
      <c r="BS8" s="478"/>
      <c r="BT8" s="478"/>
      <c r="BU8" s="478"/>
      <c r="BV8" s="478"/>
      <c r="BW8" s="478"/>
      <c r="BX8" s="478"/>
      <c r="BY8" s="478"/>
      <c r="BZ8" s="478"/>
      <c r="CA8" s="478"/>
      <c r="CB8" s="478"/>
      <c r="CC8" s="478"/>
      <c r="CD8" s="478"/>
      <c r="CE8" s="478"/>
      <c r="CF8" s="478"/>
      <c r="CG8" s="478"/>
      <c r="CH8" s="478"/>
      <c r="CI8" s="478"/>
      <c r="CJ8" s="478"/>
      <c r="CK8" s="478"/>
      <c r="CL8" s="478"/>
      <c r="CM8" s="478"/>
      <c r="CN8" s="478"/>
      <c r="CO8" s="478"/>
    </row>
    <row r="9" spans="1:256" s="3" customFormat="1" ht="17.149999999999999" customHeight="1" x14ac:dyDescent="0.3">
      <c r="A9" s="478"/>
      <c r="B9" s="721" t="s">
        <v>18</v>
      </c>
      <c r="C9" s="1520">
        <f>'FW Flows_SLUDGE'!K7</f>
        <v>183925</v>
      </c>
      <c r="D9" s="1520">
        <f>'FW Flows_SLUDGE'!K9</f>
        <v>183925</v>
      </c>
      <c r="E9" s="1520">
        <f>'FW Flows_SLUDGE'!K10</f>
        <v>0</v>
      </c>
      <c r="F9" s="1520">
        <f t="shared" si="2"/>
        <v>183925</v>
      </c>
      <c r="G9" s="710"/>
      <c r="H9" s="724" t="str">
        <f t="shared" si="3"/>
        <v>Emptying</v>
      </c>
      <c r="I9" s="1520">
        <f t="shared" si="4"/>
        <v>183925</v>
      </c>
      <c r="J9" s="1520">
        <f t="shared" si="5"/>
        <v>0</v>
      </c>
      <c r="K9" s="571"/>
      <c r="L9" s="478"/>
      <c r="M9" s="724" t="s">
        <v>18</v>
      </c>
      <c r="N9" s="343">
        <f t="shared" si="0"/>
        <v>1</v>
      </c>
      <c r="O9" s="343">
        <f t="shared" si="1"/>
        <v>0</v>
      </c>
      <c r="P9" s="478"/>
      <c r="Q9" s="343">
        <f t="shared" si="6"/>
        <v>0.8919738118331717</v>
      </c>
      <c r="R9" s="717" t="s">
        <v>18</v>
      </c>
      <c r="S9" s="432">
        <f t="shared" si="7"/>
        <v>0.8919738118331717</v>
      </c>
      <c r="T9" s="432">
        <f t="shared" si="8"/>
        <v>0</v>
      </c>
      <c r="U9" s="152">
        <f t="shared" si="9"/>
        <v>0.8919738118331717</v>
      </c>
      <c r="V9" s="478"/>
      <c r="W9" s="478"/>
      <c r="X9" s="478"/>
      <c r="Y9" s="478"/>
      <c r="Z9" s="478"/>
      <c r="AA9" s="478"/>
      <c r="AB9" s="478"/>
      <c r="AC9" s="478"/>
      <c r="AD9" s="478"/>
      <c r="AE9" s="478"/>
      <c r="AF9" s="478"/>
      <c r="AG9" s="478"/>
      <c r="AH9" s="478"/>
      <c r="AI9" s="478"/>
      <c r="AJ9" s="478"/>
      <c r="AK9" s="478"/>
      <c r="AL9" s="478"/>
      <c r="AM9" s="478"/>
      <c r="AN9" s="478"/>
      <c r="AO9" s="478"/>
      <c r="AP9" s="478"/>
      <c r="AQ9" s="478"/>
      <c r="AR9" s="478"/>
      <c r="AS9" s="478"/>
      <c r="AT9" s="478"/>
      <c r="AU9" s="478"/>
      <c r="AV9" s="478"/>
      <c r="AW9" s="478"/>
      <c r="AX9" s="478"/>
      <c r="AY9" s="478"/>
      <c r="AZ9" s="478"/>
      <c r="BA9" s="478"/>
      <c r="BB9" s="478"/>
      <c r="BC9" s="478"/>
      <c r="BD9" s="478"/>
      <c r="BE9" s="478"/>
      <c r="BF9" s="478"/>
      <c r="BG9" s="478"/>
      <c r="BH9" s="478"/>
      <c r="BI9" s="478"/>
      <c r="BJ9" s="478"/>
      <c r="BK9" s="478"/>
      <c r="BL9" s="478"/>
      <c r="BM9" s="478"/>
      <c r="BN9" s="478"/>
      <c r="BO9" s="478"/>
      <c r="BP9" s="478"/>
      <c r="BQ9" s="478"/>
      <c r="BR9" s="478"/>
      <c r="BS9" s="478"/>
      <c r="BT9" s="478"/>
      <c r="BU9" s="478"/>
      <c r="BV9" s="478"/>
      <c r="BW9" s="478"/>
      <c r="BX9" s="478"/>
      <c r="BY9" s="478"/>
      <c r="BZ9" s="478"/>
      <c r="CA9" s="478"/>
      <c r="CB9" s="478"/>
      <c r="CC9" s="478"/>
      <c r="CD9" s="478"/>
      <c r="CE9" s="478"/>
      <c r="CF9" s="478"/>
      <c r="CG9" s="478"/>
      <c r="CH9" s="478"/>
      <c r="CI9" s="478"/>
      <c r="CJ9" s="478"/>
      <c r="CK9" s="478"/>
      <c r="CL9" s="478"/>
      <c r="CM9" s="478"/>
      <c r="CN9" s="478"/>
      <c r="CO9" s="478"/>
    </row>
    <row r="10" spans="1:256" s="3" customFormat="1" ht="17.149999999999999" customHeight="1" x14ac:dyDescent="0.3">
      <c r="A10" s="478"/>
      <c r="B10" s="721" t="s">
        <v>19</v>
      </c>
      <c r="C10" s="1520">
        <f>'FW Flows_SLUDGE'!O7</f>
        <v>184125</v>
      </c>
      <c r="D10" s="1520">
        <f>'FW Flows_SLUDGE'!O9</f>
        <v>32600</v>
      </c>
      <c r="E10" s="1520">
        <f>'FW Flows_SLUDGE'!O10</f>
        <v>151525</v>
      </c>
      <c r="F10" s="1520">
        <f t="shared" si="2"/>
        <v>184125</v>
      </c>
      <c r="G10" s="478"/>
      <c r="H10" s="724" t="str">
        <f t="shared" si="3"/>
        <v>Transport</v>
      </c>
      <c r="I10" s="1520">
        <f t="shared" si="4"/>
        <v>32600</v>
      </c>
      <c r="J10" s="1520">
        <f t="shared" si="5"/>
        <v>151525</v>
      </c>
      <c r="K10" s="571"/>
      <c r="L10" s="478"/>
      <c r="M10" s="724" t="s">
        <v>19</v>
      </c>
      <c r="N10" s="343">
        <f t="shared" si="0"/>
        <v>0.17705363204344873</v>
      </c>
      <c r="O10" s="343">
        <f t="shared" si="1"/>
        <v>0.82294636795655129</v>
      </c>
      <c r="P10" s="478"/>
      <c r="Q10" s="343">
        <f t="shared" si="6"/>
        <v>0.89294374393792431</v>
      </c>
      <c r="R10" s="717" t="s">
        <v>19</v>
      </c>
      <c r="S10" s="432">
        <f t="shared" si="7"/>
        <v>0.15809893307468476</v>
      </c>
      <c r="T10" s="432">
        <f t="shared" si="8"/>
        <v>0.73484481086323961</v>
      </c>
      <c r="U10" s="152">
        <f t="shared" si="9"/>
        <v>0.89294374393792442</v>
      </c>
      <c r="V10" s="478"/>
      <c r="W10" s="478"/>
      <c r="X10" s="478"/>
      <c r="Y10" s="478"/>
      <c r="Z10" s="478"/>
      <c r="AA10" s="478"/>
      <c r="AB10" s="478"/>
      <c r="AC10" s="478"/>
      <c r="AD10" s="478"/>
      <c r="AE10" s="478"/>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8"/>
      <c r="BC10" s="478"/>
      <c r="BD10" s="478"/>
      <c r="BE10" s="478"/>
      <c r="BF10" s="478"/>
      <c r="BG10" s="478"/>
      <c r="BH10" s="478"/>
      <c r="BI10" s="478"/>
      <c r="BJ10" s="478"/>
      <c r="BK10" s="478"/>
      <c r="BL10" s="478"/>
      <c r="BM10" s="478"/>
      <c r="BN10" s="478"/>
      <c r="BO10" s="478"/>
      <c r="BP10" s="478"/>
      <c r="BQ10" s="478"/>
      <c r="BR10" s="478"/>
      <c r="BS10" s="478"/>
      <c r="BT10" s="478"/>
      <c r="BU10" s="478"/>
      <c r="BV10" s="478"/>
      <c r="BW10" s="478"/>
      <c r="BX10" s="478"/>
      <c r="BY10" s="478"/>
      <c r="BZ10" s="478"/>
      <c r="CA10" s="478"/>
      <c r="CB10" s="478"/>
      <c r="CC10" s="478"/>
      <c r="CD10" s="478"/>
      <c r="CE10" s="478"/>
      <c r="CF10" s="478"/>
      <c r="CG10" s="478"/>
      <c r="CH10" s="478"/>
      <c r="CI10" s="478"/>
      <c r="CJ10" s="478"/>
      <c r="CK10" s="478"/>
      <c r="CL10" s="478"/>
      <c r="CM10" s="478"/>
      <c r="CN10" s="478"/>
      <c r="CO10" s="478"/>
    </row>
    <row r="11" spans="1:256" s="3" customFormat="1" ht="17.149999999999999" customHeight="1" x14ac:dyDescent="0.3">
      <c r="A11" s="478"/>
      <c r="B11" s="721" t="s">
        <v>20</v>
      </c>
      <c r="C11" s="1520">
        <f>'FW Flows_SLUDGE'!S7</f>
        <v>32600</v>
      </c>
      <c r="D11" s="1520">
        <f>'FW Flows_SLUDGE'!S9</f>
        <v>11410</v>
      </c>
      <c r="E11" s="1520">
        <f>'FW Flows_SLUDGE'!S10</f>
        <v>21190</v>
      </c>
      <c r="F11" s="1520">
        <f t="shared" si="2"/>
        <v>32600</v>
      </c>
      <c r="G11" s="478"/>
      <c r="H11" s="724" t="str">
        <f t="shared" si="3"/>
        <v>Treatment</v>
      </c>
      <c r="I11" s="1520">
        <f t="shared" si="4"/>
        <v>11410</v>
      </c>
      <c r="J11" s="1520">
        <f t="shared" si="5"/>
        <v>21190</v>
      </c>
      <c r="K11" s="571"/>
      <c r="L11" s="478"/>
      <c r="M11" s="724" t="s">
        <v>20</v>
      </c>
      <c r="N11" s="343">
        <f t="shared" si="0"/>
        <v>0.35</v>
      </c>
      <c r="O11" s="343">
        <f t="shared" si="1"/>
        <v>0.65</v>
      </c>
      <c r="P11" s="478"/>
      <c r="Q11" s="343">
        <f t="shared" si="6"/>
        <v>0.15809893307468478</v>
      </c>
      <c r="R11" s="717" t="s">
        <v>20</v>
      </c>
      <c r="S11" s="432">
        <f t="shared" si="7"/>
        <v>5.5334626576139669E-2</v>
      </c>
      <c r="T11" s="432">
        <f t="shared" si="8"/>
        <v>0.10276430649854511</v>
      </c>
      <c r="U11" s="152">
        <f t="shared" si="9"/>
        <v>0.15809893307468478</v>
      </c>
      <c r="V11" s="478"/>
      <c r="W11" s="478"/>
      <c r="X11" s="478"/>
      <c r="Y11" s="478"/>
      <c r="Z11" s="478"/>
      <c r="AA11" s="478"/>
      <c r="AB11" s="478"/>
      <c r="AC11" s="478"/>
      <c r="AD11" s="478"/>
      <c r="AE11" s="478"/>
      <c r="AF11" s="478"/>
      <c r="AG11" s="478"/>
      <c r="AH11" s="478"/>
      <c r="AI11" s="478"/>
      <c r="AJ11" s="478"/>
      <c r="AK11" s="478"/>
      <c r="AL11" s="478"/>
      <c r="AM11" s="478"/>
      <c r="AN11" s="478"/>
      <c r="AO11" s="478"/>
      <c r="AP11" s="478"/>
      <c r="AQ11" s="478"/>
      <c r="AR11" s="478"/>
      <c r="AS11" s="478"/>
      <c r="AT11" s="478"/>
      <c r="AU11" s="478"/>
      <c r="AV11" s="478"/>
      <c r="AW11" s="478"/>
      <c r="AX11" s="478"/>
      <c r="AY11" s="478"/>
      <c r="AZ11" s="478"/>
      <c r="BA11" s="478"/>
      <c r="BB11" s="478"/>
      <c r="BC11" s="478"/>
      <c r="BD11" s="478"/>
      <c r="BE11" s="478"/>
      <c r="BF11" s="478"/>
      <c r="BG11" s="478"/>
      <c r="BH11" s="478"/>
      <c r="BI11" s="478"/>
      <c r="BJ11" s="478"/>
      <c r="BK11" s="478"/>
      <c r="BL11" s="478"/>
      <c r="BM11" s="478"/>
      <c r="BN11" s="478"/>
      <c r="BO11" s="478"/>
      <c r="BP11" s="478"/>
      <c r="BQ11" s="478"/>
      <c r="BR11" s="478"/>
      <c r="BS11" s="478"/>
      <c r="BT11" s="478"/>
      <c r="BU11" s="478"/>
      <c r="BV11" s="478"/>
      <c r="BW11" s="478"/>
      <c r="BX11" s="478"/>
      <c r="BY11" s="478"/>
      <c r="BZ11" s="478"/>
      <c r="CA11" s="478"/>
      <c r="CB11" s="478"/>
      <c r="CC11" s="478"/>
      <c r="CD11" s="478"/>
      <c r="CE11" s="478"/>
      <c r="CF11" s="478"/>
      <c r="CG11" s="478"/>
      <c r="CH11" s="478"/>
      <c r="CI11" s="478"/>
      <c r="CJ11" s="478"/>
      <c r="CK11" s="478"/>
      <c r="CL11" s="478"/>
      <c r="CM11" s="478"/>
      <c r="CN11" s="478"/>
      <c r="CO11" s="478"/>
    </row>
    <row r="12" spans="1:256" s="3" customFormat="1" ht="17.149999999999999" customHeight="1" x14ac:dyDescent="0.3">
      <c r="A12" s="478"/>
      <c r="B12" s="721" t="s">
        <v>21</v>
      </c>
      <c r="C12" s="1520">
        <f>'FW Flows_SLUDGE'!W12+'FW Flows_SLUDGE'!W23</f>
        <v>32600</v>
      </c>
      <c r="D12" s="1520">
        <f>'FW Flows_SLUDGE'!W12</f>
        <v>11410</v>
      </c>
      <c r="E12" s="1520">
        <f>'FW Flows_SLUDGE'!W23</f>
        <v>21190</v>
      </c>
      <c r="F12" s="1520">
        <f t="shared" si="2"/>
        <v>32600</v>
      </c>
      <c r="G12" s="478"/>
      <c r="H12" s="724" t="str">
        <f t="shared" si="3"/>
        <v>Disposal</v>
      </c>
      <c r="I12" s="1520">
        <f t="shared" si="4"/>
        <v>11410</v>
      </c>
      <c r="J12" s="1520">
        <f t="shared" si="5"/>
        <v>21190</v>
      </c>
      <c r="K12" s="571"/>
      <c r="L12" s="478"/>
      <c r="M12" s="724" t="s">
        <v>21</v>
      </c>
      <c r="N12" s="343">
        <f t="shared" si="0"/>
        <v>0.35</v>
      </c>
      <c r="O12" s="343">
        <f t="shared" si="1"/>
        <v>0.65</v>
      </c>
      <c r="P12" s="478"/>
      <c r="Q12" s="343">
        <f t="shared" si="6"/>
        <v>0.15809893307468478</v>
      </c>
      <c r="R12" s="717" t="s">
        <v>21</v>
      </c>
      <c r="S12" s="432">
        <f t="shared" si="7"/>
        <v>5.5334626576139669E-2</v>
      </c>
      <c r="T12" s="432">
        <f t="shared" si="8"/>
        <v>0.10276430649854511</v>
      </c>
      <c r="U12" s="152">
        <f t="shared" si="9"/>
        <v>0.15809893307468478</v>
      </c>
      <c r="V12" s="478"/>
      <c r="W12" s="478"/>
      <c r="X12" s="478"/>
      <c r="Y12" s="478"/>
      <c r="Z12" s="478"/>
      <c r="AA12" s="478"/>
      <c r="AB12" s="478"/>
      <c r="AC12" s="478"/>
      <c r="AD12" s="478"/>
      <c r="AE12" s="478"/>
      <c r="AF12" s="478"/>
      <c r="AG12" s="478"/>
      <c r="AH12" s="478"/>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478"/>
      <c r="BF12" s="478"/>
      <c r="BG12" s="478"/>
      <c r="BH12" s="478"/>
      <c r="BI12" s="478"/>
      <c r="BJ12" s="478"/>
      <c r="BK12" s="478"/>
      <c r="BL12" s="478"/>
      <c r="BM12" s="478"/>
      <c r="BN12" s="478"/>
      <c r="BO12" s="478"/>
      <c r="BP12" s="478"/>
      <c r="BQ12" s="478"/>
      <c r="BR12" s="478"/>
      <c r="BS12" s="478"/>
      <c r="BT12" s="478"/>
      <c r="BU12" s="478"/>
      <c r="BV12" s="478"/>
      <c r="BW12" s="478"/>
      <c r="BX12" s="478"/>
      <c r="BY12" s="478"/>
      <c r="BZ12" s="478"/>
      <c r="CA12" s="478"/>
      <c r="CB12" s="478"/>
      <c r="CC12" s="478"/>
      <c r="CD12" s="478"/>
      <c r="CE12" s="478"/>
      <c r="CF12" s="478"/>
      <c r="CG12" s="478"/>
      <c r="CH12" s="478"/>
      <c r="CI12" s="478"/>
      <c r="CJ12" s="478"/>
      <c r="CK12" s="478"/>
      <c r="CL12" s="478"/>
      <c r="CM12" s="478"/>
      <c r="CN12" s="478"/>
      <c r="CO12" s="478"/>
    </row>
    <row r="13" spans="1:256" s="3" customFormat="1" ht="17.149999999999999" customHeight="1" x14ac:dyDescent="0.3">
      <c r="A13" s="478"/>
      <c r="B13" s="722" t="s">
        <v>22</v>
      </c>
      <c r="C13" s="1520">
        <f>'FW Flows_SLUDGE'!W14+'FW Flows_SLUDGE'!W25</f>
        <v>0</v>
      </c>
      <c r="D13" s="1520">
        <f>'FW Flows_SLUDGE'!W14</f>
        <v>0</v>
      </c>
      <c r="E13" s="1520">
        <f>'FW Flows_SLUDGE'!W25</f>
        <v>0</v>
      </c>
      <c r="F13" s="1520">
        <f t="shared" si="2"/>
        <v>0</v>
      </c>
      <c r="G13" s="478"/>
      <c r="H13" s="725" t="str">
        <f t="shared" si="3"/>
        <v>Reuse</v>
      </c>
      <c r="I13" s="1520">
        <f t="shared" si="4"/>
        <v>0</v>
      </c>
      <c r="J13" s="1520">
        <f t="shared" si="5"/>
        <v>0</v>
      </c>
      <c r="K13" s="571"/>
      <c r="L13" s="478"/>
      <c r="M13" s="725" t="s">
        <v>22</v>
      </c>
      <c r="N13" s="343">
        <f t="shared" si="0"/>
        <v>0</v>
      </c>
      <c r="O13" s="343">
        <f t="shared" si="1"/>
        <v>0</v>
      </c>
      <c r="P13" s="478"/>
      <c r="Q13" s="343">
        <f t="shared" si="6"/>
        <v>0</v>
      </c>
      <c r="R13" s="718" t="s">
        <v>22</v>
      </c>
      <c r="S13" s="432">
        <f t="shared" si="7"/>
        <v>0</v>
      </c>
      <c r="T13" s="432">
        <f t="shared" si="8"/>
        <v>0</v>
      </c>
      <c r="U13" s="152">
        <f t="shared" si="9"/>
        <v>0</v>
      </c>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c r="BJ13" s="478"/>
      <c r="BK13" s="478"/>
      <c r="BL13" s="478"/>
      <c r="BM13" s="478"/>
      <c r="BN13" s="478"/>
      <c r="BO13" s="478"/>
      <c r="BP13" s="478"/>
      <c r="BQ13" s="478"/>
      <c r="BR13" s="478"/>
      <c r="BS13" s="478"/>
      <c r="BT13" s="478"/>
      <c r="BU13" s="478"/>
      <c r="BV13" s="478"/>
      <c r="BW13" s="478"/>
      <c r="BX13" s="478"/>
      <c r="BY13" s="478"/>
      <c r="BZ13" s="478"/>
      <c r="CA13" s="478"/>
      <c r="CB13" s="478"/>
      <c r="CC13" s="478"/>
      <c r="CD13" s="478"/>
      <c r="CE13" s="478"/>
      <c r="CF13" s="478"/>
      <c r="CG13" s="478"/>
      <c r="CH13" s="478"/>
      <c r="CI13" s="478"/>
      <c r="CJ13" s="478"/>
      <c r="CK13" s="478"/>
      <c r="CL13" s="478"/>
      <c r="CM13" s="478"/>
      <c r="CN13" s="478"/>
      <c r="CO13" s="478"/>
    </row>
    <row r="14" spans="1:256" s="3" customFormat="1" ht="17.149999999999999" customHeight="1" x14ac:dyDescent="0.3">
      <c r="A14" s="478"/>
      <c r="B14" s="650"/>
      <c r="C14" s="650"/>
      <c r="D14" s="712">
        <f>SUM(D12:D13)</f>
        <v>11410</v>
      </c>
      <c r="E14" s="712">
        <f>SUM(E7:E11)+D14</f>
        <v>206400</v>
      </c>
      <c r="F14" s="711"/>
      <c r="G14" s="478"/>
      <c r="H14" s="489"/>
      <c r="I14" s="712">
        <f>SUM(I12:I13)</f>
        <v>11410</v>
      </c>
      <c r="J14" s="712">
        <f>SUM(J7:J11)+I14</f>
        <v>206400</v>
      </c>
      <c r="K14" s="571"/>
      <c r="L14" s="478"/>
      <c r="M14" s="489"/>
      <c r="N14" s="497"/>
      <c r="O14" s="497"/>
      <c r="P14" s="478"/>
      <c r="Q14" s="497"/>
      <c r="R14" s="650"/>
      <c r="S14" s="1230">
        <f>SUM(S12:S13)</f>
        <v>5.5334626576139669E-2</v>
      </c>
      <c r="T14" s="487">
        <f>SUM(T7:T11)+S14</f>
        <v>1.0009699321047527</v>
      </c>
      <c r="U14" s="713"/>
      <c r="V14" s="478"/>
      <c r="W14" s="478"/>
      <c r="X14" s="478"/>
      <c r="Y14" s="478"/>
      <c r="Z14" s="478"/>
      <c r="AA14" s="478"/>
      <c r="AB14" s="478"/>
      <c r="AC14" s="478"/>
      <c r="AD14" s="478"/>
      <c r="AE14" s="478"/>
      <c r="AF14" s="478"/>
      <c r="AG14" s="478"/>
      <c r="AH14" s="478"/>
      <c r="AI14" s="478"/>
      <c r="AJ14" s="478"/>
      <c r="AK14" s="478"/>
      <c r="AL14" s="478"/>
      <c r="AM14" s="478"/>
      <c r="AN14" s="478"/>
      <c r="AO14" s="478"/>
      <c r="AP14" s="478"/>
      <c r="AQ14" s="478"/>
      <c r="AR14" s="478"/>
      <c r="AS14" s="478"/>
      <c r="AT14" s="478"/>
      <c r="AU14" s="478"/>
      <c r="AV14" s="478"/>
      <c r="AW14" s="478"/>
      <c r="AX14" s="478"/>
      <c r="AY14" s="478"/>
      <c r="AZ14" s="478"/>
      <c r="BA14" s="478"/>
      <c r="BB14" s="478"/>
      <c r="BC14" s="478"/>
      <c r="BD14" s="478"/>
      <c r="BE14" s="478"/>
      <c r="BF14" s="478"/>
      <c r="BG14" s="478"/>
      <c r="BH14" s="478"/>
      <c r="BI14" s="478"/>
      <c r="BJ14" s="478"/>
      <c r="BK14" s="478"/>
      <c r="BL14" s="478"/>
      <c r="BM14" s="478"/>
      <c r="BN14" s="478"/>
      <c r="BO14" s="478"/>
      <c r="BP14" s="478"/>
      <c r="BQ14" s="478"/>
      <c r="BR14" s="478"/>
      <c r="BS14" s="478"/>
      <c r="BT14" s="478"/>
      <c r="BU14" s="478"/>
      <c r="BV14" s="478"/>
      <c r="BW14" s="478"/>
      <c r="BX14" s="478"/>
      <c r="BY14" s="478"/>
      <c r="BZ14" s="478"/>
      <c r="CA14" s="478"/>
      <c r="CB14" s="478"/>
      <c r="CC14" s="478"/>
      <c r="CD14" s="478"/>
      <c r="CE14" s="478"/>
      <c r="CF14" s="478"/>
      <c r="CG14" s="478"/>
      <c r="CH14" s="478"/>
      <c r="CI14" s="478"/>
      <c r="CJ14" s="478"/>
      <c r="CK14" s="478"/>
      <c r="CL14" s="478"/>
      <c r="CM14" s="478"/>
      <c r="CN14" s="478"/>
      <c r="CO14" s="478"/>
      <c r="CP14" s="478"/>
      <c r="CQ14" s="478"/>
      <c r="CR14" s="478"/>
      <c r="CS14" s="478"/>
      <c r="CT14" s="478"/>
      <c r="CU14" s="478"/>
      <c r="CV14" s="478"/>
      <c r="CW14" s="478"/>
      <c r="CX14" s="478"/>
      <c r="CY14" s="478"/>
      <c r="CZ14" s="478"/>
      <c r="DA14" s="478"/>
      <c r="DB14" s="478"/>
      <c r="DC14" s="478"/>
      <c r="DD14" s="478"/>
      <c r="DE14" s="478"/>
      <c r="DF14" s="478"/>
      <c r="DG14" s="478"/>
      <c r="DH14" s="478"/>
      <c r="DI14" s="478"/>
      <c r="DJ14" s="478"/>
      <c r="DK14" s="478"/>
      <c r="DL14" s="478"/>
      <c r="DM14" s="478"/>
      <c r="DN14" s="478"/>
      <c r="DO14" s="478"/>
      <c r="DP14" s="478"/>
      <c r="DQ14" s="478"/>
      <c r="DR14" s="478"/>
      <c r="DS14" s="478"/>
      <c r="DT14" s="478"/>
      <c r="DU14" s="478"/>
      <c r="DV14" s="478"/>
      <c r="DW14" s="478"/>
      <c r="DX14" s="478"/>
      <c r="DY14" s="478"/>
      <c r="DZ14" s="478"/>
      <c r="EA14" s="478"/>
      <c r="EB14" s="478"/>
      <c r="EC14" s="478"/>
      <c r="ED14" s="478"/>
      <c r="EE14" s="478"/>
      <c r="EF14" s="478"/>
      <c r="EG14" s="478"/>
      <c r="EH14" s="478"/>
      <c r="EI14" s="478"/>
      <c r="EJ14" s="478"/>
      <c r="EK14" s="478"/>
      <c r="EL14" s="478"/>
      <c r="EM14" s="478"/>
      <c r="EN14" s="478"/>
      <c r="EO14" s="478"/>
      <c r="EP14" s="478"/>
      <c r="EQ14" s="478"/>
      <c r="ER14" s="478"/>
      <c r="ES14" s="478"/>
      <c r="ET14" s="478"/>
      <c r="EU14" s="478"/>
      <c r="EV14" s="478"/>
      <c r="EW14" s="478"/>
      <c r="EX14" s="478"/>
      <c r="EY14" s="478"/>
      <c r="EZ14" s="478"/>
      <c r="FA14" s="478"/>
      <c r="FB14" s="478"/>
      <c r="FC14" s="478"/>
      <c r="FD14" s="478"/>
      <c r="FE14" s="478"/>
      <c r="FF14" s="478"/>
      <c r="FG14" s="478"/>
      <c r="FH14" s="478"/>
      <c r="FI14" s="478"/>
      <c r="FJ14" s="478"/>
      <c r="FK14" s="478"/>
      <c r="FL14" s="478"/>
      <c r="FM14" s="478"/>
      <c r="FN14" s="478"/>
      <c r="FO14" s="478"/>
      <c r="FP14" s="478"/>
      <c r="FQ14" s="478"/>
      <c r="FR14" s="478"/>
      <c r="FS14" s="478"/>
      <c r="FT14" s="478"/>
      <c r="FU14" s="478"/>
      <c r="FV14" s="478"/>
      <c r="FW14" s="478"/>
      <c r="FX14" s="478"/>
      <c r="FY14" s="478"/>
      <c r="FZ14" s="478"/>
      <c r="GA14" s="478"/>
      <c r="GB14" s="478"/>
      <c r="GC14" s="478"/>
      <c r="GD14" s="478"/>
      <c r="GE14" s="478"/>
      <c r="GF14" s="478"/>
      <c r="GG14" s="478"/>
      <c r="GH14" s="478"/>
      <c r="GI14" s="478"/>
      <c r="GJ14" s="478"/>
      <c r="GK14" s="478"/>
      <c r="GL14" s="478"/>
      <c r="GM14" s="478"/>
      <c r="GN14" s="478"/>
      <c r="GO14" s="478"/>
      <c r="GP14" s="478"/>
      <c r="GQ14" s="478"/>
      <c r="GR14" s="478"/>
      <c r="GS14" s="478"/>
      <c r="GT14" s="478"/>
      <c r="GU14" s="478"/>
      <c r="GV14" s="478"/>
      <c r="GW14" s="478"/>
      <c r="GX14" s="478"/>
      <c r="GY14" s="478"/>
      <c r="GZ14" s="478"/>
      <c r="HA14" s="478"/>
      <c r="HB14" s="478"/>
      <c r="HC14" s="478"/>
      <c r="HD14" s="478"/>
      <c r="HE14" s="478"/>
      <c r="HF14" s="478"/>
      <c r="HG14" s="478"/>
      <c r="HH14" s="478"/>
      <c r="HI14" s="478"/>
      <c r="HJ14" s="478"/>
      <c r="HK14" s="478"/>
      <c r="HL14" s="478"/>
      <c r="HM14" s="478"/>
      <c r="HN14" s="478"/>
      <c r="HO14" s="478"/>
      <c r="HP14" s="478"/>
      <c r="HQ14" s="478"/>
      <c r="HR14" s="478"/>
      <c r="HS14" s="478"/>
      <c r="HT14" s="478"/>
      <c r="HU14" s="478"/>
      <c r="HV14" s="478"/>
      <c r="HW14" s="478"/>
      <c r="HX14" s="478"/>
      <c r="HY14" s="478"/>
      <c r="HZ14" s="478"/>
      <c r="IA14" s="478"/>
      <c r="IB14" s="478"/>
      <c r="IC14" s="478"/>
      <c r="ID14" s="478"/>
      <c r="IE14" s="478"/>
      <c r="IF14" s="478"/>
      <c r="IG14" s="478"/>
      <c r="IH14" s="478"/>
      <c r="II14" s="478"/>
      <c r="IJ14" s="478"/>
      <c r="IK14" s="478"/>
      <c r="IL14" s="478"/>
      <c r="IM14" s="478"/>
      <c r="IN14" s="478"/>
      <c r="IO14" s="478"/>
      <c r="IP14" s="478"/>
      <c r="IQ14" s="478"/>
      <c r="IR14" s="478"/>
      <c r="IS14" s="478"/>
      <c r="IT14" s="478"/>
      <c r="IU14" s="478"/>
      <c r="IV14" s="478"/>
    </row>
    <row r="15" spans="1:256" s="3" customFormat="1" ht="17.149999999999999" customHeight="1" x14ac:dyDescent="0.35">
      <c r="A15" s="478"/>
      <c r="B15" s="478"/>
      <c r="C15" s="478"/>
      <c r="D15" s="523"/>
      <c r="E15" s="53">
        <f>C6-E14</f>
        <v>-200</v>
      </c>
      <c r="F15" s="478"/>
      <c r="G15" s="478"/>
      <c r="H15" s="478"/>
      <c r="I15" s="478"/>
      <c r="J15" s="53">
        <f>I6-J14</f>
        <v>-200</v>
      </c>
      <c r="K15" s="478"/>
      <c r="L15" s="478"/>
      <c r="M15" s="478"/>
      <c r="N15" s="478"/>
      <c r="O15" s="478"/>
      <c r="P15" s="478"/>
      <c r="Q15" s="478"/>
      <c r="R15" s="478"/>
      <c r="S15" s="478"/>
      <c r="T15" s="53">
        <f>S6-T14</f>
        <v>-9.6993210475271319E-4</v>
      </c>
      <c r="U15" s="640"/>
      <c r="V15" s="478"/>
      <c r="W15" s="478"/>
      <c r="X15" s="478"/>
      <c r="Y15" s="478"/>
      <c r="Z15" s="478"/>
      <c r="AA15" s="478"/>
      <c r="AB15" s="478"/>
      <c r="AC15" s="478"/>
      <c r="AD15" s="478"/>
      <c r="AE15" s="478"/>
      <c r="AF15" s="478"/>
      <c r="AG15" s="478"/>
      <c r="AH15" s="478"/>
      <c r="AI15" s="478"/>
      <c r="AJ15" s="478"/>
      <c r="AK15" s="478"/>
      <c r="AL15" s="478"/>
      <c r="AM15" s="478"/>
      <c r="AN15" s="478"/>
      <c r="AO15" s="478"/>
      <c r="AP15" s="478"/>
      <c r="AQ15" s="478"/>
      <c r="AR15" s="478"/>
      <c r="AS15" s="478"/>
      <c r="AT15" s="478"/>
      <c r="AU15" s="478"/>
      <c r="AV15" s="478"/>
      <c r="AW15" s="478"/>
      <c r="AX15" s="478"/>
      <c r="AY15" s="478"/>
      <c r="AZ15" s="478"/>
      <c r="BA15" s="478"/>
      <c r="BB15" s="478"/>
      <c r="BC15" s="478"/>
      <c r="BD15" s="478"/>
      <c r="BE15" s="478"/>
      <c r="BF15" s="478"/>
      <c r="BG15" s="478"/>
      <c r="BH15" s="478"/>
      <c r="BI15" s="478"/>
      <c r="BJ15" s="478"/>
      <c r="BK15" s="478"/>
      <c r="BL15" s="478"/>
      <c r="BM15" s="478"/>
      <c r="BN15" s="478"/>
      <c r="BO15" s="478"/>
      <c r="BP15" s="478"/>
      <c r="BQ15" s="478"/>
      <c r="BR15" s="478"/>
      <c r="BS15" s="478"/>
      <c r="BT15" s="478"/>
      <c r="BU15" s="478"/>
      <c r="BV15" s="478"/>
      <c r="BW15" s="478"/>
      <c r="BX15" s="478"/>
      <c r="BY15" s="478"/>
      <c r="BZ15" s="478"/>
      <c r="CA15" s="478"/>
      <c r="CB15" s="478"/>
      <c r="CC15" s="478"/>
      <c r="CD15" s="478"/>
      <c r="CE15" s="478"/>
      <c r="CF15" s="478"/>
      <c r="CG15" s="478"/>
      <c r="CH15" s="478"/>
      <c r="CI15" s="478"/>
      <c r="CJ15" s="478"/>
      <c r="CK15" s="478"/>
      <c r="CL15" s="478"/>
      <c r="CM15" s="478"/>
      <c r="CN15" s="478"/>
      <c r="CO15" s="478"/>
      <c r="CP15" s="478"/>
      <c r="CQ15" s="478"/>
      <c r="CR15" s="478"/>
      <c r="CS15" s="478"/>
      <c r="CT15" s="478"/>
      <c r="CU15" s="478"/>
      <c r="CV15" s="478"/>
      <c r="CW15" s="478"/>
      <c r="CX15" s="478"/>
      <c r="CY15" s="478"/>
      <c r="CZ15" s="478"/>
      <c r="DA15" s="478"/>
      <c r="DB15" s="478"/>
      <c r="DC15" s="478"/>
      <c r="DD15" s="478"/>
      <c r="DE15" s="478"/>
      <c r="DF15" s="478"/>
      <c r="DG15" s="478"/>
      <c r="DH15" s="478"/>
      <c r="DI15" s="478"/>
      <c r="DJ15" s="478"/>
      <c r="DK15" s="478"/>
      <c r="DL15" s="478"/>
      <c r="DM15" s="478"/>
      <c r="DN15" s="478"/>
      <c r="DO15" s="478"/>
      <c r="DP15" s="478"/>
      <c r="DQ15" s="478"/>
      <c r="DR15" s="478"/>
      <c r="DS15" s="478"/>
      <c r="DT15" s="478"/>
      <c r="DU15" s="478"/>
      <c r="DV15" s="478"/>
      <c r="DW15" s="478"/>
      <c r="DX15" s="478"/>
      <c r="DY15" s="478"/>
      <c r="DZ15" s="478"/>
      <c r="EA15" s="478"/>
      <c r="EB15" s="478"/>
      <c r="EC15" s="478"/>
      <c r="ED15" s="478"/>
      <c r="EE15" s="478"/>
      <c r="EF15" s="478"/>
      <c r="EG15" s="478"/>
      <c r="EH15" s="478"/>
      <c r="EI15" s="478"/>
      <c r="EJ15" s="478"/>
      <c r="EK15" s="478"/>
      <c r="EL15" s="478"/>
      <c r="EM15" s="478"/>
      <c r="EN15" s="478"/>
      <c r="EO15" s="478"/>
      <c r="EP15" s="478"/>
      <c r="EQ15" s="478"/>
      <c r="ER15" s="478"/>
      <c r="ES15" s="478"/>
      <c r="ET15" s="478"/>
      <c r="EU15" s="478"/>
      <c r="EV15" s="478"/>
      <c r="EW15" s="478"/>
      <c r="EX15" s="478"/>
      <c r="EY15" s="478"/>
      <c r="EZ15" s="478"/>
      <c r="FA15" s="478"/>
      <c r="FB15" s="478"/>
      <c r="FC15" s="478"/>
      <c r="FD15" s="478"/>
      <c r="FE15" s="478"/>
      <c r="FF15" s="478"/>
      <c r="FG15" s="478"/>
      <c r="FH15" s="478"/>
      <c r="FI15" s="478"/>
      <c r="FJ15" s="478"/>
      <c r="FK15" s="478"/>
      <c r="FL15" s="478"/>
      <c r="FM15" s="478"/>
      <c r="FN15" s="478"/>
      <c r="FO15" s="478"/>
      <c r="FP15" s="478"/>
      <c r="FQ15" s="478"/>
      <c r="FR15" s="478"/>
      <c r="FS15" s="478"/>
      <c r="FT15" s="478"/>
      <c r="FU15" s="478"/>
      <c r="FV15" s="478"/>
      <c r="FW15" s="478"/>
      <c r="FX15" s="478"/>
      <c r="FY15" s="478"/>
      <c r="FZ15" s="478"/>
      <c r="GA15" s="478"/>
      <c r="GB15" s="478"/>
      <c r="GC15" s="478"/>
      <c r="GD15" s="478"/>
      <c r="GE15" s="478"/>
      <c r="GF15" s="478"/>
      <c r="GG15" s="478"/>
      <c r="GH15" s="478"/>
      <c r="GI15" s="478"/>
      <c r="GJ15" s="478"/>
      <c r="GK15" s="478"/>
      <c r="GL15" s="478"/>
      <c r="GM15" s="478"/>
      <c r="GN15" s="478"/>
      <c r="GO15" s="478"/>
      <c r="GP15" s="478"/>
      <c r="GQ15" s="478"/>
      <c r="GR15" s="478"/>
      <c r="GS15" s="478"/>
      <c r="GT15" s="478"/>
      <c r="GU15" s="478"/>
      <c r="GV15" s="478"/>
      <c r="GW15" s="478"/>
      <c r="GX15" s="478"/>
      <c r="GY15" s="478"/>
      <c r="GZ15" s="478"/>
      <c r="HA15" s="478"/>
      <c r="HB15" s="478"/>
      <c r="HC15" s="478"/>
      <c r="HD15" s="478"/>
      <c r="HE15" s="478"/>
      <c r="HF15" s="478"/>
      <c r="HG15" s="478"/>
      <c r="HH15" s="478"/>
      <c r="HI15" s="478"/>
      <c r="HJ15" s="478"/>
      <c r="HK15" s="478"/>
      <c r="HL15" s="478"/>
      <c r="HM15" s="478"/>
      <c r="HN15" s="478"/>
      <c r="HO15" s="478"/>
      <c r="HP15" s="478"/>
      <c r="HQ15" s="478"/>
      <c r="HR15" s="478"/>
      <c r="HS15" s="478"/>
      <c r="HT15" s="478"/>
      <c r="HU15" s="478"/>
      <c r="HV15" s="478"/>
      <c r="HW15" s="478"/>
      <c r="HX15" s="478"/>
      <c r="HY15" s="478"/>
      <c r="HZ15" s="478"/>
      <c r="IA15" s="478"/>
      <c r="IB15" s="478"/>
      <c r="IC15" s="478"/>
      <c r="ID15" s="478"/>
      <c r="IE15" s="478"/>
      <c r="IF15" s="478"/>
      <c r="IG15" s="478"/>
      <c r="IH15" s="478"/>
      <c r="II15" s="478"/>
      <c r="IJ15" s="478"/>
      <c r="IK15" s="478"/>
      <c r="IL15" s="478"/>
      <c r="IM15" s="478"/>
      <c r="IN15" s="478"/>
      <c r="IO15" s="478"/>
      <c r="IP15" s="478"/>
      <c r="IQ15" s="478"/>
      <c r="IR15" s="478"/>
      <c r="IS15" s="478"/>
      <c r="IT15" s="478"/>
      <c r="IU15" s="478"/>
      <c r="IV15" s="478"/>
    </row>
    <row r="16" spans="1:256" s="3" customFormat="1" ht="17.149999999999999" customHeight="1" x14ac:dyDescent="0.35">
      <c r="A16" s="478"/>
      <c r="B16" s="478"/>
      <c r="C16" s="478"/>
      <c r="D16" s="523"/>
      <c r="E16" s="171" t="str">
        <f>IF(E15=0,"OK","Not OK")</f>
        <v>Not OK</v>
      </c>
      <c r="F16" s="478"/>
      <c r="G16" s="478"/>
      <c r="H16" s="478"/>
      <c r="I16" s="478"/>
      <c r="J16" s="171" t="str">
        <f>IF(J15=0,"OK","Not OK")</f>
        <v>Not OK</v>
      </c>
      <c r="K16" s="478"/>
      <c r="L16" s="478"/>
      <c r="M16" s="478"/>
      <c r="N16" s="478"/>
      <c r="O16" s="478"/>
      <c r="P16" s="478"/>
      <c r="Q16" s="478"/>
      <c r="R16" s="478"/>
      <c r="S16" s="478"/>
      <c r="T16" s="171" t="str">
        <f>IF(T15=0,"OK","Not OK")</f>
        <v>Not OK</v>
      </c>
      <c r="U16" s="478"/>
      <c r="V16" s="478"/>
      <c r="W16" s="478"/>
      <c r="X16" s="478"/>
      <c r="Y16" s="478"/>
      <c r="Z16" s="478"/>
      <c r="AA16" s="478"/>
      <c r="AB16" s="478"/>
      <c r="AC16" s="478"/>
      <c r="AD16" s="478"/>
      <c r="AE16" s="478"/>
      <c r="AF16" s="478"/>
      <c r="AG16" s="478"/>
      <c r="AH16" s="478"/>
      <c r="AI16" s="478"/>
      <c r="AJ16" s="478"/>
      <c r="AK16" s="478"/>
      <c r="AL16" s="478"/>
      <c r="AM16" s="478"/>
      <c r="AN16" s="478"/>
      <c r="AO16" s="478"/>
      <c r="AP16" s="478"/>
      <c r="AQ16" s="478"/>
      <c r="AR16" s="478"/>
      <c r="AS16" s="478"/>
      <c r="AT16" s="478"/>
      <c r="AU16" s="478"/>
      <c r="AV16" s="478"/>
      <c r="AW16" s="478"/>
      <c r="AX16" s="478"/>
      <c r="AY16" s="478"/>
      <c r="AZ16" s="478"/>
      <c r="BA16" s="478"/>
      <c r="BB16" s="478"/>
      <c r="BC16" s="478"/>
      <c r="BD16" s="478"/>
      <c r="BE16" s="478"/>
      <c r="BF16" s="478"/>
      <c r="BG16" s="478"/>
      <c r="BH16" s="478"/>
      <c r="BI16" s="478"/>
      <c r="BJ16" s="478"/>
      <c r="BK16" s="478"/>
      <c r="BL16" s="478"/>
      <c r="BM16" s="478"/>
      <c r="BN16" s="478"/>
      <c r="BO16" s="478"/>
      <c r="BP16" s="478"/>
      <c r="BQ16" s="478"/>
      <c r="BR16" s="478"/>
      <c r="BS16" s="478"/>
      <c r="BT16" s="478"/>
      <c r="BU16" s="478"/>
      <c r="BV16" s="478"/>
      <c r="BW16" s="478"/>
      <c r="BX16" s="478"/>
      <c r="BY16" s="478"/>
      <c r="BZ16" s="478"/>
      <c r="CA16" s="478"/>
      <c r="CB16" s="478"/>
      <c r="CC16" s="478"/>
      <c r="CD16" s="478"/>
      <c r="CE16" s="478"/>
      <c r="CF16" s="478"/>
      <c r="CG16" s="478"/>
      <c r="CH16" s="478"/>
      <c r="CI16" s="478"/>
      <c r="CJ16" s="478"/>
      <c r="CK16" s="478"/>
      <c r="CL16" s="478"/>
      <c r="CM16" s="478"/>
      <c r="CN16" s="478"/>
      <c r="CO16" s="478"/>
      <c r="CP16" s="478"/>
      <c r="CQ16" s="478"/>
      <c r="CR16" s="478"/>
      <c r="CS16" s="478"/>
      <c r="CT16" s="478"/>
      <c r="CU16" s="478"/>
      <c r="CV16" s="478"/>
      <c r="CW16" s="478"/>
      <c r="CX16" s="478"/>
      <c r="CY16" s="478"/>
      <c r="CZ16" s="478"/>
      <c r="DA16" s="478"/>
      <c r="DB16" s="478"/>
      <c r="DC16" s="478"/>
      <c r="DD16" s="478"/>
      <c r="DE16" s="478"/>
      <c r="DF16" s="478"/>
      <c r="DG16" s="478"/>
      <c r="DH16" s="478"/>
      <c r="DI16" s="478"/>
      <c r="DJ16" s="478"/>
      <c r="DK16" s="478"/>
      <c r="DL16" s="478"/>
      <c r="DM16" s="478"/>
      <c r="DN16" s="478"/>
      <c r="DO16" s="478"/>
      <c r="DP16" s="478"/>
      <c r="DQ16" s="478"/>
      <c r="DR16" s="478"/>
      <c r="DS16" s="478"/>
      <c r="DT16" s="478"/>
      <c r="DU16" s="478"/>
      <c r="DV16" s="478"/>
      <c r="DW16" s="478"/>
      <c r="DX16" s="478"/>
      <c r="DY16" s="478"/>
      <c r="DZ16" s="478"/>
      <c r="EA16" s="478"/>
      <c r="EB16" s="478"/>
      <c r="EC16" s="478"/>
      <c r="ED16" s="478"/>
      <c r="EE16" s="478"/>
      <c r="EF16" s="478"/>
      <c r="EG16" s="478"/>
      <c r="EH16" s="478"/>
      <c r="EI16" s="478"/>
      <c r="EJ16" s="478"/>
      <c r="EK16" s="478"/>
      <c r="EL16" s="478"/>
      <c r="EM16" s="478"/>
      <c r="EN16" s="478"/>
      <c r="EO16" s="478"/>
      <c r="EP16" s="478"/>
      <c r="EQ16" s="478"/>
      <c r="ER16" s="478"/>
      <c r="ES16" s="478"/>
      <c r="ET16" s="478"/>
      <c r="EU16" s="478"/>
      <c r="EV16" s="478"/>
      <c r="EW16" s="478"/>
      <c r="EX16" s="478"/>
      <c r="EY16" s="478"/>
      <c r="EZ16" s="478"/>
      <c r="FA16" s="478"/>
      <c r="FB16" s="478"/>
      <c r="FC16" s="478"/>
      <c r="FD16" s="478"/>
      <c r="FE16" s="478"/>
      <c r="FF16" s="478"/>
      <c r="FG16" s="478"/>
      <c r="FH16" s="478"/>
      <c r="FI16" s="478"/>
      <c r="FJ16" s="478"/>
      <c r="FK16" s="478"/>
      <c r="FL16" s="478"/>
      <c r="FM16" s="478"/>
      <c r="FN16" s="478"/>
      <c r="FO16" s="478"/>
      <c r="FP16" s="478"/>
      <c r="FQ16" s="478"/>
      <c r="FR16" s="478"/>
      <c r="FS16" s="478"/>
      <c r="FT16" s="478"/>
      <c r="FU16" s="478"/>
      <c r="FV16" s="478"/>
      <c r="FW16" s="478"/>
      <c r="FX16" s="478"/>
      <c r="FY16" s="478"/>
      <c r="FZ16" s="478"/>
      <c r="GA16" s="478"/>
      <c r="GB16" s="478"/>
      <c r="GC16" s="478"/>
      <c r="GD16" s="478"/>
      <c r="GE16" s="478"/>
      <c r="GF16" s="478"/>
      <c r="GG16" s="478"/>
      <c r="GH16" s="478"/>
      <c r="GI16" s="478"/>
      <c r="GJ16" s="478"/>
      <c r="GK16" s="478"/>
      <c r="GL16" s="478"/>
      <c r="GM16" s="478"/>
      <c r="GN16" s="478"/>
      <c r="GO16" s="478"/>
      <c r="GP16" s="478"/>
      <c r="GQ16" s="478"/>
      <c r="GR16" s="478"/>
      <c r="GS16" s="478"/>
      <c r="GT16" s="478"/>
      <c r="GU16" s="478"/>
      <c r="GV16" s="478"/>
      <c r="GW16" s="478"/>
      <c r="GX16" s="478"/>
      <c r="GY16" s="478"/>
      <c r="GZ16" s="478"/>
      <c r="HA16" s="478"/>
      <c r="HB16" s="478"/>
      <c r="HC16" s="478"/>
      <c r="HD16" s="478"/>
      <c r="HE16" s="478"/>
      <c r="HF16" s="478"/>
      <c r="HG16" s="478"/>
      <c r="HH16" s="478"/>
      <c r="HI16" s="478"/>
      <c r="HJ16" s="478"/>
      <c r="HK16" s="478"/>
      <c r="HL16" s="478"/>
      <c r="HM16" s="478"/>
      <c r="HN16" s="478"/>
      <c r="HO16" s="478"/>
      <c r="HP16" s="478"/>
      <c r="HQ16" s="478"/>
      <c r="HR16" s="478"/>
      <c r="HS16" s="478"/>
      <c r="HT16" s="478"/>
      <c r="HU16" s="478"/>
      <c r="HV16" s="478"/>
      <c r="HW16" s="478"/>
      <c r="HX16" s="478"/>
      <c r="HY16" s="478"/>
      <c r="HZ16" s="478"/>
      <c r="IA16" s="478"/>
      <c r="IB16" s="478"/>
      <c r="IC16" s="478"/>
      <c r="ID16" s="478"/>
      <c r="IE16" s="478"/>
      <c r="IF16" s="478"/>
      <c r="IG16" s="478"/>
      <c r="IH16" s="478"/>
      <c r="II16" s="478"/>
      <c r="IJ16" s="478"/>
      <c r="IK16" s="478"/>
      <c r="IL16" s="478"/>
      <c r="IM16" s="478"/>
      <c r="IN16" s="478"/>
      <c r="IO16" s="478"/>
      <c r="IP16" s="478"/>
      <c r="IQ16" s="478"/>
      <c r="IR16" s="478"/>
      <c r="IS16" s="478"/>
      <c r="IT16" s="478"/>
      <c r="IU16" s="478"/>
      <c r="IV16" s="478"/>
    </row>
    <row r="17" spans="1:21" ht="20.149999999999999" customHeight="1" x14ac:dyDescent="0.35">
      <c r="A17" s="544"/>
      <c r="B17" s="544"/>
      <c r="C17" s="544"/>
      <c r="D17" s="708"/>
      <c r="E17" s="544"/>
      <c r="F17" s="544"/>
      <c r="G17" s="544"/>
      <c r="H17" s="544"/>
      <c r="I17" s="544"/>
      <c r="J17" s="544"/>
      <c r="K17" s="544"/>
      <c r="L17" s="544"/>
      <c r="M17" s="544"/>
      <c r="N17" s="544"/>
      <c r="O17" s="544"/>
      <c r="P17" s="544"/>
      <c r="Q17" s="544"/>
      <c r="R17" s="544"/>
      <c r="S17" s="544"/>
      <c r="T17" s="544"/>
      <c r="U17" s="544"/>
    </row>
    <row r="18" spans="1:21" ht="35.15" customHeight="1" x14ac:dyDescent="0.5">
      <c r="A18" s="544"/>
      <c r="B18" s="1532" t="s">
        <v>23</v>
      </c>
      <c r="C18" s="1532"/>
      <c r="D18" s="1532"/>
      <c r="E18" s="1532"/>
      <c r="F18" s="1532"/>
      <c r="G18" s="1532"/>
      <c r="H18" s="1532"/>
      <c r="I18" s="1532"/>
      <c r="J18" s="1532"/>
      <c r="K18" s="544"/>
      <c r="L18" s="544"/>
      <c r="M18" s="544"/>
      <c r="N18" s="544"/>
      <c r="O18" s="544"/>
      <c r="P18" s="544"/>
      <c r="Q18" s="544"/>
      <c r="R18" s="544"/>
      <c r="S18" s="544"/>
      <c r="T18" s="544"/>
      <c r="U18" s="544"/>
    </row>
    <row r="19" spans="1:21" ht="26.25" customHeight="1" x14ac:dyDescent="0.35">
      <c r="A19" s="544"/>
      <c r="B19" s="1533" t="str">
        <f>'User interface_RES'!AJ11</f>
        <v>Any city in , the world</v>
      </c>
      <c r="C19" s="1533"/>
      <c r="D19" s="1533"/>
      <c r="E19" s="1533"/>
      <c r="F19" s="1533"/>
      <c r="G19" s="1533"/>
      <c r="H19" s="1533"/>
      <c r="I19" s="1533"/>
      <c r="J19" s="1533"/>
      <c r="K19" s="544"/>
      <c r="L19" s="544"/>
      <c r="M19" s="544"/>
      <c r="N19" s="544"/>
      <c r="O19" s="544"/>
      <c r="P19" s="544"/>
      <c r="Q19" s="544"/>
      <c r="R19" s="544"/>
      <c r="S19" s="544"/>
      <c r="T19" s="544"/>
      <c r="U19" s="544"/>
    </row>
    <row r="20" spans="1:21" ht="20.149999999999999" customHeight="1" x14ac:dyDescent="0.35">
      <c r="A20" s="544"/>
      <c r="B20" s="544"/>
      <c r="C20" s="544"/>
      <c r="D20" s="708"/>
      <c r="E20" s="544"/>
      <c r="F20" s="544"/>
      <c r="G20" s="544"/>
      <c r="H20" s="544"/>
      <c r="I20" s="544"/>
      <c r="J20" s="544"/>
      <c r="K20" s="544"/>
      <c r="L20" s="544"/>
      <c r="M20" s="544"/>
      <c r="N20" s="544"/>
      <c r="O20" s="544"/>
      <c r="P20" s="544"/>
      <c r="Q20" s="544"/>
      <c r="R20" s="544"/>
      <c r="S20" s="544"/>
      <c r="T20" s="544"/>
      <c r="U20" s="544"/>
    </row>
    <row r="21" spans="1:21" ht="25" customHeight="1" x14ac:dyDescent="0.35">
      <c r="A21" s="544"/>
      <c r="B21" s="1535" t="s">
        <v>107</v>
      </c>
      <c r="C21" s="1535"/>
      <c r="D21" s="1535"/>
      <c r="E21" s="1535"/>
      <c r="F21" s="1535"/>
      <c r="G21" s="1535"/>
      <c r="H21" s="1535"/>
      <c r="I21" s="1535"/>
      <c r="J21" s="1535"/>
      <c r="K21" s="544"/>
      <c r="L21" s="544"/>
      <c r="M21" s="544"/>
      <c r="N21" s="544"/>
      <c r="O21" s="544"/>
      <c r="P21" s="544"/>
      <c r="Q21" s="544"/>
      <c r="R21" s="544"/>
      <c r="S21" s="544"/>
      <c r="T21" s="544"/>
      <c r="U21" s="544"/>
    </row>
    <row r="22" spans="1:21" ht="4" customHeight="1" x14ac:dyDescent="0.35">
      <c r="A22" s="544"/>
      <c r="B22" s="544"/>
      <c r="C22" s="544"/>
      <c r="D22" s="544"/>
      <c r="E22" s="544"/>
      <c r="F22" s="544"/>
      <c r="G22" s="544"/>
      <c r="H22" s="544"/>
      <c r="I22" s="544"/>
      <c r="J22" s="544"/>
      <c r="K22" s="544"/>
      <c r="L22" s="544"/>
      <c r="M22" s="544"/>
      <c r="N22" s="544"/>
      <c r="O22" s="544"/>
      <c r="P22" s="544"/>
      <c r="Q22" s="544"/>
      <c r="R22" s="544"/>
      <c r="S22" s="544"/>
      <c r="T22" s="544"/>
      <c r="U22" s="544"/>
    </row>
    <row r="23" spans="1:21" ht="20.149999999999999" customHeight="1" x14ac:dyDescent="0.35">
      <c r="A23" s="544"/>
      <c r="B23" s="162"/>
      <c r="C23" s="162"/>
      <c r="D23" s="163"/>
      <c r="E23" s="162"/>
      <c r="F23" s="162"/>
      <c r="G23" s="162"/>
      <c r="H23" s="162"/>
      <c r="I23" s="162"/>
      <c r="J23" s="162"/>
      <c r="K23" s="544"/>
      <c r="L23" s="544"/>
      <c r="M23" s="544"/>
      <c r="N23" s="544"/>
      <c r="O23" s="544"/>
      <c r="P23" s="544"/>
      <c r="Q23" s="544"/>
      <c r="R23" s="544"/>
      <c r="S23" s="544"/>
      <c r="T23" s="544"/>
      <c r="U23" s="544"/>
    </row>
    <row r="24" spans="1:21" ht="20.149999999999999" customHeight="1" x14ac:dyDescent="0.35">
      <c r="A24" s="544"/>
      <c r="B24" s="162"/>
      <c r="C24" s="162"/>
      <c r="D24" s="163"/>
      <c r="E24" s="162"/>
      <c r="F24" s="162"/>
      <c r="G24" s="162"/>
      <c r="H24" s="162"/>
      <c r="I24" s="162"/>
      <c r="J24" s="162"/>
      <c r="K24" s="544"/>
      <c r="L24" s="544"/>
      <c r="M24" s="544"/>
      <c r="N24" s="544"/>
      <c r="O24" s="544"/>
      <c r="P24" s="544"/>
      <c r="Q24" s="544"/>
      <c r="R24" s="544"/>
      <c r="S24" s="544"/>
      <c r="T24" s="544"/>
      <c r="U24" s="544"/>
    </row>
    <row r="25" spans="1:21" ht="20.149999999999999" customHeight="1" x14ac:dyDescent="0.35">
      <c r="A25" s="544"/>
      <c r="B25" s="162"/>
      <c r="C25" s="162"/>
      <c r="D25" s="163"/>
      <c r="E25" s="162"/>
      <c r="F25" s="162"/>
      <c r="G25" s="162"/>
      <c r="H25" s="162"/>
      <c r="I25" s="162"/>
      <c r="J25" s="162"/>
      <c r="K25" s="544"/>
      <c r="L25" s="544"/>
      <c r="M25" s="544"/>
      <c r="N25" s="544"/>
      <c r="O25" s="544"/>
      <c r="P25" s="544"/>
      <c r="Q25" s="544"/>
      <c r="R25" s="544"/>
      <c r="S25" s="544"/>
      <c r="T25" s="544"/>
      <c r="U25" s="544"/>
    </row>
    <row r="26" spans="1:21" ht="20.149999999999999" customHeight="1" x14ac:dyDescent="0.35">
      <c r="A26" s="544"/>
      <c r="B26" s="162"/>
      <c r="C26" s="162"/>
      <c r="D26" s="163"/>
      <c r="E26" s="162"/>
      <c r="F26" s="162"/>
      <c r="G26" s="162"/>
      <c r="H26" s="162"/>
      <c r="I26" s="162"/>
      <c r="J26" s="162"/>
      <c r="K26" s="544"/>
      <c r="L26" s="544"/>
      <c r="M26" s="544"/>
      <c r="N26" s="544"/>
      <c r="O26" s="544"/>
      <c r="P26" s="544"/>
      <c r="Q26" s="544"/>
      <c r="R26" s="544"/>
      <c r="S26" s="544"/>
      <c r="T26" s="544"/>
      <c r="U26" s="544"/>
    </row>
    <row r="27" spans="1:21" ht="20.149999999999999" customHeight="1" x14ac:dyDescent="0.35">
      <c r="A27" s="544"/>
      <c r="B27" s="162"/>
      <c r="C27" s="162"/>
      <c r="D27" s="163"/>
      <c r="E27" s="162"/>
      <c r="F27" s="162"/>
      <c r="G27" s="162"/>
      <c r="H27" s="162"/>
      <c r="I27" s="162"/>
      <c r="J27" s="162"/>
      <c r="K27" s="544"/>
      <c r="L27" s="544"/>
      <c r="M27" s="544"/>
      <c r="N27" s="544"/>
      <c r="O27" s="544"/>
      <c r="P27" s="544"/>
      <c r="Q27" s="544"/>
      <c r="R27" s="544"/>
      <c r="S27" s="544"/>
      <c r="T27" s="544"/>
      <c r="U27" s="544"/>
    </row>
    <row r="28" spans="1:21" ht="20.149999999999999" customHeight="1" x14ac:dyDescent="0.35">
      <c r="A28" s="544"/>
      <c r="B28" s="162"/>
      <c r="C28" s="162"/>
      <c r="D28" s="163"/>
      <c r="E28" s="162"/>
      <c r="F28" s="162"/>
      <c r="G28" s="162"/>
      <c r="H28" s="162"/>
      <c r="I28" s="162"/>
      <c r="J28" s="162"/>
      <c r="K28" s="544"/>
      <c r="L28" s="544"/>
      <c r="M28" s="544"/>
      <c r="N28" s="544"/>
      <c r="O28" s="544"/>
      <c r="P28" s="544"/>
      <c r="Q28" s="544"/>
      <c r="R28" s="544"/>
      <c r="S28" s="544"/>
      <c r="T28" s="544"/>
      <c r="U28" s="544"/>
    </row>
    <row r="29" spans="1:21" ht="20.149999999999999" customHeight="1" x14ac:dyDescent="0.35">
      <c r="A29" s="544"/>
      <c r="B29" s="162"/>
      <c r="C29" s="162"/>
      <c r="D29" s="163"/>
      <c r="E29" s="162"/>
      <c r="F29" s="162"/>
      <c r="G29" s="162"/>
      <c r="H29" s="162"/>
      <c r="I29" s="162"/>
      <c r="J29" s="162"/>
      <c r="K29" s="544"/>
      <c r="L29" s="544"/>
      <c r="M29" s="544"/>
      <c r="N29" s="544"/>
      <c r="O29" s="544"/>
      <c r="P29" s="544"/>
      <c r="Q29" s="544"/>
      <c r="R29" s="544"/>
      <c r="S29" s="544"/>
      <c r="T29" s="544"/>
      <c r="U29" s="544"/>
    </row>
    <row r="30" spans="1:21" ht="20.149999999999999" customHeight="1" x14ac:dyDescent="0.35">
      <c r="A30" s="544"/>
      <c r="B30" s="162"/>
      <c r="C30" s="162"/>
      <c r="D30" s="163"/>
      <c r="E30" s="162"/>
      <c r="F30" s="162"/>
      <c r="G30" s="162"/>
      <c r="H30" s="162"/>
      <c r="I30" s="162"/>
      <c r="J30" s="162"/>
      <c r="K30" s="544"/>
      <c r="L30" s="544"/>
      <c r="M30" s="544"/>
      <c r="N30" s="544"/>
      <c r="O30" s="544"/>
      <c r="P30" s="544"/>
      <c r="Q30" s="544"/>
      <c r="R30" s="544"/>
      <c r="S30" s="544"/>
      <c r="T30" s="544"/>
      <c r="U30" s="544"/>
    </row>
    <row r="31" spans="1:21" ht="20.149999999999999" customHeight="1" x14ac:dyDescent="0.35">
      <c r="A31" s="544"/>
      <c r="B31" s="162"/>
      <c r="C31" s="162"/>
      <c r="D31" s="163"/>
      <c r="E31" s="162"/>
      <c r="F31" s="162"/>
      <c r="G31" s="162"/>
      <c r="H31" s="162"/>
      <c r="I31" s="162"/>
      <c r="J31" s="162"/>
      <c r="K31" s="544"/>
      <c r="L31" s="544"/>
      <c r="M31" s="544"/>
      <c r="N31" s="544"/>
      <c r="O31" s="544"/>
      <c r="P31" s="544"/>
      <c r="Q31" s="544"/>
      <c r="R31" s="544"/>
      <c r="S31" s="544"/>
      <c r="T31" s="544"/>
      <c r="U31" s="544"/>
    </row>
    <row r="32" spans="1:21" ht="20.149999999999999" customHeight="1" x14ac:dyDescent="0.35">
      <c r="A32" s="544"/>
      <c r="B32" s="162"/>
      <c r="C32" s="162"/>
      <c r="D32" s="163"/>
      <c r="E32" s="162"/>
      <c r="F32" s="162"/>
      <c r="G32" s="162"/>
      <c r="H32" s="162"/>
      <c r="I32" s="162"/>
      <c r="J32" s="162"/>
      <c r="K32" s="544"/>
      <c r="L32" s="544"/>
      <c r="M32" s="544"/>
      <c r="N32" s="544"/>
      <c r="O32" s="544"/>
      <c r="P32" s="544"/>
      <c r="Q32" s="544"/>
      <c r="R32" s="544"/>
      <c r="S32" s="544"/>
      <c r="T32" s="544"/>
      <c r="U32" s="544"/>
    </row>
    <row r="33" spans="1:31" ht="20.149999999999999" customHeight="1" x14ac:dyDescent="0.35">
      <c r="A33" s="544"/>
      <c r="B33" s="162"/>
      <c r="C33" s="162"/>
      <c r="D33" s="163"/>
      <c r="E33" s="162"/>
      <c r="F33" s="162"/>
      <c r="G33" s="162"/>
      <c r="H33" s="162"/>
      <c r="I33" s="162"/>
      <c r="J33" s="162"/>
      <c r="K33" s="544"/>
      <c r="L33" s="544"/>
      <c r="M33" s="549"/>
      <c r="N33" s="549"/>
      <c r="O33" s="544"/>
      <c r="P33" s="544"/>
      <c r="Q33" s="544"/>
      <c r="R33" s="544"/>
      <c r="S33" s="544"/>
      <c r="T33" s="544"/>
      <c r="U33" s="544"/>
    </row>
    <row r="34" spans="1:31" ht="20.149999999999999" customHeight="1" x14ac:dyDescent="0.35">
      <c r="A34" s="544"/>
      <c r="B34" s="162"/>
      <c r="C34" s="162"/>
      <c r="D34" s="163"/>
      <c r="E34" s="162"/>
      <c r="F34" s="162"/>
      <c r="G34" s="162"/>
      <c r="H34" s="162"/>
      <c r="I34" s="162"/>
      <c r="J34" s="162"/>
      <c r="K34" s="544"/>
      <c r="L34" s="544"/>
      <c r="M34" s="549"/>
      <c r="N34" s="549"/>
      <c r="O34" s="544"/>
      <c r="P34" s="544"/>
      <c r="Q34" s="544"/>
      <c r="R34" s="544"/>
      <c r="S34" s="544"/>
      <c r="T34" s="544"/>
      <c r="U34" s="544"/>
    </row>
    <row r="35" spans="1:31" ht="20.149999999999999" customHeight="1" x14ac:dyDescent="0.35">
      <c r="A35" s="544"/>
      <c r="B35" s="162"/>
      <c r="C35" s="162"/>
      <c r="D35" s="163"/>
      <c r="E35" s="162"/>
      <c r="F35" s="162"/>
      <c r="G35" s="162"/>
      <c r="H35" s="162"/>
      <c r="I35" s="162"/>
      <c r="J35" s="162"/>
      <c r="K35" s="544"/>
      <c r="L35" s="544"/>
      <c r="M35" s="549"/>
      <c r="N35" s="549"/>
      <c r="O35" s="544"/>
      <c r="P35" s="544"/>
      <c r="Q35" s="544"/>
      <c r="R35" s="544"/>
      <c r="S35" s="544"/>
      <c r="T35" s="544"/>
      <c r="U35" s="544"/>
    </row>
    <row r="36" spans="1:31" ht="20.149999999999999" customHeight="1" x14ac:dyDescent="0.35">
      <c r="A36" s="544"/>
      <c r="B36" s="162"/>
      <c r="C36" s="162"/>
      <c r="D36" s="163"/>
      <c r="E36" s="162"/>
      <c r="F36" s="162"/>
      <c r="G36" s="162"/>
      <c r="H36" s="162"/>
      <c r="I36" s="162"/>
      <c r="J36" s="162"/>
      <c r="K36" s="544"/>
      <c r="L36" s="544"/>
      <c r="M36" s="549"/>
      <c r="N36" s="549"/>
      <c r="O36" s="544"/>
      <c r="P36" s="544"/>
      <c r="Q36" s="544"/>
      <c r="R36" s="544"/>
      <c r="S36" s="544"/>
      <c r="T36" s="544"/>
      <c r="U36" s="544"/>
    </row>
    <row r="37" spans="1:31" ht="20.149999999999999" customHeight="1" x14ac:dyDescent="0.35">
      <c r="A37" s="544"/>
      <c r="B37" s="162"/>
      <c r="C37" s="162"/>
      <c r="D37" s="163"/>
      <c r="E37" s="162"/>
      <c r="F37" s="162"/>
      <c r="G37" s="162"/>
      <c r="H37" s="162"/>
      <c r="I37" s="162"/>
      <c r="J37" s="162"/>
      <c r="K37" s="544"/>
      <c r="L37" s="544"/>
      <c r="M37" s="544"/>
      <c r="N37" s="544"/>
      <c r="O37" s="544"/>
      <c r="P37" s="544"/>
      <c r="Q37" s="544"/>
      <c r="R37" s="544"/>
      <c r="S37" s="544"/>
      <c r="T37" s="544"/>
      <c r="U37" s="544"/>
    </row>
    <row r="38" spans="1:31" ht="20.149999999999999" customHeight="1" x14ac:dyDescent="0.35">
      <c r="A38" s="544"/>
      <c r="B38" s="162"/>
      <c r="C38" s="162"/>
      <c r="D38" s="163"/>
      <c r="E38" s="162"/>
      <c r="F38" s="162"/>
      <c r="G38" s="162"/>
      <c r="H38" s="162"/>
      <c r="I38" s="162"/>
      <c r="J38" s="162"/>
      <c r="K38" s="544"/>
      <c r="L38" s="544"/>
      <c r="M38" s="544"/>
      <c r="N38" s="544"/>
      <c r="O38" s="544"/>
      <c r="P38" s="544"/>
      <c r="Q38" s="544"/>
      <c r="R38" s="544"/>
      <c r="S38" s="544"/>
      <c r="T38" s="544"/>
      <c r="U38" s="544"/>
    </row>
    <row r="39" spans="1:31" ht="20.149999999999999" customHeight="1" x14ac:dyDescent="0.35">
      <c r="A39" s="544"/>
      <c r="B39" s="162"/>
      <c r="C39" s="162"/>
      <c r="D39" s="163"/>
      <c r="E39" s="162"/>
      <c r="F39" s="162"/>
      <c r="G39" s="162"/>
      <c r="H39" s="162"/>
      <c r="I39" s="162"/>
      <c r="J39" s="162"/>
      <c r="K39" s="544"/>
      <c r="L39" s="544"/>
      <c r="M39" s="544"/>
      <c r="N39" s="544"/>
      <c r="O39" s="544"/>
      <c r="P39" s="544"/>
      <c r="Q39" s="544"/>
      <c r="R39" s="544"/>
      <c r="S39" s="544"/>
      <c r="T39" s="544"/>
      <c r="U39" s="544"/>
    </row>
    <row r="40" spans="1:31" ht="20.149999999999999" customHeight="1" x14ac:dyDescent="0.35">
      <c r="A40" s="544"/>
      <c r="B40" s="162"/>
      <c r="C40" s="162"/>
      <c r="D40" s="163"/>
      <c r="E40" s="162"/>
      <c r="F40" s="162"/>
      <c r="G40" s="162"/>
      <c r="H40" s="162"/>
      <c r="I40" s="162"/>
      <c r="J40" s="162"/>
      <c r="K40" s="544"/>
      <c r="L40" s="544"/>
      <c r="M40" s="549"/>
      <c r="N40" s="549"/>
      <c r="O40" s="551"/>
      <c r="P40" s="549"/>
      <c r="Q40" s="549"/>
      <c r="R40" s="551"/>
      <c r="S40" s="549"/>
      <c r="T40" s="549"/>
      <c r="U40" s="551"/>
      <c r="V40" s="549"/>
      <c r="W40" s="549"/>
      <c r="X40" s="551"/>
      <c r="Y40" s="549"/>
      <c r="Z40" s="549"/>
      <c r="AA40" s="551"/>
      <c r="AB40" s="549"/>
      <c r="AC40" s="549"/>
      <c r="AD40" s="549"/>
      <c r="AE40" s="549"/>
    </row>
    <row r="41" spans="1:31" ht="20.149999999999999" customHeight="1" x14ac:dyDescent="0.35">
      <c r="A41" s="544"/>
      <c r="B41" s="162"/>
      <c r="C41" s="162"/>
      <c r="D41" s="163"/>
      <c r="E41" s="162"/>
      <c r="F41" s="162"/>
      <c r="G41" s="162"/>
      <c r="H41" s="162"/>
      <c r="I41" s="162"/>
      <c r="J41" s="162"/>
      <c r="K41" s="544"/>
      <c r="L41" s="544"/>
      <c r="M41" s="704"/>
      <c r="N41" s="549"/>
      <c r="O41" s="549"/>
      <c r="P41" s="704"/>
      <c r="Q41" s="549"/>
      <c r="R41" s="549"/>
      <c r="S41" s="704"/>
      <c r="T41" s="549"/>
      <c r="U41" s="549"/>
      <c r="V41" s="704"/>
      <c r="W41" s="549"/>
      <c r="X41" s="549"/>
      <c r="Y41" s="704"/>
      <c r="Z41" s="549"/>
      <c r="AA41" s="549"/>
      <c r="AB41" s="704"/>
      <c r="AC41" s="549"/>
      <c r="AD41" s="549"/>
      <c r="AE41" s="549"/>
    </row>
    <row r="42" spans="1:31" ht="20.149999999999999" customHeight="1" x14ac:dyDescent="0.35">
      <c r="A42" s="544"/>
      <c r="B42" s="162"/>
      <c r="C42" s="162"/>
      <c r="D42" s="163"/>
      <c r="E42" s="162"/>
      <c r="F42" s="162"/>
      <c r="G42" s="162"/>
      <c r="H42" s="162"/>
      <c r="I42" s="162"/>
      <c r="J42" s="162"/>
      <c r="K42" s="544"/>
      <c r="L42" s="544"/>
      <c r="M42" s="549"/>
      <c r="N42" s="549"/>
      <c r="O42" s="549"/>
      <c r="P42" s="704"/>
      <c r="Q42" s="549"/>
      <c r="R42" s="549"/>
      <c r="S42" s="705"/>
      <c r="T42" s="549"/>
      <c r="U42" s="549"/>
      <c r="V42" s="705"/>
      <c r="W42" s="549"/>
      <c r="X42" s="549"/>
      <c r="Y42" s="705"/>
      <c r="Z42" s="549"/>
      <c r="AA42" s="549"/>
      <c r="AB42" s="705"/>
      <c r="AC42" s="549"/>
      <c r="AD42" s="549"/>
      <c r="AE42" s="549"/>
    </row>
    <row r="43" spans="1:31" ht="20.149999999999999" customHeight="1" x14ac:dyDescent="0.35">
      <c r="A43" s="544"/>
      <c r="B43" s="162"/>
      <c r="C43" s="162"/>
      <c r="D43" s="163"/>
      <c r="E43" s="162"/>
      <c r="F43" s="162"/>
      <c r="G43" s="162"/>
      <c r="H43" s="162"/>
      <c r="I43" s="162"/>
      <c r="J43" s="162"/>
      <c r="K43" s="544"/>
      <c r="L43" s="544"/>
      <c r="M43" s="549"/>
      <c r="N43" s="549"/>
      <c r="O43" s="549"/>
      <c r="P43" s="705"/>
      <c r="Q43" s="549"/>
      <c r="R43" s="549"/>
      <c r="S43" s="705"/>
      <c r="T43" s="549"/>
      <c r="U43" s="549"/>
      <c r="V43" s="705"/>
      <c r="W43" s="549"/>
      <c r="X43" s="549"/>
      <c r="Y43" s="705"/>
      <c r="Z43" s="549"/>
      <c r="AA43" s="549"/>
      <c r="AB43" s="705"/>
      <c r="AC43" s="549"/>
      <c r="AD43" s="549"/>
      <c r="AE43" s="549"/>
    </row>
    <row r="44" spans="1:31" ht="25" customHeight="1" x14ac:dyDescent="0.35">
      <c r="A44" s="544"/>
      <c r="B44" s="544"/>
      <c r="C44" s="544"/>
      <c r="D44" s="708"/>
      <c r="E44" s="544"/>
      <c r="F44" s="544"/>
      <c r="G44" s="544"/>
      <c r="H44" s="544"/>
      <c r="I44" s="544"/>
      <c r="J44" s="544"/>
      <c r="K44" s="544"/>
      <c r="L44" s="544"/>
      <c r="M44" s="549"/>
      <c r="N44" s="549"/>
      <c r="O44" s="549"/>
      <c r="P44" s="705"/>
      <c r="Q44" s="549"/>
      <c r="R44" s="549"/>
      <c r="S44" s="705"/>
      <c r="T44" s="549"/>
      <c r="U44" s="549"/>
      <c r="V44" s="705"/>
      <c r="W44" s="549"/>
      <c r="X44" s="549"/>
      <c r="Y44" s="705"/>
      <c r="Z44" s="549"/>
      <c r="AA44" s="549"/>
      <c r="AB44" s="704"/>
      <c r="AC44" s="549"/>
      <c r="AD44" s="549"/>
      <c r="AE44" s="549"/>
    </row>
    <row r="45" spans="1:31" ht="25" customHeight="1" x14ac:dyDescent="0.35">
      <c r="A45" s="544"/>
      <c r="B45" s="1535" t="s">
        <v>108</v>
      </c>
      <c r="C45" s="1535"/>
      <c r="D45" s="1535"/>
      <c r="E45" s="1535"/>
      <c r="F45" s="1535"/>
      <c r="G45" s="1535"/>
      <c r="H45" s="1535"/>
      <c r="I45" s="1535"/>
      <c r="J45" s="1535"/>
      <c r="K45" s="544"/>
      <c r="L45" s="544"/>
      <c r="M45" s="549"/>
      <c r="N45" s="549"/>
      <c r="O45" s="549"/>
      <c r="P45" s="705"/>
      <c r="Q45" s="549"/>
      <c r="R45" s="549"/>
      <c r="S45" s="705"/>
      <c r="T45" s="549"/>
      <c r="U45" s="549"/>
      <c r="V45" s="705"/>
      <c r="W45" s="549"/>
      <c r="X45" s="549"/>
      <c r="Y45" s="705"/>
      <c r="Z45" s="549"/>
      <c r="AA45" s="549"/>
      <c r="AB45" s="704"/>
      <c r="AC45" s="549"/>
      <c r="AD45" s="549"/>
      <c r="AE45" s="549"/>
    </row>
    <row r="46" spans="1:31" ht="4" customHeight="1" thickBot="1" x14ac:dyDescent="0.4">
      <c r="A46" s="544"/>
      <c r="B46" s="643"/>
      <c r="C46" s="643"/>
      <c r="D46" s="715"/>
      <c r="E46" s="643"/>
      <c r="F46" s="643"/>
      <c r="G46" s="643"/>
      <c r="H46" s="643"/>
      <c r="I46" s="643"/>
      <c r="J46" s="643"/>
      <c r="K46" s="544"/>
      <c r="L46" s="544"/>
      <c r="M46" s="549"/>
      <c r="N46" s="549"/>
      <c r="O46" s="549"/>
      <c r="P46" s="549"/>
      <c r="Q46" s="549"/>
      <c r="R46" s="549"/>
      <c r="S46" s="704"/>
      <c r="T46" s="549"/>
      <c r="U46" s="549"/>
      <c r="V46" s="704"/>
      <c r="W46" s="549"/>
      <c r="X46" s="549"/>
      <c r="Y46" s="549"/>
      <c r="Z46" s="549"/>
      <c r="AA46" s="549"/>
      <c r="AB46" s="549"/>
      <c r="AC46" s="549"/>
      <c r="AD46" s="549"/>
      <c r="AE46" s="549"/>
    </row>
    <row r="47" spans="1:31" ht="23.15" customHeight="1" thickTop="1" thickBot="1" x14ac:dyDescent="0.4">
      <c r="A47" s="544"/>
      <c r="B47" s="1191"/>
      <c r="C47" s="1190" t="s">
        <v>13</v>
      </c>
      <c r="D47" s="1190" t="s">
        <v>14</v>
      </c>
      <c r="E47" s="1190" t="s">
        <v>16</v>
      </c>
      <c r="F47" s="1190" t="s">
        <v>18</v>
      </c>
      <c r="G47" s="1190" t="s">
        <v>19</v>
      </c>
      <c r="H47" s="1190" t="s">
        <v>20</v>
      </c>
      <c r="I47" s="1190" t="s">
        <v>21</v>
      </c>
      <c r="J47" s="1190" t="s">
        <v>22</v>
      </c>
      <c r="K47" s="544"/>
      <c r="L47" s="544"/>
      <c r="M47" s="549"/>
      <c r="N47" s="549"/>
      <c r="O47" s="549"/>
      <c r="P47" s="705"/>
      <c r="Q47" s="549"/>
      <c r="R47" s="549"/>
      <c r="S47" s="705"/>
      <c r="T47" s="549"/>
      <c r="U47" s="549"/>
      <c r="V47" s="705"/>
      <c r="W47" s="549"/>
      <c r="X47" s="549"/>
      <c r="Y47" s="705"/>
      <c r="Z47" s="549"/>
      <c r="AA47" s="549"/>
      <c r="AB47" s="704"/>
      <c r="AC47" s="549"/>
      <c r="AD47" s="549"/>
      <c r="AE47" s="549"/>
    </row>
    <row r="48" spans="1:31" ht="23.15" customHeight="1" thickTop="1" thickBot="1" x14ac:dyDescent="0.4">
      <c r="A48" s="544"/>
      <c r="B48" s="1195" t="s">
        <v>26</v>
      </c>
      <c r="C48" s="1181">
        <f>C6</f>
        <v>206200</v>
      </c>
      <c r="D48" s="1181">
        <f>C7</f>
        <v>206200</v>
      </c>
      <c r="E48" s="1181">
        <f>C8</f>
        <v>186175</v>
      </c>
      <c r="F48" s="1181">
        <f>C9</f>
        <v>183925</v>
      </c>
      <c r="G48" s="1181">
        <f>C10</f>
        <v>184125</v>
      </c>
      <c r="H48" s="1181">
        <f>C11</f>
        <v>32600</v>
      </c>
      <c r="I48" s="1181">
        <f>C12</f>
        <v>32600</v>
      </c>
      <c r="J48" s="1181">
        <f>C13</f>
        <v>0</v>
      </c>
      <c r="K48" s="544"/>
      <c r="L48" s="544"/>
      <c r="M48" s="549"/>
      <c r="N48" s="549"/>
      <c r="O48" s="549"/>
      <c r="P48" s="705"/>
      <c r="Q48" s="549"/>
      <c r="R48" s="549"/>
      <c r="S48" s="705"/>
      <c r="T48" s="549"/>
      <c r="U48" s="549"/>
      <c r="V48" s="705"/>
      <c r="W48" s="549"/>
      <c r="X48" s="549"/>
      <c r="Y48" s="705"/>
      <c r="Z48" s="549"/>
      <c r="AA48" s="549"/>
      <c r="AB48" s="704"/>
      <c r="AC48" s="549"/>
      <c r="AD48" s="549"/>
      <c r="AE48" s="549"/>
    </row>
    <row r="49" spans="1:31" ht="23.15" customHeight="1" thickTop="1" thickBot="1" x14ac:dyDescent="0.4">
      <c r="A49" s="544"/>
      <c r="B49" s="1195" t="s">
        <v>27</v>
      </c>
      <c r="C49" s="1182">
        <f>Q7</f>
        <v>1</v>
      </c>
      <c r="D49" s="1182">
        <f>Q7</f>
        <v>1</v>
      </c>
      <c r="E49" s="1182">
        <f>Q8</f>
        <v>0.90288554801163923</v>
      </c>
      <c r="F49" s="1182">
        <f>Q9</f>
        <v>0.8919738118331717</v>
      </c>
      <c r="G49" s="1182">
        <f>Q10</f>
        <v>0.89294374393792431</v>
      </c>
      <c r="H49" s="1182">
        <f>Q11</f>
        <v>0.15809893307468478</v>
      </c>
      <c r="I49" s="1182">
        <f>Q12</f>
        <v>0.15809893307468478</v>
      </c>
      <c r="J49" s="1182">
        <f>Q13</f>
        <v>0</v>
      </c>
      <c r="K49" s="544"/>
      <c r="L49" s="544"/>
      <c r="M49" s="549"/>
      <c r="N49" s="549"/>
      <c r="O49" s="549"/>
      <c r="P49" s="705"/>
      <c r="Q49" s="549"/>
      <c r="R49" s="549"/>
      <c r="S49" s="705"/>
      <c r="T49" s="549"/>
      <c r="U49" s="549"/>
      <c r="V49" s="705"/>
      <c r="W49" s="549"/>
      <c r="X49" s="549"/>
      <c r="Y49" s="705"/>
      <c r="Z49" s="549"/>
      <c r="AA49" s="549"/>
      <c r="AB49" s="704"/>
      <c r="AC49" s="549"/>
      <c r="AD49" s="549"/>
      <c r="AE49" s="549"/>
    </row>
    <row r="50" spans="1:31" ht="23.15" customHeight="1" thickTop="1" thickBot="1" x14ac:dyDescent="0.4">
      <c r="A50" s="544"/>
      <c r="B50" s="1196" t="s">
        <v>28</v>
      </c>
      <c r="C50" s="1183"/>
      <c r="D50" s="1184">
        <f>S7</f>
        <v>0.90288554801163923</v>
      </c>
      <c r="E50" s="1184">
        <f>S8</f>
        <v>0.8919738118331717</v>
      </c>
      <c r="F50" s="1184">
        <f>S9</f>
        <v>0.8919738118331717</v>
      </c>
      <c r="G50" s="1184">
        <f>S10</f>
        <v>0.15809893307468476</v>
      </c>
      <c r="H50" s="1184">
        <f>S11</f>
        <v>5.5334626576139669E-2</v>
      </c>
      <c r="I50" s="1184">
        <f>S12</f>
        <v>5.5334626576139669E-2</v>
      </c>
      <c r="J50" s="1184">
        <f>S13</f>
        <v>0</v>
      </c>
      <c r="K50" s="544"/>
      <c r="L50" s="544"/>
      <c r="M50" s="549"/>
      <c r="N50" s="549"/>
      <c r="O50" s="549"/>
      <c r="P50" s="705"/>
      <c r="Q50" s="549"/>
      <c r="R50" s="549"/>
      <c r="S50" s="705"/>
      <c r="T50" s="549"/>
      <c r="U50" s="549"/>
      <c r="V50" s="705"/>
      <c r="W50" s="549"/>
      <c r="X50" s="549"/>
      <c r="Y50" s="705"/>
      <c r="Z50" s="549"/>
      <c r="AA50" s="549"/>
      <c r="AB50" s="704"/>
      <c r="AC50" s="549"/>
      <c r="AD50" s="549"/>
      <c r="AE50" s="549"/>
    </row>
    <row r="51" spans="1:31" ht="23.15" customHeight="1" thickTop="1" thickBot="1" x14ac:dyDescent="0.4">
      <c r="A51" s="544"/>
      <c r="B51" s="1197" t="s">
        <v>29</v>
      </c>
      <c r="C51" s="1183"/>
      <c r="D51" s="1185">
        <f>T7</f>
        <v>9.7114451988360814E-2</v>
      </c>
      <c r="E51" s="1185">
        <f>T8</f>
        <v>1.0911736178467508E-2</v>
      </c>
      <c r="F51" s="1185">
        <f>T9</f>
        <v>0</v>
      </c>
      <c r="G51" s="1185">
        <f>T10</f>
        <v>0.73484481086323961</v>
      </c>
      <c r="H51" s="1185">
        <f>T11</f>
        <v>0.10276430649854511</v>
      </c>
      <c r="I51" s="1185">
        <f>T12</f>
        <v>0.10276430649854511</v>
      </c>
      <c r="J51" s="1185">
        <f>T13</f>
        <v>0</v>
      </c>
      <c r="K51" s="544"/>
      <c r="L51" s="544"/>
      <c r="M51" s="549"/>
      <c r="N51" s="549"/>
      <c r="O51" s="549"/>
      <c r="P51" s="705"/>
      <c r="Q51" s="549"/>
      <c r="R51" s="549"/>
      <c r="S51" s="705"/>
      <c r="T51" s="549"/>
      <c r="U51" s="549"/>
      <c r="V51" s="705"/>
      <c r="W51" s="549"/>
      <c r="X51" s="549"/>
      <c r="Y51" s="705"/>
      <c r="Z51" s="549"/>
      <c r="AA51" s="549"/>
      <c r="AB51" s="704"/>
      <c r="AC51" s="549"/>
      <c r="AD51" s="549"/>
      <c r="AE51" s="549"/>
    </row>
    <row r="52" spans="1:31" ht="25" customHeight="1" thickTop="1" x14ac:dyDescent="0.35">
      <c r="A52" s="544"/>
      <c r="B52" s="544"/>
      <c r="C52" s="544"/>
      <c r="D52" s="708"/>
      <c r="E52" s="544"/>
      <c r="F52" s="544"/>
      <c r="G52" s="544"/>
      <c r="H52" s="544"/>
      <c r="I52" s="544"/>
      <c r="J52" s="544"/>
      <c r="K52" s="544"/>
      <c r="L52" s="544"/>
      <c r="M52" s="549"/>
      <c r="N52" s="549"/>
      <c r="O52" s="549"/>
      <c r="P52" s="705"/>
      <c r="Q52" s="549"/>
      <c r="R52" s="549"/>
      <c r="S52" s="705"/>
      <c r="T52" s="549"/>
      <c r="U52" s="549"/>
      <c r="V52" s="705"/>
      <c r="W52" s="549"/>
      <c r="X52" s="549"/>
      <c r="Y52" s="705"/>
      <c r="Z52" s="549"/>
      <c r="AA52" s="549"/>
      <c r="AB52" s="704"/>
      <c r="AC52" s="549"/>
      <c r="AD52" s="549"/>
      <c r="AE52" s="549"/>
    </row>
    <row r="53" spans="1:31" ht="25" customHeight="1" x14ac:dyDescent="0.35">
      <c r="A53" s="544"/>
      <c r="B53" s="1535" t="s">
        <v>30</v>
      </c>
      <c r="C53" s="1535"/>
      <c r="D53" s="1535"/>
      <c r="E53" s="1535"/>
      <c r="F53" s="1535"/>
      <c r="G53" s="1535"/>
      <c r="H53" s="1535"/>
      <c r="I53" s="1535"/>
      <c r="J53" s="1535"/>
      <c r="K53" s="544"/>
      <c r="L53" s="544"/>
      <c r="M53" s="549"/>
      <c r="N53" s="549"/>
      <c r="O53" s="549"/>
      <c r="P53" s="705"/>
      <c r="Q53" s="549"/>
      <c r="R53" s="549"/>
      <c r="S53" s="705"/>
      <c r="T53" s="549"/>
      <c r="U53" s="549"/>
      <c r="V53" s="705"/>
      <c r="W53" s="549"/>
      <c r="X53" s="549"/>
      <c r="Y53" s="705"/>
      <c r="Z53" s="549"/>
      <c r="AA53" s="549"/>
      <c r="AB53" s="704"/>
      <c r="AC53" s="549"/>
      <c r="AD53" s="549"/>
      <c r="AE53" s="549"/>
    </row>
    <row r="54" spans="1:31" ht="4" customHeight="1" thickBot="1" x14ac:dyDescent="0.4">
      <c r="A54" s="544"/>
      <c r="B54" s="544"/>
      <c r="C54" s="544"/>
      <c r="D54" s="708"/>
      <c r="E54" s="544"/>
      <c r="F54" s="544"/>
      <c r="G54" s="544"/>
      <c r="H54" s="544"/>
      <c r="I54" s="544"/>
      <c r="J54" s="544"/>
      <c r="K54" s="544"/>
      <c r="L54" s="544"/>
      <c r="M54" s="549"/>
      <c r="N54" s="549"/>
      <c r="O54" s="549"/>
      <c r="P54" s="549"/>
      <c r="Q54" s="549"/>
      <c r="R54" s="549"/>
      <c r="S54" s="704"/>
      <c r="T54" s="549"/>
      <c r="U54" s="549"/>
      <c r="V54" s="704"/>
      <c r="W54" s="549"/>
      <c r="X54" s="549"/>
      <c r="Y54" s="549"/>
      <c r="Z54" s="549"/>
      <c r="AA54" s="549"/>
      <c r="AB54" s="549"/>
      <c r="AC54" s="549"/>
      <c r="AD54" s="549"/>
      <c r="AE54" s="549"/>
    </row>
    <row r="55" spans="1:31" ht="23.15" customHeight="1" thickTop="1" thickBot="1" x14ac:dyDescent="0.4">
      <c r="A55" s="544"/>
      <c r="B55" s="1191"/>
      <c r="C55" s="1190" t="s">
        <v>31</v>
      </c>
      <c r="D55" s="1190" t="s">
        <v>14</v>
      </c>
      <c r="E55" s="1190" t="s">
        <v>16</v>
      </c>
      <c r="F55" s="1190" t="s">
        <v>18</v>
      </c>
      <c r="G55" s="1190" t="s">
        <v>19</v>
      </c>
      <c r="H55" s="1190" t="s">
        <v>20</v>
      </c>
      <c r="I55" s="1190" t="s">
        <v>21</v>
      </c>
      <c r="J55" s="1190" t="s">
        <v>22</v>
      </c>
      <c r="K55" s="544"/>
      <c r="L55" s="544"/>
      <c r="M55" s="549"/>
      <c r="N55" s="549"/>
      <c r="O55" s="549"/>
      <c r="P55" s="549"/>
      <c r="Q55" s="549"/>
      <c r="R55" s="549"/>
      <c r="S55" s="705"/>
      <c r="T55" s="549"/>
      <c r="U55" s="549"/>
      <c r="V55" s="705"/>
      <c r="W55" s="549"/>
      <c r="X55" s="549"/>
      <c r="Y55" s="549"/>
      <c r="Z55" s="549"/>
      <c r="AA55" s="549"/>
      <c r="AB55" s="549"/>
      <c r="AC55" s="549"/>
      <c r="AD55" s="549"/>
      <c r="AE55" s="549"/>
    </row>
    <row r="56" spans="1:31" ht="23.15" customHeight="1" thickTop="1" thickBot="1" x14ac:dyDescent="0.4">
      <c r="A56" s="544"/>
      <c r="B56" s="1195" t="s">
        <v>32</v>
      </c>
      <c r="C56" s="1192">
        <f>'Scorecard Overview'!D10</f>
        <v>0.5</v>
      </c>
      <c r="D56" s="1193"/>
      <c r="E56" s="1193"/>
      <c r="F56" s="1193"/>
      <c r="G56" s="1193"/>
      <c r="H56" s="1193"/>
      <c r="I56" s="1193"/>
      <c r="J56" s="1193"/>
      <c r="K56" s="544"/>
      <c r="L56" s="544"/>
      <c r="M56" s="549"/>
      <c r="N56" s="549"/>
      <c r="O56" s="549"/>
      <c r="P56" s="549"/>
      <c r="Q56" s="549"/>
      <c r="R56" s="549"/>
      <c r="S56" s="705"/>
      <c r="T56" s="549"/>
      <c r="U56" s="549"/>
      <c r="V56" s="705"/>
      <c r="W56" s="549"/>
      <c r="X56" s="549"/>
      <c r="Y56" s="549"/>
      <c r="Z56" s="549"/>
      <c r="AA56" s="549"/>
      <c r="AB56" s="549"/>
      <c r="AC56" s="549"/>
      <c r="AD56" s="549"/>
      <c r="AE56" s="549"/>
    </row>
    <row r="57" spans="1:31" ht="23.15" customHeight="1" thickTop="1" thickBot="1" x14ac:dyDescent="0.4">
      <c r="A57" s="544"/>
      <c r="B57" s="1195" t="s">
        <v>33</v>
      </c>
      <c r="C57" s="1192">
        <f>'Scorecard Overview'!D14</f>
        <v>0</v>
      </c>
      <c r="D57" s="1538" t="str">
        <f>'Scorecard Overview'!F14</f>
        <v>NA</v>
      </c>
      <c r="E57" s="1538"/>
      <c r="F57" s="1458" t="str">
        <f>'Scorecard Overview'!J14</f>
        <v>NA</v>
      </c>
      <c r="G57" s="1458" t="str">
        <f>'Scorecard Overview'!L14</f>
        <v>NA</v>
      </c>
      <c r="H57" s="1458" t="str">
        <f>'Scorecard Overview'!N14</f>
        <v>NA</v>
      </c>
      <c r="I57" s="1458" t="str">
        <f>'Scorecard Overview'!P14</f>
        <v>NA</v>
      </c>
      <c r="J57" s="1458" t="str">
        <f>'Scorecard Overview'!R14</f>
        <v>NA</v>
      </c>
      <c r="K57" s="544"/>
      <c r="L57" s="544"/>
      <c r="M57" s="549"/>
      <c r="N57" s="549"/>
      <c r="O57" s="549"/>
      <c r="P57" s="549"/>
      <c r="Q57" s="549"/>
      <c r="R57" s="549"/>
      <c r="S57" s="705"/>
      <c r="T57" s="549"/>
      <c r="U57" s="549"/>
      <c r="V57" s="705"/>
      <c r="W57" s="549"/>
      <c r="X57" s="549"/>
      <c r="Y57" s="549"/>
      <c r="Z57" s="549"/>
      <c r="AA57" s="549"/>
      <c r="AB57" s="549"/>
      <c r="AC57" s="549"/>
      <c r="AD57" s="549"/>
      <c r="AE57" s="549"/>
    </row>
    <row r="58" spans="1:31" ht="23.15" customHeight="1" thickTop="1" thickBot="1" x14ac:dyDescent="0.4">
      <c r="A58" s="544"/>
      <c r="B58" s="1195" t="s">
        <v>34</v>
      </c>
      <c r="C58" s="1193"/>
      <c r="D58" s="1539">
        <f>'Scorecard Overview'!F20</f>
        <v>0.28888888888888892</v>
      </c>
      <c r="E58" s="1539"/>
      <c r="F58" s="1459">
        <f>'Scorecard Overview'!J20</f>
        <v>0</v>
      </c>
      <c r="G58" s="1459">
        <f>'Scorecard Overview'!L20</f>
        <v>0</v>
      </c>
      <c r="H58" s="1459">
        <f>'Scorecard Overview'!N20</f>
        <v>0.1</v>
      </c>
      <c r="I58" s="1459">
        <f>'Scorecard Overview'!P20</f>
        <v>0.2</v>
      </c>
      <c r="J58" s="1459">
        <f>'Scorecard Overview'!R20</f>
        <v>0.2</v>
      </c>
      <c r="K58" s="544"/>
      <c r="L58" s="544"/>
      <c r="M58" s="549"/>
      <c r="N58" s="549"/>
      <c r="O58" s="549"/>
      <c r="P58" s="549"/>
      <c r="Q58" s="549"/>
      <c r="R58" s="549"/>
      <c r="S58" s="549"/>
      <c r="T58" s="549"/>
      <c r="U58" s="549"/>
      <c r="V58" s="549"/>
      <c r="W58" s="549"/>
      <c r="X58" s="549"/>
      <c r="Y58" s="549"/>
      <c r="Z58" s="549"/>
      <c r="AA58" s="549"/>
      <c r="AB58" s="549"/>
      <c r="AC58" s="549"/>
      <c r="AD58" s="549"/>
      <c r="AE58" s="549"/>
    </row>
    <row r="59" spans="1:31" ht="23.15" customHeight="1" thickTop="1" thickBot="1" x14ac:dyDescent="0.4">
      <c r="A59" s="544"/>
      <c r="B59" s="1195" t="s">
        <v>35</v>
      </c>
      <c r="C59" s="1193"/>
      <c r="D59" s="1539">
        <f>'Scorecard Overview'!F28</f>
        <v>0.33333333333333331</v>
      </c>
      <c r="E59" s="1539"/>
      <c r="F59" s="1459">
        <f>'Scorecard Overview'!J28</f>
        <v>0</v>
      </c>
      <c r="G59" s="1459">
        <f>'Scorecard Overview'!L28</f>
        <v>0</v>
      </c>
      <c r="H59" s="1459">
        <f>'Scorecard Overview'!N28</f>
        <v>0.66666666666666663</v>
      </c>
      <c r="I59" s="1459">
        <f>'Scorecard Overview'!P28</f>
        <v>0.66666666666666663</v>
      </c>
      <c r="J59" s="1459">
        <f>'Scorecard Overview'!R28</f>
        <v>0.66666666666666663</v>
      </c>
      <c r="K59" s="544"/>
      <c r="L59" s="544"/>
      <c r="M59" s="704"/>
      <c r="N59" s="549"/>
      <c r="O59" s="549"/>
      <c r="P59" s="704"/>
      <c r="Q59" s="549"/>
      <c r="R59" s="549"/>
      <c r="S59" s="704"/>
      <c r="T59" s="549"/>
      <c r="U59" s="549"/>
      <c r="V59" s="704"/>
      <c r="W59" s="549"/>
      <c r="X59" s="549"/>
      <c r="Y59" s="704"/>
      <c r="Z59" s="549"/>
      <c r="AA59" s="549"/>
      <c r="AB59" s="704"/>
      <c r="AC59" s="549"/>
      <c r="AD59" s="549"/>
      <c r="AE59" s="704"/>
    </row>
    <row r="60" spans="1:31" ht="23.15" customHeight="1" thickTop="1" thickBot="1" x14ac:dyDescent="0.4">
      <c r="A60" s="544"/>
      <c r="B60" s="1195" t="s">
        <v>36</v>
      </c>
      <c r="C60" s="1193"/>
      <c r="D60" s="1538" t="s">
        <v>37</v>
      </c>
      <c r="E60" s="1538"/>
      <c r="F60" s="1459">
        <f>'Scorecard Overview'!J32</f>
        <v>0</v>
      </c>
      <c r="G60" s="1459">
        <f>'Scorecard Overview'!L32</f>
        <v>0.2857142857142857</v>
      </c>
      <c r="H60" s="1194" t="s">
        <v>37</v>
      </c>
      <c r="I60" s="1194" t="s">
        <v>37</v>
      </c>
      <c r="J60" s="1194" t="s">
        <v>37</v>
      </c>
      <c r="K60" s="544"/>
      <c r="L60" s="544"/>
      <c r="M60" s="549"/>
      <c r="N60" s="549"/>
      <c r="O60" s="549"/>
      <c r="P60" s="704"/>
      <c r="Q60" s="549"/>
      <c r="R60" s="549"/>
      <c r="S60" s="704"/>
      <c r="T60" s="549"/>
      <c r="U60" s="549"/>
      <c r="V60" s="704"/>
      <c r="W60" s="549"/>
      <c r="X60" s="549"/>
      <c r="Y60" s="704"/>
      <c r="Z60" s="549"/>
      <c r="AA60" s="549"/>
      <c r="AB60" s="704"/>
      <c r="AC60" s="549"/>
      <c r="AD60" s="549"/>
      <c r="AE60" s="704"/>
    </row>
    <row r="61" spans="1:31" ht="6" customHeight="1" thickTop="1" x14ac:dyDescent="0.35">
      <c r="A61" s="544"/>
      <c r="B61" s="544"/>
      <c r="C61" s="544"/>
      <c r="D61" s="708"/>
      <c r="E61" s="544"/>
      <c r="F61" s="544"/>
      <c r="G61" s="544"/>
      <c r="H61" s="544"/>
      <c r="I61" s="544"/>
      <c r="J61" s="544"/>
      <c r="K61" s="544"/>
      <c r="L61" s="544"/>
      <c r="M61" s="549"/>
      <c r="N61" s="549"/>
      <c r="O61" s="549"/>
      <c r="P61" s="549"/>
      <c r="Q61" s="549"/>
      <c r="R61" s="549"/>
      <c r="S61" s="704"/>
      <c r="T61" s="549"/>
      <c r="U61" s="549"/>
      <c r="V61" s="704"/>
      <c r="W61" s="549"/>
      <c r="X61" s="549"/>
      <c r="Y61" s="549"/>
      <c r="Z61" s="549"/>
      <c r="AA61" s="549"/>
      <c r="AB61" s="549"/>
      <c r="AC61" s="549"/>
      <c r="AD61" s="549"/>
      <c r="AE61" s="549"/>
    </row>
    <row r="62" spans="1:31" x14ac:dyDescent="0.35">
      <c r="A62" s="544"/>
      <c r="B62" s="645" t="s">
        <v>38</v>
      </c>
      <c r="C62" s="645"/>
      <c r="D62" s="708"/>
      <c r="E62" s="544"/>
      <c r="F62" s="544"/>
      <c r="G62" s="544"/>
      <c r="H62" s="544"/>
      <c r="I62" s="544"/>
      <c r="J62" s="544"/>
      <c r="K62" s="544"/>
      <c r="L62" s="544"/>
      <c r="M62" s="549"/>
      <c r="N62" s="549"/>
      <c r="O62" s="549"/>
      <c r="P62" s="549"/>
      <c r="Q62" s="549"/>
      <c r="R62" s="549"/>
      <c r="S62" s="549"/>
      <c r="T62" s="549"/>
      <c r="U62" s="549"/>
      <c r="V62" s="549"/>
      <c r="W62" s="549"/>
      <c r="X62" s="549"/>
      <c r="Y62" s="549"/>
      <c r="Z62" s="549"/>
      <c r="AA62" s="549"/>
      <c r="AB62" s="549"/>
      <c r="AC62" s="549"/>
      <c r="AD62" s="549"/>
      <c r="AE62" s="549"/>
    </row>
    <row r="63" spans="1:31" x14ac:dyDescent="0.35">
      <c r="A63" s="544"/>
      <c r="B63" s="544"/>
      <c r="C63" s="544"/>
      <c r="D63" s="708"/>
      <c r="E63" s="544"/>
      <c r="F63" s="544"/>
      <c r="G63" s="544"/>
      <c r="H63" s="544"/>
      <c r="I63" s="544"/>
      <c r="J63" s="544"/>
      <c r="K63" s="544"/>
      <c r="L63" s="544"/>
      <c r="M63" s="549"/>
      <c r="N63" s="549"/>
      <c r="O63" s="549"/>
      <c r="P63" s="549"/>
      <c r="Q63" s="549"/>
      <c r="R63" s="549"/>
      <c r="S63" s="544"/>
      <c r="T63" s="544"/>
      <c r="U63" s="544"/>
    </row>
    <row r="64" spans="1:31" x14ac:dyDescent="0.35">
      <c r="A64" s="544"/>
      <c r="B64" s="544"/>
      <c r="C64" s="544"/>
      <c r="D64" s="708"/>
      <c r="E64" s="544"/>
      <c r="F64" s="544"/>
      <c r="G64" s="544"/>
      <c r="H64" s="544"/>
      <c r="I64" s="544"/>
      <c r="J64" s="544"/>
      <c r="K64" s="544"/>
      <c r="L64" s="544"/>
      <c r="M64" s="549"/>
      <c r="N64" s="549"/>
      <c r="O64" s="549"/>
      <c r="P64" s="549"/>
      <c r="Q64" s="549"/>
      <c r="R64" s="549"/>
      <c r="S64" s="544"/>
      <c r="T64" s="544"/>
      <c r="U64" s="544"/>
    </row>
    <row r="65" spans="4:18" s="544" customFormat="1" x14ac:dyDescent="0.35">
      <c r="D65" s="708"/>
      <c r="M65" s="549"/>
      <c r="N65" s="549"/>
      <c r="O65" s="549"/>
      <c r="P65" s="549"/>
      <c r="Q65" s="549"/>
      <c r="R65" s="549"/>
    </row>
    <row r="66" spans="4:18" s="544" customFormat="1" x14ac:dyDescent="0.35">
      <c r="D66" s="708"/>
      <c r="L66" s="549"/>
      <c r="M66" s="549"/>
      <c r="N66" s="549"/>
      <c r="O66" s="549"/>
      <c r="P66" s="549"/>
      <c r="Q66" s="549"/>
      <c r="R66" s="549"/>
    </row>
    <row r="67" spans="4:18" s="544" customFormat="1" x14ac:dyDescent="0.35">
      <c r="D67" s="708"/>
    </row>
    <row r="68" spans="4:18" s="544" customFormat="1" x14ac:dyDescent="0.35">
      <c r="D68" s="708"/>
    </row>
    <row r="69" spans="4:18" s="544" customFormat="1" x14ac:dyDescent="0.35">
      <c r="D69" s="708"/>
    </row>
    <row r="70" spans="4:18" s="544" customFormat="1" x14ac:dyDescent="0.35">
      <c r="D70" s="708"/>
    </row>
    <row r="71" spans="4:18" s="544" customFormat="1" x14ac:dyDescent="0.35">
      <c r="D71" s="708"/>
    </row>
    <row r="72" spans="4:18" s="544" customFormat="1" x14ac:dyDescent="0.35">
      <c r="D72" s="708"/>
      <c r="I72" s="549"/>
    </row>
    <row r="73" spans="4:18" s="544" customFormat="1" x14ac:dyDescent="0.35">
      <c r="D73" s="708"/>
    </row>
    <row r="74" spans="4:18" s="544" customFormat="1" x14ac:dyDescent="0.35">
      <c r="D74" s="708"/>
    </row>
    <row r="75" spans="4:18" s="544" customFormat="1" x14ac:dyDescent="0.35">
      <c r="D75" s="708"/>
    </row>
    <row r="76" spans="4:18" s="544" customFormat="1" x14ac:dyDescent="0.35">
      <c r="D76" s="708"/>
    </row>
    <row r="77" spans="4:18" s="544" customFormat="1" x14ac:dyDescent="0.35">
      <c r="D77" s="708"/>
    </row>
    <row r="78" spans="4:18" s="544" customFormat="1" x14ac:dyDescent="0.35">
      <c r="D78" s="708"/>
    </row>
    <row r="79" spans="4:18" s="544" customFormat="1" x14ac:dyDescent="0.35">
      <c r="D79" s="708"/>
    </row>
    <row r="80" spans="4:18" s="544" customFormat="1" x14ac:dyDescent="0.35">
      <c r="D80" s="708"/>
    </row>
    <row r="81" spans="4:4" s="544" customFormat="1" x14ac:dyDescent="0.35">
      <c r="D81" s="708"/>
    </row>
    <row r="82" spans="4:4" s="544" customFormat="1" x14ac:dyDescent="0.35">
      <c r="D82" s="708"/>
    </row>
    <row r="83" spans="4:4" s="544" customFormat="1" x14ac:dyDescent="0.35">
      <c r="D83" s="708"/>
    </row>
    <row r="84" spans="4:4" s="544" customFormat="1" x14ac:dyDescent="0.35">
      <c r="D84" s="708"/>
    </row>
    <row r="85" spans="4:4" s="544" customFormat="1" x14ac:dyDescent="0.35">
      <c r="D85" s="708"/>
    </row>
    <row r="86" spans="4:4" s="544" customFormat="1" x14ac:dyDescent="0.35">
      <c r="D86" s="708"/>
    </row>
    <row r="87" spans="4:4" s="544" customFormat="1" x14ac:dyDescent="0.35">
      <c r="D87" s="708"/>
    </row>
    <row r="88" spans="4:4" s="544" customFormat="1" x14ac:dyDescent="0.35">
      <c r="D88" s="708"/>
    </row>
    <row r="89" spans="4:4" s="544" customFormat="1" x14ac:dyDescent="0.35">
      <c r="D89" s="708"/>
    </row>
    <row r="90" spans="4:4" s="544" customFormat="1" x14ac:dyDescent="0.35">
      <c r="D90" s="708"/>
    </row>
    <row r="91" spans="4:4" s="544" customFormat="1" x14ac:dyDescent="0.35">
      <c r="D91" s="708"/>
    </row>
    <row r="92" spans="4:4" s="544" customFormat="1" x14ac:dyDescent="0.35">
      <c r="D92" s="708"/>
    </row>
    <row r="93" spans="4:4" s="544" customFormat="1" x14ac:dyDescent="0.35">
      <c r="D93" s="708"/>
    </row>
    <row r="94" spans="4:4" s="544" customFormat="1" x14ac:dyDescent="0.35">
      <c r="D94" s="708"/>
    </row>
    <row r="95" spans="4:4" s="544" customFormat="1" x14ac:dyDescent="0.35">
      <c r="D95" s="708"/>
    </row>
    <row r="96" spans="4:4" s="544" customFormat="1" x14ac:dyDescent="0.35">
      <c r="D96" s="708"/>
    </row>
    <row r="97" spans="4:4" s="544" customFormat="1" x14ac:dyDescent="0.35">
      <c r="D97" s="708"/>
    </row>
    <row r="98" spans="4:4" s="544" customFormat="1" x14ac:dyDescent="0.35">
      <c r="D98" s="708"/>
    </row>
    <row r="99" spans="4:4" s="544" customFormat="1" x14ac:dyDescent="0.35">
      <c r="D99" s="708"/>
    </row>
    <row r="100" spans="4:4" s="544" customFormat="1" x14ac:dyDescent="0.35">
      <c r="D100" s="708"/>
    </row>
    <row r="101" spans="4:4" s="544" customFormat="1" x14ac:dyDescent="0.35">
      <c r="D101" s="708"/>
    </row>
    <row r="102" spans="4:4" s="544" customFormat="1" x14ac:dyDescent="0.35">
      <c r="D102" s="708"/>
    </row>
    <row r="103" spans="4:4" s="544" customFormat="1" x14ac:dyDescent="0.35">
      <c r="D103" s="708"/>
    </row>
    <row r="104" spans="4:4" s="544" customFormat="1" x14ac:dyDescent="0.35">
      <c r="D104" s="708"/>
    </row>
    <row r="105" spans="4:4" s="544" customFormat="1" x14ac:dyDescent="0.35">
      <c r="D105" s="708"/>
    </row>
    <row r="106" spans="4:4" s="544" customFormat="1" x14ac:dyDescent="0.35">
      <c r="D106" s="708"/>
    </row>
    <row r="107" spans="4:4" s="544" customFormat="1" x14ac:dyDescent="0.35">
      <c r="D107" s="708"/>
    </row>
    <row r="108" spans="4:4" s="544" customFormat="1" x14ac:dyDescent="0.35">
      <c r="D108" s="708"/>
    </row>
    <row r="109" spans="4:4" s="544" customFormat="1" x14ac:dyDescent="0.35">
      <c r="D109" s="708"/>
    </row>
    <row r="110" spans="4:4" s="544" customFormat="1" x14ac:dyDescent="0.35">
      <c r="D110" s="708"/>
    </row>
    <row r="111" spans="4:4" s="544" customFormat="1" x14ac:dyDescent="0.35">
      <c r="D111" s="708"/>
    </row>
    <row r="112" spans="4:4" s="544" customFormat="1" x14ac:dyDescent="0.35">
      <c r="D112" s="708"/>
    </row>
    <row r="113" spans="4:4" s="544" customFormat="1" x14ac:dyDescent="0.35">
      <c r="D113" s="708"/>
    </row>
    <row r="114" spans="4:4" s="544" customFormat="1" x14ac:dyDescent="0.35">
      <c r="D114" s="708"/>
    </row>
    <row r="115" spans="4:4" s="544" customFormat="1" x14ac:dyDescent="0.35">
      <c r="D115" s="708"/>
    </row>
    <row r="116" spans="4:4" s="544" customFormat="1" x14ac:dyDescent="0.35">
      <c r="D116" s="708"/>
    </row>
    <row r="117" spans="4:4" s="544" customFormat="1" x14ac:dyDescent="0.35">
      <c r="D117" s="708"/>
    </row>
    <row r="118" spans="4:4" s="544" customFormat="1" x14ac:dyDescent="0.35">
      <c r="D118" s="708"/>
    </row>
    <row r="119" spans="4:4" s="544" customFormat="1" x14ac:dyDescent="0.35">
      <c r="D119" s="708"/>
    </row>
    <row r="120" spans="4:4" s="544" customFormat="1" x14ac:dyDescent="0.35">
      <c r="D120" s="708"/>
    </row>
    <row r="121" spans="4:4" s="544" customFormat="1" x14ac:dyDescent="0.35">
      <c r="D121" s="708"/>
    </row>
    <row r="122" spans="4:4" s="544" customFormat="1" x14ac:dyDescent="0.35">
      <c r="D122" s="708"/>
    </row>
    <row r="123" spans="4:4" s="544" customFormat="1" x14ac:dyDescent="0.35">
      <c r="D123" s="708"/>
    </row>
    <row r="124" spans="4:4" s="544" customFormat="1" x14ac:dyDescent="0.35">
      <c r="D124" s="708"/>
    </row>
    <row r="125" spans="4:4" s="544" customFormat="1" x14ac:dyDescent="0.35">
      <c r="D125" s="708"/>
    </row>
    <row r="126" spans="4:4" s="544" customFormat="1" x14ac:dyDescent="0.35">
      <c r="D126" s="708"/>
    </row>
    <row r="127" spans="4:4" s="544" customFormat="1" x14ac:dyDescent="0.35">
      <c r="D127" s="708"/>
    </row>
    <row r="128" spans="4:4" s="544" customFormat="1" x14ac:dyDescent="0.35">
      <c r="D128" s="708"/>
    </row>
    <row r="129" spans="4:4" s="544" customFormat="1" x14ac:dyDescent="0.35">
      <c r="D129" s="708"/>
    </row>
    <row r="130" spans="4:4" s="544" customFormat="1" x14ac:dyDescent="0.35">
      <c r="D130" s="708"/>
    </row>
    <row r="131" spans="4:4" s="544" customFormat="1" x14ac:dyDescent="0.35">
      <c r="D131" s="708"/>
    </row>
    <row r="132" spans="4:4" s="544" customFormat="1" x14ac:dyDescent="0.35">
      <c r="D132" s="708"/>
    </row>
    <row r="133" spans="4:4" s="544" customFormat="1" x14ac:dyDescent="0.35">
      <c r="D133" s="708"/>
    </row>
    <row r="134" spans="4:4" s="544" customFormat="1" x14ac:dyDescent="0.35">
      <c r="D134" s="708"/>
    </row>
    <row r="135" spans="4:4" s="544" customFormat="1" x14ac:dyDescent="0.35">
      <c r="D135" s="708"/>
    </row>
    <row r="136" spans="4:4" s="544" customFormat="1" x14ac:dyDescent="0.35">
      <c r="D136" s="708"/>
    </row>
    <row r="137" spans="4:4" s="544" customFormat="1" x14ac:dyDescent="0.35">
      <c r="D137" s="708"/>
    </row>
    <row r="138" spans="4:4" s="544" customFormat="1" x14ac:dyDescent="0.35">
      <c r="D138" s="708"/>
    </row>
    <row r="139" spans="4:4" s="544" customFormat="1" x14ac:dyDescent="0.35">
      <c r="D139" s="708"/>
    </row>
    <row r="140" spans="4:4" s="544" customFormat="1" x14ac:dyDescent="0.35">
      <c r="D140" s="708"/>
    </row>
    <row r="141" spans="4:4" s="544" customFormat="1" x14ac:dyDescent="0.35">
      <c r="D141" s="708"/>
    </row>
    <row r="142" spans="4:4" s="544" customFormat="1" x14ac:dyDescent="0.35">
      <c r="D142" s="708"/>
    </row>
    <row r="143" spans="4:4" s="544" customFormat="1" x14ac:dyDescent="0.35">
      <c r="D143" s="708"/>
    </row>
    <row r="144" spans="4:4" s="544" customFormat="1" x14ac:dyDescent="0.35">
      <c r="D144" s="708"/>
    </row>
    <row r="145" spans="4:4" s="544" customFormat="1" x14ac:dyDescent="0.35">
      <c r="D145" s="708"/>
    </row>
    <row r="146" spans="4:4" s="544" customFormat="1" x14ac:dyDescent="0.35">
      <c r="D146" s="708"/>
    </row>
    <row r="147" spans="4:4" s="544" customFormat="1" x14ac:dyDescent="0.35">
      <c r="D147" s="708"/>
    </row>
    <row r="148" spans="4:4" s="544" customFormat="1" x14ac:dyDescent="0.35">
      <c r="D148" s="708"/>
    </row>
    <row r="149" spans="4:4" s="544" customFormat="1" x14ac:dyDescent="0.35">
      <c r="D149" s="708"/>
    </row>
    <row r="150" spans="4:4" s="544" customFormat="1" x14ac:dyDescent="0.35">
      <c r="D150" s="708"/>
    </row>
    <row r="151" spans="4:4" s="544" customFormat="1" x14ac:dyDescent="0.35">
      <c r="D151" s="708"/>
    </row>
    <row r="152" spans="4:4" s="544" customFormat="1" x14ac:dyDescent="0.35">
      <c r="D152" s="708"/>
    </row>
    <row r="153" spans="4:4" s="544" customFormat="1" x14ac:dyDescent="0.35">
      <c r="D153" s="708"/>
    </row>
    <row r="154" spans="4:4" s="544" customFormat="1" x14ac:dyDescent="0.35">
      <c r="D154" s="708"/>
    </row>
    <row r="155" spans="4:4" s="544" customFormat="1" x14ac:dyDescent="0.35">
      <c r="D155" s="708"/>
    </row>
    <row r="156" spans="4:4" s="544" customFormat="1" x14ac:dyDescent="0.35">
      <c r="D156" s="708"/>
    </row>
    <row r="157" spans="4:4" s="544" customFormat="1" x14ac:dyDescent="0.35">
      <c r="D157" s="708"/>
    </row>
    <row r="158" spans="4:4" s="544" customFormat="1" x14ac:dyDescent="0.35">
      <c r="D158" s="708"/>
    </row>
    <row r="159" spans="4:4" s="544" customFormat="1" x14ac:dyDescent="0.35">
      <c r="D159" s="708"/>
    </row>
    <row r="160" spans="4:4" s="544" customFormat="1" x14ac:dyDescent="0.35">
      <c r="D160" s="708"/>
    </row>
    <row r="161" spans="4:4" s="544" customFormat="1" x14ac:dyDescent="0.35">
      <c r="D161" s="708"/>
    </row>
    <row r="162" spans="4:4" s="544" customFormat="1" x14ac:dyDescent="0.35">
      <c r="D162" s="708"/>
    </row>
    <row r="163" spans="4:4" s="544" customFormat="1" x14ac:dyDescent="0.35">
      <c r="D163" s="708"/>
    </row>
    <row r="164" spans="4:4" s="544" customFormat="1" x14ac:dyDescent="0.35">
      <c r="D164" s="708"/>
    </row>
    <row r="165" spans="4:4" s="544" customFormat="1" x14ac:dyDescent="0.35">
      <c r="D165" s="708"/>
    </row>
    <row r="166" spans="4:4" s="544" customFormat="1" x14ac:dyDescent="0.35">
      <c r="D166" s="708"/>
    </row>
    <row r="167" spans="4:4" s="544" customFormat="1" x14ac:dyDescent="0.35">
      <c r="D167" s="708"/>
    </row>
    <row r="168" spans="4:4" s="544" customFormat="1" x14ac:dyDescent="0.35">
      <c r="D168" s="708"/>
    </row>
    <row r="169" spans="4:4" s="544" customFormat="1" x14ac:dyDescent="0.35">
      <c r="D169" s="708"/>
    </row>
    <row r="170" spans="4:4" s="544" customFormat="1" x14ac:dyDescent="0.35">
      <c r="D170" s="708"/>
    </row>
    <row r="171" spans="4:4" s="544" customFormat="1" x14ac:dyDescent="0.35">
      <c r="D171" s="708"/>
    </row>
    <row r="172" spans="4:4" s="544" customFormat="1" x14ac:dyDescent="0.35">
      <c r="D172" s="708"/>
    </row>
    <row r="173" spans="4:4" s="544" customFormat="1" x14ac:dyDescent="0.35">
      <c r="D173" s="708"/>
    </row>
    <row r="174" spans="4:4" s="544" customFormat="1" x14ac:dyDescent="0.35">
      <c r="D174" s="708"/>
    </row>
    <row r="175" spans="4:4" s="544" customFormat="1" x14ac:dyDescent="0.35">
      <c r="D175" s="708"/>
    </row>
    <row r="176" spans="4:4" s="544" customFormat="1" x14ac:dyDescent="0.35">
      <c r="D176" s="708"/>
    </row>
    <row r="177" spans="4:4" s="544" customFormat="1" x14ac:dyDescent="0.35">
      <c r="D177" s="708"/>
    </row>
    <row r="178" spans="4:4" s="544" customFormat="1" x14ac:dyDescent="0.35">
      <c r="D178" s="708"/>
    </row>
    <row r="179" spans="4:4" s="544" customFormat="1" x14ac:dyDescent="0.35">
      <c r="D179" s="708"/>
    </row>
    <row r="180" spans="4:4" s="544" customFormat="1" x14ac:dyDescent="0.35">
      <c r="D180" s="708"/>
    </row>
    <row r="181" spans="4:4" s="544" customFormat="1" x14ac:dyDescent="0.35">
      <c r="D181" s="708"/>
    </row>
    <row r="182" spans="4:4" s="544" customFormat="1" x14ac:dyDescent="0.35">
      <c r="D182" s="708"/>
    </row>
    <row r="183" spans="4:4" s="544" customFormat="1" x14ac:dyDescent="0.35">
      <c r="D183" s="708"/>
    </row>
    <row r="184" spans="4:4" s="544" customFormat="1" x14ac:dyDescent="0.35">
      <c r="D184" s="708"/>
    </row>
    <row r="185" spans="4:4" s="544" customFormat="1" x14ac:dyDescent="0.35">
      <c r="D185" s="708"/>
    </row>
    <row r="186" spans="4:4" s="544" customFormat="1" x14ac:dyDescent="0.35">
      <c r="D186" s="708"/>
    </row>
    <row r="187" spans="4:4" s="544" customFormat="1" x14ac:dyDescent="0.35">
      <c r="D187" s="708"/>
    </row>
    <row r="188" spans="4:4" s="544" customFormat="1" x14ac:dyDescent="0.35">
      <c r="D188" s="708"/>
    </row>
    <row r="189" spans="4:4" s="544" customFormat="1" x14ac:dyDescent="0.35">
      <c r="D189" s="708"/>
    </row>
    <row r="190" spans="4:4" s="544" customFormat="1" x14ac:dyDescent="0.35">
      <c r="D190" s="708"/>
    </row>
    <row r="191" spans="4:4" s="544" customFormat="1" x14ac:dyDescent="0.35">
      <c r="D191" s="708"/>
    </row>
    <row r="192" spans="4:4" s="544" customFormat="1" x14ac:dyDescent="0.35">
      <c r="D192" s="708"/>
    </row>
    <row r="193" spans="4:4" s="544" customFormat="1" x14ac:dyDescent="0.35">
      <c r="D193" s="708"/>
    </row>
    <row r="194" spans="4:4" s="544" customFormat="1" x14ac:dyDescent="0.35">
      <c r="D194" s="708"/>
    </row>
    <row r="195" spans="4:4" s="544" customFormat="1" x14ac:dyDescent="0.35">
      <c r="D195" s="708"/>
    </row>
    <row r="196" spans="4:4" s="544" customFormat="1" x14ac:dyDescent="0.35">
      <c r="D196" s="708"/>
    </row>
    <row r="197" spans="4:4" s="544" customFormat="1" x14ac:dyDescent="0.35">
      <c r="D197" s="708"/>
    </row>
    <row r="198" spans="4:4" s="544" customFormat="1" x14ac:dyDescent="0.35">
      <c r="D198" s="708"/>
    </row>
    <row r="199" spans="4:4" s="544" customFormat="1" x14ac:dyDescent="0.35">
      <c r="D199" s="708"/>
    </row>
    <row r="200" spans="4:4" s="544" customFormat="1" x14ac:dyDescent="0.35">
      <c r="D200" s="708"/>
    </row>
    <row r="201" spans="4:4" s="544" customFormat="1" x14ac:dyDescent="0.35">
      <c r="D201" s="708"/>
    </row>
    <row r="202" spans="4:4" s="544" customFormat="1" x14ac:dyDescent="0.35">
      <c r="D202" s="708"/>
    </row>
    <row r="203" spans="4:4" s="544" customFormat="1" x14ac:dyDescent="0.35">
      <c r="D203" s="708"/>
    </row>
    <row r="204" spans="4:4" s="544" customFormat="1" x14ac:dyDescent="0.35">
      <c r="D204" s="708"/>
    </row>
    <row r="205" spans="4:4" s="544" customFormat="1" x14ac:dyDescent="0.35">
      <c r="D205" s="708"/>
    </row>
    <row r="206" spans="4:4" s="544" customFormat="1" x14ac:dyDescent="0.35">
      <c r="D206" s="708"/>
    </row>
    <row r="207" spans="4:4" s="544" customFormat="1" x14ac:dyDescent="0.35">
      <c r="D207" s="708"/>
    </row>
    <row r="208" spans="4:4" s="544" customFormat="1" x14ac:dyDescent="0.35">
      <c r="D208" s="708"/>
    </row>
    <row r="209" spans="4:4" s="544" customFormat="1" x14ac:dyDescent="0.35">
      <c r="D209" s="708"/>
    </row>
    <row r="210" spans="4:4" s="544" customFormat="1" x14ac:dyDescent="0.35">
      <c r="D210" s="708"/>
    </row>
    <row r="211" spans="4:4" s="544" customFormat="1" x14ac:dyDescent="0.35">
      <c r="D211" s="708"/>
    </row>
    <row r="212" spans="4:4" s="544" customFormat="1" x14ac:dyDescent="0.35">
      <c r="D212" s="708"/>
    </row>
    <row r="213" spans="4:4" s="544" customFormat="1" x14ac:dyDescent="0.35">
      <c r="D213" s="708"/>
    </row>
    <row r="214" spans="4:4" s="544" customFormat="1" x14ac:dyDescent="0.35">
      <c r="D214" s="708"/>
    </row>
    <row r="215" spans="4:4" s="544" customFormat="1" x14ac:dyDescent="0.35">
      <c r="D215" s="708"/>
    </row>
    <row r="216" spans="4:4" s="544" customFormat="1" x14ac:dyDescent="0.35">
      <c r="D216" s="708"/>
    </row>
    <row r="217" spans="4:4" s="544" customFormat="1" x14ac:dyDescent="0.35">
      <c r="D217" s="708"/>
    </row>
    <row r="218" spans="4:4" s="544" customFormat="1" x14ac:dyDescent="0.35">
      <c r="D218" s="708"/>
    </row>
    <row r="219" spans="4:4" s="544" customFormat="1" x14ac:dyDescent="0.35">
      <c r="D219" s="708"/>
    </row>
    <row r="220" spans="4:4" s="544" customFormat="1" x14ac:dyDescent="0.35">
      <c r="D220" s="708"/>
    </row>
    <row r="221" spans="4:4" s="544" customFormat="1" x14ac:dyDescent="0.35">
      <c r="D221" s="708"/>
    </row>
    <row r="222" spans="4:4" s="544" customFormat="1" x14ac:dyDescent="0.35">
      <c r="D222" s="708"/>
    </row>
    <row r="223" spans="4:4" s="544" customFormat="1" x14ac:dyDescent="0.35">
      <c r="D223" s="708"/>
    </row>
    <row r="224" spans="4:4" s="544" customFormat="1" x14ac:dyDescent="0.35">
      <c r="D224" s="708"/>
    </row>
    <row r="225" spans="4:4" s="544" customFormat="1" x14ac:dyDescent="0.35">
      <c r="D225" s="708"/>
    </row>
    <row r="226" spans="4:4" s="544" customFormat="1" x14ac:dyDescent="0.35">
      <c r="D226" s="708"/>
    </row>
    <row r="227" spans="4:4" s="544" customFormat="1" x14ac:dyDescent="0.35">
      <c r="D227" s="708"/>
    </row>
    <row r="228" spans="4:4" s="544" customFormat="1" x14ac:dyDescent="0.35">
      <c r="D228" s="708"/>
    </row>
    <row r="229" spans="4:4" s="544" customFormat="1" x14ac:dyDescent="0.35">
      <c r="D229" s="708"/>
    </row>
    <row r="230" spans="4:4" s="544" customFormat="1" x14ac:dyDescent="0.35">
      <c r="D230" s="708"/>
    </row>
    <row r="231" spans="4:4" s="544" customFormat="1" x14ac:dyDescent="0.35">
      <c r="D231" s="708"/>
    </row>
    <row r="232" spans="4:4" s="544" customFormat="1" x14ac:dyDescent="0.35">
      <c r="D232" s="708"/>
    </row>
    <row r="233" spans="4:4" s="544" customFormat="1" x14ac:dyDescent="0.35">
      <c r="D233" s="708"/>
    </row>
    <row r="234" spans="4:4" s="544" customFormat="1" x14ac:dyDescent="0.35">
      <c r="D234" s="708"/>
    </row>
    <row r="235" spans="4:4" s="544" customFormat="1" x14ac:dyDescent="0.35">
      <c r="D235" s="708"/>
    </row>
    <row r="236" spans="4:4" s="544" customFormat="1" x14ac:dyDescent="0.35">
      <c r="D236" s="708"/>
    </row>
    <row r="237" spans="4:4" s="544" customFormat="1" x14ac:dyDescent="0.35">
      <c r="D237" s="708"/>
    </row>
    <row r="238" spans="4:4" s="544" customFormat="1" x14ac:dyDescent="0.35">
      <c r="D238" s="708"/>
    </row>
    <row r="239" spans="4:4" s="544" customFormat="1" x14ac:dyDescent="0.35">
      <c r="D239" s="708"/>
    </row>
    <row r="240" spans="4:4" s="544" customFormat="1" x14ac:dyDescent="0.35">
      <c r="D240" s="708"/>
    </row>
    <row r="241" spans="4:4" s="544" customFormat="1" x14ac:dyDescent="0.35">
      <c r="D241" s="708"/>
    </row>
    <row r="242" spans="4:4" s="544" customFormat="1" x14ac:dyDescent="0.35">
      <c r="D242" s="708"/>
    </row>
    <row r="243" spans="4:4" s="544" customFormat="1" x14ac:dyDescent="0.35">
      <c r="D243" s="708"/>
    </row>
    <row r="244" spans="4:4" s="544" customFormat="1" x14ac:dyDescent="0.35">
      <c r="D244" s="708"/>
    </row>
    <row r="245" spans="4:4" s="544" customFormat="1" x14ac:dyDescent="0.35">
      <c r="D245" s="708"/>
    </row>
    <row r="246" spans="4:4" s="544" customFormat="1" x14ac:dyDescent="0.35">
      <c r="D246" s="708"/>
    </row>
    <row r="247" spans="4:4" s="544" customFormat="1" x14ac:dyDescent="0.35">
      <c r="D247" s="708"/>
    </row>
    <row r="248" spans="4:4" s="544" customFormat="1" x14ac:dyDescent="0.35">
      <c r="D248" s="708"/>
    </row>
    <row r="249" spans="4:4" s="544" customFormat="1" x14ac:dyDescent="0.35">
      <c r="D249" s="708"/>
    </row>
    <row r="250" spans="4:4" s="544" customFormat="1" x14ac:dyDescent="0.35">
      <c r="D250" s="708"/>
    </row>
    <row r="251" spans="4:4" s="544" customFormat="1" x14ac:dyDescent="0.35">
      <c r="D251" s="708"/>
    </row>
    <row r="252" spans="4:4" s="544" customFormat="1" x14ac:dyDescent="0.35">
      <c r="D252" s="708"/>
    </row>
    <row r="253" spans="4:4" s="544" customFormat="1" x14ac:dyDescent="0.35">
      <c r="D253" s="708"/>
    </row>
    <row r="254" spans="4:4" s="544" customFormat="1" x14ac:dyDescent="0.35">
      <c r="D254" s="708"/>
    </row>
    <row r="255" spans="4:4" s="544" customFormat="1" x14ac:dyDescent="0.35">
      <c r="D255" s="708"/>
    </row>
    <row r="256" spans="4:4" s="544" customFormat="1" x14ac:dyDescent="0.35">
      <c r="D256" s="708"/>
    </row>
    <row r="257" spans="4:4" s="544" customFormat="1" x14ac:dyDescent="0.35">
      <c r="D257" s="708"/>
    </row>
    <row r="258" spans="4:4" s="544" customFormat="1" x14ac:dyDescent="0.35">
      <c r="D258" s="708"/>
    </row>
    <row r="259" spans="4:4" s="544" customFormat="1" x14ac:dyDescent="0.35">
      <c r="D259" s="708"/>
    </row>
    <row r="260" spans="4:4" s="544" customFormat="1" x14ac:dyDescent="0.35">
      <c r="D260" s="708"/>
    </row>
    <row r="261" spans="4:4" s="544" customFormat="1" x14ac:dyDescent="0.35">
      <c r="D261" s="708"/>
    </row>
    <row r="262" spans="4:4" s="544" customFormat="1" x14ac:dyDescent="0.35">
      <c r="D262" s="708"/>
    </row>
    <row r="263" spans="4:4" s="544" customFormat="1" x14ac:dyDescent="0.35">
      <c r="D263" s="708"/>
    </row>
    <row r="264" spans="4:4" s="544" customFormat="1" x14ac:dyDescent="0.35">
      <c r="D264" s="708"/>
    </row>
    <row r="265" spans="4:4" s="544" customFormat="1" x14ac:dyDescent="0.35">
      <c r="D265" s="708"/>
    </row>
    <row r="266" spans="4:4" s="544" customFormat="1" x14ac:dyDescent="0.35">
      <c r="D266" s="708"/>
    </row>
    <row r="267" spans="4:4" s="544" customFormat="1" x14ac:dyDescent="0.35">
      <c r="D267" s="708"/>
    </row>
    <row r="268" spans="4:4" s="544" customFormat="1" x14ac:dyDescent="0.35">
      <c r="D268" s="708"/>
    </row>
    <row r="269" spans="4:4" s="544" customFormat="1" x14ac:dyDescent="0.35">
      <c r="D269" s="708"/>
    </row>
    <row r="270" spans="4:4" s="544" customFormat="1" x14ac:dyDescent="0.35">
      <c r="D270" s="708"/>
    </row>
    <row r="271" spans="4:4" s="544" customFormat="1" x14ac:dyDescent="0.35">
      <c r="D271" s="708"/>
    </row>
    <row r="272" spans="4:4" s="544" customFormat="1" x14ac:dyDescent="0.35">
      <c r="D272" s="708"/>
    </row>
    <row r="273" spans="4:4" s="544" customFormat="1" x14ac:dyDescent="0.35">
      <c r="D273" s="708"/>
    </row>
    <row r="274" spans="4:4" s="544" customFormat="1" x14ac:dyDescent="0.35">
      <c r="D274" s="708"/>
    </row>
    <row r="275" spans="4:4" s="544" customFormat="1" x14ac:dyDescent="0.35">
      <c r="D275" s="708"/>
    </row>
    <row r="276" spans="4:4" s="544" customFormat="1" x14ac:dyDescent="0.35">
      <c r="D276" s="708"/>
    </row>
    <row r="277" spans="4:4" s="544" customFormat="1" x14ac:dyDescent="0.35">
      <c r="D277" s="708"/>
    </row>
    <row r="278" spans="4:4" s="544" customFormat="1" x14ac:dyDescent="0.35">
      <c r="D278" s="708"/>
    </row>
    <row r="279" spans="4:4" s="544" customFormat="1" x14ac:dyDescent="0.35">
      <c r="D279" s="708"/>
    </row>
    <row r="280" spans="4:4" s="544" customFormat="1" x14ac:dyDescent="0.35">
      <c r="D280" s="708"/>
    </row>
    <row r="281" spans="4:4" s="544" customFormat="1" x14ac:dyDescent="0.35">
      <c r="D281" s="708"/>
    </row>
    <row r="282" spans="4:4" s="544" customFormat="1" x14ac:dyDescent="0.35">
      <c r="D282" s="708"/>
    </row>
    <row r="283" spans="4:4" s="544" customFormat="1" x14ac:dyDescent="0.35">
      <c r="D283" s="708"/>
    </row>
    <row r="284" spans="4:4" s="544" customFormat="1" x14ac:dyDescent="0.35">
      <c r="D284" s="708"/>
    </row>
    <row r="285" spans="4:4" s="544" customFormat="1" x14ac:dyDescent="0.35">
      <c r="D285" s="708"/>
    </row>
    <row r="286" spans="4:4" s="544" customFormat="1" x14ac:dyDescent="0.35">
      <c r="D286" s="708"/>
    </row>
    <row r="287" spans="4:4" s="544" customFormat="1" x14ac:dyDescent="0.35">
      <c r="D287" s="708"/>
    </row>
    <row r="288" spans="4:4" s="544" customFormat="1" x14ac:dyDescent="0.35">
      <c r="D288" s="708"/>
    </row>
    <row r="289" spans="4:4" s="544" customFormat="1" x14ac:dyDescent="0.35">
      <c r="D289" s="708"/>
    </row>
    <row r="290" spans="4:4" s="544" customFormat="1" x14ac:dyDescent="0.35">
      <c r="D290" s="708"/>
    </row>
    <row r="291" spans="4:4" s="544" customFormat="1" x14ac:dyDescent="0.35">
      <c r="D291" s="708"/>
    </row>
    <row r="292" spans="4:4" s="544" customFormat="1" x14ac:dyDescent="0.35">
      <c r="D292" s="708"/>
    </row>
    <row r="293" spans="4:4" s="544" customFormat="1" x14ac:dyDescent="0.35">
      <c r="D293" s="708"/>
    </row>
    <row r="294" spans="4:4" s="544" customFormat="1" x14ac:dyDescent="0.35">
      <c r="D294" s="708"/>
    </row>
    <row r="295" spans="4:4" s="544" customFormat="1" x14ac:dyDescent="0.35">
      <c r="D295" s="708"/>
    </row>
    <row r="296" spans="4:4" s="544" customFormat="1" x14ac:dyDescent="0.35">
      <c r="D296" s="708"/>
    </row>
    <row r="297" spans="4:4" s="544" customFormat="1" x14ac:dyDescent="0.35">
      <c r="D297" s="708"/>
    </row>
    <row r="298" spans="4:4" s="544" customFormat="1" x14ac:dyDescent="0.35">
      <c r="D298" s="708"/>
    </row>
    <row r="299" spans="4:4" s="544" customFormat="1" x14ac:dyDescent="0.35">
      <c r="D299" s="708"/>
    </row>
    <row r="300" spans="4:4" s="544" customFormat="1" x14ac:dyDescent="0.35">
      <c r="D300" s="708"/>
    </row>
    <row r="301" spans="4:4" s="544" customFormat="1" x14ac:dyDescent="0.35">
      <c r="D301" s="708"/>
    </row>
    <row r="302" spans="4:4" s="544" customFormat="1" x14ac:dyDescent="0.35">
      <c r="D302" s="708"/>
    </row>
    <row r="303" spans="4:4" s="544" customFormat="1" x14ac:dyDescent="0.35">
      <c r="D303" s="708"/>
    </row>
    <row r="304" spans="4:4" s="544" customFormat="1" x14ac:dyDescent="0.35">
      <c r="D304" s="708"/>
    </row>
    <row r="305" spans="4:4" s="544" customFormat="1" x14ac:dyDescent="0.35">
      <c r="D305" s="708"/>
    </row>
    <row r="306" spans="4:4" s="544" customFormat="1" x14ac:dyDescent="0.35">
      <c r="D306" s="708"/>
    </row>
    <row r="307" spans="4:4" s="544" customFormat="1" x14ac:dyDescent="0.35">
      <c r="D307" s="708"/>
    </row>
    <row r="308" spans="4:4" s="544" customFormat="1" x14ac:dyDescent="0.35">
      <c r="D308" s="708"/>
    </row>
    <row r="309" spans="4:4" s="544" customFormat="1" x14ac:dyDescent="0.35">
      <c r="D309" s="708"/>
    </row>
    <row r="310" spans="4:4" s="544" customFormat="1" x14ac:dyDescent="0.35">
      <c r="D310" s="708"/>
    </row>
    <row r="311" spans="4:4" s="544" customFormat="1" x14ac:dyDescent="0.35">
      <c r="D311" s="708"/>
    </row>
    <row r="312" spans="4:4" s="544" customFormat="1" x14ac:dyDescent="0.35">
      <c r="D312" s="708"/>
    </row>
    <row r="313" spans="4:4" s="544" customFormat="1" x14ac:dyDescent="0.35">
      <c r="D313" s="708"/>
    </row>
    <row r="314" spans="4:4" s="544" customFormat="1" x14ac:dyDescent="0.35">
      <c r="D314" s="708"/>
    </row>
    <row r="315" spans="4:4" s="544" customFormat="1" x14ac:dyDescent="0.35">
      <c r="D315" s="708"/>
    </row>
    <row r="316" spans="4:4" s="544" customFormat="1" x14ac:dyDescent="0.35">
      <c r="D316" s="708"/>
    </row>
    <row r="317" spans="4:4" s="544" customFormat="1" x14ac:dyDescent="0.35">
      <c r="D317" s="708"/>
    </row>
    <row r="318" spans="4:4" s="544" customFormat="1" x14ac:dyDescent="0.35">
      <c r="D318" s="708"/>
    </row>
    <row r="319" spans="4:4" s="544" customFormat="1" x14ac:dyDescent="0.35">
      <c r="D319" s="708"/>
    </row>
    <row r="320" spans="4:4" s="544" customFormat="1" x14ac:dyDescent="0.35">
      <c r="D320" s="708"/>
    </row>
    <row r="321" spans="4:4" s="544" customFormat="1" x14ac:dyDescent="0.35">
      <c r="D321" s="708"/>
    </row>
    <row r="322" spans="4:4" s="544" customFormat="1" x14ac:dyDescent="0.35">
      <c r="D322" s="708"/>
    </row>
    <row r="323" spans="4:4" s="544" customFormat="1" x14ac:dyDescent="0.35">
      <c r="D323" s="708"/>
    </row>
    <row r="324" spans="4:4" s="544" customFormat="1" x14ac:dyDescent="0.35">
      <c r="D324" s="708"/>
    </row>
    <row r="325" spans="4:4" s="544" customFormat="1" x14ac:dyDescent="0.35">
      <c r="D325" s="708"/>
    </row>
    <row r="326" spans="4:4" s="544" customFormat="1" x14ac:dyDescent="0.35">
      <c r="D326" s="708"/>
    </row>
    <row r="327" spans="4:4" s="544" customFormat="1" x14ac:dyDescent="0.35">
      <c r="D327" s="708"/>
    </row>
    <row r="328" spans="4:4" s="544" customFormat="1" x14ac:dyDescent="0.35">
      <c r="D328" s="708"/>
    </row>
    <row r="329" spans="4:4" s="544" customFormat="1" x14ac:dyDescent="0.35">
      <c r="D329" s="708"/>
    </row>
    <row r="330" spans="4:4" s="544" customFormat="1" x14ac:dyDescent="0.35">
      <c r="D330" s="708"/>
    </row>
    <row r="331" spans="4:4" s="544" customFormat="1" x14ac:dyDescent="0.35">
      <c r="D331" s="708"/>
    </row>
    <row r="332" spans="4:4" s="544" customFormat="1" x14ac:dyDescent="0.35">
      <c r="D332" s="708"/>
    </row>
    <row r="333" spans="4:4" s="544" customFormat="1" x14ac:dyDescent="0.35">
      <c r="D333" s="708"/>
    </row>
    <row r="334" spans="4:4" s="544" customFormat="1" x14ac:dyDescent="0.35">
      <c r="D334" s="708"/>
    </row>
    <row r="335" spans="4:4" s="544" customFormat="1" x14ac:dyDescent="0.35">
      <c r="D335" s="708"/>
    </row>
    <row r="336" spans="4:4" s="544" customFormat="1" x14ac:dyDescent="0.35">
      <c r="D336" s="708"/>
    </row>
    <row r="337" spans="4:4" s="544" customFormat="1" x14ac:dyDescent="0.35">
      <c r="D337" s="708"/>
    </row>
    <row r="338" spans="4:4" s="544" customFormat="1" x14ac:dyDescent="0.35">
      <c r="D338" s="708"/>
    </row>
    <row r="339" spans="4:4" s="544" customFormat="1" x14ac:dyDescent="0.35">
      <c r="D339" s="708"/>
    </row>
    <row r="340" spans="4:4" s="544" customFormat="1" x14ac:dyDescent="0.35">
      <c r="D340" s="708"/>
    </row>
    <row r="341" spans="4:4" s="544" customFormat="1" x14ac:dyDescent="0.35">
      <c r="D341" s="708"/>
    </row>
    <row r="342" spans="4:4" s="544" customFormat="1" x14ac:dyDescent="0.35">
      <c r="D342" s="708"/>
    </row>
    <row r="343" spans="4:4" s="544" customFormat="1" x14ac:dyDescent="0.35">
      <c r="D343" s="708"/>
    </row>
    <row r="344" spans="4:4" s="544" customFormat="1" x14ac:dyDescent="0.35">
      <c r="D344" s="708"/>
    </row>
    <row r="345" spans="4:4" s="544" customFormat="1" x14ac:dyDescent="0.35">
      <c r="D345" s="708"/>
    </row>
    <row r="346" spans="4:4" s="544" customFormat="1" x14ac:dyDescent="0.35">
      <c r="D346" s="708"/>
    </row>
    <row r="347" spans="4:4" s="544" customFormat="1" x14ac:dyDescent="0.35">
      <c r="D347" s="708"/>
    </row>
    <row r="348" spans="4:4" s="544" customFormat="1" x14ac:dyDescent="0.35">
      <c r="D348" s="708"/>
    </row>
    <row r="349" spans="4:4" s="544" customFormat="1" x14ac:dyDescent="0.35">
      <c r="D349" s="708"/>
    </row>
    <row r="350" spans="4:4" s="544" customFormat="1" x14ac:dyDescent="0.35">
      <c r="D350" s="708"/>
    </row>
    <row r="351" spans="4:4" s="544" customFormat="1" x14ac:dyDescent="0.35">
      <c r="D351" s="708"/>
    </row>
  </sheetData>
  <sheetProtection password="C8C1" sheet="1" objects="1" scenarios="1" selectLockedCells="1"/>
  <mergeCells count="9">
    <mergeCell ref="D57:E57"/>
    <mergeCell ref="D58:E58"/>
    <mergeCell ref="D59:E59"/>
    <mergeCell ref="D60:E60"/>
    <mergeCell ref="B18:J18"/>
    <mergeCell ref="B19:J19"/>
    <mergeCell ref="B21:J21"/>
    <mergeCell ref="B53:J53"/>
    <mergeCell ref="B45:J45"/>
  </mergeCells>
  <conditionalFormatting sqref="F60:G60 F57:J59 D57:D59">
    <cfRule type="cellIs" dxfId="923" priority="31" operator="lessThan">
      <formula>0.5</formula>
    </cfRule>
  </conditionalFormatting>
  <conditionalFormatting sqref="F60:G60 F57:J59 D57:D59">
    <cfRule type="cellIs" dxfId="922" priority="17" operator="between">
      <formula>0.5</formula>
      <formula>0.749999</formula>
    </cfRule>
  </conditionalFormatting>
  <conditionalFormatting sqref="F60:G60 F57:J59 D57:D59">
    <cfRule type="cellIs" dxfId="921" priority="19" operator="greaterThan">
      <formula>0.74999999999999</formula>
    </cfRule>
  </conditionalFormatting>
  <conditionalFormatting sqref="C56:C57">
    <cfRule type="cellIs" dxfId="920" priority="15" operator="greaterThan">
      <formula>0.74999999999999</formula>
    </cfRule>
  </conditionalFormatting>
  <conditionalFormatting sqref="C56:C57">
    <cfRule type="cellIs" dxfId="919" priority="13" operator="between">
      <formula>0.5</formula>
      <formula>0.7499999</formula>
    </cfRule>
    <cfRule type="cellIs" dxfId="918" priority="14" operator="lessThan">
      <formula>0.5</formula>
    </cfRule>
  </conditionalFormatting>
  <conditionalFormatting sqref="D57:J57">
    <cfRule type="expression" dxfId="917" priority="5">
      <formula>D57="NA"</formula>
    </cfRule>
  </conditionalFormatting>
  <printOptions horizontalCentered="1"/>
  <pageMargins left="0.75" right="0.75" top="0.75" bottom="0.75" header="0.3" footer="0.3"/>
  <pageSetup paperSize="9" scale="68" orientation="portrait" r:id="rId1"/>
  <ignoredErrors>
    <ignoredError sqref="C49" evalError="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3"/>
    <pageSetUpPr fitToPage="1"/>
  </sheetPr>
  <dimension ref="A1:CQ317"/>
  <sheetViews>
    <sheetView showGridLines="0" showRowColHeaders="0" zoomScale="80" zoomScaleNormal="80" workbookViewId="0">
      <pane ySplit="3" topLeftCell="A4" activePane="bottomLeft" state="frozen"/>
      <selection pane="bottomLeft" activeCell="A3" sqref="A3"/>
    </sheetView>
  </sheetViews>
  <sheetFormatPr defaultColWidth="9.1796875" defaultRowHeight="14.5" x14ac:dyDescent="0.35"/>
  <cols>
    <col min="1" max="1" width="3.26953125" style="17" customWidth="1"/>
    <col min="2" max="2" width="30.7265625" style="17" customWidth="1"/>
    <col min="3" max="3" width="11.7265625" style="17" customWidth="1"/>
    <col min="4" max="4" width="6.7265625" style="17" customWidth="1"/>
    <col min="5" max="5" width="3.26953125" style="544" customWidth="1"/>
    <col min="6" max="6" width="30.7265625" style="17" customWidth="1"/>
    <col min="7" max="7" width="11.7265625" style="17" customWidth="1"/>
    <col min="8" max="8" width="6.7265625" style="98" customWidth="1"/>
    <col min="9" max="9" width="3.26953125" style="544" customWidth="1"/>
    <col min="10" max="10" width="30.7265625" style="17" customWidth="1"/>
    <col min="11" max="11" width="11.7265625" style="17" customWidth="1"/>
    <col min="12" max="12" width="6.7265625" style="17" customWidth="1"/>
    <col min="13" max="13" width="3.26953125" style="544" customWidth="1"/>
    <col min="14" max="14" width="30.7265625" style="17" customWidth="1"/>
    <col min="15" max="15" width="11.7265625" style="17" customWidth="1"/>
    <col min="16" max="16" width="7.7265625" style="17" customWidth="1"/>
    <col min="17" max="17" width="3.26953125" style="544" customWidth="1"/>
    <col min="18" max="18" width="30.7265625" style="17" customWidth="1"/>
    <col min="19" max="19" width="11.7265625" style="17" customWidth="1"/>
    <col min="20" max="20" width="6.7265625" style="17" customWidth="1"/>
    <col min="21" max="21" width="3.26953125" style="544" customWidth="1"/>
    <col min="22" max="22" width="30.7265625" style="17" customWidth="1"/>
    <col min="23" max="23" width="11.7265625" style="17" customWidth="1"/>
    <col min="24" max="24" width="6.7265625" style="17" customWidth="1"/>
    <col min="25" max="25" width="3.26953125" style="544" customWidth="1"/>
    <col min="26" max="95" width="9.1796875" style="544"/>
    <col min="96" max="16384" width="9.1796875" style="17"/>
  </cols>
  <sheetData>
    <row r="1" spans="1:95" s="575" customFormat="1" ht="36.75" customHeight="1" x14ac:dyDescent="0.45">
      <c r="B1" s="824" t="str">
        <f>'User interface_RES'!AJ11</f>
        <v>Any city in , the world</v>
      </c>
      <c r="H1" s="706"/>
    </row>
    <row r="2" spans="1:95" s="669" customFormat="1" ht="57" customHeight="1" thickBot="1" x14ac:dyDescent="0.35">
      <c r="B2" s="1497" t="s">
        <v>109</v>
      </c>
      <c r="C2" s="756"/>
      <c r="H2" s="757"/>
      <c r="R2" s="758"/>
    </row>
    <row r="3" spans="1:95" s="3" customFormat="1" ht="18" hidden="1" customHeight="1" x14ac:dyDescent="0.3">
      <c r="A3" s="478"/>
      <c r="B3" s="478"/>
      <c r="C3" s="478"/>
      <c r="D3" s="478"/>
      <c r="E3" s="478"/>
      <c r="F3" s="478"/>
      <c r="G3" s="478"/>
      <c r="H3" s="523"/>
      <c r="I3" s="478"/>
      <c r="J3" s="478"/>
      <c r="K3" s="478"/>
      <c r="L3" s="478"/>
      <c r="M3" s="478"/>
      <c r="N3" s="478"/>
      <c r="O3" s="478"/>
      <c r="P3" s="478"/>
      <c r="Q3" s="478"/>
      <c r="R3" s="571"/>
      <c r="S3" s="478"/>
      <c r="T3" s="478"/>
      <c r="U3" s="478"/>
      <c r="V3" s="478"/>
      <c r="W3" s="478"/>
      <c r="X3" s="478"/>
      <c r="Y3" s="478"/>
      <c r="Z3" s="478"/>
      <c r="AA3" s="478"/>
      <c r="AB3" s="478"/>
      <c r="AC3" s="478"/>
      <c r="AD3" s="478"/>
      <c r="AE3" s="478"/>
      <c r="AF3" s="478"/>
      <c r="AG3" s="478"/>
      <c r="AH3" s="478"/>
      <c r="AI3" s="478"/>
      <c r="AJ3" s="478"/>
      <c r="AK3" s="478"/>
      <c r="AL3" s="478"/>
      <c r="AM3" s="478"/>
      <c r="AN3" s="478"/>
      <c r="AO3" s="478"/>
      <c r="AP3" s="478"/>
      <c r="AQ3" s="478"/>
      <c r="AR3" s="478"/>
      <c r="AS3" s="478"/>
      <c r="AT3" s="478"/>
      <c r="AU3" s="478"/>
      <c r="AV3" s="478"/>
      <c r="AW3" s="478"/>
      <c r="AX3" s="478"/>
      <c r="AY3" s="478"/>
      <c r="AZ3" s="478"/>
      <c r="BA3" s="478"/>
      <c r="BB3" s="478"/>
      <c r="BC3" s="478"/>
      <c r="BD3" s="478"/>
      <c r="BE3" s="478"/>
      <c r="BF3" s="478"/>
      <c r="BG3" s="478"/>
      <c r="BH3" s="478"/>
      <c r="BI3" s="478"/>
      <c r="BJ3" s="478"/>
      <c r="BK3" s="478"/>
      <c r="BL3" s="478"/>
      <c r="BM3" s="478"/>
      <c r="BN3" s="478"/>
      <c r="BO3" s="478"/>
      <c r="BP3" s="478"/>
      <c r="BQ3" s="478"/>
      <c r="BR3" s="478"/>
      <c r="BS3" s="478"/>
      <c r="BT3" s="478"/>
      <c r="BU3" s="478"/>
      <c r="BV3" s="478"/>
      <c r="BW3" s="478"/>
      <c r="BX3" s="478"/>
      <c r="BY3" s="478"/>
      <c r="BZ3" s="478"/>
      <c r="CA3" s="478"/>
      <c r="CB3" s="478"/>
      <c r="CC3" s="478"/>
      <c r="CD3" s="478"/>
      <c r="CE3" s="478"/>
      <c r="CF3" s="478"/>
      <c r="CG3" s="478"/>
      <c r="CH3" s="478"/>
      <c r="CI3" s="478"/>
      <c r="CJ3" s="478"/>
      <c r="CK3" s="478"/>
      <c r="CL3" s="478"/>
      <c r="CM3" s="478"/>
      <c r="CN3" s="478"/>
      <c r="CO3" s="478"/>
      <c r="CP3" s="478"/>
      <c r="CQ3" s="478"/>
    </row>
    <row r="4" spans="1:95" s="3" customFormat="1" ht="18" customHeight="1" x14ac:dyDescent="0.35">
      <c r="A4" s="870"/>
      <c r="B4" s="478"/>
      <c r="C4" s="478"/>
      <c r="D4" s="478"/>
      <c r="E4" s="478"/>
      <c r="F4" s="478"/>
      <c r="G4" s="478"/>
      <c r="H4" s="523"/>
      <c r="I4" s="478"/>
      <c r="J4" s="478"/>
      <c r="K4" s="478"/>
      <c r="L4" s="478"/>
      <c r="M4" s="478"/>
      <c r="N4" s="478"/>
      <c r="O4" s="478"/>
      <c r="P4" s="478"/>
      <c r="Q4" s="478"/>
      <c r="R4" s="478"/>
      <c r="S4" s="478"/>
      <c r="T4" s="478"/>
      <c r="U4" s="478"/>
      <c r="V4" s="478"/>
      <c r="W4" s="478"/>
      <c r="X4" s="478"/>
      <c r="Y4" s="478"/>
      <c r="Z4" s="478"/>
      <c r="AA4" s="478"/>
      <c r="AB4" s="478"/>
      <c r="AC4" s="478"/>
      <c r="AD4" s="478"/>
      <c r="AE4" s="478"/>
      <c r="AF4" s="478"/>
      <c r="AG4" s="478"/>
      <c r="AH4" s="478"/>
      <c r="AI4" s="478"/>
      <c r="AJ4" s="478"/>
      <c r="AK4" s="478"/>
      <c r="AL4" s="478"/>
      <c r="AM4" s="478"/>
      <c r="AN4" s="478"/>
      <c r="AO4" s="478"/>
      <c r="AP4" s="478"/>
      <c r="AQ4" s="478"/>
      <c r="AR4" s="478"/>
      <c r="AS4" s="478"/>
      <c r="AT4" s="478"/>
      <c r="AU4" s="478"/>
      <c r="AV4" s="478"/>
      <c r="AW4" s="478"/>
      <c r="AX4" s="478"/>
      <c r="AY4" s="478"/>
      <c r="AZ4" s="478"/>
      <c r="BA4" s="478"/>
      <c r="BB4" s="478"/>
      <c r="BC4" s="478"/>
      <c r="BD4" s="478"/>
      <c r="BE4" s="478"/>
      <c r="BF4" s="478"/>
      <c r="BG4" s="478"/>
      <c r="BH4" s="478"/>
      <c r="BI4" s="478"/>
      <c r="BJ4" s="478"/>
      <c r="BK4" s="478"/>
      <c r="BL4" s="478"/>
      <c r="BM4" s="478"/>
      <c r="BN4" s="478"/>
      <c r="BO4" s="478"/>
      <c r="BP4" s="478"/>
      <c r="BQ4" s="478"/>
      <c r="BR4" s="478"/>
      <c r="BS4" s="478"/>
      <c r="BT4" s="478"/>
      <c r="BU4" s="478"/>
      <c r="BV4" s="478"/>
      <c r="BW4" s="478"/>
      <c r="BX4" s="478"/>
      <c r="BY4" s="478"/>
      <c r="BZ4" s="478"/>
      <c r="CA4" s="478"/>
      <c r="CB4" s="478"/>
      <c r="CC4" s="478"/>
      <c r="CD4" s="478"/>
      <c r="CE4" s="478"/>
      <c r="CF4" s="478"/>
      <c r="CG4" s="478"/>
      <c r="CH4" s="478"/>
      <c r="CI4" s="478"/>
      <c r="CJ4" s="478"/>
      <c r="CK4" s="478"/>
      <c r="CL4" s="478"/>
      <c r="CM4" s="478"/>
      <c r="CN4" s="478"/>
      <c r="CO4" s="478"/>
      <c r="CP4" s="478"/>
      <c r="CQ4" s="478"/>
    </row>
    <row r="5" spans="1:95" s="63" customFormat="1" ht="30" customHeight="1" x14ac:dyDescent="0.35">
      <c r="A5" s="478"/>
      <c r="B5" s="1540" t="s">
        <v>42</v>
      </c>
      <c r="C5" s="1540"/>
      <c r="D5" s="1540"/>
      <c r="E5" s="755"/>
      <c r="F5" s="1540" t="s">
        <v>43</v>
      </c>
      <c r="G5" s="1540"/>
      <c r="H5" s="1540"/>
      <c r="I5" s="755"/>
      <c r="J5" s="1540" t="s">
        <v>44</v>
      </c>
      <c r="K5" s="1540"/>
      <c r="L5" s="1540"/>
      <c r="M5" s="755"/>
      <c r="N5" s="1540" t="s">
        <v>45</v>
      </c>
      <c r="O5" s="1540"/>
      <c r="P5" s="1540"/>
      <c r="Q5" s="755"/>
      <c r="R5" s="1540" t="s">
        <v>46</v>
      </c>
      <c r="S5" s="1540"/>
      <c r="T5" s="1540"/>
      <c r="U5" s="755"/>
      <c r="V5" s="1540" t="s">
        <v>47</v>
      </c>
      <c r="W5" s="1540"/>
      <c r="X5" s="1540"/>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row>
    <row r="6" spans="1:95" s="3" customFormat="1" ht="18" customHeight="1" x14ac:dyDescent="0.35">
      <c r="A6" s="478"/>
      <c r="B6" s="478"/>
      <c r="C6" s="478"/>
      <c r="D6" s="478"/>
      <c r="E6" s="478"/>
      <c r="F6" s="478"/>
      <c r="G6" s="478"/>
      <c r="H6" s="523"/>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c r="BA6" s="478"/>
      <c r="BB6" s="478"/>
      <c r="BC6" s="478"/>
      <c r="BD6" s="478"/>
      <c r="BE6" s="478"/>
      <c r="BF6" s="478"/>
      <c r="BG6" s="478"/>
      <c r="BH6" s="478"/>
      <c r="BI6" s="478"/>
      <c r="BJ6" s="478"/>
      <c r="BK6" s="478"/>
      <c r="BL6" s="478"/>
      <c r="BM6" s="478"/>
      <c r="BN6" s="478"/>
      <c r="BO6" s="478"/>
      <c r="BP6" s="478"/>
      <c r="BQ6" s="478"/>
      <c r="BR6" s="478"/>
      <c r="BS6" s="478"/>
      <c r="BT6" s="478"/>
      <c r="BU6" s="478"/>
      <c r="BV6" s="478"/>
      <c r="BW6" s="478"/>
      <c r="BX6" s="478"/>
      <c r="BY6" s="478"/>
      <c r="BZ6" s="478"/>
      <c r="CA6" s="478"/>
      <c r="CB6" s="478"/>
      <c r="CC6" s="478"/>
      <c r="CD6" s="478"/>
      <c r="CE6" s="478"/>
      <c r="CF6" s="478"/>
      <c r="CG6" s="478"/>
      <c r="CH6" s="478"/>
      <c r="CI6" s="478"/>
      <c r="CJ6" s="478"/>
      <c r="CK6" s="478"/>
      <c r="CL6" s="478"/>
      <c r="CM6" s="478"/>
      <c r="CN6" s="478"/>
      <c r="CO6" s="478"/>
      <c r="CP6" s="478"/>
      <c r="CQ6" s="478"/>
    </row>
    <row r="7" spans="1:95" ht="18" customHeight="1" x14ac:dyDescent="0.35">
      <c r="A7" s="478"/>
      <c r="B7" s="135" t="s">
        <v>48</v>
      </c>
      <c r="C7" s="1523">
        <f>C9+C10</f>
        <v>206200</v>
      </c>
      <c r="D7" s="538">
        <f>IF($C$7=0,0,C7/C$7)</f>
        <v>1</v>
      </c>
      <c r="F7" s="144" t="s">
        <v>49</v>
      </c>
      <c r="G7" s="1523">
        <f>G9+G10</f>
        <v>186175</v>
      </c>
      <c r="H7" s="538">
        <f>IF($G$7=0,0,G7/G$7)</f>
        <v>1</v>
      </c>
      <c r="J7" s="144" t="s">
        <v>50</v>
      </c>
      <c r="K7" s="1523">
        <f>K9+K10</f>
        <v>183925</v>
      </c>
      <c r="L7" s="538">
        <f>IF($K$7=0,0,K7/K$7)</f>
        <v>1</v>
      </c>
      <c r="N7" s="144" t="s">
        <v>51</v>
      </c>
      <c r="O7" s="1523">
        <f>O12+O18+O23+O31</f>
        <v>184125</v>
      </c>
      <c r="P7" s="538">
        <f>IF(O$7=0,0,O7/O$7)</f>
        <v>1</v>
      </c>
      <c r="R7" s="144" t="s">
        <v>52</v>
      </c>
      <c r="S7" s="1523">
        <f>S12+S18+S23+S27</f>
        <v>32600</v>
      </c>
      <c r="T7" s="538">
        <f>IF(S$7=0,0,S7/S$7)</f>
        <v>1</v>
      </c>
      <c r="V7" s="144" t="s">
        <v>53</v>
      </c>
      <c r="W7" s="1523">
        <f>W12+W14+W23+W25</f>
        <v>32600</v>
      </c>
      <c r="X7" s="538">
        <f>IF(W$7=0,0,W7/W$7)</f>
        <v>1</v>
      </c>
    </row>
    <row r="8" spans="1:95" s="3" customFormat="1" ht="18" customHeight="1" x14ac:dyDescent="0.35">
      <c r="A8" s="478"/>
      <c r="B8" s="650"/>
      <c r="C8" s="737"/>
      <c r="D8" s="665"/>
      <c r="E8" s="478"/>
      <c r="F8" s="736"/>
      <c r="G8" s="737"/>
      <c r="H8" s="665"/>
      <c r="I8" s="478"/>
      <c r="J8" s="736"/>
      <c r="K8" s="737"/>
      <c r="L8" s="665"/>
      <c r="M8" s="478"/>
      <c r="N8" s="736"/>
      <c r="O8" s="737"/>
      <c r="P8" s="665"/>
      <c r="Q8" s="478"/>
      <c r="R8" s="736"/>
      <c r="S8" s="737"/>
      <c r="T8" s="665"/>
      <c r="U8" s="478"/>
      <c r="V8" s="736"/>
      <c r="W8" s="737"/>
      <c r="X8" s="665"/>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c r="BC8" s="478"/>
      <c r="BD8" s="478"/>
      <c r="BE8" s="478"/>
      <c r="BF8" s="478"/>
      <c r="BG8" s="478"/>
      <c r="BH8" s="478"/>
      <c r="BI8" s="478"/>
      <c r="BJ8" s="478"/>
      <c r="BK8" s="478"/>
      <c r="BL8" s="478"/>
      <c r="BM8" s="478"/>
      <c r="BN8" s="478"/>
      <c r="BO8" s="478"/>
      <c r="BP8" s="478"/>
      <c r="BQ8" s="478"/>
      <c r="BR8" s="478"/>
      <c r="BS8" s="478"/>
      <c r="BT8" s="478"/>
      <c r="BU8" s="478"/>
      <c r="BV8" s="478"/>
      <c r="BW8" s="478"/>
      <c r="BX8" s="478"/>
      <c r="BY8" s="478"/>
      <c r="BZ8" s="478"/>
      <c r="CA8" s="478"/>
      <c r="CB8" s="478"/>
      <c r="CC8" s="478"/>
      <c r="CD8" s="478"/>
      <c r="CE8" s="478"/>
      <c r="CF8" s="478"/>
      <c r="CG8" s="478"/>
      <c r="CH8" s="478"/>
      <c r="CI8" s="478"/>
      <c r="CJ8" s="478"/>
      <c r="CK8" s="478"/>
      <c r="CL8" s="478"/>
      <c r="CM8" s="478"/>
      <c r="CN8" s="478"/>
      <c r="CO8" s="478"/>
      <c r="CP8" s="478"/>
      <c r="CQ8" s="478"/>
    </row>
    <row r="9" spans="1:95" ht="18" customHeight="1" x14ac:dyDescent="0.35">
      <c r="A9" s="478"/>
      <c r="B9" s="146" t="s">
        <v>54</v>
      </c>
      <c r="C9" s="1523">
        <f>C12</f>
        <v>186175</v>
      </c>
      <c r="D9" s="759">
        <f>IF($C$7=0,0,C9/C$7)</f>
        <v>0.90288554801163923</v>
      </c>
      <c r="F9" s="146" t="s">
        <v>54</v>
      </c>
      <c r="G9" s="1523">
        <f>G12+G18</f>
        <v>183925</v>
      </c>
      <c r="H9" s="759">
        <f>IF($G$7=0,0,G9/G$7)</f>
        <v>0.9879145964818048</v>
      </c>
      <c r="J9" s="146" t="s">
        <v>54</v>
      </c>
      <c r="K9" s="1523">
        <f>K12+K18</f>
        <v>183925</v>
      </c>
      <c r="L9" s="759">
        <f>IF($K$7=0,0,K9/K$7)</f>
        <v>1</v>
      </c>
      <c r="N9" s="146" t="s">
        <v>54</v>
      </c>
      <c r="O9" s="1523">
        <f>O12+O18</f>
        <v>32600</v>
      </c>
      <c r="P9" s="759">
        <f>IF(O$7=0,0,O9/O$7)</f>
        <v>0.17705363204344873</v>
      </c>
      <c r="R9" s="146" t="s">
        <v>54</v>
      </c>
      <c r="S9" s="1523">
        <f>S12+S18</f>
        <v>11410</v>
      </c>
      <c r="T9" s="759">
        <f>IF(S$7=0,0,S9/S$7)</f>
        <v>0.35</v>
      </c>
      <c r="V9" s="146" t="s">
        <v>54</v>
      </c>
      <c r="W9" s="1523">
        <f>W12+W14</f>
        <v>11410</v>
      </c>
      <c r="X9" s="759">
        <f>IF(W$7=0,0,W9/W$7)</f>
        <v>0.35</v>
      </c>
    </row>
    <row r="10" spans="1:95" ht="18" customHeight="1" x14ac:dyDescent="0.35">
      <c r="A10" s="478"/>
      <c r="B10" s="147" t="s">
        <v>11</v>
      </c>
      <c r="C10" s="1523">
        <f>C23</f>
        <v>20025</v>
      </c>
      <c r="D10" s="759">
        <f>IF($C$7=0,0,C10/C$7)</f>
        <v>9.7114451988360814E-2</v>
      </c>
      <c r="F10" s="147" t="s">
        <v>11</v>
      </c>
      <c r="G10" s="1523">
        <f>G23</f>
        <v>2250</v>
      </c>
      <c r="H10" s="759">
        <f>IF($G$7=0,0,G10/G$7)</f>
        <v>1.2085403518195247E-2</v>
      </c>
      <c r="J10" s="147" t="s">
        <v>11</v>
      </c>
      <c r="K10" s="1523">
        <f>K23+K28+K31</f>
        <v>0</v>
      </c>
      <c r="L10" s="759">
        <f>IF($K$7=0,0,K10/K$7)</f>
        <v>0</v>
      </c>
      <c r="N10" s="147" t="s">
        <v>11</v>
      </c>
      <c r="O10" s="1523">
        <f>O23+O31</f>
        <v>151525</v>
      </c>
      <c r="P10" s="759">
        <f>IF(O$7=0,0,O10/O$7)</f>
        <v>0.82294636795655129</v>
      </c>
      <c r="R10" s="147" t="s">
        <v>11</v>
      </c>
      <c r="S10" s="1523">
        <f>S23</f>
        <v>21190</v>
      </c>
      <c r="T10" s="759">
        <f>IF(S$7=0,0,S10/S$7)</f>
        <v>0.65</v>
      </c>
      <c r="V10" s="147" t="s">
        <v>11</v>
      </c>
      <c r="W10" s="1523">
        <f>W23+W25</f>
        <v>21190</v>
      </c>
      <c r="X10" s="759">
        <f>IF(W$7=0,0,W10/W$7)</f>
        <v>0.65</v>
      </c>
    </row>
    <row r="11" spans="1:95" s="13" customFormat="1" ht="18" customHeight="1" x14ac:dyDescent="0.35">
      <c r="A11" s="564"/>
      <c r="B11" s="851" t="s">
        <v>55</v>
      </c>
      <c r="C11" s="852"/>
      <c r="D11" s="564"/>
      <c r="E11" s="564"/>
      <c r="F11" s="851" t="s">
        <v>55</v>
      </c>
      <c r="G11" s="851"/>
      <c r="H11" s="853"/>
      <c r="I11" s="564"/>
      <c r="J11" s="851" t="s">
        <v>55</v>
      </c>
      <c r="K11" s="851"/>
      <c r="L11" s="564"/>
      <c r="M11" s="564"/>
      <c r="N11" s="851" t="s">
        <v>55</v>
      </c>
      <c r="O11" s="852"/>
      <c r="P11" s="564"/>
      <c r="Q11" s="564"/>
      <c r="R11" s="851" t="s">
        <v>55</v>
      </c>
      <c r="S11" s="851"/>
      <c r="T11" s="564"/>
      <c r="U11" s="564"/>
      <c r="V11" s="851" t="s">
        <v>55</v>
      </c>
      <c r="W11" s="851"/>
      <c r="X11" s="564"/>
      <c r="Y11" s="564"/>
      <c r="Z11" s="5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564"/>
      <c r="BW11" s="564"/>
      <c r="BX11" s="564"/>
      <c r="BY11" s="564"/>
      <c r="BZ11" s="564"/>
      <c r="CA11" s="564"/>
      <c r="CB11" s="564"/>
      <c r="CC11" s="564"/>
      <c r="CD11" s="564"/>
      <c r="CE11" s="564"/>
      <c r="CF11" s="564"/>
      <c r="CG11" s="564"/>
      <c r="CH11" s="564"/>
      <c r="CI11" s="564"/>
      <c r="CJ11" s="564"/>
      <c r="CK11" s="564"/>
      <c r="CL11" s="564"/>
      <c r="CM11" s="564"/>
      <c r="CN11" s="564"/>
      <c r="CO11" s="564"/>
      <c r="CP11" s="564"/>
      <c r="CQ11" s="564"/>
    </row>
    <row r="12" spans="1:95" s="12" customFormat="1" ht="18" customHeight="1" x14ac:dyDescent="0.35">
      <c r="A12" s="478"/>
      <c r="B12" s="146" t="s">
        <v>56</v>
      </c>
      <c r="C12" s="150">
        <f>SUM(C13:C16)</f>
        <v>186175</v>
      </c>
      <c r="D12" s="538">
        <f>IF($C$7=0,0,C12/C$7)</f>
        <v>0.90288554801163923</v>
      </c>
      <c r="E12" s="570"/>
      <c r="F12" s="146" t="s">
        <v>57</v>
      </c>
      <c r="G12" s="150">
        <f>SUM(G13:G16)</f>
        <v>147700</v>
      </c>
      <c r="H12" s="538">
        <f>IF($G$7=0,0,G12/G$7)</f>
        <v>0.79333959983886126</v>
      </c>
      <c r="I12" s="570"/>
      <c r="J12" s="146" t="s">
        <v>58</v>
      </c>
      <c r="K12" s="150">
        <f>SUM(K13:K14)</f>
        <v>147700</v>
      </c>
      <c r="L12" s="538">
        <f>IF($K$7=0,0,K12/K$7)</f>
        <v>0.80304471931493815</v>
      </c>
      <c r="M12" s="570"/>
      <c r="N12" s="146" t="s">
        <v>59</v>
      </c>
      <c r="O12" s="150">
        <f>O13</f>
        <v>0</v>
      </c>
      <c r="P12" s="538">
        <f>IF(O$7=0,0,O12/O$7)</f>
        <v>0</v>
      </c>
      <c r="Q12" s="570"/>
      <c r="R12" s="146" t="s">
        <v>60</v>
      </c>
      <c r="S12" s="150">
        <f>SUM(S13:S14)</f>
        <v>11410</v>
      </c>
      <c r="T12" s="538">
        <f>IF(S$7=0,0,S12/S$7)</f>
        <v>0.35</v>
      </c>
      <c r="U12" s="570"/>
      <c r="V12" s="146" t="s">
        <v>61</v>
      </c>
      <c r="W12" s="158">
        <f>'FS_Disposal volumes'!B11</f>
        <v>11410</v>
      </c>
      <c r="X12" s="538">
        <f>IF(W$7=0,0,W12/W$7)</f>
        <v>0.35</v>
      </c>
      <c r="Y12" s="570"/>
      <c r="Z12" s="570"/>
      <c r="AA12" s="570"/>
      <c r="AB12" s="570"/>
      <c r="AC12" s="570"/>
      <c r="AD12" s="570"/>
      <c r="AE12" s="570"/>
      <c r="AF12" s="570"/>
      <c r="AG12" s="570"/>
      <c r="AH12" s="570"/>
      <c r="AI12" s="570"/>
      <c r="AJ12" s="570"/>
      <c r="AK12" s="570"/>
      <c r="AL12" s="570"/>
      <c r="AM12" s="570"/>
      <c r="AN12" s="570"/>
      <c r="AO12" s="570"/>
      <c r="AP12" s="570"/>
      <c r="AQ12" s="570"/>
      <c r="AR12" s="570"/>
      <c r="AS12" s="570"/>
      <c r="AT12" s="570"/>
      <c r="AU12" s="570"/>
      <c r="AV12" s="570"/>
      <c r="AW12" s="570"/>
      <c r="AX12" s="570"/>
      <c r="AY12" s="570"/>
      <c r="AZ12" s="570"/>
      <c r="BA12" s="570"/>
      <c r="BB12" s="570"/>
      <c r="BC12" s="570"/>
      <c r="BD12" s="570"/>
      <c r="BE12" s="570"/>
      <c r="BF12" s="570"/>
      <c r="BG12" s="570"/>
      <c r="BH12" s="570"/>
      <c r="BI12" s="570"/>
      <c r="BJ12" s="570"/>
      <c r="BK12" s="570"/>
      <c r="BL12" s="570"/>
      <c r="BM12" s="570"/>
      <c r="BN12" s="570"/>
      <c r="BO12" s="570"/>
      <c r="BP12" s="570"/>
      <c r="BQ12" s="570"/>
      <c r="BR12" s="570"/>
      <c r="BS12" s="570"/>
      <c r="BT12" s="570"/>
      <c r="BU12" s="570"/>
      <c r="BV12" s="570"/>
      <c r="BW12" s="570"/>
      <c r="BX12" s="570"/>
      <c r="BY12" s="570"/>
      <c r="BZ12" s="570"/>
      <c r="CA12" s="570"/>
      <c r="CB12" s="570"/>
      <c r="CC12" s="570"/>
      <c r="CD12" s="570"/>
      <c r="CE12" s="570"/>
      <c r="CF12" s="570"/>
      <c r="CG12" s="570"/>
      <c r="CH12" s="570"/>
      <c r="CI12" s="570"/>
      <c r="CJ12" s="570"/>
      <c r="CK12" s="570"/>
      <c r="CL12" s="570"/>
      <c r="CM12" s="570"/>
      <c r="CN12" s="570"/>
      <c r="CO12" s="570"/>
      <c r="CP12" s="570"/>
      <c r="CQ12" s="570"/>
    </row>
    <row r="13" spans="1:95" ht="18" customHeight="1" x14ac:dyDescent="0.35">
      <c r="A13" s="478"/>
      <c r="B13" s="143" t="s">
        <v>62</v>
      </c>
      <c r="C13" s="1520">
        <f>'FS_Capture volumes'!B11</f>
        <v>36225</v>
      </c>
      <c r="D13" s="760">
        <f>IF($C$7=0,0,C13/C$7)</f>
        <v>0.17567895247332688</v>
      </c>
      <c r="E13" s="478"/>
      <c r="F13" s="143" t="s">
        <v>63</v>
      </c>
      <c r="G13" s="153">
        <f>'FS_Containment volumes'!B11</f>
        <v>0</v>
      </c>
      <c r="H13" s="760">
        <f>IF($G$7=0,0,G13/G$7)</f>
        <v>0</v>
      </c>
      <c r="I13" s="478"/>
      <c r="J13" s="143" t="s">
        <v>64</v>
      </c>
      <c r="K13" s="153">
        <f>'FS_Emptying volumes'!B11</f>
        <v>0</v>
      </c>
      <c r="L13" s="760">
        <f>IF($K$7=0,0,K13/K$7)</f>
        <v>0</v>
      </c>
      <c r="M13" s="478"/>
      <c r="N13" s="143" t="s">
        <v>65</v>
      </c>
      <c r="O13" s="160">
        <f>'FS_Transport volumes'!B11</f>
        <v>0</v>
      </c>
      <c r="P13" s="760">
        <f>IF(O$7=0,0,O13/O$7)</f>
        <v>0</v>
      </c>
      <c r="Q13" s="478"/>
      <c r="R13" s="143" t="s">
        <v>66</v>
      </c>
      <c r="S13" s="1520">
        <f>'FS_Treatment volumes'!B11</f>
        <v>11410</v>
      </c>
      <c r="T13" s="760">
        <f>IF(S$7=0,0,S13/S$7)</f>
        <v>0.35</v>
      </c>
      <c r="V13" s="732" t="s">
        <v>67</v>
      </c>
      <c r="W13" s="735"/>
      <c r="X13" s="544"/>
    </row>
    <row r="14" spans="1:95" ht="18" customHeight="1" x14ac:dyDescent="0.35">
      <c r="A14" s="478"/>
      <c r="B14" s="143" t="s">
        <v>68</v>
      </c>
      <c r="C14" s="1520">
        <f>'FS_Capture volumes'!B12</f>
        <v>0</v>
      </c>
      <c r="D14" s="760">
        <f>IF($C$7=0,0,C14/C$7)</f>
        <v>0</v>
      </c>
      <c r="E14" s="478"/>
      <c r="F14" s="143" t="s">
        <v>69</v>
      </c>
      <c r="G14" s="153">
        <f>'FS_Containment volumes'!B12</f>
        <v>0</v>
      </c>
      <c r="H14" s="760">
        <f>IF($G$7=0,0,G14/G$7)</f>
        <v>0</v>
      </c>
      <c r="I14" s="478"/>
      <c r="J14" s="143" t="s">
        <v>70</v>
      </c>
      <c r="K14" s="153">
        <f>'FS_Emptying volumes'!B12</f>
        <v>147700</v>
      </c>
      <c r="L14" s="760">
        <f>IF($K$7=0,0,K14/K$7)</f>
        <v>0.80304471931493815</v>
      </c>
      <c r="M14" s="478"/>
      <c r="N14" s="508"/>
      <c r="O14" s="739"/>
      <c r="P14" s="740"/>
      <c r="Q14" s="478"/>
      <c r="R14" s="143" t="s">
        <v>71</v>
      </c>
      <c r="S14" s="1520">
        <f>'FS_Treatment volumes'!B12</f>
        <v>0</v>
      </c>
      <c r="T14" s="760">
        <f>IF(S$7=0,0,S14/S$7)</f>
        <v>0</v>
      </c>
      <c r="V14" s="146" t="s">
        <v>72</v>
      </c>
      <c r="W14" s="158">
        <f>'FS_Disposal volumes'!B12</f>
        <v>0</v>
      </c>
      <c r="X14" s="538">
        <f>IF(W$7=0,0,W14/W$7)</f>
        <v>0</v>
      </c>
    </row>
    <row r="15" spans="1:95" ht="18" customHeight="1" x14ac:dyDescent="0.35">
      <c r="A15" s="478"/>
      <c r="B15" s="143" t="s">
        <v>73</v>
      </c>
      <c r="C15" s="1520">
        <f>'FS_Capture volumes'!B13</f>
        <v>98575</v>
      </c>
      <c r="D15" s="760">
        <f>IF($C$7=0,0,C15/C$7)</f>
        <v>0.47805528612997089</v>
      </c>
      <c r="E15" s="478"/>
      <c r="F15" s="143" t="s">
        <v>74</v>
      </c>
      <c r="G15" s="153">
        <f>'FS_Containment volumes'!B13</f>
        <v>98575</v>
      </c>
      <c r="H15" s="760">
        <f>IF($G$7=0,0,G15/G$7)</f>
        <v>0.52947495635826503</v>
      </c>
      <c r="I15" s="478"/>
      <c r="J15" s="508"/>
      <c r="K15" s="508"/>
      <c r="L15" s="508"/>
      <c r="M15" s="478"/>
      <c r="N15" s="478"/>
      <c r="O15" s="738"/>
      <c r="P15" s="478"/>
      <c r="Q15" s="478"/>
      <c r="R15" s="478"/>
      <c r="S15" s="478"/>
      <c r="T15" s="478"/>
      <c r="V15" s="544"/>
      <c r="W15" s="729"/>
      <c r="X15" s="544"/>
    </row>
    <row r="16" spans="1:95" ht="18" customHeight="1" x14ac:dyDescent="0.35">
      <c r="A16" s="478"/>
      <c r="B16" s="143" t="s">
        <v>75</v>
      </c>
      <c r="C16" s="1520">
        <f>'FS_Capture volumes'!B14</f>
        <v>51375</v>
      </c>
      <c r="D16" s="760">
        <f>IF($C$7=0,0,C16/C$7)</f>
        <v>0.2491513094083414</v>
      </c>
      <c r="E16" s="478"/>
      <c r="F16" s="143" t="s">
        <v>76</v>
      </c>
      <c r="G16" s="153">
        <f>'FS_Containment volumes'!B14</f>
        <v>49125</v>
      </c>
      <c r="H16" s="760">
        <f>IF($G$7=0,0,G16/G$7)</f>
        <v>0.26386464348059624</v>
      </c>
      <c r="I16" s="478"/>
      <c r="J16" s="489"/>
      <c r="K16" s="489"/>
      <c r="L16" s="489"/>
      <c r="M16" s="478"/>
      <c r="N16" s="478"/>
      <c r="O16" s="738"/>
      <c r="P16" s="478"/>
      <c r="Q16" s="478"/>
      <c r="R16" s="478"/>
      <c r="S16" s="478"/>
      <c r="T16" s="478"/>
      <c r="V16" s="544"/>
      <c r="W16" s="729"/>
      <c r="X16" s="544"/>
    </row>
    <row r="17" spans="1:95" s="13" customFormat="1" ht="18" customHeight="1" x14ac:dyDescent="0.35">
      <c r="A17" s="564"/>
      <c r="B17" s="858" t="s">
        <v>77</v>
      </c>
      <c r="C17" s="852"/>
      <c r="D17" s="564"/>
      <c r="E17" s="564"/>
      <c r="F17" s="851" t="s">
        <v>67</v>
      </c>
      <c r="G17" s="851"/>
      <c r="H17" s="853"/>
      <c r="I17" s="564"/>
      <c r="J17" s="851" t="s">
        <v>67</v>
      </c>
      <c r="K17" s="851"/>
      <c r="L17" s="564"/>
      <c r="M17" s="564"/>
      <c r="N17" s="851" t="s">
        <v>67</v>
      </c>
      <c r="O17" s="852"/>
      <c r="P17" s="564"/>
      <c r="Q17" s="564"/>
      <c r="R17" s="851"/>
      <c r="S17" s="851"/>
      <c r="T17" s="564"/>
      <c r="U17" s="564"/>
      <c r="V17" s="851"/>
      <c r="W17" s="851"/>
      <c r="X17" s="564"/>
      <c r="Y17" s="564"/>
      <c r="Z17" s="564"/>
      <c r="AA17" s="564"/>
      <c r="AB17" s="564"/>
      <c r="AC17" s="564"/>
      <c r="AD17" s="564"/>
      <c r="AE17" s="564"/>
      <c r="AF17" s="564"/>
      <c r="AG17" s="564"/>
      <c r="AH17" s="564"/>
      <c r="AI17" s="564"/>
      <c r="AJ17" s="564"/>
      <c r="AK17" s="564"/>
      <c r="AL17" s="564"/>
      <c r="AM17" s="564"/>
      <c r="AN17" s="564"/>
      <c r="AO17" s="564"/>
      <c r="AP17" s="564"/>
      <c r="AQ17" s="564"/>
      <c r="AR17" s="564"/>
      <c r="AS17" s="564"/>
      <c r="AT17" s="564"/>
      <c r="AU17" s="564"/>
      <c r="AV17" s="564"/>
      <c r="AW17" s="564"/>
      <c r="AX17" s="564"/>
      <c r="AY17" s="564"/>
      <c r="AZ17" s="564"/>
      <c r="BA17" s="564"/>
      <c r="BB17" s="564"/>
      <c r="BC17" s="564"/>
      <c r="BD17" s="564"/>
      <c r="BE17" s="564"/>
      <c r="BF17" s="564"/>
      <c r="BG17" s="564"/>
      <c r="BH17" s="564"/>
      <c r="BI17" s="564"/>
      <c r="BJ17" s="564"/>
      <c r="BK17" s="564"/>
      <c r="BL17" s="564"/>
      <c r="BM17" s="564"/>
      <c r="BN17" s="564"/>
      <c r="BO17" s="564"/>
      <c r="BP17" s="564"/>
      <c r="BQ17" s="564"/>
      <c r="BR17" s="564"/>
      <c r="BS17" s="564"/>
      <c r="BT17" s="564"/>
      <c r="BU17" s="564"/>
      <c r="BV17" s="564"/>
      <c r="BW17" s="564"/>
      <c r="BX17" s="564"/>
      <c r="BY17" s="564"/>
      <c r="BZ17" s="564"/>
      <c r="CA17" s="564"/>
      <c r="CB17" s="564"/>
      <c r="CC17" s="564"/>
      <c r="CD17" s="564"/>
      <c r="CE17" s="564"/>
      <c r="CF17" s="564"/>
      <c r="CG17" s="564"/>
      <c r="CH17" s="564"/>
      <c r="CI17" s="564"/>
      <c r="CJ17" s="564"/>
      <c r="CK17" s="564"/>
      <c r="CL17" s="564"/>
      <c r="CM17" s="564"/>
      <c r="CN17" s="564"/>
      <c r="CO17" s="564"/>
      <c r="CP17" s="564"/>
      <c r="CQ17" s="564"/>
    </row>
    <row r="18" spans="1:95" ht="18" customHeight="1" x14ac:dyDescent="0.3">
      <c r="A18" s="478"/>
      <c r="B18" s="551"/>
      <c r="C18" s="737"/>
      <c r="D18" s="731"/>
      <c r="E18" s="731"/>
      <c r="F18" s="146" t="s">
        <v>78</v>
      </c>
      <c r="G18" s="150">
        <f>SUM(G19:G20)</f>
        <v>36225</v>
      </c>
      <c r="H18" s="538">
        <f>IF($G$7=0,0,G18/G$7)</f>
        <v>0.19457499664294348</v>
      </c>
      <c r="J18" s="146" t="s">
        <v>79</v>
      </c>
      <c r="K18" s="150">
        <f>SUM(K19:K21)</f>
        <v>36225</v>
      </c>
      <c r="L18" s="538">
        <f>IF($K$7=0,0,K18/K$7)</f>
        <v>0.19695528068506185</v>
      </c>
      <c r="N18" s="146" t="s">
        <v>78</v>
      </c>
      <c r="O18" s="150">
        <f>SUM(O19:O21)</f>
        <v>32600</v>
      </c>
      <c r="P18" s="538">
        <f>IF(O$7=0,0,O18/O$7)</f>
        <v>0.17705363204344873</v>
      </c>
      <c r="R18" s="571"/>
      <c r="S18" s="571"/>
      <c r="T18" s="571"/>
      <c r="V18" s="544"/>
      <c r="W18" s="729"/>
      <c r="X18" s="544"/>
    </row>
    <row r="19" spans="1:95" ht="18" customHeight="1" x14ac:dyDescent="0.3">
      <c r="A19" s="478"/>
      <c r="B19" s="650"/>
      <c r="C19" s="530"/>
      <c r="D19" s="478"/>
      <c r="E19" s="478"/>
      <c r="F19" s="143" t="s">
        <v>62</v>
      </c>
      <c r="G19" s="153">
        <f>'FS_Containment volumes'!B17</f>
        <v>36225</v>
      </c>
      <c r="H19" s="760">
        <f>IF($G$7=0,0,G19/G$7)</f>
        <v>0.19457499664294348</v>
      </c>
      <c r="I19" s="478"/>
      <c r="J19" s="143" t="s">
        <v>62</v>
      </c>
      <c r="K19" s="153">
        <f>'FS_Emptying volumes'!B15</f>
        <v>36225</v>
      </c>
      <c r="L19" s="760">
        <f>IF($K$7=0,0,K19/K$7)</f>
        <v>0.19695528068506185</v>
      </c>
      <c r="M19" s="478"/>
      <c r="N19" s="143" t="s">
        <v>80</v>
      </c>
      <c r="O19" s="1520">
        <f>'FS_Transport volumes'!B14</f>
        <v>32600</v>
      </c>
      <c r="P19" s="760">
        <f>IF(O$7=0,0,O19/O$7)</f>
        <v>0.17705363204344873</v>
      </c>
      <c r="Q19" s="478"/>
      <c r="R19" s="571"/>
      <c r="S19" s="571"/>
      <c r="T19" s="571"/>
      <c r="U19" s="478"/>
      <c r="V19" s="733"/>
      <c r="W19" s="734"/>
      <c r="X19" s="478"/>
    </row>
    <row r="20" spans="1:95" ht="18" customHeight="1" x14ac:dyDescent="0.3">
      <c r="A20" s="478"/>
      <c r="B20" s="478"/>
      <c r="C20" s="530"/>
      <c r="D20" s="478"/>
      <c r="E20" s="478"/>
      <c r="F20" s="478"/>
      <c r="G20" s="478"/>
      <c r="H20" s="478"/>
      <c r="I20" s="478"/>
      <c r="J20" s="143" t="s">
        <v>81</v>
      </c>
      <c r="K20" s="153">
        <f>'FS_Emptying volumes'!B16</f>
        <v>0</v>
      </c>
      <c r="L20" s="760">
        <f>IF($K$7=0,0,K20/K$7)</f>
        <v>0</v>
      </c>
      <c r="M20" s="478"/>
      <c r="N20" s="143" t="s">
        <v>82</v>
      </c>
      <c r="O20" s="1520">
        <f>'FS_Transport volumes'!B15</f>
        <v>0</v>
      </c>
      <c r="P20" s="760">
        <f>IF(O$7=0,0,O20/O$7)</f>
        <v>0</v>
      </c>
      <c r="Q20" s="478"/>
      <c r="R20" s="571"/>
      <c r="S20" s="571"/>
      <c r="T20" s="571"/>
      <c r="U20" s="478"/>
      <c r="V20" s="478"/>
      <c r="W20" s="530"/>
      <c r="X20" s="478"/>
    </row>
    <row r="21" spans="1:95" ht="18" customHeight="1" x14ac:dyDescent="0.35">
      <c r="A21" s="478"/>
      <c r="B21" s="478"/>
      <c r="C21" s="530"/>
      <c r="D21" s="478"/>
      <c r="E21" s="478"/>
      <c r="F21" s="489"/>
      <c r="G21" s="741"/>
      <c r="H21" s="713"/>
      <c r="I21" s="478"/>
      <c r="J21" s="143" t="s">
        <v>83</v>
      </c>
      <c r="K21" s="153">
        <f>'FS_Emptying volumes'!B17</f>
        <v>0</v>
      </c>
      <c r="L21" s="760">
        <f>IF($K$7=0,0,K21/K$7)</f>
        <v>0</v>
      </c>
      <c r="M21" s="478"/>
      <c r="N21" s="143" t="s">
        <v>84</v>
      </c>
      <c r="O21" s="1520">
        <f>'FS_Transport volumes'!B16</f>
        <v>0</v>
      </c>
      <c r="P21" s="760">
        <f>IF(O$7=0,0,O21/O$7)</f>
        <v>0</v>
      </c>
      <c r="Q21" s="478"/>
      <c r="R21" s="478"/>
      <c r="S21" s="478"/>
      <c r="T21" s="478"/>
      <c r="U21" s="478"/>
      <c r="V21" s="478"/>
      <c r="W21" s="530"/>
      <c r="X21" s="478"/>
    </row>
    <row r="22" spans="1:95" s="13" customFormat="1" ht="18" customHeight="1" x14ac:dyDescent="0.35">
      <c r="A22" s="564"/>
      <c r="B22" s="851" t="s">
        <v>67</v>
      </c>
      <c r="C22" s="852"/>
      <c r="D22" s="564"/>
      <c r="E22" s="564"/>
      <c r="F22" s="851" t="s">
        <v>67</v>
      </c>
      <c r="G22" s="851"/>
      <c r="H22" s="853"/>
      <c r="I22" s="564"/>
      <c r="J22" s="851" t="s">
        <v>67</v>
      </c>
      <c r="K22" s="851"/>
      <c r="L22" s="564"/>
      <c r="M22" s="564"/>
      <c r="N22" s="851" t="s">
        <v>67</v>
      </c>
      <c r="O22" s="852"/>
      <c r="P22" s="564"/>
      <c r="Q22" s="564"/>
      <c r="R22" s="851" t="s">
        <v>67</v>
      </c>
      <c r="S22" s="851"/>
      <c r="T22" s="564"/>
      <c r="U22" s="564"/>
      <c r="V22" s="851" t="s">
        <v>67</v>
      </c>
      <c r="W22" s="851"/>
      <c r="X22" s="564"/>
      <c r="Y22" s="564"/>
      <c r="Z22" s="564"/>
      <c r="AA22" s="564"/>
      <c r="AB22" s="564"/>
      <c r="AC22" s="564"/>
      <c r="AD22" s="564"/>
      <c r="AE22" s="564"/>
      <c r="AF22" s="564"/>
      <c r="AG22" s="564"/>
      <c r="AH22" s="564"/>
      <c r="AI22" s="564"/>
      <c r="AJ22" s="564"/>
      <c r="AK22" s="564"/>
      <c r="AL22" s="564"/>
      <c r="AM22" s="564"/>
      <c r="AN22" s="564"/>
      <c r="AO22" s="564"/>
      <c r="AP22" s="564"/>
      <c r="AQ22" s="564"/>
      <c r="AR22" s="564"/>
      <c r="AS22" s="564"/>
      <c r="AT22" s="564"/>
      <c r="AU22" s="564"/>
      <c r="AV22" s="564"/>
      <c r="AW22" s="564"/>
      <c r="AX22" s="564"/>
      <c r="AY22" s="564"/>
      <c r="AZ22" s="564"/>
      <c r="BA22" s="564"/>
      <c r="BB22" s="564"/>
      <c r="BC22" s="564"/>
      <c r="BD22" s="564"/>
      <c r="BE22" s="564"/>
      <c r="BF22" s="564"/>
      <c r="BG22" s="564"/>
      <c r="BH22" s="564"/>
      <c r="BI22" s="564"/>
      <c r="BJ22" s="564"/>
      <c r="BK22" s="564"/>
      <c r="BL22" s="564"/>
      <c r="BM22" s="564"/>
      <c r="BN22" s="564"/>
      <c r="BO22" s="564"/>
      <c r="BP22" s="564"/>
      <c r="BQ22" s="564"/>
      <c r="BR22" s="564"/>
      <c r="BS22" s="564"/>
      <c r="BT22" s="564"/>
      <c r="BU22" s="564"/>
      <c r="BV22" s="564"/>
      <c r="BW22" s="564"/>
      <c r="BX22" s="564"/>
      <c r="BY22" s="564"/>
      <c r="BZ22" s="564"/>
      <c r="CA22" s="564"/>
      <c r="CB22" s="564"/>
      <c r="CC22" s="564"/>
      <c r="CD22" s="564"/>
      <c r="CE22" s="564"/>
      <c r="CF22" s="564"/>
      <c r="CG22" s="564"/>
      <c r="CH22" s="564"/>
      <c r="CI22" s="564"/>
      <c r="CJ22" s="564"/>
      <c r="CK22" s="564"/>
      <c r="CL22" s="564"/>
      <c r="CM22" s="564"/>
      <c r="CN22" s="564"/>
      <c r="CO22" s="564"/>
      <c r="CP22" s="564"/>
      <c r="CQ22" s="564"/>
    </row>
    <row r="23" spans="1:95" s="12" customFormat="1" ht="18" customHeight="1" x14ac:dyDescent="0.35">
      <c r="A23" s="478"/>
      <c r="B23" s="246" t="s">
        <v>85</v>
      </c>
      <c r="C23" s="151">
        <f>SUM(C24:C24)</f>
        <v>20025</v>
      </c>
      <c r="D23" s="538">
        <f>IF($C$7=0,0,C23/C$7)</f>
        <v>9.7114451988360814E-2</v>
      </c>
      <c r="E23" s="570"/>
      <c r="F23" s="147" t="s">
        <v>86</v>
      </c>
      <c r="G23" s="151">
        <f>SUM(G24:G26)</f>
        <v>2250</v>
      </c>
      <c r="H23" s="538">
        <f>IF($G$7=0,0,G23/G$7)</f>
        <v>1.2085403518195247E-2</v>
      </c>
      <c r="I23" s="570"/>
      <c r="J23" s="147" t="s">
        <v>87</v>
      </c>
      <c r="K23" s="151">
        <f>SUM(K24:K25)</f>
        <v>0</v>
      </c>
      <c r="L23" s="538">
        <f>IF($K$7=0,0,K23/K$7)</f>
        <v>0</v>
      </c>
      <c r="M23" s="570"/>
      <c r="N23" s="147" t="s">
        <v>88</v>
      </c>
      <c r="O23" s="151">
        <f>SUM(O24:O25)</f>
        <v>147900</v>
      </c>
      <c r="P23" s="538">
        <f>IF(O$7=0,0,O23/O$7)</f>
        <v>0.80325865580448064</v>
      </c>
      <c r="Q23" s="570"/>
      <c r="R23" s="147" t="s">
        <v>89</v>
      </c>
      <c r="S23" s="151">
        <f>SUM(S24:S25)</f>
        <v>21190</v>
      </c>
      <c r="T23" s="538">
        <f>IF(S$7=0,0,S23/S$7)</f>
        <v>0.65</v>
      </c>
      <c r="U23" s="570"/>
      <c r="V23" s="147" t="s">
        <v>90</v>
      </c>
      <c r="W23" s="157">
        <f>'FS_Disposal volumes'!B15</f>
        <v>21190</v>
      </c>
      <c r="X23" s="538">
        <f>IF(W$7=0,0,W23/W$7)</f>
        <v>0.65</v>
      </c>
      <c r="Y23" s="570"/>
      <c r="Z23" s="570"/>
      <c r="AA23" s="570"/>
      <c r="AB23" s="570"/>
      <c r="AC23" s="570"/>
      <c r="AD23" s="570"/>
      <c r="AE23" s="570"/>
      <c r="AF23" s="570"/>
      <c r="AG23" s="570"/>
      <c r="AH23" s="570"/>
      <c r="AI23" s="570"/>
      <c r="AJ23" s="570"/>
      <c r="AK23" s="570"/>
      <c r="AL23" s="570"/>
      <c r="AM23" s="570"/>
      <c r="AN23" s="570"/>
      <c r="AO23" s="570"/>
      <c r="AP23" s="570"/>
      <c r="AQ23" s="570"/>
      <c r="AR23" s="570"/>
      <c r="AS23" s="570"/>
      <c r="AT23" s="570"/>
      <c r="AU23" s="570"/>
      <c r="AV23" s="570"/>
      <c r="AW23" s="570"/>
      <c r="AX23" s="570"/>
      <c r="AY23" s="570"/>
      <c r="AZ23" s="570"/>
      <c r="BA23" s="570"/>
      <c r="BB23" s="570"/>
      <c r="BC23" s="570"/>
      <c r="BD23" s="570"/>
      <c r="BE23" s="570"/>
      <c r="BF23" s="570"/>
      <c r="BG23" s="570"/>
      <c r="BH23" s="570"/>
      <c r="BI23" s="570"/>
      <c r="BJ23" s="570"/>
      <c r="BK23" s="570"/>
      <c r="BL23" s="570"/>
      <c r="BM23" s="570"/>
      <c r="BN23" s="570"/>
      <c r="BO23" s="570"/>
      <c r="BP23" s="570"/>
      <c r="BQ23" s="570"/>
      <c r="BR23" s="570"/>
      <c r="BS23" s="570"/>
      <c r="BT23" s="570"/>
      <c r="BU23" s="570"/>
      <c r="BV23" s="570"/>
      <c r="BW23" s="570"/>
      <c r="BX23" s="570"/>
      <c r="BY23" s="570"/>
      <c r="BZ23" s="570"/>
      <c r="CA23" s="570"/>
      <c r="CB23" s="570"/>
      <c r="CC23" s="570"/>
      <c r="CD23" s="570"/>
      <c r="CE23" s="570"/>
      <c r="CF23" s="570"/>
      <c r="CG23" s="570"/>
      <c r="CH23" s="570"/>
      <c r="CI23" s="570"/>
      <c r="CJ23" s="570"/>
      <c r="CK23" s="570"/>
      <c r="CL23" s="570"/>
      <c r="CM23" s="570"/>
      <c r="CN23" s="570"/>
      <c r="CO23" s="570"/>
      <c r="CP23" s="570"/>
      <c r="CQ23" s="570"/>
    </row>
    <row r="24" spans="1:95" ht="18" customHeight="1" x14ac:dyDescent="0.35">
      <c r="A24" s="478"/>
      <c r="B24" s="159" t="s">
        <v>91</v>
      </c>
      <c r="C24" s="160">
        <f>'FS_Capture volumes'!B17</f>
        <v>20025</v>
      </c>
      <c r="D24" s="760">
        <f>IF($C$7=0,0,C24/C$7)</f>
        <v>9.7114451988360814E-2</v>
      </c>
      <c r="E24" s="478"/>
      <c r="F24" s="143" t="s">
        <v>69</v>
      </c>
      <c r="G24" s="1520">
        <f>'FS_Containment volumes'!B20</f>
        <v>0</v>
      </c>
      <c r="H24" s="760">
        <f>IF($G$7=0,0,G24/G$7)</f>
        <v>0</v>
      </c>
      <c r="I24" s="478"/>
      <c r="J24" s="143" t="s">
        <v>92</v>
      </c>
      <c r="K24" s="153">
        <f>'FS_Emptying volumes'!B20</f>
        <v>0</v>
      </c>
      <c r="L24" s="760">
        <f>IF($K$7=0,0,K24/K$7)</f>
        <v>0</v>
      </c>
      <c r="M24" s="478"/>
      <c r="N24" s="154" t="s">
        <v>93</v>
      </c>
      <c r="O24" s="1520">
        <f>'FS_Transport volumes'!B19</f>
        <v>0</v>
      </c>
      <c r="P24" s="760">
        <f>IF(O$7=0,0,O24/O$7)</f>
        <v>0</v>
      </c>
      <c r="Q24" s="478"/>
      <c r="R24" s="143" t="s">
        <v>94</v>
      </c>
      <c r="S24" s="1520">
        <f>'FS_Treatment volumes'!B15</f>
        <v>21190</v>
      </c>
      <c r="T24" s="760">
        <f>IF(S$7=0,0,S24/S$7)</f>
        <v>0.65</v>
      </c>
      <c r="V24" s="732" t="s">
        <v>67</v>
      </c>
      <c r="W24" s="735"/>
      <c r="X24" s="544"/>
    </row>
    <row r="25" spans="1:95" ht="18" customHeight="1" x14ac:dyDescent="0.35">
      <c r="A25" s="478"/>
      <c r="B25" s="478"/>
      <c r="C25" s="478"/>
      <c r="D25" s="478"/>
      <c r="E25" s="478"/>
      <c r="F25" s="143" t="s">
        <v>74</v>
      </c>
      <c r="G25" s="1520">
        <f>'FS_Containment volumes'!B21</f>
        <v>0</v>
      </c>
      <c r="H25" s="760">
        <f>IF($G$7=0,0,G25/G$7)</f>
        <v>0</v>
      </c>
      <c r="I25" s="478"/>
      <c r="J25" s="143" t="s">
        <v>95</v>
      </c>
      <c r="K25" s="153">
        <f>'FS_Emptying volumes'!B21</f>
        <v>0</v>
      </c>
      <c r="L25" s="760">
        <f>IF($K$7=0,0,K25/K$7)</f>
        <v>0</v>
      </c>
      <c r="M25" s="478"/>
      <c r="N25" s="155" t="s">
        <v>96</v>
      </c>
      <c r="O25" s="1520">
        <f>'FS_Transport volumes'!B20</f>
        <v>147900</v>
      </c>
      <c r="P25" s="760">
        <f>IF(O$7=0,0,O25/O$7)</f>
        <v>0.80325865580448064</v>
      </c>
      <c r="Q25" s="478"/>
      <c r="R25" s="143" t="s">
        <v>97</v>
      </c>
      <c r="S25" s="1520">
        <f>'FS_Treatment volumes'!B16</f>
        <v>0</v>
      </c>
      <c r="T25" s="760">
        <f>IF(S$7=0,0,S25/S$7)</f>
        <v>0</v>
      </c>
      <c r="V25" s="147" t="s">
        <v>98</v>
      </c>
      <c r="W25" s="157">
        <f>'FS_Disposal volumes'!B16</f>
        <v>0</v>
      </c>
      <c r="X25" s="538">
        <f>IF(W$7=0,0,W25/W$7)</f>
        <v>0</v>
      </c>
    </row>
    <row r="26" spans="1:95" ht="18" customHeight="1" x14ac:dyDescent="0.35">
      <c r="A26" s="478"/>
      <c r="B26" s="478"/>
      <c r="C26" s="478"/>
      <c r="D26" s="478"/>
      <c r="E26" s="478"/>
      <c r="F26" s="143" t="s">
        <v>76</v>
      </c>
      <c r="G26" s="1520">
        <f>'FS_Containment volumes'!B22</f>
        <v>2250</v>
      </c>
      <c r="H26" s="760">
        <f>IF($G$7=0,0,G26/G$7)</f>
        <v>1.2085403518195247E-2</v>
      </c>
      <c r="I26" s="478"/>
      <c r="J26" s="508"/>
      <c r="K26" s="508"/>
      <c r="L26" s="508"/>
      <c r="M26" s="478"/>
      <c r="N26" s="742"/>
      <c r="O26" s="743"/>
      <c r="P26" s="523"/>
      <c r="Q26" s="478"/>
      <c r="R26" s="478"/>
      <c r="S26" s="478"/>
      <c r="T26" s="478"/>
      <c r="V26" s="544"/>
      <c r="W26" s="544"/>
      <c r="X26" s="544"/>
    </row>
    <row r="27" spans="1:95" s="13" customFormat="1" ht="18" customHeight="1" x14ac:dyDescent="0.35">
      <c r="A27" s="564"/>
      <c r="B27" s="851"/>
      <c r="C27" s="852"/>
      <c r="D27" s="564"/>
      <c r="E27" s="564"/>
      <c r="F27" s="851"/>
      <c r="G27" s="851"/>
      <c r="H27" s="853"/>
      <c r="I27" s="564"/>
      <c r="J27" s="851" t="s">
        <v>67</v>
      </c>
      <c r="K27" s="851"/>
      <c r="L27" s="564"/>
      <c r="M27" s="564"/>
      <c r="N27" s="851"/>
      <c r="O27" s="852"/>
      <c r="P27" s="564"/>
      <c r="Q27" s="564"/>
      <c r="R27" s="851"/>
      <c r="S27" s="851"/>
      <c r="T27" s="564"/>
      <c r="U27" s="564"/>
      <c r="V27" s="851"/>
      <c r="W27" s="851"/>
      <c r="X27" s="564"/>
      <c r="Y27" s="564"/>
      <c r="Z27" s="564"/>
      <c r="AA27" s="564"/>
      <c r="AB27" s="564"/>
      <c r="AC27" s="564"/>
      <c r="AD27" s="564"/>
      <c r="AE27" s="564"/>
      <c r="AF27" s="564"/>
      <c r="AG27" s="564"/>
      <c r="AH27" s="564"/>
      <c r="AI27" s="564"/>
      <c r="AJ27" s="564"/>
      <c r="AK27" s="564"/>
      <c r="AL27" s="564"/>
      <c r="AM27" s="564"/>
      <c r="AN27" s="564"/>
      <c r="AO27" s="564"/>
      <c r="AP27" s="564"/>
      <c r="AQ27" s="564"/>
      <c r="AR27" s="564"/>
      <c r="AS27" s="564"/>
      <c r="AT27" s="564"/>
      <c r="AU27" s="564"/>
      <c r="AV27" s="564"/>
      <c r="AW27" s="564"/>
      <c r="AX27" s="564"/>
      <c r="AY27" s="564"/>
      <c r="AZ27" s="564"/>
      <c r="BA27" s="564"/>
      <c r="BB27" s="564"/>
      <c r="BC27" s="564"/>
      <c r="BD27" s="564"/>
      <c r="BE27" s="564"/>
      <c r="BF27" s="564"/>
      <c r="BG27" s="564"/>
      <c r="BH27" s="564"/>
      <c r="BI27" s="564"/>
      <c r="BJ27" s="564"/>
      <c r="BK27" s="564"/>
      <c r="BL27" s="564"/>
      <c r="BM27" s="564"/>
      <c r="BN27" s="564"/>
      <c r="BO27" s="564"/>
      <c r="BP27" s="564"/>
      <c r="BQ27" s="564"/>
      <c r="BR27" s="564"/>
      <c r="BS27" s="564"/>
      <c r="BT27" s="564"/>
      <c r="BU27" s="564"/>
      <c r="BV27" s="564"/>
      <c r="BW27" s="564"/>
      <c r="BX27" s="564"/>
      <c r="BY27" s="564"/>
      <c r="BZ27" s="564"/>
      <c r="CA27" s="564"/>
      <c r="CB27" s="564"/>
      <c r="CC27" s="564"/>
      <c r="CD27" s="564"/>
      <c r="CE27" s="564"/>
      <c r="CF27" s="564"/>
      <c r="CG27" s="564"/>
      <c r="CH27" s="564"/>
      <c r="CI27" s="564"/>
      <c r="CJ27" s="564"/>
      <c r="CK27" s="564"/>
      <c r="CL27" s="564"/>
      <c r="CM27" s="564"/>
      <c r="CN27" s="564"/>
      <c r="CO27" s="564"/>
      <c r="CP27" s="564"/>
      <c r="CQ27" s="564"/>
    </row>
    <row r="28" spans="1:95" ht="18" customHeight="1" x14ac:dyDescent="0.35">
      <c r="A28" s="478"/>
      <c r="B28" s="544"/>
      <c r="C28" s="544"/>
      <c r="D28" s="544"/>
      <c r="F28" s="544"/>
      <c r="G28" s="544"/>
      <c r="H28" s="708"/>
      <c r="J28" s="147" t="s">
        <v>99</v>
      </c>
      <c r="K28" s="151">
        <f>SUM(K29:K30)</f>
        <v>0</v>
      </c>
      <c r="L28" s="538">
        <f>IF($K$7=0,0,K28/K$7)</f>
        <v>0</v>
      </c>
      <c r="N28" s="732"/>
      <c r="O28" s="735"/>
      <c r="P28" s="708"/>
      <c r="R28" s="544"/>
      <c r="S28" s="544"/>
      <c r="T28" s="544"/>
      <c r="V28" s="544"/>
      <c r="W28" s="544"/>
      <c r="X28" s="544"/>
    </row>
    <row r="29" spans="1:95" ht="18" customHeight="1" x14ac:dyDescent="0.35">
      <c r="A29" s="478"/>
      <c r="B29" s="478"/>
      <c r="C29" s="478"/>
      <c r="D29" s="478"/>
      <c r="E29" s="478"/>
      <c r="F29" s="478"/>
      <c r="G29" s="478"/>
      <c r="H29" s="523"/>
      <c r="I29" s="478"/>
      <c r="J29" s="143" t="s">
        <v>100</v>
      </c>
      <c r="K29" s="1520">
        <f>'FS_Emptying volumes'!B24</f>
        <v>0</v>
      </c>
      <c r="L29" s="761">
        <f>IF($K$7=0,0,K29/K$7)</f>
        <v>0</v>
      </c>
      <c r="M29" s="478"/>
      <c r="N29" s="733"/>
      <c r="O29" s="734"/>
      <c r="P29" s="523"/>
      <c r="Q29" s="478"/>
      <c r="R29" s="544"/>
      <c r="S29" s="544"/>
      <c r="T29" s="544"/>
      <c r="V29" s="544"/>
      <c r="W29" s="544"/>
      <c r="X29" s="544"/>
    </row>
    <row r="30" spans="1:95" s="13" customFormat="1" ht="18" customHeight="1" x14ac:dyDescent="0.35">
      <c r="A30" s="564"/>
      <c r="B30" s="851"/>
      <c r="C30" s="852"/>
      <c r="D30" s="564"/>
      <c r="E30" s="564"/>
      <c r="F30" s="851"/>
      <c r="G30" s="851"/>
      <c r="H30" s="853"/>
      <c r="I30" s="564"/>
      <c r="J30" s="851" t="s">
        <v>67</v>
      </c>
      <c r="K30" s="851"/>
      <c r="L30" s="564"/>
      <c r="M30" s="564"/>
      <c r="N30" s="851" t="s">
        <v>67</v>
      </c>
      <c r="O30" s="852"/>
      <c r="P30" s="564"/>
      <c r="Q30" s="564"/>
      <c r="R30" s="851"/>
      <c r="S30" s="851"/>
      <c r="T30" s="564"/>
      <c r="U30" s="564"/>
      <c r="V30" s="851"/>
      <c r="W30" s="851"/>
      <c r="X30" s="564"/>
      <c r="Y30" s="564"/>
      <c r="Z30" s="564"/>
      <c r="AA30" s="564"/>
      <c r="AB30" s="564"/>
      <c r="AC30" s="564"/>
      <c r="AD30" s="564"/>
      <c r="AE30" s="564"/>
      <c r="AF30" s="564"/>
      <c r="AG30" s="564"/>
      <c r="AH30" s="564"/>
      <c r="AI30" s="564"/>
      <c r="AJ30" s="564"/>
      <c r="AK30" s="564"/>
      <c r="AL30" s="564"/>
      <c r="AM30" s="564"/>
      <c r="AN30" s="564"/>
      <c r="AO30" s="564"/>
      <c r="AP30" s="564"/>
      <c r="AQ30" s="564"/>
      <c r="AR30" s="564"/>
      <c r="AS30" s="564"/>
      <c r="AT30" s="564"/>
      <c r="AU30" s="564"/>
      <c r="AV30" s="564"/>
      <c r="AW30" s="564"/>
      <c r="AX30" s="564"/>
      <c r="AY30" s="564"/>
      <c r="AZ30" s="564"/>
      <c r="BA30" s="564"/>
      <c r="BB30" s="564"/>
      <c r="BC30" s="564"/>
      <c r="BD30" s="564"/>
      <c r="BE30" s="564"/>
      <c r="BF30" s="564"/>
      <c r="BG30" s="564"/>
      <c r="BH30" s="564"/>
      <c r="BI30" s="564"/>
      <c r="BJ30" s="564"/>
      <c r="BK30" s="564"/>
      <c r="BL30" s="564"/>
      <c r="BM30" s="564"/>
      <c r="BN30" s="564"/>
      <c r="BO30" s="564"/>
      <c r="BP30" s="564"/>
      <c r="BQ30" s="564"/>
      <c r="BR30" s="564"/>
      <c r="BS30" s="564"/>
      <c r="BT30" s="564"/>
      <c r="BU30" s="564"/>
      <c r="BV30" s="564"/>
      <c r="BW30" s="564"/>
      <c r="BX30" s="564"/>
      <c r="BY30" s="564"/>
      <c r="BZ30" s="564"/>
      <c r="CA30" s="564"/>
      <c r="CB30" s="564"/>
      <c r="CC30" s="564"/>
      <c r="CD30" s="564"/>
      <c r="CE30" s="564"/>
      <c r="CF30" s="564"/>
      <c r="CG30" s="564"/>
      <c r="CH30" s="564"/>
      <c r="CI30" s="564"/>
      <c r="CJ30" s="564"/>
      <c r="CK30" s="564"/>
      <c r="CL30" s="564"/>
      <c r="CM30" s="564"/>
      <c r="CN30" s="564"/>
      <c r="CO30" s="564"/>
      <c r="CP30" s="564"/>
      <c r="CQ30" s="564"/>
    </row>
    <row r="31" spans="1:95" ht="18" customHeight="1" x14ac:dyDescent="0.35">
      <c r="A31" s="478"/>
      <c r="B31" s="544"/>
      <c r="C31" s="544"/>
      <c r="D31" s="544"/>
      <c r="F31" s="544"/>
      <c r="G31" s="544"/>
      <c r="H31" s="708"/>
      <c r="J31" s="147" t="s">
        <v>101</v>
      </c>
      <c r="K31" s="151">
        <f>SUM(K32:K33)</f>
        <v>0</v>
      </c>
      <c r="L31" s="538">
        <f>IF($K$7=0,0,K31/K$7)</f>
        <v>0</v>
      </c>
      <c r="N31" s="147" t="s">
        <v>101</v>
      </c>
      <c r="O31" s="151">
        <f>SUM(O32:O33)</f>
        <v>3625</v>
      </c>
      <c r="P31" s="538">
        <f>IF(O$7=0,0,O31/O$7)</f>
        <v>1.9687712152070606E-2</v>
      </c>
      <c r="R31" s="544"/>
      <c r="S31" s="544"/>
      <c r="T31" s="544"/>
      <c r="V31" s="544"/>
      <c r="W31" s="544"/>
      <c r="X31" s="544"/>
    </row>
    <row r="32" spans="1:95" ht="18" customHeight="1" x14ac:dyDescent="0.35">
      <c r="A32" s="478"/>
      <c r="B32" s="544"/>
      <c r="C32" s="544"/>
      <c r="D32" s="544"/>
      <c r="F32" s="544"/>
      <c r="G32" s="544"/>
      <c r="H32" s="708"/>
      <c r="J32" s="143" t="s">
        <v>102</v>
      </c>
      <c r="K32" s="1520">
        <f>'FS_Emptying volumes'!B27</f>
        <v>0</v>
      </c>
      <c r="L32" s="760">
        <f>IF($K$7=0,0,K32/K$7)</f>
        <v>0</v>
      </c>
      <c r="M32" s="478"/>
      <c r="N32" s="143" t="s">
        <v>103</v>
      </c>
      <c r="O32" s="1520">
        <f>'FS_Transport volumes'!B23</f>
        <v>3625</v>
      </c>
      <c r="P32" s="760">
        <f>IF(O$7=0,0,O32/O$7)</f>
        <v>1.9687712152070606E-2</v>
      </c>
      <c r="R32" s="544"/>
      <c r="S32" s="544"/>
      <c r="T32" s="544"/>
      <c r="V32" s="544"/>
      <c r="W32" s="544"/>
      <c r="X32" s="544"/>
    </row>
    <row r="33" spans="1:24" x14ac:dyDescent="0.35">
      <c r="A33" s="478"/>
      <c r="B33" s="544"/>
      <c r="C33" s="544"/>
      <c r="D33" s="544"/>
      <c r="F33" s="544"/>
      <c r="G33" s="544"/>
      <c r="H33" s="708"/>
      <c r="J33" s="478"/>
      <c r="K33" s="478"/>
      <c r="L33" s="478"/>
      <c r="M33" s="478"/>
      <c r="N33" s="143" t="s">
        <v>104</v>
      </c>
      <c r="O33" s="1520">
        <f>'FS_Transport volumes'!B24</f>
        <v>0</v>
      </c>
      <c r="P33" s="760">
        <f>IF(O$7=0,0,O33/O$7)</f>
        <v>0</v>
      </c>
      <c r="R33" s="544"/>
      <c r="S33" s="544"/>
      <c r="T33" s="544"/>
      <c r="V33" s="544"/>
      <c r="W33" s="544"/>
      <c r="X33" s="544"/>
    </row>
    <row r="34" spans="1:24" x14ac:dyDescent="0.35">
      <c r="A34" s="478"/>
      <c r="B34" s="544"/>
      <c r="C34" s="544"/>
      <c r="D34" s="544"/>
      <c r="F34" s="544"/>
      <c r="G34" s="544"/>
      <c r="H34" s="708"/>
      <c r="J34" s="544"/>
      <c r="K34" s="544"/>
      <c r="L34" s="544"/>
      <c r="N34" s="544"/>
      <c r="O34" s="544"/>
      <c r="P34" s="544"/>
      <c r="R34" s="544"/>
      <c r="S34" s="544"/>
      <c r="T34" s="544"/>
      <c r="V34" s="544"/>
      <c r="W34" s="544"/>
      <c r="X34" s="544"/>
    </row>
    <row r="35" spans="1:24" x14ac:dyDescent="0.35">
      <c r="A35" s="478"/>
      <c r="B35" s="544"/>
      <c r="C35" s="544"/>
      <c r="D35" s="544"/>
      <c r="F35" s="544"/>
      <c r="G35" s="544"/>
      <c r="H35" s="708"/>
      <c r="J35" s="544"/>
      <c r="K35" s="544"/>
      <c r="L35" s="544"/>
      <c r="N35" s="544"/>
      <c r="O35" s="544"/>
      <c r="P35" s="544"/>
      <c r="R35" s="544"/>
      <c r="S35" s="544"/>
      <c r="T35" s="544"/>
      <c r="V35" s="544"/>
      <c r="W35" s="544"/>
      <c r="X35" s="544"/>
    </row>
    <row r="36" spans="1:24" x14ac:dyDescent="0.35">
      <c r="A36" s="478"/>
      <c r="B36" s="544"/>
      <c r="C36" s="544"/>
      <c r="D36" s="544"/>
      <c r="F36" s="544"/>
      <c r="G36" s="544"/>
      <c r="H36" s="708"/>
      <c r="J36" s="544"/>
      <c r="K36" s="544"/>
      <c r="L36" s="544"/>
      <c r="N36" s="544"/>
      <c r="O36" s="544"/>
      <c r="P36" s="544"/>
      <c r="R36" s="544"/>
      <c r="S36" s="544"/>
      <c r="T36" s="544"/>
      <c r="V36" s="544"/>
      <c r="W36" s="544"/>
      <c r="X36" s="544"/>
    </row>
    <row r="37" spans="1:24" x14ac:dyDescent="0.35">
      <c r="A37" s="478"/>
      <c r="B37" s="544"/>
      <c r="C37" s="544"/>
      <c r="D37" s="544"/>
      <c r="F37" s="544"/>
      <c r="G37" s="544"/>
      <c r="H37" s="708"/>
      <c r="J37" s="544"/>
      <c r="K37" s="544"/>
      <c r="L37" s="727"/>
      <c r="N37" s="544"/>
      <c r="O37" s="544"/>
      <c r="P37" s="544"/>
      <c r="R37" s="544"/>
      <c r="S37" s="544"/>
      <c r="T37" s="544"/>
      <c r="V37" s="544"/>
      <c r="W37" s="544"/>
      <c r="X37" s="544"/>
    </row>
    <row r="38" spans="1:24" s="544" customFormat="1" x14ac:dyDescent="0.35">
      <c r="A38" s="478"/>
      <c r="H38" s="708"/>
      <c r="L38" s="727"/>
    </row>
    <row r="39" spans="1:24" s="544" customFormat="1" x14ac:dyDescent="0.35">
      <c r="A39" s="478"/>
      <c r="H39" s="708"/>
      <c r="L39" s="728"/>
    </row>
    <row r="40" spans="1:24" s="544" customFormat="1" x14ac:dyDescent="0.35">
      <c r="A40" s="478"/>
      <c r="H40" s="708"/>
    </row>
    <row r="41" spans="1:24" s="544" customFormat="1" x14ac:dyDescent="0.35">
      <c r="A41" s="478"/>
      <c r="H41" s="708"/>
    </row>
    <row r="42" spans="1:24" s="544" customFormat="1" x14ac:dyDescent="0.35">
      <c r="A42" s="478"/>
      <c r="H42" s="708"/>
    </row>
    <row r="43" spans="1:24" s="544" customFormat="1" x14ac:dyDescent="0.35">
      <c r="A43" s="478"/>
      <c r="H43" s="708"/>
    </row>
    <row r="44" spans="1:24" s="544" customFormat="1" x14ac:dyDescent="0.35">
      <c r="A44" s="478"/>
      <c r="H44" s="708"/>
    </row>
    <row r="45" spans="1:24" s="544" customFormat="1" x14ac:dyDescent="0.35">
      <c r="A45" s="478"/>
      <c r="C45" s="729"/>
      <c r="H45" s="708"/>
    </row>
    <row r="46" spans="1:24" s="544" customFormat="1" x14ac:dyDescent="0.35">
      <c r="A46" s="478"/>
      <c r="C46" s="729"/>
      <c r="G46" s="729"/>
      <c r="H46" s="708"/>
    </row>
    <row r="47" spans="1:24" s="544" customFormat="1" x14ac:dyDescent="0.35">
      <c r="A47" s="478"/>
      <c r="C47" s="729"/>
      <c r="G47" s="729"/>
      <c r="H47" s="708"/>
    </row>
    <row r="48" spans="1:24" s="544" customFormat="1" x14ac:dyDescent="0.35">
      <c r="A48" s="478"/>
      <c r="G48" s="729"/>
      <c r="H48" s="708"/>
    </row>
    <row r="49" spans="1:8" s="544" customFormat="1" x14ac:dyDescent="0.35">
      <c r="A49" s="478"/>
      <c r="H49" s="708"/>
    </row>
    <row r="50" spans="1:8" s="544" customFormat="1" x14ac:dyDescent="0.35">
      <c r="A50" s="478"/>
      <c r="H50" s="708"/>
    </row>
    <row r="51" spans="1:8" s="544" customFormat="1" x14ac:dyDescent="0.35">
      <c r="A51" s="478"/>
      <c r="H51" s="708"/>
    </row>
    <row r="52" spans="1:8" s="544" customFormat="1" x14ac:dyDescent="0.35">
      <c r="A52" s="478"/>
      <c r="H52" s="708"/>
    </row>
    <row r="53" spans="1:8" s="544" customFormat="1" x14ac:dyDescent="0.35">
      <c r="A53" s="478"/>
      <c r="H53" s="708"/>
    </row>
    <row r="54" spans="1:8" s="544" customFormat="1" x14ac:dyDescent="0.35">
      <c r="A54" s="478"/>
      <c r="H54" s="708"/>
    </row>
    <row r="55" spans="1:8" s="544" customFormat="1" x14ac:dyDescent="0.35">
      <c r="A55" s="478"/>
      <c r="H55" s="708"/>
    </row>
    <row r="56" spans="1:8" s="544" customFormat="1" x14ac:dyDescent="0.35">
      <c r="A56" s="478"/>
      <c r="H56" s="708"/>
    </row>
    <row r="57" spans="1:8" s="544" customFormat="1" x14ac:dyDescent="0.35">
      <c r="A57" s="478"/>
      <c r="H57" s="708"/>
    </row>
    <row r="58" spans="1:8" s="544" customFormat="1" x14ac:dyDescent="0.35">
      <c r="A58" s="478"/>
      <c r="H58" s="708"/>
    </row>
    <row r="59" spans="1:8" s="544" customFormat="1" x14ac:dyDescent="0.35">
      <c r="A59" s="478"/>
      <c r="H59" s="708"/>
    </row>
    <row r="60" spans="1:8" s="544" customFormat="1" x14ac:dyDescent="0.35">
      <c r="A60" s="478"/>
      <c r="H60" s="708"/>
    </row>
    <row r="61" spans="1:8" s="544" customFormat="1" x14ac:dyDescent="0.35">
      <c r="A61" s="478"/>
      <c r="H61" s="708"/>
    </row>
    <row r="62" spans="1:8" s="544" customFormat="1" x14ac:dyDescent="0.35">
      <c r="A62" s="478"/>
      <c r="H62" s="708"/>
    </row>
    <row r="63" spans="1:8" s="544" customFormat="1" x14ac:dyDescent="0.35">
      <c r="A63" s="478"/>
      <c r="H63" s="708"/>
    </row>
    <row r="64" spans="1:8" s="544" customFormat="1" x14ac:dyDescent="0.35">
      <c r="A64" s="478"/>
      <c r="H64" s="708"/>
    </row>
    <row r="65" spans="1:8" s="544" customFormat="1" x14ac:dyDescent="0.35">
      <c r="A65" s="478"/>
      <c r="H65" s="708"/>
    </row>
    <row r="66" spans="1:8" s="544" customFormat="1" x14ac:dyDescent="0.35">
      <c r="A66" s="478"/>
      <c r="H66" s="708"/>
    </row>
    <row r="67" spans="1:8" s="544" customFormat="1" x14ac:dyDescent="0.35">
      <c r="A67" s="478"/>
      <c r="H67" s="708"/>
    </row>
    <row r="68" spans="1:8" s="544" customFormat="1" x14ac:dyDescent="0.35">
      <c r="A68" s="478"/>
      <c r="H68" s="708"/>
    </row>
    <row r="69" spans="1:8" s="544" customFormat="1" x14ac:dyDescent="0.35">
      <c r="A69" s="478"/>
      <c r="H69" s="708"/>
    </row>
    <row r="70" spans="1:8" s="544" customFormat="1" x14ac:dyDescent="0.35">
      <c r="A70" s="478"/>
      <c r="H70" s="708"/>
    </row>
    <row r="71" spans="1:8" s="544" customFormat="1" x14ac:dyDescent="0.35">
      <c r="A71" s="478"/>
      <c r="H71" s="708"/>
    </row>
    <row r="72" spans="1:8" s="544" customFormat="1" x14ac:dyDescent="0.35">
      <c r="A72" s="478"/>
      <c r="H72" s="708"/>
    </row>
    <row r="73" spans="1:8" s="544" customFormat="1" x14ac:dyDescent="0.35">
      <c r="H73" s="708"/>
    </row>
    <row r="74" spans="1:8" s="544" customFormat="1" x14ac:dyDescent="0.35">
      <c r="H74" s="708"/>
    </row>
    <row r="75" spans="1:8" s="544" customFormat="1" x14ac:dyDescent="0.35">
      <c r="H75" s="708"/>
    </row>
    <row r="76" spans="1:8" s="544" customFormat="1" x14ac:dyDescent="0.35">
      <c r="H76" s="708"/>
    </row>
    <row r="77" spans="1:8" s="544" customFormat="1" x14ac:dyDescent="0.35">
      <c r="H77" s="708"/>
    </row>
    <row r="78" spans="1:8" s="544" customFormat="1" x14ac:dyDescent="0.35">
      <c r="H78" s="708"/>
    </row>
    <row r="79" spans="1:8" s="544" customFormat="1" x14ac:dyDescent="0.35">
      <c r="H79" s="708"/>
    </row>
    <row r="80" spans="1:8" s="544" customFormat="1" x14ac:dyDescent="0.35">
      <c r="H80" s="708"/>
    </row>
    <row r="81" spans="8:8" s="544" customFormat="1" x14ac:dyDescent="0.35">
      <c r="H81" s="708"/>
    </row>
    <row r="82" spans="8:8" s="544" customFormat="1" x14ac:dyDescent="0.35">
      <c r="H82" s="708"/>
    </row>
    <row r="83" spans="8:8" s="544" customFormat="1" x14ac:dyDescent="0.35">
      <c r="H83" s="708"/>
    </row>
    <row r="84" spans="8:8" s="544" customFormat="1" x14ac:dyDescent="0.35">
      <c r="H84" s="708"/>
    </row>
    <row r="85" spans="8:8" s="544" customFormat="1" x14ac:dyDescent="0.35">
      <c r="H85" s="708"/>
    </row>
    <row r="86" spans="8:8" s="544" customFormat="1" x14ac:dyDescent="0.35">
      <c r="H86" s="708"/>
    </row>
    <row r="87" spans="8:8" s="544" customFormat="1" x14ac:dyDescent="0.35">
      <c r="H87" s="708"/>
    </row>
    <row r="88" spans="8:8" s="544" customFormat="1" x14ac:dyDescent="0.35">
      <c r="H88" s="708"/>
    </row>
    <row r="89" spans="8:8" s="544" customFormat="1" x14ac:dyDescent="0.35">
      <c r="H89" s="708"/>
    </row>
    <row r="90" spans="8:8" s="544" customFormat="1" x14ac:dyDescent="0.35">
      <c r="H90" s="708"/>
    </row>
    <row r="91" spans="8:8" s="544" customFormat="1" x14ac:dyDescent="0.35">
      <c r="H91" s="708"/>
    </row>
    <row r="92" spans="8:8" s="544" customFormat="1" x14ac:dyDescent="0.35">
      <c r="H92" s="708"/>
    </row>
    <row r="93" spans="8:8" s="544" customFormat="1" x14ac:dyDescent="0.35">
      <c r="H93" s="708"/>
    </row>
    <row r="94" spans="8:8" s="544" customFormat="1" x14ac:dyDescent="0.35">
      <c r="H94" s="708"/>
    </row>
    <row r="95" spans="8:8" s="544" customFormat="1" x14ac:dyDescent="0.35">
      <c r="H95" s="708"/>
    </row>
    <row r="96" spans="8:8" s="544" customFormat="1" x14ac:dyDescent="0.35">
      <c r="H96" s="708"/>
    </row>
    <row r="97" spans="8:8" s="544" customFormat="1" x14ac:dyDescent="0.35">
      <c r="H97" s="708"/>
    </row>
    <row r="98" spans="8:8" s="544" customFormat="1" x14ac:dyDescent="0.35">
      <c r="H98" s="708"/>
    </row>
    <row r="99" spans="8:8" s="544" customFormat="1" x14ac:dyDescent="0.35">
      <c r="H99" s="708"/>
    </row>
    <row r="100" spans="8:8" s="544" customFormat="1" x14ac:dyDescent="0.35">
      <c r="H100" s="708"/>
    </row>
    <row r="101" spans="8:8" s="544" customFormat="1" x14ac:dyDescent="0.35">
      <c r="H101" s="708"/>
    </row>
    <row r="102" spans="8:8" s="544" customFormat="1" x14ac:dyDescent="0.35">
      <c r="H102" s="708"/>
    </row>
    <row r="103" spans="8:8" s="544" customFormat="1" x14ac:dyDescent="0.35">
      <c r="H103" s="708"/>
    </row>
    <row r="104" spans="8:8" s="544" customFormat="1" x14ac:dyDescent="0.35">
      <c r="H104" s="708"/>
    </row>
    <row r="105" spans="8:8" s="544" customFormat="1" x14ac:dyDescent="0.35">
      <c r="H105" s="708"/>
    </row>
    <row r="106" spans="8:8" s="544" customFormat="1" x14ac:dyDescent="0.35">
      <c r="H106" s="708"/>
    </row>
    <row r="107" spans="8:8" s="544" customFormat="1" x14ac:dyDescent="0.35">
      <c r="H107" s="708"/>
    </row>
    <row r="108" spans="8:8" s="544" customFormat="1" x14ac:dyDescent="0.35">
      <c r="H108" s="708"/>
    </row>
    <row r="109" spans="8:8" s="544" customFormat="1" x14ac:dyDescent="0.35">
      <c r="H109" s="708"/>
    </row>
    <row r="110" spans="8:8" s="544" customFormat="1" x14ac:dyDescent="0.35">
      <c r="H110" s="708"/>
    </row>
    <row r="111" spans="8:8" s="544" customFormat="1" x14ac:dyDescent="0.35">
      <c r="H111" s="708"/>
    </row>
    <row r="112" spans="8:8" s="544" customFormat="1" x14ac:dyDescent="0.35">
      <c r="H112" s="708"/>
    </row>
    <row r="113" spans="8:8" s="544" customFormat="1" x14ac:dyDescent="0.35">
      <c r="H113" s="708"/>
    </row>
    <row r="114" spans="8:8" s="544" customFormat="1" x14ac:dyDescent="0.35">
      <c r="H114" s="708"/>
    </row>
    <row r="115" spans="8:8" s="544" customFormat="1" x14ac:dyDescent="0.35">
      <c r="H115" s="708"/>
    </row>
    <row r="116" spans="8:8" s="544" customFormat="1" x14ac:dyDescent="0.35">
      <c r="H116" s="708"/>
    </row>
    <row r="117" spans="8:8" s="544" customFormat="1" x14ac:dyDescent="0.35">
      <c r="H117" s="708"/>
    </row>
    <row r="118" spans="8:8" s="544" customFormat="1" x14ac:dyDescent="0.35">
      <c r="H118" s="708"/>
    </row>
    <row r="119" spans="8:8" s="544" customFormat="1" x14ac:dyDescent="0.35">
      <c r="H119" s="708"/>
    </row>
    <row r="120" spans="8:8" s="544" customFormat="1" x14ac:dyDescent="0.35">
      <c r="H120" s="708"/>
    </row>
    <row r="121" spans="8:8" s="544" customFormat="1" x14ac:dyDescent="0.35">
      <c r="H121" s="708"/>
    </row>
    <row r="122" spans="8:8" s="544" customFormat="1" x14ac:dyDescent="0.35">
      <c r="H122" s="708"/>
    </row>
    <row r="123" spans="8:8" s="544" customFormat="1" x14ac:dyDescent="0.35">
      <c r="H123" s="708"/>
    </row>
    <row r="124" spans="8:8" s="544" customFormat="1" x14ac:dyDescent="0.35">
      <c r="H124" s="708"/>
    </row>
    <row r="125" spans="8:8" s="544" customFormat="1" x14ac:dyDescent="0.35">
      <c r="H125" s="708"/>
    </row>
    <row r="126" spans="8:8" s="544" customFormat="1" x14ac:dyDescent="0.35">
      <c r="H126" s="708"/>
    </row>
    <row r="127" spans="8:8" s="544" customFormat="1" x14ac:dyDescent="0.35">
      <c r="H127" s="708"/>
    </row>
    <row r="128" spans="8:8" s="544" customFormat="1" x14ac:dyDescent="0.35">
      <c r="H128" s="708"/>
    </row>
    <row r="129" spans="8:8" s="544" customFormat="1" x14ac:dyDescent="0.35">
      <c r="H129" s="708"/>
    </row>
    <row r="130" spans="8:8" s="544" customFormat="1" x14ac:dyDescent="0.35">
      <c r="H130" s="708"/>
    </row>
    <row r="131" spans="8:8" s="544" customFormat="1" x14ac:dyDescent="0.35">
      <c r="H131" s="708"/>
    </row>
    <row r="132" spans="8:8" s="544" customFormat="1" x14ac:dyDescent="0.35">
      <c r="H132" s="708"/>
    </row>
    <row r="133" spans="8:8" s="544" customFormat="1" x14ac:dyDescent="0.35">
      <c r="H133" s="708"/>
    </row>
    <row r="134" spans="8:8" s="544" customFormat="1" x14ac:dyDescent="0.35">
      <c r="H134" s="708"/>
    </row>
    <row r="135" spans="8:8" s="544" customFormat="1" x14ac:dyDescent="0.35">
      <c r="H135" s="708"/>
    </row>
    <row r="136" spans="8:8" s="544" customFormat="1" x14ac:dyDescent="0.35">
      <c r="H136" s="708"/>
    </row>
    <row r="137" spans="8:8" s="544" customFormat="1" x14ac:dyDescent="0.35">
      <c r="H137" s="708"/>
    </row>
    <row r="138" spans="8:8" s="544" customFormat="1" x14ac:dyDescent="0.35">
      <c r="H138" s="708"/>
    </row>
    <row r="139" spans="8:8" s="544" customFormat="1" x14ac:dyDescent="0.35">
      <c r="H139" s="708"/>
    </row>
    <row r="140" spans="8:8" s="544" customFormat="1" x14ac:dyDescent="0.35">
      <c r="H140" s="708"/>
    </row>
    <row r="141" spans="8:8" s="544" customFormat="1" x14ac:dyDescent="0.35">
      <c r="H141" s="708"/>
    </row>
    <row r="142" spans="8:8" s="544" customFormat="1" x14ac:dyDescent="0.35">
      <c r="H142" s="708"/>
    </row>
    <row r="143" spans="8:8" s="544" customFormat="1" x14ac:dyDescent="0.35">
      <c r="H143" s="708"/>
    </row>
    <row r="144" spans="8:8" s="544" customFormat="1" x14ac:dyDescent="0.35">
      <c r="H144" s="708"/>
    </row>
    <row r="145" spans="8:8" s="544" customFormat="1" x14ac:dyDescent="0.35">
      <c r="H145" s="708"/>
    </row>
    <row r="146" spans="8:8" s="544" customFormat="1" x14ac:dyDescent="0.35">
      <c r="H146" s="708"/>
    </row>
    <row r="147" spans="8:8" s="544" customFormat="1" x14ac:dyDescent="0.35">
      <c r="H147" s="708"/>
    </row>
    <row r="148" spans="8:8" s="544" customFormat="1" x14ac:dyDescent="0.35">
      <c r="H148" s="708"/>
    </row>
    <row r="149" spans="8:8" s="544" customFormat="1" x14ac:dyDescent="0.35">
      <c r="H149" s="708"/>
    </row>
    <row r="150" spans="8:8" s="544" customFormat="1" x14ac:dyDescent="0.35">
      <c r="H150" s="708"/>
    </row>
    <row r="151" spans="8:8" s="544" customFormat="1" x14ac:dyDescent="0.35">
      <c r="H151" s="708"/>
    </row>
    <row r="152" spans="8:8" s="544" customFormat="1" x14ac:dyDescent="0.35">
      <c r="H152" s="708"/>
    </row>
    <row r="153" spans="8:8" s="544" customFormat="1" x14ac:dyDescent="0.35">
      <c r="H153" s="708"/>
    </row>
    <row r="154" spans="8:8" s="544" customFormat="1" x14ac:dyDescent="0.35">
      <c r="H154" s="708"/>
    </row>
    <row r="155" spans="8:8" s="544" customFormat="1" x14ac:dyDescent="0.35">
      <c r="H155" s="708"/>
    </row>
    <row r="156" spans="8:8" s="544" customFormat="1" x14ac:dyDescent="0.35">
      <c r="H156" s="708"/>
    </row>
    <row r="157" spans="8:8" s="544" customFormat="1" x14ac:dyDescent="0.35">
      <c r="H157" s="708"/>
    </row>
    <row r="158" spans="8:8" s="544" customFormat="1" x14ac:dyDescent="0.35">
      <c r="H158" s="708"/>
    </row>
    <row r="159" spans="8:8" s="544" customFormat="1" x14ac:dyDescent="0.35">
      <c r="H159" s="708"/>
    </row>
    <row r="160" spans="8:8" s="544" customFormat="1" x14ac:dyDescent="0.35">
      <c r="H160" s="708"/>
    </row>
    <row r="161" spans="8:8" s="544" customFormat="1" x14ac:dyDescent="0.35">
      <c r="H161" s="708"/>
    </row>
    <row r="162" spans="8:8" s="544" customFormat="1" x14ac:dyDescent="0.35">
      <c r="H162" s="708"/>
    </row>
    <row r="163" spans="8:8" s="544" customFormat="1" x14ac:dyDescent="0.35">
      <c r="H163" s="708"/>
    </row>
    <row r="164" spans="8:8" s="544" customFormat="1" x14ac:dyDescent="0.35">
      <c r="H164" s="708"/>
    </row>
    <row r="165" spans="8:8" s="544" customFormat="1" x14ac:dyDescent="0.35">
      <c r="H165" s="708"/>
    </row>
    <row r="166" spans="8:8" s="544" customFormat="1" x14ac:dyDescent="0.35">
      <c r="H166" s="708"/>
    </row>
    <row r="167" spans="8:8" s="544" customFormat="1" x14ac:dyDescent="0.35">
      <c r="H167" s="708"/>
    </row>
    <row r="168" spans="8:8" s="544" customFormat="1" x14ac:dyDescent="0.35">
      <c r="H168" s="708"/>
    </row>
    <row r="169" spans="8:8" s="544" customFormat="1" x14ac:dyDescent="0.35">
      <c r="H169" s="708"/>
    </row>
    <row r="170" spans="8:8" s="544" customFormat="1" x14ac:dyDescent="0.35">
      <c r="H170" s="708"/>
    </row>
    <row r="171" spans="8:8" s="544" customFormat="1" x14ac:dyDescent="0.35">
      <c r="H171" s="708"/>
    </row>
    <row r="172" spans="8:8" s="544" customFormat="1" x14ac:dyDescent="0.35">
      <c r="H172" s="708"/>
    </row>
    <row r="173" spans="8:8" s="544" customFormat="1" x14ac:dyDescent="0.35">
      <c r="H173" s="708"/>
    </row>
    <row r="174" spans="8:8" s="544" customFormat="1" x14ac:dyDescent="0.35">
      <c r="H174" s="708"/>
    </row>
    <row r="175" spans="8:8" s="544" customFormat="1" x14ac:dyDescent="0.35">
      <c r="H175" s="708"/>
    </row>
    <row r="176" spans="8:8" s="544" customFormat="1" x14ac:dyDescent="0.35">
      <c r="H176" s="708"/>
    </row>
    <row r="177" spans="8:8" s="544" customFormat="1" x14ac:dyDescent="0.35">
      <c r="H177" s="708"/>
    </row>
    <row r="178" spans="8:8" s="544" customFormat="1" x14ac:dyDescent="0.35">
      <c r="H178" s="708"/>
    </row>
    <row r="179" spans="8:8" s="544" customFormat="1" x14ac:dyDescent="0.35">
      <c r="H179" s="708"/>
    </row>
    <row r="180" spans="8:8" s="544" customFormat="1" x14ac:dyDescent="0.35">
      <c r="H180" s="708"/>
    </row>
    <row r="181" spans="8:8" s="544" customFormat="1" x14ac:dyDescent="0.35">
      <c r="H181" s="708"/>
    </row>
    <row r="182" spans="8:8" s="544" customFormat="1" x14ac:dyDescent="0.35">
      <c r="H182" s="708"/>
    </row>
    <row r="183" spans="8:8" s="544" customFormat="1" x14ac:dyDescent="0.35">
      <c r="H183" s="708"/>
    </row>
    <row r="184" spans="8:8" s="544" customFormat="1" x14ac:dyDescent="0.35">
      <c r="H184" s="708"/>
    </row>
    <row r="185" spans="8:8" s="544" customFormat="1" x14ac:dyDescent="0.35">
      <c r="H185" s="708"/>
    </row>
    <row r="186" spans="8:8" s="544" customFormat="1" x14ac:dyDescent="0.35">
      <c r="H186" s="708"/>
    </row>
    <row r="187" spans="8:8" s="544" customFormat="1" x14ac:dyDescent="0.35">
      <c r="H187" s="708"/>
    </row>
    <row r="188" spans="8:8" s="544" customFormat="1" x14ac:dyDescent="0.35">
      <c r="H188" s="708"/>
    </row>
    <row r="189" spans="8:8" s="544" customFormat="1" x14ac:dyDescent="0.35">
      <c r="H189" s="708"/>
    </row>
    <row r="190" spans="8:8" s="544" customFormat="1" x14ac:dyDescent="0.35">
      <c r="H190" s="708"/>
    </row>
    <row r="191" spans="8:8" s="544" customFormat="1" x14ac:dyDescent="0.35">
      <c r="H191" s="708"/>
    </row>
    <row r="192" spans="8:8" s="544" customFormat="1" x14ac:dyDescent="0.35">
      <c r="H192" s="708"/>
    </row>
    <row r="193" spans="8:8" s="544" customFormat="1" x14ac:dyDescent="0.35">
      <c r="H193" s="708"/>
    </row>
    <row r="194" spans="8:8" s="544" customFormat="1" x14ac:dyDescent="0.35">
      <c r="H194" s="708"/>
    </row>
    <row r="195" spans="8:8" s="544" customFormat="1" x14ac:dyDescent="0.35">
      <c r="H195" s="708"/>
    </row>
    <row r="196" spans="8:8" s="544" customFormat="1" x14ac:dyDescent="0.35">
      <c r="H196" s="708"/>
    </row>
    <row r="197" spans="8:8" s="544" customFormat="1" x14ac:dyDescent="0.35">
      <c r="H197" s="708"/>
    </row>
    <row r="198" spans="8:8" s="544" customFormat="1" x14ac:dyDescent="0.35">
      <c r="H198" s="708"/>
    </row>
    <row r="199" spans="8:8" s="544" customFormat="1" x14ac:dyDescent="0.35">
      <c r="H199" s="708"/>
    </row>
    <row r="200" spans="8:8" s="544" customFormat="1" x14ac:dyDescent="0.35">
      <c r="H200" s="708"/>
    </row>
    <row r="201" spans="8:8" s="544" customFormat="1" x14ac:dyDescent="0.35">
      <c r="H201" s="708"/>
    </row>
    <row r="202" spans="8:8" s="544" customFormat="1" x14ac:dyDescent="0.35">
      <c r="H202" s="708"/>
    </row>
    <row r="203" spans="8:8" s="544" customFormat="1" x14ac:dyDescent="0.35">
      <c r="H203" s="708"/>
    </row>
    <row r="204" spans="8:8" s="544" customFormat="1" x14ac:dyDescent="0.35">
      <c r="H204" s="708"/>
    </row>
    <row r="205" spans="8:8" s="544" customFormat="1" x14ac:dyDescent="0.35">
      <c r="H205" s="708"/>
    </row>
    <row r="206" spans="8:8" s="544" customFormat="1" x14ac:dyDescent="0.35">
      <c r="H206" s="708"/>
    </row>
    <row r="207" spans="8:8" s="544" customFormat="1" x14ac:dyDescent="0.35">
      <c r="H207" s="708"/>
    </row>
    <row r="208" spans="8:8" s="544" customFormat="1" x14ac:dyDescent="0.35">
      <c r="H208" s="708"/>
    </row>
    <row r="209" spans="8:8" s="544" customFormat="1" x14ac:dyDescent="0.35">
      <c r="H209" s="708"/>
    </row>
    <row r="210" spans="8:8" s="544" customFormat="1" x14ac:dyDescent="0.35">
      <c r="H210" s="708"/>
    </row>
    <row r="211" spans="8:8" s="544" customFormat="1" x14ac:dyDescent="0.35">
      <c r="H211" s="708"/>
    </row>
    <row r="212" spans="8:8" s="544" customFormat="1" x14ac:dyDescent="0.35">
      <c r="H212" s="708"/>
    </row>
    <row r="213" spans="8:8" s="544" customFormat="1" x14ac:dyDescent="0.35">
      <c r="H213" s="708"/>
    </row>
    <row r="214" spans="8:8" s="544" customFormat="1" x14ac:dyDescent="0.35">
      <c r="H214" s="708"/>
    </row>
    <row r="215" spans="8:8" s="544" customFormat="1" x14ac:dyDescent="0.35">
      <c r="H215" s="708"/>
    </row>
    <row r="216" spans="8:8" s="544" customFormat="1" x14ac:dyDescent="0.35">
      <c r="H216" s="708"/>
    </row>
    <row r="217" spans="8:8" s="544" customFormat="1" x14ac:dyDescent="0.35">
      <c r="H217" s="708"/>
    </row>
    <row r="218" spans="8:8" s="544" customFormat="1" x14ac:dyDescent="0.35">
      <c r="H218" s="708"/>
    </row>
    <row r="219" spans="8:8" s="544" customFormat="1" x14ac:dyDescent="0.35">
      <c r="H219" s="708"/>
    </row>
    <row r="220" spans="8:8" s="544" customFormat="1" x14ac:dyDescent="0.35">
      <c r="H220" s="708"/>
    </row>
    <row r="221" spans="8:8" s="544" customFormat="1" x14ac:dyDescent="0.35">
      <c r="H221" s="708"/>
    </row>
    <row r="222" spans="8:8" s="544" customFormat="1" x14ac:dyDescent="0.35">
      <c r="H222" s="708"/>
    </row>
    <row r="223" spans="8:8" s="544" customFormat="1" x14ac:dyDescent="0.35">
      <c r="H223" s="708"/>
    </row>
    <row r="224" spans="8:8" s="544" customFormat="1" x14ac:dyDescent="0.35">
      <c r="H224" s="708"/>
    </row>
    <row r="225" spans="8:8" s="544" customFormat="1" x14ac:dyDescent="0.35">
      <c r="H225" s="708"/>
    </row>
    <row r="226" spans="8:8" s="544" customFormat="1" x14ac:dyDescent="0.35">
      <c r="H226" s="708"/>
    </row>
    <row r="227" spans="8:8" s="544" customFormat="1" x14ac:dyDescent="0.35">
      <c r="H227" s="708"/>
    </row>
    <row r="228" spans="8:8" s="544" customFormat="1" x14ac:dyDescent="0.35">
      <c r="H228" s="708"/>
    </row>
    <row r="229" spans="8:8" s="544" customFormat="1" x14ac:dyDescent="0.35">
      <c r="H229" s="708"/>
    </row>
    <row r="230" spans="8:8" s="544" customFormat="1" x14ac:dyDescent="0.35">
      <c r="H230" s="708"/>
    </row>
    <row r="231" spans="8:8" s="544" customFormat="1" x14ac:dyDescent="0.35">
      <c r="H231" s="708"/>
    </row>
    <row r="232" spans="8:8" s="544" customFormat="1" x14ac:dyDescent="0.35">
      <c r="H232" s="708"/>
    </row>
    <row r="233" spans="8:8" s="544" customFormat="1" x14ac:dyDescent="0.35">
      <c r="H233" s="708"/>
    </row>
    <row r="234" spans="8:8" s="544" customFormat="1" x14ac:dyDescent="0.35">
      <c r="H234" s="708"/>
    </row>
    <row r="235" spans="8:8" s="544" customFormat="1" x14ac:dyDescent="0.35">
      <c r="H235" s="708"/>
    </row>
    <row r="236" spans="8:8" s="544" customFormat="1" x14ac:dyDescent="0.35">
      <c r="H236" s="708"/>
    </row>
    <row r="237" spans="8:8" s="544" customFormat="1" x14ac:dyDescent="0.35">
      <c r="H237" s="708"/>
    </row>
    <row r="238" spans="8:8" s="544" customFormat="1" x14ac:dyDescent="0.35">
      <c r="H238" s="708"/>
    </row>
    <row r="239" spans="8:8" s="544" customFormat="1" x14ac:dyDescent="0.35">
      <c r="H239" s="708"/>
    </row>
    <row r="240" spans="8:8" s="544" customFormat="1" x14ac:dyDescent="0.35">
      <c r="H240" s="708"/>
    </row>
    <row r="241" spans="8:8" s="544" customFormat="1" x14ac:dyDescent="0.35">
      <c r="H241" s="708"/>
    </row>
    <row r="242" spans="8:8" s="544" customFormat="1" x14ac:dyDescent="0.35">
      <c r="H242" s="708"/>
    </row>
    <row r="243" spans="8:8" s="544" customFormat="1" x14ac:dyDescent="0.35">
      <c r="H243" s="708"/>
    </row>
    <row r="244" spans="8:8" s="544" customFormat="1" x14ac:dyDescent="0.35">
      <c r="H244" s="708"/>
    </row>
    <row r="245" spans="8:8" s="544" customFormat="1" x14ac:dyDescent="0.35">
      <c r="H245" s="708"/>
    </row>
    <row r="246" spans="8:8" s="544" customFormat="1" x14ac:dyDescent="0.35">
      <c r="H246" s="708"/>
    </row>
    <row r="247" spans="8:8" s="544" customFormat="1" x14ac:dyDescent="0.35">
      <c r="H247" s="708"/>
    </row>
    <row r="248" spans="8:8" s="544" customFormat="1" x14ac:dyDescent="0.35">
      <c r="H248" s="708"/>
    </row>
    <row r="249" spans="8:8" s="544" customFormat="1" x14ac:dyDescent="0.35">
      <c r="H249" s="708"/>
    </row>
    <row r="250" spans="8:8" s="544" customFormat="1" x14ac:dyDescent="0.35">
      <c r="H250" s="708"/>
    </row>
    <row r="251" spans="8:8" s="544" customFormat="1" x14ac:dyDescent="0.35">
      <c r="H251" s="708"/>
    </row>
    <row r="252" spans="8:8" s="544" customFormat="1" x14ac:dyDescent="0.35">
      <c r="H252" s="708"/>
    </row>
    <row r="253" spans="8:8" s="544" customFormat="1" x14ac:dyDescent="0.35">
      <c r="H253" s="708"/>
    </row>
    <row r="254" spans="8:8" s="544" customFormat="1" x14ac:dyDescent="0.35">
      <c r="H254" s="708"/>
    </row>
    <row r="255" spans="8:8" s="544" customFormat="1" x14ac:dyDescent="0.35">
      <c r="H255" s="708"/>
    </row>
    <row r="256" spans="8:8" s="544" customFormat="1" x14ac:dyDescent="0.35">
      <c r="H256" s="708"/>
    </row>
    <row r="257" spans="8:8" s="544" customFormat="1" x14ac:dyDescent="0.35">
      <c r="H257" s="708"/>
    </row>
    <row r="258" spans="8:8" s="544" customFormat="1" x14ac:dyDescent="0.35">
      <c r="H258" s="708"/>
    </row>
    <row r="259" spans="8:8" s="544" customFormat="1" x14ac:dyDescent="0.35">
      <c r="H259" s="708"/>
    </row>
    <row r="260" spans="8:8" s="544" customFormat="1" x14ac:dyDescent="0.35">
      <c r="H260" s="708"/>
    </row>
    <row r="261" spans="8:8" s="544" customFormat="1" x14ac:dyDescent="0.35">
      <c r="H261" s="708"/>
    </row>
    <row r="262" spans="8:8" s="544" customFormat="1" x14ac:dyDescent="0.35">
      <c r="H262" s="708"/>
    </row>
    <row r="263" spans="8:8" s="544" customFormat="1" x14ac:dyDescent="0.35">
      <c r="H263" s="708"/>
    </row>
    <row r="264" spans="8:8" s="544" customFormat="1" x14ac:dyDescent="0.35">
      <c r="H264" s="708"/>
    </row>
    <row r="265" spans="8:8" s="544" customFormat="1" x14ac:dyDescent="0.35">
      <c r="H265" s="708"/>
    </row>
    <row r="266" spans="8:8" s="544" customFormat="1" x14ac:dyDescent="0.35">
      <c r="H266" s="708"/>
    </row>
    <row r="267" spans="8:8" s="544" customFormat="1" x14ac:dyDescent="0.35">
      <c r="H267" s="708"/>
    </row>
    <row r="268" spans="8:8" s="544" customFormat="1" x14ac:dyDescent="0.35">
      <c r="H268" s="708"/>
    </row>
    <row r="269" spans="8:8" s="544" customFormat="1" x14ac:dyDescent="0.35">
      <c r="H269" s="708"/>
    </row>
    <row r="270" spans="8:8" s="544" customFormat="1" x14ac:dyDescent="0.35">
      <c r="H270" s="708"/>
    </row>
    <row r="271" spans="8:8" s="544" customFormat="1" x14ac:dyDescent="0.35">
      <c r="H271" s="708"/>
    </row>
    <row r="272" spans="8:8" s="544" customFormat="1" x14ac:dyDescent="0.35">
      <c r="H272" s="708"/>
    </row>
    <row r="273" spans="8:8" s="544" customFormat="1" x14ac:dyDescent="0.35">
      <c r="H273" s="708"/>
    </row>
    <row r="274" spans="8:8" s="544" customFormat="1" x14ac:dyDescent="0.35">
      <c r="H274" s="708"/>
    </row>
    <row r="275" spans="8:8" s="544" customFormat="1" x14ac:dyDescent="0.35">
      <c r="H275" s="708"/>
    </row>
    <row r="276" spans="8:8" s="544" customFormat="1" x14ac:dyDescent="0.35">
      <c r="H276" s="708"/>
    </row>
    <row r="277" spans="8:8" s="544" customFormat="1" x14ac:dyDescent="0.35">
      <c r="H277" s="708"/>
    </row>
    <row r="278" spans="8:8" s="544" customFormat="1" x14ac:dyDescent="0.35">
      <c r="H278" s="708"/>
    </row>
    <row r="279" spans="8:8" s="544" customFormat="1" x14ac:dyDescent="0.35">
      <c r="H279" s="708"/>
    </row>
    <row r="280" spans="8:8" s="544" customFormat="1" x14ac:dyDescent="0.35">
      <c r="H280" s="708"/>
    </row>
    <row r="281" spans="8:8" s="544" customFormat="1" x14ac:dyDescent="0.35">
      <c r="H281" s="708"/>
    </row>
    <row r="282" spans="8:8" s="544" customFormat="1" x14ac:dyDescent="0.35">
      <c r="H282" s="708"/>
    </row>
    <row r="283" spans="8:8" s="544" customFormat="1" x14ac:dyDescent="0.35">
      <c r="H283" s="708"/>
    </row>
    <row r="284" spans="8:8" s="544" customFormat="1" x14ac:dyDescent="0.35">
      <c r="H284" s="708"/>
    </row>
    <row r="285" spans="8:8" s="544" customFormat="1" x14ac:dyDescent="0.35">
      <c r="H285" s="708"/>
    </row>
    <row r="286" spans="8:8" s="544" customFormat="1" x14ac:dyDescent="0.35">
      <c r="H286" s="708"/>
    </row>
    <row r="287" spans="8:8" s="544" customFormat="1" x14ac:dyDescent="0.35">
      <c r="H287" s="708"/>
    </row>
    <row r="288" spans="8:8" s="544" customFormat="1" x14ac:dyDescent="0.35">
      <c r="H288" s="708"/>
    </row>
    <row r="289" spans="8:8" s="544" customFormat="1" x14ac:dyDescent="0.35">
      <c r="H289" s="708"/>
    </row>
    <row r="290" spans="8:8" s="544" customFormat="1" x14ac:dyDescent="0.35">
      <c r="H290" s="708"/>
    </row>
    <row r="291" spans="8:8" s="544" customFormat="1" x14ac:dyDescent="0.35">
      <c r="H291" s="708"/>
    </row>
    <row r="292" spans="8:8" s="544" customFormat="1" x14ac:dyDescent="0.35">
      <c r="H292" s="708"/>
    </row>
    <row r="293" spans="8:8" s="544" customFormat="1" x14ac:dyDescent="0.35">
      <c r="H293" s="708"/>
    </row>
    <row r="294" spans="8:8" s="544" customFormat="1" x14ac:dyDescent="0.35">
      <c r="H294" s="708"/>
    </row>
    <row r="295" spans="8:8" s="544" customFormat="1" x14ac:dyDescent="0.35">
      <c r="H295" s="708"/>
    </row>
    <row r="296" spans="8:8" s="544" customFormat="1" x14ac:dyDescent="0.35">
      <c r="H296" s="708"/>
    </row>
    <row r="297" spans="8:8" s="544" customFormat="1" x14ac:dyDescent="0.35">
      <c r="H297" s="708"/>
    </row>
    <row r="298" spans="8:8" s="544" customFormat="1" x14ac:dyDescent="0.35">
      <c r="H298" s="708"/>
    </row>
    <row r="299" spans="8:8" s="544" customFormat="1" x14ac:dyDescent="0.35">
      <c r="H299" s="708"/>
    </row>
    <row r="300" spans="8:8" s="544" customFormat="1" x14ac:dyDescent="0.35">
      <c r="H300" s="708"/>
    </row>
    <row r="301" spans="8:8" s="544" customFormat="1" x14ac:dyDescent="0.35">
      <c r="H301" s="708"/>
    </row>
    <row r="302" spans="8:8" s="544" customFormat="1" x14ac:dyDescent="0.35">
      <c r="H302" s="708"/>
    </row>
    <row r="303" spans="8:8" s="544" customFormat="1" x14ac:dyDescent="0.35">
      <c r="H303" s="708"/>
    </row>
    <row r="304" spans="8:8" s="544" customFormat="1" x14ac:dyDescent="0.35">
      <c r="H304" s="708"/>
    </row>
    <row r="305" spans="8:8" s="544" customFormat="1" x14ac:dyDescent="0.35">
      <c r="H305" s="708"/>
    </row>
    <row r="306" spans="8:8" s="544" customFormat="1" x14ac:dyDescent="0.35">
      <c r="H306" s="708"/>
    </row>
    <row r="307" spans="8:8" s="544" customFormat="1" x14ac:dyDescent="0.35">
      <c r="H307" s="708"/>
    </row>
    <row r="308" spans="8:8" s="544" customFormat="1" x14ac:dyDescent="0.35">
      <c r="H308" s="708"/>
    </row>
    <row r="309" spans="8:8" s="544" customFormat="1" x14ac:dyDescent="0.35">
      <c r="H309" s="708"/>
    </row>
    <row r="310" spans="8:8" s="544" customFormat="1" x14ac:dyDescent="0.35">
      <c r="H310" s="708"/>
    </row>
    <row r="311" spans="8:8" s="544" customFormat="1" x14ac:dyDescent="0.35">
      <c r="H311" s="708"/>
    </row>
    <row r="312" spans="8:8" s="544" customFormat="1" x14ac:dyDescent="0.35">
      <c r="H312" s="708"/>
    </row>
    <row r="313" spans="8:8" s="544" customFormat="1" x14ac:dyDescent="0.35">
      <c r="H313" s="708"/>
    </row>
    <row r="314" spans="8:8" s="544" customFormat="1" x14ac:dyDescent="0.35">
      <c r="H314" s="708"/>
    </row>
    <row r="315" spans="8:8" s="544" customFormat="1" x14ac:dyDescent="0.35">
      <c r="H315" s="708"/>
    </row>
    <row r="316" spans="8:8" s="544" customFormat="1" x14ac:dyDescent="0.35">
      <c r="H316" s="708"/>
    </row>
    <row r="317" spans="8:8" s="544" customFormat="1" x14ac:dyDescent="0.35">
      <c r="H317" s="708"/>
    </row>
  </sheetData>
  <sheetProtection selectLockedCells="1"/>
  <mergeCells count="6">
    <mergeCell ref="V5:X5"/>
    <mergeCell ref="B5:D5"/>
    <mergeCell ref="F5:H5"/>
    <mergeCell ref="J5:L5"/>
    <mergeCell ref="N5:P5"/>
    <mergeCell ref="R5:T5"/>
  </mergeCells>
  <pageMargins left="0.5" right="0.5" top="0.75" bottom="0.75" header="0.3" footer="0.3"/>
  <pageSetup paperSize="9" scale="44" orientation="landscape" r:id="rId1"/>
  <ignoredErrors>
    <ignoredError sqref="K9" evalError="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0000"/>
    <pageSetUpPr fitToPage="1"/>
  </sheetPr>
  <dimension ref="B1:AD169"/>
  <sheetViews>
    <sheetView showGridLines="0" zoomScale="85" zoomScaleNormal="85" workbookViewId="0">
      <selection activeCell="B22" sqref="B22"/>
    </sheetView>
  </sheetViews>
  <sheetFormatPr defaultColWidth="9.1796875" defaultRowHeight="13" x14ac:dyDescent="0.35"/>
  <cols>
    <col min="1" max="1" width="3.26953125" style="68" customWidth="1"/>
    <col min="2" max="2" width="14.7265625" style="68" customWidth="1"/>
    <col min="3" max="3" width="3.26953125" style="148" customWidth="1"/>
    <col min="4" max="4" width="14.7265625" style="148" customWidth="1"/>
    <col min="5" max="5" width="1.7265625" style="148" customWidth="1"/>
    <col min="6" max="6" width="14.7265625" style="148" customWidth="1"/>
    <col min="7" max="7" width="3.26953125" style="148" customWidth="1"/>
    <col min="8" max="8" width="14.7265625" style="148" customWidth="1"/>
    <col min="9" max="9" width="3.26953125" style="148" customWidth="1"/>
    <col min="10" max="10" width="14.7265625" style="148" customWidth="1"/>
    <col min="11" max="11" width="3.26953125" style="148" customWidth="1"/>
    <col min="12" max="12" width="14.7265625" style="148" customWidth="1"/>
    <col min="13" max="13" width="3.26953125" style="148" customWidth="1"/>
    <col min="14" max="14" width="14.7265625" style="148" customWidth="1"/>
    <col min="15" max="15" width="3.26953125" style="148" customWidth="1"/>
    <col min="16" max="16" width="14.7265625" style="148" customWidth="1"/>
    <col min="17" max="17" width="3.26953125" style="148" customWidth="1"/>
    <col min="18" max="18" width="14.7265625" style="148" customWidth="1"/>
    <col min="19" max="19" width="3.26953125" style="148" customWidth="1"/>
    <col min="20" max="20" width="14.7265625" style="148" customWidth="1"/>
    <col min="21" max="21" width="3.26953125" style="68" customWidth="1"/>
    <col min="22" max="22" width="5.26953125" style="68" customWidth="1"/>
    <col min="23" max="23" width="3.26953125" style="68" customWidth="1"/>
    <col min="24" max="24" width="11.7265625" style="68" customWidth="1"/>
    <col min="25" max="25" width="10.26953125" style="68" bestFit="1" customWidth="1"/>
    <col min="26" max="26" width="14.7265625" style="68" customWidth="1"/>
    <col min="27" max="16384" width="9.1796875" style="68"/>
  </cols>
  <sheetData>
    <row r="1" spans="2:24" s="764" customFormat="1" ht="36.75" customHeight="1" x14ac:dyDescent="0.45">
      <c r="B1" s="1243" t="str">
        <f>'User interface_RES'!AJ11</f>
        <v>Any city in , the world</v>
      </c>
      <c r="C1" s="762"/>
      <c r="D1" s="763"/>
      <c r="E1" s="763"/>
      <c r="F1" s="763"/>
      <c r="G1" s="763"/>
      <c r="H1" s="763"/>
      <c r="I1" s="763"/>
      <c r="J1" s="763"/>
      <c r="K1" s="763"/>
      <c r="L1" s="763"/>
      <c r="M1" s="763"/>
      <c r="N1" s="763"/>
      <c r="O1" s="763"/>
      <c r="P1" s="763"/>
      <c r="Q1" s="763"/>
      <c r="R1" s="763"/>
      <c r="S1" s="763"/>
      <c r="T1" s="763"/>
    </row>
    <row r="2" spans="2:24" s="774" customFormat="1" ht="57" customHeight="1" thickBot="1" x14ac:dyDescent="0.4">
      <c r="B2" s="1541" t="s">
        <v>110</v>
      </c>
      <c r="C2" s="1541"/>
      <c r="D2" s="1541"/>
      <c r="E2" s="1541"/>
      <c r="F2" s="1541"/>
      <c r="G2" s="1541"/>
      <c r="H2" s="1541"/>
      <c r="I2" s="1541"/>
      <c r="J2" s="1541"/>
      <c r="K2" s="773"/>
      <c r="L2" s="773"/>
      <c r="M2" s="773"/>
      <c r="N2" s="773"/>
      <c r="O2" s="773"/>
      <c r="P2" s="773"/>
      <c r="Q2" s="773"/>
      <c r="R2" s="773"/>
      <c r="S2" s="773"/>
      <c r="T2" s="773"/>
      <c r="X2" s="775"/>
    </row>
    <row r="3" spans="2:24" hidden="1" x14ac:dyDescent="0.35"/>
    <row r="4" spans="2:24" ht="26" hidden="1" x14ac:dyDescent="0.3">
      <c r="J4" s="137"/>
      <c r="K4" s="137"/>
      <c r="L4" s="137"/>
      <c r="M4" s="444"/>
      <c r="N4" s="820" t="s">
        <v>111</v>
      </c>
      <c r="O4" s="822"/>
      <c r="P4" s="820" t="s">
        <v>112</v>
      </c>
      <c r="Q4" s="822"/>
      <c r="R4" s="820" t="s">
        <v>113</v>
      </c>
    </row>
    <row r="5" spans="2:24" hidden="1" x14ac:dyDescent="0.3">
      <c r="B5" s="831" t="s">
        <v>114</v>
      </c>
      <c r="C5" s="830"/>
      <c r="D5" s="830"/>
      <c r="E5" s="830"/>
      <c r="F5" s="830"/>
      <c r="G5" s="830"/>
      <c r="H5" s="441"/>
      <c r="J5" s="137" t="s">
        <v>115</v>
      </c>
      <c r="K5" s="137"/>
      <c r="L5" s="137"/>
      <c r="M5" s="68"/>
      <c r="N5" s="442">
        <f>'SUM for FWF Diagram_SLUDGE'!N5</f>
        <v>147700</v>
      </c>
      <c r="O5" s="821"/>
      <c r="P5" s="442">
        <f>'SUM for FWF Diagram_SLUDGE'!P5</f>
        <v>0</v>
      </c>
      <c r="Q5" s="821"/>
      <c r="R5" s="442">
        <f>'SUM for FWF Diagram_SLUDGE'!R5</f>
        <v>0</v>
      </c>
    </row>
    <row r="6" spans="2:24" hidden="1" x14ac:dyDescent="0.3">
      <c r="B6" s="440" t="s">
        <v>116</v>
      </c>
      <c r="C6" s="830"/>
      <c r="D6" s="830"/>
      <c r="E6" s="830"/>
      <c r="F6" s="830"/>
      <c r="G6" s="830"/>
      <c r="H6" s="441"/>
      <c r="J6" s="137"/>
      <c r="K6" s="137"/>
      <c r="L6" s="137"/>
      <c r="M6" s="68"/>
      <c r="N6" s="1520">
        <f>'SUM for FWF Diagram_SLUDGE'!N6</f>
        <v>0</v>
      </c>
      <c r="O6" s="821"/>
      <c r="P6" s="1520">
        <f>'SUM for FWF Diagram_SLUDGE'!P6</f>
        <v>0</v>
      </c>
      <c r="Q6" s="821"/>
      <c r="R6" s="1520">
        <f>'SUM for FWF Diagram_SLUDGE'!R6</f>
        <v>0</v>
      </c>
    </row>
    <row r="7" spans="2:24" hidden="1" x14ac:dyDescent="0.3">
      <c r="B7" s="440" t="s">
        <v>117</v>
      </c>
      <c r="C7" s="830"/>
      <c r="D7" s="830"/>
      <c r="E7" s="830"/>
      <c r="F7" s="830"/>
      <c r="G7" s="830"/>
      <c r="H7" s="441"/>
      <c r="J7" s="137"/>
      <c r="K7" s="137"/>
      <c r="L7" s="137"/>
      <c r="M7" s="443"/>
      <c r="N7" s="1520">
        <f>'SUM for FWF Diagram_SLUDGE'!N7</f>
        <v>0</v>
      </c>
      <c r="O7" s="821"/>
      <c r="P7" s="1520">
        <f>'SUM for FWF Diagram_SLUDGE'!P7</f>
        <v>0</v>
      </c>
      <c r="Q7" s="821"/>
      <c r="R7" s="1520">
        <f>'SUM for FWF Diagram_SLUDGE'!R7</f>
        <v>0</v>
      </c>
    </row>
    <row r="8" spans="2:24" hidden="1" x14ac:dyDescent="0.3">
      <c r="B8" s="440" t="s">
        <v>118</v>
      </c>
      <c r="C8" s="830"/>
      <c r="D8" s="830"/>
      <c r="E8" s="830"/>
      <c r="F8" s="830"/>
      <c r="G8" s="830"/>
      <c r="H8" s="441"/>
      <c r="J8" s="137"/>
      <c r="K8" s="137"/>
      <c r="L8" s="137"/>
      <c r="M8" s="443"/>
      <c r="N8" s="1520">
        <f>'SUM for FWF Diagram_SLUDGE'!N8</f>
        <v>98575</v>
      </c>
      <c r="O8" s="821"/>
      <c r="P8" s="1520">
        <f>'SUM for FWF Diagram_SLUDGE'!P8</f>
        <v>0</v>
      </c>
      <c r="Q8" s="821"/>
      <c r="R8" s="1520">
        <f>'SUM for FWF Diagram_SLUDGE'!R8</f>
        <v>0</v>
      </c>
    </row>
    <row r="9" spans="2:24" hidden="1" x14ac:dyDescent="0.3">
      <c r="B9" s="440" t="s">
        <v>119</v>
      </c>
      <c r="C9" s="830"/>
      <c r="D9" s="830"/>
      <c r="E9" s="830"/>
      <c r="F9" s="830"/>
      <c r="G9" s="830"/>
      <c r="H9" s="441"/>
      <c r="J9" s="137"/>
      <c r="K9" s="137"/>
      <c r="L9" s="137"/>
      <c r="M9" s="443"/>
      <c r="N9" s="1520">
        <f>'SUM for FWF Diagram_SLUDGE'!N9</f>
        <v>49125</v>
      </c>
      <c r="O9" s="821"/>
      <c r="P9" s="1520">
        <f>'SUM for FWF Diagram_SLUDGE'!P9</f>
        <v>0</v>
      </c>
      <c r="Q9" s="821"/>
      <c r="R9" s="1520">
        <f>'SUM for FWF Diagram_SLUDGE'!R9</f>
        <v>0</v>
      </c>
    </row>
    <row r="10" spans="2:24" hidden="1" x14ac:dyDescent="0.3">
      <c r="J10" s="137"/>
      <c r="K10" s="137"/>
      <c r="L10" s="137"/>
      <c r="M10" s="443"/>
      <c r="O10" s="67"/>
      <c r="Q10" s="67"/>
    </row>
    <row r="11" spans="2:24" ht="26" hidden="1" x14ac:dyDescent="0.3">
      <c r="J11" s="137"/>
      <c r="K11" s="137"/>
      <c r="L11" s="137"/>
      <c r="M11" s="443"/>
      <c r="N11" s="820" t="s">
        <v>120</v>
      </c>
      <c r="O11" s="822"/>
      <c r="P11" s="820" t="s">
        <v>121</v>
      </c>
      <c r="Q11" s="822"/>
      <c r="R11" s="820" t="s">
        <v>122</v>
      </c>
    </row>
    <row r="12" spans="2:24" hidden="1" x14ac:dyDescent="0.3">
      <c r="J12" s="137"/>
      <c r="K12" s="137"/>
      <c r="L12" s="137"/>
      <c r="M12" s="443"/>
      <c r="N12" s="325">
        <f>'SUM for FWF Diagram_SLUDGE'!N12</f>
        <v>0</v>
      </c>
      <c r="O12" s="821"/>
      <c r="P12" s="325">
        <f>'SUM for FWF Diagram_SLUDGE'!P12</f>
        <v>147900</v>
      </c>
      <c r="Q12" s="821"/>
      <c r="R12" s="325">
        <f>'SUM for FWF Diagram_SLUDGE'!R12</f>
        <v>0</v>
      </c>
    </row>
    <row r="13" spans="2:24" hidden="1" x14ac:dyDescent="0.3">
      <c r="J13" s="137"/>
      <c r="K13" s="137"/>
      <c r="L13" s="137"/>
      <c r="M13" s="443"/>
      <c r="N13" s="1520">
        <f>'SUM for FWF Diagram_SLUDGE'!N13</f>
        <v>0</v>
      </c>
      <c r="O13" s="821"/>
      <c r="P13" s="1520">
        <f>'SUM for FWF Diagram_SLUDGE'!P13</f>
        <v>0</v>
      </c>
      <c r="Q13" s="821"/>
      <c r="R13" s="1520">
        <f>'SUM for FWF Diagram_SLUDGE'!R13</f>
        <v>0</v>
      </c>
    </row>
    <row r="14" spans="2:24" hidden="1" x14ac:dyDescent="0.3">
      <c r="J14" s="137"/>
      <c r="K14" s="137"/>
      <c r="L14" s="137"/>
      <c r="M14" s="443"/>
      <c r="N14" s="1520">
        <f>'SUM for FWF Diagram_SLUDGE'!N14</f>
        <v>0</v>
      </c>
      <c r="O14" s="821"/>
      <c r="P14" s="1520">
        <f>'SUM for FWF Diagram_SLUDGE'!P14</f>
        <v>0</v>
      </c>
      <c r="Q14" s="821"/>
      <c r="R14" s="1520">
        <f>'SUM for FWF Diagram_SLUDGE'!R14</f>
        <v>0</v>
      </c>
    </row>
    <row r="15" spans="2:24" hidden="1" x14ac:dyDescent="0.3">
      <c r="J15" s="137"/>
      <c r="K15" s="137"/>
      <c r="L15" s="137"/>
      <c r="M15" s="443"/>
      <c r="N15" s="1520">
        <f>'SUM for FWF Diagram_SLUDGE'!N15</f>
        <v>0</v>
      </c>
      <c r="O15" s="821"/>
      <c r="P15" s="1520">
        <f>'SUM for FWF Diagram_SLUDGE'!P15</f>
        <v>98710</v>
      </c>
      <c r="Q15" s="821"/>
      <c r="R15" s="1520">
        <f>'SUM for FWF Diagram_SLUDGE'!R15</f>
        <v>0</v>
      </c>
    </row>
    <row r="16" spans="2:24" hidden="1" x14ac:dyDescent="0.3">
      <c r="J16" s="137"/>
      <c r="K16" s="137"/>
      <c r="L16" s="137"/>
      <c r="M16" s="443"/>
      <c r="N16" s="1520">
        <f>'SUM for FWF Diagram_SLUDGE'!N16</f>
        <v>0</v>
      </c>
      <c r="O16" s="821"/>
      <c r="P16" s="1520">
        <f>'SUM for FWF Diagram_SLUDGE'!P16</f>
        <v>49190</v>
      </c>
      <c r="Q16" s="821"/>
      <c r="R16" s="1520">
        <f>'SUM for FWF Diagram_SLUDGE'!R16</f>
        <v>0</v>
      </c>
    </row>
    <row r="17" spans="2:26" hidden="1" x14ac:dyDescent="0.3">
      <c r="J17" s="137"/>
      <c r="K17" s="137"/>
      <c r="L17" s="137"/>
      <c r="M17" s="443"/>
      <c r="N17" s="67"/>
      <c r="O17" s="67"/>
      <c r="P17" s="67"/>
      <c r="Q17" s="67"/>
      <c r="R17" s="67"/>
    </row>
    <row r="18" spans="2:26" hidden="1" x14ac:dyDescent="0.35">
      <c r="M18" s="443"/>
      <c r="N18" s="67"/>
      <c r="O18" s="67"/>
      <c r="P18" s="67"/>
      <c r="Q18" s="67"/>
      <c r="R18" s="67"/>
    </row>
    <row r="19" spans="2:26" hidden="1" x14ac:dyDescent="0.35">
      <c r="M19" s="443"/>
    </row>
    <row r="20" spans="2:26" ht="35.15" customHeight="1" thickBot="1" x14ac:dyDescent="0.6">
      <c r="B20" s="861" t="s">
        <v>123</v>
      </c>
      <c r="C20" s="766"/>
      <c r="D20" s="766"/>
      <c r="E20" s="766"/>
      <c r="F20" s="766"/>
      <c r="G20" s="766"/>
      <c r="H20" s="766"/>
      <c r="I20" s="766"/>
      <c r="J20" s="766"/>
      <c r="K20" s="766"/>
      <c r="L20" s="766"/>
      <c r="M20" s="766"/>
      <c r="N20" s="766"/>
      <c r="O20" s="766"/>
      <c r="P20" s="766"/>
      <c r="Q20" s="766"/>
      <c r="R20" s="766"/>
      <c r="S20" s="766"/>
      <c r="T20" s="766"/>
      <c r="U20" s="767"/>
      <c r="V20" s="842" t="s">
        <v>124</v>
      </c>
      <c r="W20" s="771"/>
      <c r="X20" s="771"/>
      <c r="Y20" s="843"/>
    </row>
    <row r="21" spans="2:26" ht="36" customHeight="1" x14ac:dyDescent="0.35"/>
    <row r="22" spans="2:26" s="446" customFormat="1" ht="48" customHeight="1" x14ac:dyDescent="0.35">
      <c r="B22" s="765" t="s">
        <v>125</v>
      </c>
      <c r="C22" s="445"/>
      <c r="D22" s="1542" t="s">
        <v>114</v>
      </c>
      <c r="E22" s="1543"/>
      <c r="F22" s="1544"/>
      <c r="G22" s="445"/>
      <c r="H22" s="765" t="s">
        <v>126</v>
      </c>
      <c r="I22" s="445"/>
      <c r="J22" s="819" t="s">
        <v>42</v>
      </c>
      <c r="K22" s="448"/>
      <c r="L22" s="765" t="s">
        <v>43</v>
      </c>
      <c r="M22" s="448"/>
      <c r="N22" s="536" t="s">
        <v>44</v>
      </c>
      <c r="O22" s="448"/>
      <c r="P22" s="536" t="s">
        <v>45</v>
      </c>
      <c r="Q22" s="448"/>
      <c r="R22" s="536" t="s">
        <v>46</v>
      </c>
      <c r="S22" s="448"/>
      <c r="T22" s="765" t="s">
        <v>127</v>
      </c>
    </row>
    <row r="23" spans="2:26" s="332" customFormat="1" ht="14.5" x14ac:dyDescent="0.35">
      <c r="C23" s="24"/>
      <c r="D23" s="446"/>
      <c r="E23" s="446"/>
      <c r="F23" s="446"/>
      <c r="G23" s="446"/>
      <c r="H23" s="446"/>
      <c r="I23" s="446"/>
      <c r="J23" s="446"/>
      <c r="K23" s="446"/>
      <c r="L23" s="446"/>
      <c r="M23" s="446"/>
      <c r="N23" s="446"/>
      <c r="O23" s="446"/>
      <c r="P23" s="446"/>
      <c r="Q23" s="446"/>
      <c r="R23" s="446"/>
      <c r="S23" s="446"/>
      <c r="T23" s="446"/>
    </row>
    <row r="24" spans="2:26" s="332" customFormat="1" ht="15" customHeight="1" x14ac:dyDescent="0.35">
      <c r="B24" s="1545">
        <f>'SUM for FWF Diagram_ALL'!B24</f>
        <v>34911075</v>
      </c>
      <c r="C24" s="24"/>
      <c r="D24" s="1548" t="s">
        <v>128</v>
      </c>
      <c r="E24" s="447"/>
      <c r="F24" s="447"/>
      <c r="G24" s="446"/>
      <c r="H24" s="1549">
        <f>'SUM for FWF Diagram_ALL'!H24</f>
        <v>25531850</v>
      </c>
      <c r="I24" s="446"/>
      <c r="J24" s="1553">
        <f>'SUM for FWF Diagram_ALL'!J24</f>
        <v>25531850</v>
      </c>
      <c r="K24" s="472"/>
      <c r="L24" s="1556">
        <f>'SUM for FWF Diagram_ALL'!L24+'SUM for FWF Diagram_ALL'!L30</f>
        <v>25531850</v>
      </c>
      <c r="M24" s="472"/>
      <c r="N24" s="1553">
        <f>'SUM for FWF Diagram_ALL'!N24+'SUM for FWF Diagram_ALL'!N30</f>
        <v>25531850</v>
      </c>
      <c r="O24" s="472"/>
      <c r="P24" s="1556">
        <f>'SUM for FWF Diagram_ALL'!P24+'SUM for FWF Diagram_ALL'!P30</f>
        <v>22978675</v>
      </c>
      <c r="Q24" s="472"/>
      <c r="R24" s="1252">
        <f>'SUM for FWF Diagram_ALL'!R24+'SUM for FWF Diagram_ALL'!R30</f>
        <v>8042536.25</v>
      </c>
      <c r="S24" s="472"/>
      <c r="T24" s="1252">
        <f>'SUM for FWF Diagram_ALL'!T24+'SUM for FWF Diagram_ALL'!T30</f>
        <v>8042536.25</v>
      </c>
      <c r="V24" s="1563">
        <f>X77</f>
        <v>9274136.25</v>
      </c>
    </row>
    <row r="25" spans="2:26" s="332" customFormat="1" ht="8.15" customHeight="1" x14ac:dyDescent="0.35">
      <c r="B25" s="1546"/>
      <c r="C25" s="24"/>
      <c r="D25" s="1548"/>
      <c r="E25" s="447"/>
      <c r="F25" s="446"/>
      <c r="G25" s="446"/>
      <c r="H25" s="1550"/>
      <c r="I25" s="446"/>
      <c r="J25" s="1554"/>
      <c r="K25" s="472"/>
      <c r="L25" s="1557"/>
      <c r="M25" s="472"/>
      <c r="N25" s="1554"/>
      <c r="O25" s="472"/>
      <c r="P25" s="1557"/>
      <c r="Q25" s="472"/>
      <c r="R25" s="472"/>
      <c r="S25" s="472"/>
      <c r="T25" s="472"/>
      <c r="V25" s="1564"/>
    </row>
    <row r="26" spans="2:26" s="332" customFormat="1" ht="14.5" x14ac:dyDescent="0.35">
      <c r="B26" s="1546"/>
      <c r="C26" s="24"/>
      <c r="D26" s="1548"/>
      <c r="E26" s="447"/>
      <c r="F26" s="446"/>
      <c r="G26" s="446"/>
      <c r="H26" s="1550"/>
      <c r="I26" s="446"/>
      <c r="J26" s="1554"/>
      <c r="K26" s="472"/>
      <c r="L26" s="1557"/>
      <c r="M26" s="472"/>
      <c r="N26" s="1554"/>
      <c r="O26" s="472"/>
      <c r="P26" s="1558"/>
      <c r="Q26" s="472"/>
      <c r="R26" s="1249">
        <f>'SUM for FWF Diagram_ALL'!R26+'SUM for FWF Diagram_ALL'!R32</f>
        <v>14936138.75</v>
      </c>
      <c r="S26" s="472"/>
      <c r="T26" s="1249">
        <f>IF(Z26=R26,0,R26-Z26)</f>
        <v>0</v>
      </c>
      <c r="V26" s="1564"/>
      <c r="Z26" s="1251">
        <f>'SUM for FWF Diagram_ALL'!T26+'SUM for FWF Diagram_ALL'!T32</f>
        <v>14936138.75</v>
      </c>
    </row>
    <row r="27" spans="2:26" s="332" customFormat="1" ht="8.15" customHeight="1" x14ac:dyDescent="0.35">
      <c r="B27" s="1546"/>
      <c r="C27" s="24"/>
      <c r="D27" s="1548"/>
      <c r="E27" s="447"/>
      <c r="F27" s="446"/>
      <c r="G27" s="446"/>
      <c r="H27" s="1550"/>
      <c r="I27" s="446"/>
      <c r="J27" s="1554"/>
      <c r="K27" s="472"/>
      <c r="L27" s="1557"/>
      <c r="M27" s="472"/>
      <c r="N27" s="1554"/>
      <c r="O27" s="472"/>
      <c r="P27" s="472"/>
      <c r="Q27" s="472"/>
      <c r="R27" s="472"/>
      <c r="S27" s="472"/>
      <c r="T27" s="472"/>
      <c r="V27" s="1564"/>
    </row>
    <row r="28" spans="2:26" s="332" customFormat="1" ht="15" customHeight="1" x14ac:dyDescent="0.35">
      <c r="B28" s="1546"/>
      <c r="C28" s="24"/>
      <c r="D28" s="1548"/>
      <c r="E28" s="447"/>
      <c r="F28" s="446"/>
      <c r="G28" s="446"/>
      <c r="H28" s="1551"/>
      <c r="I28" s="446"/>
      <c r="J28" s="1554"/>
      <c r="K28" s="472"/>
      <c r="L28" s="1562"/>
      <c r="M28" s="472"/>
      <c r="N28" s="1555"/>
      <c r="O28" s="472"/>
      <c r="P28" s="1249">
        <f>'SUM for FWF Diagram_ALL'!P28+'SUM for FWF Diagram_ALL'!P34</f>
        <v>2553175</v>
      </c>
      <c r="Q28" s="472"/>
      <c r="R28" s="472"/>
      <c r="S28" s="472"/>
      <c r="T28" s="472"/>
      <c r="V28" s="1564"/>
    </row>
    <row r="29" spans="2:26" s="332" customFormat="1" ht="8.15" customHeight="1" x14ac:dyDescent="0.35">
      <c r="B29" s="1546"/>
      <c r="C29" s="24"/>
      <c r="D29" s="1548"/>
      <c r="E29" s="447"/>
      <c r="F29" s="446"/>
      <c r="G29" s="446"/>
      <c r="H29" s="1551"/>
      <c r="I29" s="446"/>
      <c r="J29" s="1554"/>
      <c r="K29" s="472"/>
      <c r="L29" s="1562"/>
      <c r="M29" s="472"/>
      <c r="N29" s="472"/>
      <c r="O29" s="472"/>
      <c r="P29" s="472"/>
      <c r="Q29" s="472"/>
      <c r="R29" s="472"/>
      <c r="S29" s="472"/>
      <c r="T29" s="472"/>
      <c r="V29" s="1564"/>
    </row>
    <row r="30" spans="2:26" s="332" customFormat="1" ht="15" customHeight="1" x14ac:dyDescent="0.35">
      <c r="B30" s="1546"/>
      <c r="C30" s="24"/>
      <c r="D30" s="1548"/>
      <c r="E30" s="447"/>
      <c r="F30" s="446"/>
      <c r="G30" s="446"/>
      <c r="H30" s="1552"/>
      <c r="I30" s="446"/>
      <c r="J30" s="1555"/>
      <c r="K30" s="472"/>
      <c r="L30" s="1558"/>
      <c r="M30" s="472"/>
      <c r="N30" s="1249">
        <f>'SUM for FWF Diagram_ALL'!N36</f>
        <v>0</v>
      </c>
      <c r="O30" s="472"/>
      <c r="Q30" s="472"/>
      <c r="R30" s="472"/>
      <c r="S30" s="472"/>
      <c r="T30" s="472"/>
      <c r="V30" s="1564"/>
    </row>
    <row r="31" spans="2:26" s="332" customFormat="1" ht="14.5" x14ac:dyDescent="0.35">
      <c r="B31" s="1546"/>
      <c r="C31" s="24"/>
      <c r="D31" s="446"/>
      <c r="E31" s="446"/>
      <c r="F31" s="446"/>
      <c r="G31" s="446"/>
      <c r="H31" s="446"/>
      <c r="I31" s="446"/>
      <c r="J31" s="472"/>
      <c r="K31" s="472"/>
      <c r="L31" s="475"/>
      <c r="M31" s="472"/>
      <c r="N31" s="472"/>
      <c r="O31" s="472"/>
      <c r="P31" s="472"/>
      <c r="Q31" s="472"/>
      <c r="R31" s="472"/>
      <c r="S31" s="472"/>
      <c r="T31" s="472"/>
      <c r="V31" s="1564"/>
    </row>
    <row r="32" spans="2:26" s="332" customFormat="1" ht="15" customHeight="1" x14ac:dyDescent="0.35">
      <c r="B32" s="1546"/>
      <c r="C32" s="24"/>
      <c r="D32" s="1559" t="s">
        <v>117</v>
      </c>
      <c r="E32" s="447"/>
      <c r="F32" s="447"/>
      <c r="G32" s="446"/>
      <c r="H32" s="1545">
        <f>'SUM for FWF Diagram_ALL'!H38</f>
        <v>0</v>
      </c>
      <c r="I32" s="446"/>
      <c r="J32" s="1553">
        <f>'SUM for FWF Diagram_ALL'!J38</f>
        <v>0</v>
      </c>
      <c r="K32" s="472"/>
      <c r="L32" s="1556">
        <f>'SUM for FWF Diagram_ALL'!L38</f>
        <v>0</v>
      </c>
      <c r="M32" s="472"/>
      <c r="N32" s="1553">
        <f>'SUM for FWF Diagram_ALL'!N38+'SUM for FWF Diagram_ALL'!N44</f>
        <v>0</v>
      </c>
      <c r="O32" s="472"/>
      <c r="P32" s="1556">
        <f>'SUM for FWF Diagram_ALL'!P38+'SUM for FWF Diagram_ALL'!P44</f>
        <v>0</v>
      </c>
      <c r="Q32" s="472"/>
      <c r="R32" s="1252">
        <f>'SUM for FWF Diagram_ALL'!R38+'SUM for FWF Diagram_ALL'!R44</f>
        <v>0</v>
      </c>
      <c r="S32" s="472"/>
      <c r="T32" s="1252">
        <f>'SUM for FWF Diagram_ALL'!T38+'SUM for FWF Diagram_ALL'!T44</f>
        <v>0</v>
      </c>
      <c r="V32" s="1564"/>
    </row>
    <row r="33" spans="2:27" s="332" customFormat="1" ht="8.15" customHeight="1" x14ac:dyDescent="0.35">
      <c r="B33" s="1546"/>
      <c r="C33" s="24"/>
      <c r="D33" s="1560"/>
      <c r="E33" s="447"/>
      <c r="F33" s="446"/>
      <c r="G33" s="446"/>
      <c r="H33" s="1546"/>
      <c r="I33" s="446"/>
      <c r="J33" s="1554"/>
      <c r="K33" s="472"/>
      <c r="L33" s="1557"/>
      <c r="M33" s="472"/>
      <c r="N33" s="1554"/>
      <c r="O33" s="472"/>
      <c r="P33" s="1557"/>
      <c r="Q33" s="472"/>
      <c r="R33" s="472"/>
      <c r="S33" s="472"/>
      <c r="T33" s="472"/>
      <c r="V33" s="1564"/>
    </row>
    <row r="34" spans="2:27" s="332" customFormat="1" ht="14.5" x14ac:dyDescent="0.35">
      <c r="B34" s="1546"/>
      <c r="C34" s="24"/>
      <c r="D34" s="1560"/>
      <c r="E34" s="447"/>
      <c r="F34" s="446"/>
      <c r="G34" s="446"/>
      <c r="H34" s="1546"/>
      <c r="I34" s="446"/>
      <c r="J34" s="1554"/>
      <c r="K34" s="472"/>
      <c r="L34" s="1557"/>
      <c r="M34" s="472"/>
      <c r="N34" s="1554"/>
      <c r="O34" s="472"/>
      <c r="P34" s="1558"/>
      <c r="Q34" s="472"/>
      <c r="R34" s="1249">
        <f>'SUM for FWF Diagram_ALL'!R40+'SUM for FWF Diagram_ALL'!R46</f>
        <v>0</v>
      </c>
      <c r="S34" s="472"/>
      <c r="T34" s="1249">
        <f>IF(Z34=R34,0,R34-Z34)</f>
        <v>0</v>
      </c>
      <c r="V34" s="1564"/>
      <c r="Z34" s="1251">
        <f>'SUM for FWF Diagram_ALL'!T40+'SUM for FWF Diagram_ALL'!T46</f>
        <v>0</v>
      </c>
      <c r="AA34" s="772"/>
    </row>
    <row r="35" spans="2:27" s="332" customFormat="1" ht="8.15" customHeight="1" x14ac:dyDescent="0.35">
      <c r="B35" s="1546"/>
      <c r="C35" s="24"/>
      <c r="D35" s="1560"/>
      <c r="E35" s="447"/>
      <c r="F35" s="446"/>
      <c r="G35" s="446"/>
      <c r="H35" s="1546"/>
      <c r="I35" s="446"/>
      <c r="J35" s="1554"/>
      <c r="K35" s="472"/>
      <c r="L35" s="1557"/>
      <c r="M35" s="472"/>
      <c r="N35" s="1554"/>
      <c r="O35" s="472"/>
      <c r="P35" s="472"/>
      <c r="Q35" s="472"/>
      <c r="R35" s="472"/>
      <c r="S35" s="472"/>
      <c r="T35" s="472"/>
      <c r="V35" s="1564"/>
    </row>
    <row r="36" spans="2:27" s="332" customFormat="1" ht="15" customHeight="1" x14ac:dyDescent="0.35">
      <c r="B36" s="1546"/>
      <c r="C36" s="24"/>
      <c r="D36" s="1560"/>
      <c r="E36" s="447"/>
      <c r="F36" s="446"/>
      <c r="G36" s="446"/>
      <c r="H36" s="1546"/>
      <c r="I36" s="446"/>
      <c r="J36" s="1554"/>
      <c r="K36" s="472"/>
      <c r="L36" s="1562"/>
      <c r="M36" s="472"/>
      <c r="N36" s="1555"/>
      <c r="O36" s="472"/>
      <c r="P36" s="1249">
        <f>'SUM for FWF Diagram_ALL'!P42+'SUM for FWF Diagram_ALL'!P48</f>
        <v>0</v>
      </c>
      <c r="Q36" s="472"/>
      <c r="R36" s="472"/>
      <c r="S36" s="472"/>
      <c r="T36" s="472"/>
      <c r="V36" s="1564"/>
    </row>
    <row r="37" spans="2:27" s="332" customFormat="1" ht="8.15" customHeight="1" x14ac:dyDescent="0.35">
      <c r="B37" s="1546"/>
      <c r="C37" s="24"/>
      <c r="D37" s="1560"/>
      <c r="E37" s="447"/>
      <c r="F37" s="446"/>
      <c r="G37" s="446"/>
      <c r="H37" s="1546"/>
      <c r="I37" s="446"/>
      <c r="J37" s="1554"/>
      <c r="K37" s="472"/>
      <c r="L37" s="1562"/>
      <c r="M37" s="472"/>
      <c r="N37" s="472"/>
      <c r="O37" s="472"/>
      <c r="P37" s="472"/>
      <c r="Q37" s="472"/>
      <c r="R37" s="472"/>
      <c r="S37" s="472"/>
      <c r="T37" s="472"/>
      <c r="V37" s="1564"/>
    </row>
    <row r="38" spans="2:27" s="332" customFormat="1" ht="15" customHeight="1" x14ac:dyDescent="0.35">
      <c r="B38" s="1546"/>
      <c r="C38" s="24"/>
      <c r="D38" s="1560"/>
      <c r="E38" s="447"/>
      <c r="F38" s="446"/>
      <c r="G38" s="446"/>
      <c r="H38" s="1546"/>
      <c r="I38" s="446"/>
      <c r="J38" s="1554"/>
      <c r="K38" s="472"/>
      <c r="L38" s="1558"/>
      <c r="M38" s="472"/>
      <c r="N38" s="1249">
        <f>'SUM for FWF Diagram_ALL'!N50+'SUM for FWF Diagram_ALL'!N52</f>
        <v>0</v>
      </c>
      <c r="O38" s="472"/>
      <c r="Q38" s="472"/>
      <c r="R38" s="472"/>
      <c r="S38" s="472"/>
      <c r="T38" s="472"/>
      <c r="V38" s="1564"/>
    </row>
    <row r="39" spans="2:27" s="332" customFormat="1" ht="8.15" customHeight="1" x14ac:dyDescent="0.35">
      <c r="B39" s="1546"/>
      <c r="C39" s="24"/>
      <c r="D39" s="1560"/>
      <c r="E39" s="447"/>
      <c r="F39" s="446"/>
      <c r="G39" s="446"/>
      <c r="H39" s="1546"/>
      <c r="I39" s="446"/>
      <c r="J39" s="1554"/>
      <c r="K39" s="472"/>
      <c r="L39" s="472"/>
      <c r="M39" s="472"/>
      <c r="N39" s="1258"/>
      <c r="O39" s="472"/>
      <c r="Q39" s="472"/>
      <c r="R39" s="472"/>
      <c r="S39" s="472"/>
      <c r="T39" s="472"/>
      <c r="V39" s="1564"/>
    </row>
    <row r="40" spans="2:27" s="332" customFormat="1" ht="15" customHeight="1" x14ac:dyDescent="0.35">
      <c r="B40" s="1546"/>
      <c r="C40" s="24"/>
      <c r="D40" s="1561"/>
      <c r="E40" s="447"/>
      <c r="F40" s="446"/>
      <c r="G40" s="446"/>
      <c r="H40" s="1547"/>
      <c r="I40" s="446"/>
      <c r="J40" s="1555"/>
      <c r="K40" s="472"/>
      <c r="L40" s="1249">
        <f>'SUM for FWF Diagram_ALL'!L54</f>
        <v>0</v>
      </c>
      <c r="M40" s="472"/>
      <c r="N40" s="1258"/>
      <c r="O40" s="472"/>
      <c r="Q40" s="472"/>
      <c r="R40" s="472"/>
      <c r="S40" s="472"/>
      <c r="T40" s="472"/>
      <c r="V40" s="1564"/>
    </row>
    <row r="41" spans="2:27" s="332" customFormat="1" ht="14.5" x14ac:dyDescent="0.35">
      <c r="B41" s="1546"/>
      <c r="C41" s="24"/>
      <c r="D41" s="446"/>
      <c r="E41" s="446"/>
      <c r="F41" s="446"/>
      <c r="G41" s="446"/>
      <c r="H41" s="446"/>
      <c r="I41" s="446"/>
      <c r="J41" s="472"/>
      <c r="K41" s="472"/>
      <c r="L41" s="475"/>
      <c r="M41" s="472"/>
      <c r="N41" s="472"/>
      <c r="O41" s="472"/>
      <c r="P41" s="472"/>
      <c r="Q41" s="472"/>
      <c r="R41" s="472"/>
      <c r="S41" s="472"/>
      <c r="T41" s="472"/>
      <c r="V41" s="1564"/>
    </row>
    <row r="42" spans="2:27" s="332" customFormat="1" ht="14.5" x14ac:dyDescent="0.35">
      <c r="B42" s="1546"/>
      <c r="C42" s="24"/>
      <c r="D42" s="1548" t="s">
        <v>129</v>
      </c>
      <c r="E42" s="445"/>
      <c r="F42" s="1548" t="s">
        <v>130</v>
      </c>
      <c r="G42" s="446"/>
      <c r="H42" s="1549">
        <f>'SUM for FWF Diagram_ALL'!H56</f>
        <v>7277950</v>
      </c>
      <c r="I42" s="446"/>
      <c r="J42" s="1556">
        <f>'SUM for FWF Diagram_ALL'!J56</f>
        <v>7277950</v>
      </c>
      <c r="K42" s="472"/>
      <c r="L42" s="1556">
        <f>'SUM for FWF Diagram_ALL'!L56</f>
        <v>6256575</v>
      </c>
      <c r="M42" s="472"/>
      <c r="N42" s="1553">
        <f>'SUM for FWF Diagram_ALL'!N56+'SUM for FWF Diagram_ALL'!N60</f>
        <v>6256575</v>
      </c>
      <c r="O42" s="472"/>
      <c r="P42" s="1556">
        <f>'SUM for FWF Diagram_ALL'!P56+'SUM for FWF Diagram_ALL'!P60</f>
        <v>6158000</v>
      </c>
      <c r="Q42" s="472"/>
      <c r="R42" s="1252">
        <f>'SUM for FWF Diagram_ALL'!R56+'SUM for FWF Diagram_ALL'!R60</f>
        <v>1231600</v>
      </c>
      <c r="S42" s="472"/>
      <c r="T42" s="1252">
        <f>'SUM for FWF Diagram_ALL'!T56+'SUM for FWF Diagram_ALL'!T60</f>
        <v>1231600</v>
      </c>
      <c r="V42" s="1564"/>
    </row>
    <row r="43" spans="2:27" s="332" customFormat="1" ht="8.15" customHeight="1" x14ac:dyDescent="0.35">
      <c r="B43" s="1546"/>
      <c r="C43" s="24"/>
      <c r="D43" s="1548"/>
      <c r="E43" s="445"/>
      <c r="F43" s="1548"/>
      <c r="G43" s="446"/>
      <c r="H43" s="1550"/>
      <c r="I43" s="446"/>
      <c r="J43" s="1557"/>
      <c r="K43" s="472"/>
      <c r="L43" s="1557"/>
      <c r="M43" s="472"/>
      <c r="N43" s="1554"/>
      <c r="O43" s="472"/>
      <c r="P43" s="1557"/>
      <c r="Q43" s="472"/>
      <c r="R43" s="472"/>
      <c r="S43" s="472"/>
      <c r="T43" s="472"/>
      <c r="V43" s="1564"/>
    </row>
    <row r="44" spans="2:27" s="332" customFormat="1" ht="14.5" x14ac:dyDescent="0.35">
      <c r="B44" s="1546"/>
      <c r="C44" s="24"/>
      <c r="D44" s="1548"/>
      <c r="E44" s="445"/>
      <c r="F44" s="1548"/>
      <c r="G44" s="446"/>
      <c r="H44" s="1550"/>
      <c r="I44" s="446"/>
      <c r="J44" s="1557"/>
      <c r="K44" s="472"/>
      <c r="L44" s="1557"/>
      <c r="M44" s="472"/>
      <c r="N44" s="1554"/>
      <c r="O44" s="472"/>
      <c r="P44" s="1558"/>
      <c r="Q44" s="472"/>
      <c r="R44" s="1249">
        <f>'SUM for FWF Diagram_ALL'!R58+'SUM for FWF Diagram_ALL'!R62</f>
        <v>4926400</v>
      </c>
      <c r="S44" s="472"/>
      <c r="T44" s="1249">
        <f>IF(Z44=R44,0,R44-Z44)</f>
        <v>0</v>
      </c>
      <c r="V44" s="1564"/>
      <c r="Z44" s="1251">
        <f>'SUM for FWF Diagram_ALL'!T58+'SUM for FWF Diagram_ALL'!T62</f>
        <v>4926400</v>
      </c>
    </row>
    <row r="45" spans="2:27" s="332" customFormat="1" ht="8.15" customHeight="1" x14ac:dyDescent="0.35">
      <c r="B45" s="1546"/>
      <c r="C45" s="24"/>
      <c r="D45" s="1548"/>
      <c r="E45" s="445"/>
      <c r="F45" s="1548"/>
      <c r="G45" s="446"/>
      <c r="H45" s="1550"/>
      <c r="I45" s="446"/>
      <c r="J45" s="1557"/>
      <c r="K45" s="472"/>
      <c r="L45" s="1557"/>
      <c r="M45" s="472"/>
      <c r="N45" s="1554"/>
      <c r="O45" s="472"/>
      <c r="P45" s="472"/>
      <c r="Q45" s="472"/>
      <c r="R45" s="472"/>
      <c r="S45" s="472"/>
      <c r="T45" s="472"/>
      <c r="V45" s="1564"/>
    </row>
    <row r="46" spans="2:27" s="332" customFormat="1" ht="14.5" x14ac:dyDescent="0.35">
      <c r="B46" s="1546"/>
      <c r="C46" s="24"/>
      <c r="D46" s="1548"/>
      <c r="E46" s="445"/>
      <c r="F46" s="1548"/>
      <c r="G46" s="446"/>
      <c r="H46" s="1550"/>
      <c r="I46" s="446"/>
      <c r="J46" s="1557"/>
      <c r="K46" s="472"/>
      <c r="L46" s="1557"/>
      <c r="M46" s="472"/>
      <c r="N46" s="1555"/>
      <c r="O46" s="472"/>
      <c r="P46" s="1249">
        <f>'SUM for FWF Diagram_ALL'!P64</f>
        <v>98575</v>
      </c>
      <c r="Q46" s="472"/>
      <c r="R46" s="472"/>
      <c r="S46" s="472"/>
      <c r="T46" s="472"/>
      <c r="V46" s="1564"/>
    </row>
    <row r="47" spans="2:27" s="332" customFormat="1" ht="8.15" customHeight="1" x14ac:dyDescent="0.35">
      <c r="B47" s="1546"/>
      <c r="C47" s="24"/>
      <c r="D47" s="1548"/>
      <c r="E47" s="445"/>
      <c r="F47" s="1548"/>
      <c r="G47" s="446"/>
      <c r="H47" s="1550"/>
      <c r="I47" s="446"/>
      <c r="J47" s="1557"/>
      <c r="K47" s="472"/>
      <c r="L47" s="1557"/>
      <c r="M47" s="472"/>
      <c r="N47" s="472"/>
      <c r="O47" s="472"/>
      <c r="P47" s="472"/>
      <c r="Q47" s="472"/>
      <c r="R47" s="472"/>
      <c r="S47" s="472"/>
      <c r="T47" s="472"/>
      <c r="V47" s="1564"/>
    </row>
    <row r="48" spans="2:27" s="332" customFormat="1" ht="14.5" x14ac:dyDescent="0.35">
      <c r="B48" s="1546"/>
      <c r="C48" s="24"/>
      <c r="D48" s="1548"/>
      <c r="E48" s="445"/>
      <c r="F48" s="1548"/>
      <c r="G48" s="446"/>
      <c r="H48" s="1550"/>
      <c r="I48" s="446"/>
      <c r="J48" s="1557"/>
      <c r="K48" s="472"/>
      <c r="L48" s="1558"/>
      <c r="M48" s="472"/>
      <c r="N48" s="1249">
        <f>'SUM for FWF Diagram_ALL'!N66+'SUM for FWF Diagram_ALL'!N68</f>
        <v>0</v>
      </c>
      <c r="O48" s="472"/>
      <c r="P48" s="472"/>
      <c r="Q48" s="472"/>
      <c r="R48" s="472"/>
      <c r="S48" s="472"/>
      <c r="T48" s="472"/>
      <c r="V48" s="1564"/>
    </row>
    <row r="49" spans="2:26" s="332" customFormat="1" ht="8.15" customHeight="1" x14ac:dyDescent="0.35">
      <c r="B49" s="1546"/>
      <c r="C49" s="24"/>
      <c r="D49" s="1548"/>
      <c r="E49" s="445"/>
      <c r="F49" s="1548"/>
      <c r="G49" s="446"/>
      <c r="H49" s="1550"/>
      <c r="I49" s="446"/>
      <c r="J49" s="1557"/>
      <c r="K49" s="472"/>
      <c r="L49" s="475"/>
      <c r="M49" s="472"/>
      <c r="N49" s="472"/>
      <c r="O49" s="472"/>
      <c r="P49" s="472"/>
      <c r="Q49" s="472"/>
      <c r="R49" s="472"/>
      <c r="S49" s="472"/>
      <c r="T49" s="472"/>
      <c r="V49" s="1564"/>
    </row>
    <row r="50" spans="2:26" s="332" customFormat="1" ht="14.5" x14ac:dyDescent="0.35">
      <c r="B50" s="1546"/>
      <c r="C50" s="24"/>
      <c r="D50" s="1548"/>
      <c r="E50" s="445"/>
      <c r="F50" s="1548"/>
      <c r="G50" s="446"/>
      <c r="H50" s="1552"/>
      <c r="I50" s="446"/>
      <c r="J50" s="1558"/>
      <c r="K50" s="472"/>
      <c r="L50" s="1249">
        <f>'SUM for FWF Diagram_ALL'!L70</f>
        <v>1021375</v>
      </c>
      <c r="M50" s="472"/>
      <c r="N50" s="472"/>
      <c r="O50" s="472"/>
      <c r="P50" s="472"/>
      <c r="Q50" s="472"/>
      <c r="R50" s="472"/>
      <c r="S50" s="472"/>
      <c r="T50" s="472"/>
      <c r="V50" s="1564"/>
    </row>
    <row r="51" spans="2:26" s="332" customFormat="1" ht="14.5" x14ac:dyDescent="0.35">
      <c r="B51" s="1546"/>
      <c r="C51" s="24"/>
      <c r="D51" s="1548"/>
      <c r="E51" s="452"/>
      <c r="F51" s="449"/>
      <c r="G51" s="446"/>
      <c r="H51" s="446"/>
      <c r="I51" s="446"/>
      <c r="J51" s="472"/>
      <c r="K51" s="472"/>
      <c r="L51" s="475"/>
      <c r="M51" s="472"/>
      <c r="N51" s="472"/>
      <c r="O51" s="472"/>
      <c r="P51" s="472"/>
      <c r="Q51" s="472"/>
      <c r="R51" s="472"/>
      <c r="S51" s="472"/>
      <c r="T51" s="472"/>
      <c r="V51" s="1564"/>
    </row>
    <row r="52" spans="2:26" s="332" customFormat="1" ht="14.5" x14ac:dyDescent="0.35">
      <c r="B52" s="1546"/>
      <c r="C52" s="24"/>
      <c r="D52" s="1548"/>
      <c r="E52" s="445"/>
      <c r="F52" s="1559" t="s">
        <v>131</v>
      </c>
      <c r="G52" s="446"/>
      <c r="H52" s="1545">
        <f>'SUM for FWF Diagram_ALL'!H72</f>
        <v>2081250</v>
      </c>
      <c r="I52" s="446"/>
      <c r="J52" s="1553">
        <f>'SUM for FWF Diagram_ALL'!J72</f>
        <v>2081250</v>
      </c>
      <c r="K52" s="472"/>
      <c r="L52" s="1553">
        <f>'SUM for FWF Diagram_ALL'!L72</f>
        <v>908300</v>
      </c>
      <c r="M52" s="472"/>
      <c r="N52" s="1556">
        <f>'SUM for FWF Diagram_ALL'!N72</f>
        <v>49125</v>
      </c>
      <c r="O52" s="472"/>
      <c r="P52" s="1556">
        <f>'SUM for FWF Diagram_ALL'!P72</f>
        <v>0</v>
      </c>
      <c r="Q52" s="472"/>
      <c r="R52" s="1252">
        <f>'SUM for FWF Diagram_ALL'!R72</f>
        <v>0</v>
      </c>
      <c r="S52" s="472"/>
      <c r="T52" s="1252">
        <f>'SUM for FWF Diagram_ALL'!T72</f>
        <v>0</v>
      </c>
      <c r="V52" s="1564"/>
    </row>
    <row r="53" spans="2:26" s="332" customFormat="1" ht="8.15" customHeight="1" x14ac:dyDescent="0.35">
      <c r="B53" s="1546"/>
      <c r="C53" s="24"/>
      <c r="D53" s="1548"/>
      <c r="E53" s="445"/>
      <c r="F53" s="1560"/>
      <c r="G53" s="446"/>
      <c r="H53" s="1546"/>
      <c r="I53" s="446"/>
      <c r="J53" s="1554"/>
      <c r="K53" s="472"/>
      <c r="L53" s="1554"/>
      <c r="M53" s="472"/>
      <c r="N53" s="1557"/>
      <c r="O53" s="472"/>
      <c r="P53" s="1557"/>
      <c r="Q53" s="472"/>
      <c r="R53" s="472"/>
      <c r="S53" s="472"/>
      <c r="T53" s="472"/>
      <c r="V53" s="1564"/>
    </row>
    <row r="54" spans="2:26" s="332" customFormat="1" ht="14.5" x14ac:dyDescent="0.35">
      <c r="B54" s="1546"/>
      <c r="C54" s="24"/>
      <c r="D54" s="1548"/>
      <c r="E54" s="445"/>
      <c r="F54" s="1560"/>
      <c r="G54" s="446"/>
      <c r="H54" s="1546"/>
      <c r="I54" s="446"/>
      <c r="J54" s="1554"/>
      <c r="K54" s="472"/>
      <c r="L54" s="1554"/>
      <c r="M54" s="472"/>
      <c r="N54" s="1557"/>
      <c r="O54" s="472"/>
      <c r="P54" s="1558"/>
      <c r="Q54" s="472"/>
      <c r="R54" s="1249">
        <f>'SUM for FWF Diagram_ALL'!R74</f>
        <v>0</v>
      </c>
      <c r="S54" s="472"/>
      <c r="T54" s="1249">
        <f>IF(Z54=R54,0,R54-Z54)</f>
        <v>0</v>
      </c>
      <c r="V54" s="1564"/>
      <c r="Z54" s="1251">
        <f>'SUM for FWF Diagram_ALL'!T74</f>
        <v>0</v>
      </c>
    </row>
    <row r="55" spans="2:26" s="332" customFormat="1" ht="8.15" customHeight="1" x14ac:dyDescent="0.35">
      <c r="B55" s="1546"/>
      <c r="C55" s="24"/>
      <c r="D55" s="1548"/>
      <c r="E55" s="445"/>
      <c r="F55" s="1560"/>
      <c r="G55" s="446"/>
      <c r="H55" s="1546"/>
      <c r="I55" s="446"/>
      <c r="J55" s="1554"/>
      <c r="K55" s="472"/>
      <c r="L55" s="1554"/>
      <c r="M55" s="472"/>
      <c r="N55" s="1557"/>
      <c r="O55" s="472"/>
      <c r="P55" s="472"/>
      <c r="Q55" s="472"/>
      <c r="R55" s="472"/>
      <c r="S55" s="472"/>
      <c r="T55" s="472"/>
      <c r="V55" s="1564"/>
    </row>
    <row r="56" spans="2:26" s="332" customFormat="1" ht="14.5" x14ac:dyDescent="0.35">
      <c r="B56" s="1546"/>
      <c r="C56" s="24"/>
      <c r="D56" s="1548"/>
      <c r="E56" s="445"/>
      <c r="F56" s="1560"/>
      <c r="G56" s="446"/>
      <c r="H56" s="1546"/>
      <c r="I56" s="446"/>
      <c r="J56" s="1554"/>
      <c r="K56" s="472"/>
      <c r="L56" s="1554"/>
      <c r="M56" s="472"/>
      <c r="N56" s="1558"/>
      <c r="O56" s="472"/>
      <c r="P56" s="1249">
        <f>'SUM for FWF Diagram_ALL'!P76</f>
        <v>49125</v>
      </c>
      <c r="Q56" s="472"/>
      <c r="R56" s="472"/>
      <c r="S56" s="472"/>
      <c r="T56" s="472"/>
      <c r="V56" s="1564"/>
    </row>
    <row r="57" spans="2:26" s="332" customFormat="1" ht="8.15" customHeight="1" x14ac:dyDescent="0.35">
      <c r="B57" s="1546"/>
      <c r="C57" s="24"/>
      <c r="D57" s="1548"/>
      <c r="E57" s="445"/>
      <c r="F57" s="1560"/>
      <c r="G57" s="446"/>
      <c r="H57" s="1546"/>
      <c r="I57" s="446"/>
      <c r="J57" s="1554"/>
      <c r="K57" s="472"/>
      <c r="L57" s="1554"/>
      <c r="M57" s="472"/>
      <c r="N57" s="472"/>
      <c r="O57" s="472"/>
      <c r="P57" s="472"/>
      <c r="Q57" s="472"/>
      <c r="R57" s="472"/>
      <c r="S57" s="472"/>
      <c r="T57" s="472"/>
      <c r="V57" s="1564"/>
    </row>
    <row r="58" spans="2:26" s="332" customFormat="1" ht="14.5" x14ac:dyDescent="0.35">
      <c r="B58" s="1546"/>
      <c r="C58" s="24"/>
      <c r="D58" s="1548"/>
      <c r="E58" s="445"/>
      <c r="F58" s="1560"/>
      <c r="G58" s="446"/>
      <c r="H58" s="1546"/>
      <c r="I58" s="446"/>
      <c r="J58" s="1554"/>
      <c r="K58" s="472"/>
      <c r="L58" s="1555"/>
      <c r="M58" s="472"/>
      <c r="N58" s="1249">
        <f>'SUM for FWF Diagram_ALL'!N78+'SUM for FWF Diagram_ALL'!N80</f>
        <v>859175</v>
      </c>
      <c r="O58" s="472"/>
      <c r="P58" s="472"/>
      <c r="Q58" s="472"/>
      <c r="R58" s="472"/>
      <c r="S58" s="472"/>
      <c r="T58" s="472"/>
      <c r="V58" s="1564"/>
    </row>
    <row r="59" spans="2:26" s="332" customFormat="1" ht="8.15" customHeight="1" x14ac:dyDescent="0.35">
      <c r="B59" s="1546"/>
      <c r="C59" s="24"/>
      <c r="D59" s="1548"/>
      <c r="E59" s="445"/>
      <c r="F59" s="1560"/>
      <c r="G59" s="446"/>
      <c r="H59" s="1546"/>
      <c r="I59" s="446"/>
      <c r="J59" s="1554"/>
      <c r="K59" s="472"/>
      <c r="L59" s="475"/>
      <c r="M59" s="472"/>
      <c r="N59" s="472"/>
      <c r="O59" s="472"/>
      <c r="P59" s="472"/>
      <c r="Q59" s="472"/>
      <c r="R59" s="472"/>
      <c r="S59" s="472"/>
      <c r="T59" s="472"/>
      <c r="V59" s="1564"/>
    </row>
    <row r="60" spans="2:26" s="332" customFormat="1" ht="14.5" x14ac:dyDescent="0.35">
      <c r="B60" s="1546"/>
      <c r="C60" s="24"/>
      <c r="D60" s="1548"/>
      <c r="E60" s="445"/>
      <c r="F60" s="1561"/>
      <c r="G60" s="446"/>
      <c r="H60" s="1547"/>
      <c r="I60" s="446"/>
      <c r="J60" s="1555"/>
      <c r="K60" s="472"/>
      <c r="L60" s="1249">
        <f>'SUM for FWF Diagram_ALL'!L82</f>
        <v>1172950</v>
      </c>
      <c r="M60" s="472"/>
      <c r="N60" s="472"/>
      <c r="O60" s="472"/>
      <c r="P60" s="472"/>
      <c r="Q60" s="472"/>
      <c r="R60" s="472"/>
      <c r="S60" s="472"/>
      <c r="T60" s="472"/>
      <c r="V60" s="1564"/>
    </row>
    <row r="61" spans="2:26" s="332" customFormat="1" ht="14.5" x14ac:dyDescent="0.35">
      <c r="B61" s="1546"/>
      <c r="C61" s="24"/>
      <c r="D61" s="446"/>
      <c r="E61" s="446"/>
      <c r="F61" s="446"/>
      <c r="G61" s="446"/>
      <c r="H61" s="446"/>
      <c r="I61" s="446"/>
      <c r="J61" s="472"/>
      <c r="K61" s="472"/>
      <c r="L61" s="472"/>
      <c r="M61" s="472"/>
      <c r="N61" s="472"/>
      <c r="O61" s="472"/>
      <c r="P61" s="472"/>
      <c r="Q61" s="472"/>
      <c r="R61" s="472"/>
      <c r="S61" s="472"/>
      <c r="T61" s="472"/>
      <c r="V61" s="1564"/>
    </row>
    <row r="62" spans="2:26" s="332" customFormat="1" ht="29" x14ac:dyDescent="0.35">
      <c r="B62" s="1547"/>
      <c r="C62" s="450"/>
      <c r="D62" s="1460" t="s">
        <v>132</v>
      </c>
      <c r="E62" s="447"/>
      <c r="F62" s="446"/>
      <c r="G62" s="446"/>
      <c r="H62" s="1250">
        <f>'SUM for FWF Diagram_ALL'!H84</f>
        <v>20025</v>
      </c>
      <c r="I62" s="446"/>
      <c r="J62" s="1249">
        <f>'SUM for FWF Diagram_ALL'!J84</f>
        <v>20025</v>
      </c>
      <c r="K62" s="472"/>
      <c r="L62" s="472"/>
      <c r="M62" s="472"/>
      <c r="N62" s="472"/>
      <c r="O62" s="472"/>
      <c r="P62" s="472"/>
      <c r="Q62" s="472"/>
      <c r="R62" s="472"/>
      <c r="S62" s="472"/>
      <c r="T62" s="472"/>
      <c r="V62" s="1565"/>
    </row>
    <row r="63" spans="2:26" s="331" customFormat="1" ht="15" customHeight="1" x14ac:dyDescent="0.35">
      <c r="C63" s="429"/>
      <c r="D63" s="429"/>
      <c r="E63" s="429"/>
      <c r="F63" s="429"/>
      <c r="G63" s="429"/>
      <c r="H63" s="429"/>
      <c r="I63" s="429"/>
      <c r="J63" s="439"/>
      <c r="K63" s="429"/>
      <c r="L63" s="429"/>
      <c r="M63" s="429"/>
      <c r="N63" s="429"/>
      <c r="O63" s="429"/>
      <c r="P63" s="429"/>
      <c r="Q63" s="429"/>
      <c r="R63" s="429"/>
      <c r="S63" s="429"/>
      <c r="T63" s="429"/>
    </row>
    <row r="64" spans="2:26" s="331" customFormat="1" ht="25" customHeight="1" x14ac:dyDescent="0.35">
      <c r="C64" s="429"/>
      <c r="D64" s="429"/>
      <c r="E64" s="429"/>
      <c r="F64" s="429"/>
      <c r="G64" s="429"/>
      <c r="H64" s="429"/>
      <c r="I64" s="429"/>
      <c r="J64" s="1592">
        <f>X79</f>
        <v>25636938.75</v>
      </c>
      <c r="K64" s="1593"/>
      <c r="L64" s="1593"/>
      <c r="M64" s="1593"/>
      <c r="N64" s="1593"/>
      <c r="O64" s="1593"/>
      <c r="P64" s="1593"/>
      <c r="Q64" s="1593"/>
      <c r="R64" s="1593"/>
      <c r="S64" s="1593"/>
      <c r="T64" s="1594"/>
    </row>
    <row r="65" spans="2:24" s="331" customFormat="1" x14ac:dyDescent="0.35">
      <c r="C65" s="429"/>
      <c r="D65" s="429"/>
      <c r="E65" s="429"/>
      <c r="F65" s="429"/>
      <c r="G65" s="429"/>
      <c r="H65" s="429"/>
      <c r="I65" s="429"/>
      <c r="J65" s="439"/>
      <c r="K65" s="429"/>
      <c r="L65" s="429"/>
      <c r="M65" s="429"/>
      <c r="N65" s="429"/>
      <c r="O65" s="429"/>
      <c r="P65" s="429"/>
      <c r="Q65" s="429"/>
      <c r="R65" s="429"/>
      <c r="S65" s="429"/>
      <c r="T65" s="429"/>
    </row>
    <row r="66" spans="2:24" s="331" customFormat="1" x14ac:dyDescent="0.35">
      <c r="C66" s="429"/>
      <c r="D66" s="429"/>
      <c r="E66" s="429"/>
      <c r="F66" s="429"/>
      <c r="G66" s="429"/>
      <c r="H66" s="429"/>
      <c r="I66" s="429"/>
      <c r="J66" s="439"/>
      <c r="K66" s="429"/>
      <c r="L66" s="429"/>
      <c r="M66" s="429"/>
      <c r="N66" s="429"/>
      <c r="O66" s="429"/>
      <c r="P66" s="429"/>
      <c r="Q66" s="429"/>
      <c r="R66" s="429"/>
      <c r="S66" s="429"/>
      <c r="T66" s="429"/>
    </row>
    <row r="67" spans="2:24" s="331" customFormat="1" ht="28" customHeight="1" x14ac:dyDescent="0.35">
      <c r="C67" s="429"/>
      <c r="D67" s="429"/>
      <c r="E67" s="429"/>
      <c r="F67" s="429"/>
      <c r="G67" s="429"/>
      <c r="H67" s="836" t="s">
        <v>133</v>
      </c>
      <c r="I67" s="840"/>
      <c r="J67" s="820" t="s">
        <v>14</v>
      </c>
      <c r="K67" s="439"/>
      <c r="L67" s="836" t="s">
        <v>16</v>
      </c>
      <c r="M67" s="439"/>
      <c r="N67" s="539" t="s">
        <v>18</v>
      </c>
      <c r="O67" s="439"/>
      <c r="P67" s="539" t="s">
        <v>19</v>
      </c>
      <c r="Q67" s="439"/>
      <c r="R67" s="539" t="s">
        <v>20</v>
      </c>
      <c r="S67" s="439"/>
      <c r="T67" s="836" t="s">
        <v>134</v>
      </c>
      <c r="X67" s="836" t="s">
        <v>12</v>
      </c>
    </row>
    <row r="68" spans="2:24" s="331" customFormat="1" x14ac:dyDescent="0.35">
      <c r="C68" s="429"/>
      <c r="D68" s="429"/>
      <c r="E68" s="429"/>
      <c r="F68" s="429"/>
      <c r="G68" s="429"/>
      <c r="H68" s="429"/>
      <c r="I68" s="429"/>
      <c r="J68" s="439"/>
      <c r="K68" s="429"/>
      <c r="L68" s="429"/>
      <c r="M68" s="429"/>
      <c r="N68" s="429"/>
      <c r="O68" s="429"/>
      <c r="P68" s="429"/>
      <c r="Q68" s="429"/>
      <c r="R68" s="429"/>
      <c r="S68" s="429"/>
      <c r="T68" s="429"/>
    </row>
    <row r="69" spans="2:24" s="331" customFormat="1" ht="15" customHeight="1" x14ac:dyDescent="0.35">
      <c r="C69" s="429"/>
      <c r="D69" s="429"/>
      <c r="E69" s="429"/>
      <c r="F69" s="1271" t="s">
        <v>54</v>
      </c>
      <c r="G69" s="429"/>
      <c r="H69" s="429"/>
      <c r="I69" s="429"/>
      <c r="J69" s="1271">
        <f>J24+J32+J42+J52</f>
        <v>34891050</v>
      </c>
      <c r="K69" s="429"/>
      <c r="L69" s="1271">
        <f>L24+L32+L42+L52</f>
        <v>32696725</v>
      </c>
      <c r="M69" s="429"/>
      <c r="N69" s="1271">
        <f>N24+N32+N42+N52</f>
        <v>31837550</v>
      </c>
      <c r="O69" s="429"/>
      <c r="P69" s="1271">
        <f>P24+P32+P42+P52</f>
        <v>29136675</v>
      </c>
      <c r="Q69" s="429"/>
      <c r="R69" s="1271">
        <f>R24+R32+R42+R52</f>
        <v>9274136.25</v>
      </c>
      <c r="S69" s="429"/>
      <c r="T69" s="1271">
        <f>T24+T32+T42+T52</f>
        <v>9274136.25</v>
      </c>
    </row>
    <row r="70" spans="2:24" s="331" customFormat="1" ht="15" customHeight="1" x14ac:dyDescent="0.35">
      <c r="C70" s="429"/>
      <c r="D70" s="429"/>
      <c r="E70" s="429"/>
      <c r="F70" s="1272" t="s">
        <v>11</v>
      </c>
      <c r="G70" s="429"/>
      <c r="H70" s="429"/>
      <c r="I70" s="429"/>
      <c r="J70" s="1272">
        <f>J62</f>
        <v>20025</v>
      </c>
      <c r="K70" s="429"/>
      <c r="L70" s="1272">
        <f>L50+L60</f>
        <v>2194325</v>
      </c>
      <c r="M70" s="429"/>
      <c r="N70" s="1272">
        <f>N30+N38+N48+N58</f>
        <v>859175</v>
      </c>
      <c r="O70" s="429"/>
      <c r="P70" s="1272">
        <f>P28+P36+P46+P56</f>
        <v>2700875</v>
      </c>
      <c r="Q70" s="429"/>
      <c r="R70" s="1272">
        <f>R26+R34+R44+R54</f>
        <v>19862538.75</v>
      </c>
      <c r="S70" s="429"/>
      <c r="T70" s="1272">
        <f>T26+T34+T44+T54</f>
        <v>0</v>
      </c>
    </row>
    <row r="71" spans="2:24" s="331" customFormat="1" ht="15" customHeight="1" x14ac:dyDescent="0.35">
      <c r="C71" s="429"/>
      <c r="D71" s="429"/>
      <c r="E71" s="429"/>
      <c r="F71" s="429"/>
      <c r="G71" s="429"/>
      <c r="H71" s="429"/>
      <c r="I71" s="429"/>
      <c r="J71" s="439"/>
      <c r="K71" s="429"/>
      <c r="L71" s="429"/>
      <c r="M71" s="429"/>
      <c r="N71" s="429"/>
      <c r="O71" s="429"/>
      <c r="P71" s="429"/>
      <c r="Q71" s="429"/>
      <c r="R71" s="429"/>
      <c r="S71" s="429"/>
      <c r="T71" s="429"/>
    </row>
    <row r="72" spans="2:24" ht="15" customHeight="1" x14ac:dyDescent="0.35">
      <c r="B72" s="53">
        <f>SUM(B24:B62)</f>
        <v>34911075</v>
      </c>
      <c r="H72" s="53">
        <f>SUM(H24:H62)</f>
        <v>34911075</v>
      </c>
      <c r="J72" s="205">
        <f>SUM(J69:J70)</f>
        <v>34911075</v>
      </c>
      <c r="L72" s="205">
        <f>SUM(L69:L70)</f>
        <v>34891050</v>
      </c>
      <c r="N72" s="205">
        <f>SUM(N69:N70)</f>
        <v>32696725</v>
      </c>
      <c r="P72" s="205">
        <f>SUM(P69:P70)</f>
        <v>31837550</v>
      </c>
      <c r="R72" s="205">
        <f>SUM(R69:R70)</f>
        <v>29136675</v>
      </c>
      <c r="T72" s="205">
        <f>SUM(T69:T70)</f>
        <v>9274136.25</v>
      </c>
    </row>
    <row r="73" spans="2:24" ht="15" customHeight="1" x14ac:dyDescent="0.35">
      <c r="B73" s="54"/>
      <c r="H73" s="53">
        <f>H72-B72</f>
        <v>0</v>
      </c>
      <c r="J73" s="205">
        <f>J72-H72</f>
        <v>0</v>
      </c>
      <c r="L73" s="205">
        <f>L72-J69</f>
        <v>0</v>
      </c>
      <c r="N73" s="205">
        <f>N72-L69</f>
        <v>0</v>
      </c>
      <c r="P73" s="205">
        <f>P72-N69</f>
        <v>0</v>
      </c>
      <c r="R73" s="205">
        <f>R72-P69</f>
        <v>0</v>
      </c>
      <c r="T73" s="205">
        <f>T72-R69</f>
        <v>0</v>
      </c>
    </row>
    <row r="74" spans="2:24" ht="15" customHeight="1" x14ac:dyDescent="0.35">
      <c r="B74" s="332" t="s">
        <v>135</v>
      </c>
      <c r="H74" s="438" t="str">
        <f>IF(H73=0,"OK","Not OK")</f>
        <v>OK</v>
      </c>
      <c r="J74" s="438" t="str">
        <f>IF(J73=0,"OK","Not OK")</f>
        <v>OK</v>
      </c>
      <c r="L74" s="438" t="str">
        <f>IF(L73=0,"OK","Not OK")</f>
        <v>OK</v>
      </c>
      <c r="N74" s="438" t="str">
        <f>IF(N73=0,"OK","Not OK")</f>
        <v>OK</v>
      </c>
      <c r="P74" s="438" t="str">
        <f>IF(P73=0,"OK","Not OK")</f>
        <v>OK</v>
      </c>
      <c r="R74" s="438" t="str">
        <f>IF(R73=0,"OK","Not OK")</f>
        <v>OK</v>
      </c>
      <c r="T74" s="438" t="str">
        <f>IF(T73=0,"OK","Not OK")</f>
        <v>OK</v>
      </c>
    </row>
    <row r="77" spans="2:24" s="461" customFormat="1" ht="14.5" x14ac:dyDescent="0.35">
      <c r="B77" s="459" t="s">
        <v>136</v>
      </c>
      <c r="C77" s="460"/>
      <c r="D77" s="460"/>
      <c r="E77" s="460"/>
      <c r="F77" s="460"/>
      <c r="G77" s="460"/>
      <c r="H77" s="839">
        <f>H24+H32+H42+H52+H62</f>
        <v>34911075</v>
      </c>
      <c r="I77" s="460"/>
      <c r="J77" s="467">
        <f>J69</f>
        <v>34891050</v>
      </c>
      <c r="K77" s="467"/>
      <c r="L77" s="467">
        <f>L69</f>
        <v>32696725</v>
      </c>
      <c r="M77" s="467"/>
      <c r="N77" s="467">
        <f>N69</f>
        <v>31837550</v>
      </c>
      <c r="O77" s="467"/>
      <c r="P77" s="467">
        <f>P69</f>
        <v>29136675</v>
      </c>
      <c r="Q77" s="467"/>
      <c r="R77" s="467">
        <f>R69</f>
        <v>9274136.25</v>
      </c>
      <c r="S77" s="467"/>
      <c r="T77" s="467">
        <f>T69</f>
        <v>9274136.25</v>
      </c>
      <c r="U77" s="468"/>
      <c r="V77" s="468"/>
      <c r="W77" s="468"/>
      <c r="X77" s="469">
        <f>T77</f>
        <v>9274136.25</v>
      </c>
    </row>
    <row r="78" spans="2:24" x14ac:dyDescent="0.35">
      <c r="X78" s="148"/>
    </row>
    <row r="79" spans="2:24" s="463" customFormat="1" ht="14.5" x14ac:dyDescent="0.35">
      <c r="B79" s="462" t="s">
        <v>137</v>
      </c>
      <c r="J79" s="470">
        <f>J70</f>
        <v>20025</v>
      </c>
      <c r="K79" s="470"/>
      <c r="L79" s="470">
        <f>L70</f>
        <v>2194325</v>
      </c>
      <c r="M79" s="470"/>
      <c r="N79" s="470">
        <f>N70</f>
        <v>859175</v>
      </c>
      <c r="O79" s="470"/>
      <c r="P79" s="470">
        <f>P70</f>
        <v>2700875</v>
      </c>
      <c r="Q79" s="470"/>
      <c r="R79" s="470">
        <f>R70</f>
        <v>19862538.75</v>
      </c>
      <c r="S79" s="470"/>
      <c r="T79" s="470">
        <f>IF(T70=R70,0,R70-T70)</f>
        <v>19862538.75</v>
      </c>
      <c r="U79" s="470"/>
      <c r="V79" s="470"/>
      <c r="W79" s="470"/>
      <c r="X79" s="470">
        <f>SUM(J79:R79)</f>
        <v>25636938.75</v>
      </c>
    </row>
    <row r="80" spans="2:24" x14ac:dyDescent="0.35">
      <c r="X80" s="148"/>
    </row>
    <row r="81" spans="2:25" ht="14.5" x14ac:dyDescent="0.35">
      <c r="X81" s="446">
        <f>SUM(X77:X79)</f>
        <v>34911075</v>
      </c>
      <c r="Y81" s="835" t="str">
        <f>IF(X81=H77,"OK","Not OK")</f>
        <v>OK</v>
      </c>
    </row>
    <row r="83" spans="2:25" ht="24" thickBot="1" x14ac:dyDescent="0.6">
      <c r="B83" s="916" t="s">
        <v>138</v>
      </c>
      <c r="C83" s="766"/>
      <c r="D83" s="766"/>
      <c r="E83" s="766"/>
      <c r="F83" s="766"/>
      <c r="G83" s="766"/>
      <c r="H83" s="766"/>
      <c r="I83" s="766"/>
      <c r="J83" s="766"/>
      <c r="K83" s="766"/>
      <c r="L83" s="766"/>
      <c r="M83" s="766"/>
      <c r="N83" s="766"/>
      <c r="O83" s="766"/>
      <c r="P83" s="766"/>
      <c r="Q83" s="766"/>
      <c r="R83" s="766"/>
      <c r="S83" s="766"/>
      <c r="T83" s="766"/>
      <c r="U83" s="767"/>
      <c r="V83" s="767"/>
      <c r="W83" s="771"/>
      <c r="X83" s="771"/>
    </row>
    <row r="84" spans="2:25" ht="17.25" customHeight="1" x14ac:dyDescent="0.35"/>
    <row r="85" spans="2:25" ht="18.75" customHeight="1" x14ac:dyDescent="0.35"/>
    <row r="86" spans="2:25" s="446" customFormat="1" ht="48" customHeight="1" x14ac:dyDescent="0.35">
      <c r="B86" s="765" t="s">
        <v>125</v>
      </c>
      <c r="C86" s="445"/>
      <c r="D86" s="1542" t="s">
        <v>114</v>
      </c>
      <c r="E86" s="1543"/>
      <c r="F86" s="1544"/>
      <c r="G86" s="445"/>
      <c r="H86" s="765" t="s">
        <v>126</v>
      </c>
      <c r="I86" s="445"/>
      <c r="J86" s="765" t="s">
        <v>42</v>
      </c>
      <c r="L86" s="765" t="s">
        <v>43</v>
      </c>
      <c r="N86" s="536" t="s">
        <v>44</v>
      </c>
      <c r="P86" s="536" t="s">
        <v>45</v>
      </c>
      <c r="R86" s="536" t="s">
        <v>46</v>
      </c>
      <c r="T86" s="765" t="s">
        <v>127</v>
      </c>
    </row>
    <row r="87" spans="2:25" s="332" customFormat="1" ht="14.5" x14ac:dyDescent="0.35">
      <c r="C87" s="24"/>
      <c r="D87" s="446"/>
      <c r="E87" s="446"/>
      <c r="F87" s="446"/>
      <c r="G87" s="446"/>
      <c r="H87" s="446"/>
      <c r="I87" s="446"/>
      <c r="J87" s="446"/>
      <c r="K87" s="446"/>
      <c r="L87" s="446"/>
      <c r="M87" s="446"/>
      <c r="N87" s="446"/>
      <c r="O87" s="446"/>
      <c r="P87" s="446"/>
      <c r="Q87" s="446"/>
      <c r="R87" s="446"/>
      <c r="S87" s="446"/>
      <c r="T87" s="446"/>
    </row>
    <row r="88" spans="2:25" s="332" customFormat="1" ht="15" customHeight="1" x14ac:dyDescent="0.35">
      <c r="B88" s="1566">
        <f>IF(B24=0,0,B24/B24)</f>
        <v>1</v>
      </c>
      <c r="C88" s="24"/>
      <c r="D88" s="1548" t="s">
        <v>128</v>
      </c>
      <c r="E88" s="447"/>
      <c r="F88" s="447"/>
      <c r="G88" s="446"/>
      <c r="H88" s="1569">
        <f>IF(B24=0,0,H24/$B$24)</f>
        <v>0.73133955342251711</v>
      </c>
      <c r="I88" s="455"/>
      <c r="J88" s="1572">
        <f>IF($B$24=0,0,J24/$B$24)</f>
        <v>0.73133955342251711</v>
      </c>
      <c r="K88" s="451"/>
      <c r="L88" s="1575">
        <f>IF($B$24=0,0,(L24)/$B$24)</f>
        <v>0.73133955342251711</v>
      </c>
      <c r="M88" s="451"/>
      <c r="N88" s="1572">
        <f>IF($B$24=0,0,(N24)/$B$24)</f>
        <v>0.73133955342251711</v>
      </c>
      <c r="O88" s="451"/>
      <c r="P88" s="1575">
        <f>IF(B24=0,0,(P24)/$B$24)</f>
        <v>0.65820588452231854</v>
      </c>
      <c r="Q88" s="451"/>
      <c r="R88" s="1253">
        <f>IF($B$24=0,0,(R24)/$B$24)</f>
        <v>0.23037205958281148</v>
      </c>
      <c r="S88" s="451"/>
      <c r="T88" s="1253">
        <f>IF($B$24=0,0,(T24)/$B$24)</f>
        <v>0.23037205958281148</v>
      </c>
      <c r="V88" s="1578">
        <f>IF(B24=0,0,T69/B24)</f>
        <v>0.26565026284638898</v>
      </c>
    </row>
    <row r="89" spans="2:25" s="332" customFormat="1" ht="8.15" customHeight="1" x14ac:dyDescent="0.35">
      <c r="B89" s="1567"/>
      <c r="C89" s="24"/>
      <c r="D89" s="1548"/>
      <c r="E89" s="447"/>
      <c r="F89" s="446"/>
      <c r="G89" s="446"/>
      <c r="H89" s="1570"/>
      <c r="I89" s="455"/>
      <c r="J89" s="1573"/>
      <c r="K89" s="451"/>
      <c r="L89" s="1576"/>
      <c r="M89" s="451"/>
      <c r="N89" s="1573"/>
      <c r="O89" s="451"/>
      <c r="P89" s="1576"/>
      <c r="Q89" s="451"/>
      <c r="R89" s="451"/>
      <c r="S89" s="451"/>
      <c r="T89" s="451"/>
      <c r="V89" s="1579"/>
    </row>
    <row r="90" spans="2:25" s="332" customFormat="1" ht="14.5" x14ac:dyDescent="0.35">
      <c r="B90" s="1567"/>
      <c r="C90" s="24"/>
      <c r="D90" s="1548"/>
      <c r="E90" s="447"/>
      <c r="F90" s="446"/>
      <c r="G90" s="446"/>
      <c r="H90" s="1570"/>
      <c r="I90" s="455"/>
      <c r="J90" s="1573"/>
      <c r="K90" s="451"/>
      <c r="L90" s="1576"/>
      <c r="M90" s="451"/>
      <c r="N90" s="1573"/>
      <c r="O90" s="451"/>
      <c r="P90" s="1577"/>
      <c r="Q90" s="451"/>
      <c r="R90" s="1247">
        <f>IF(B24=0,0,(R26)/$B$24)</f>
        <v>0.427833824939507</v>
      </c>
      <c r="S90" s="451"/>
      <c r="T90" s="1247">
        <f>IF(D24=0,0,(T26)/$B$24)</f>
        <v>0</v>
      </c>
      <c r="V90" s="1579"/>
    </row>
    <row r="91" spans="2:25" s="332" customFormat="1" ht="8.15" customHeight="1" x14ac:dyDescent="0.35">
      <c r="B91" s="1567"/>
      <c r="C91" s="24"/>
      <c r="D91" s="1548"/>
      <c r="E91" s="447"/>
      <c r="F91" s="446"/>
      <c r="G91" s="446"/>
      <c r="H91" s="1570"/>
      <c r="I91" s="455"/>
      <c r="J91" s="1573"/>
      <c r="K91" s="451"/>
      <c r="L91" s="1576"/>
      <c r="M91" s="451"/>
      <c r="N91" s="1573"/>
      <c r="O91" s="451"/>
      <c r="P91" s="451"/>
      <c r="Q91" s="451"/>
      <c r="R91" s="451"/>
      <c r="S91" s="451"/>
      <c r="T91" s="451"/>
      <c r="V91" s="1579"/>
    </row>
    <row r="92" spans="2:25" s="332" customFormat="1" ht="14.5" x14ac:dyDescent="0.35">
      <c r="B92" s="1567"/>
      <c r="C92" s="24"/>
      <c r="D92" s="1548"/>
      <c r="E92" s="447"/>
      <c r="F92" s="446"/>
      <c r="G92" s="446"/>
      <c r="H92" s="1570"/>
      <c r="I92" s="455"/>
      <c r="J92" s="1573"/>
      <c r="K92" s="451"/>
      <c r="L92" s="1588"/>
      <c r="M92" s="451"/>
      <c r="N92" s="1574"/>
      <c r="O92" s="451"/>
      <c r="P92" s="1247">
        <f>IF(B24=0,0,(P28)/$B$24)</f>
        <v>7.3133668900198581E-2</v>
      </c>
      <c r="Q92" s="451"/>
      <c r="R92" s="451"/>
      <c r="S92" s="451"/>
      <c r="T92" s="451"/>
      <c r="V92" s="1579"/>
    </row>
    <row r="93" spans="2:25" s="332" customFormat="1" ht="8.15" customHeight="1" x14ac:dyDescent="0.35">
      <c r="B93" s="1567"/>
      <c r="C93" s="24"/>
      <c r="D93" s="1548"/>
      <c r="E93" s="447"/>
      <c r="F93" s="446"/>
      <c r="G93" s="446"/>
      <c r="H93" s="1570"/>
      <c r="I93" s="455"/>
      <c r="J93" s="1573"/>
      <c r="K93" s="451"/>
      <c r="L93" s="1588"/>
      <c r="M93" s="451"/>
      <c r="N93" s="451"/>
      <c r="O93" s="451"/>
      <c r="P93" s="451"/>
      <c r="Q93" s="451"/>
      <c r="R93" s="451"/>
      <c r="S93" s="451"/>
      <c r="T93" s="451"/>
      <c r="V93" s="1579"/>
    </row>
    <row r="94" spans="2:25" s="332" customFormat="1" ht="14.5" x14ac:dyDescent="0.35">
      <c r="B94" s="1567"/>
      <c r="C94" s="24"/>
      <c r="D94" s="1548"/>
      <c r="E94" s="447"/>
      <c r="F94" s="446"/>
      <c r="G94" s="446"/>
      <c r="H94" s="1571"/>
      <c r="I94" s="455"/>
      <c r="J94" s="1574"/>
      <c r="K94" s="451"/>
      <c r="L94" s="1577"/>
      <c r="M94" s="451"/>
      <c r="N94" s="1247">
        <f>IF(B24=0,0,N30/$B$24)</f>
        <v>0</v>
      </c>
      <c r="O94" s="451"/>
      <c r="P94" s="458"/>
      <c r="Q94" s="451"/>
      <c r="R94" s="451"/>
      <c r="S94" s="451"/>
      <c r="T94" s="451"/>
      <c r="V94" s="1579"/>
    </row>
    <row r="95" spans="2:25" s="332" customFormat="1" ht="14.5" x14ac:dyDescent="0.35">
      <c r="B95" s="1567"/>
      <c r="C95" s="24"/>
      <c r="D95" s="446"/>
      <c r="E95" s="446"/>
      <c r="F95" s="446"/>
      <c r="G95" s="446"/>
      <c r="H95" s="453"/>
      <c r="I95" s="455"/>
      <c r="J95" s="451"/>
      <c r="K95" s="451"/>
      <c r="L95" s="453"/>
      <c r="M95" s="451"/>
      <c r="N95" s="451"/>
      <c r="O95" s="451"/>
      <c r="P95" s="451"/>
      <c r="Q95" s="451"/>
      <c r="R95" s="451"/>
      <c r="S95" s="451"/>
      <c r="T95" s="451"/>
      <c r="V95" s="1579"/>
    </row>
    <row r="96" spans="2:25" s="332" customFormat="1" ht="15" customHeight="1" x14ac:dyDescent="0.35">
      <c r="B96" s="1567"/>
      <c r="C96" s="24"/>
      <c r="D96" s="1548" t="s">
        <v>117</v>
      </c>
      <c r="E96" s="447"/>
      <c r="F96" s="447"/>
      <c r="G96" s="446"/>
      <c r="H96" s="1569">
        <f>IF(B24=0,0,H32/$B$24)</f>
        <v>0</v>
      </c>
      <c r="I96" s="455"/>
      <c r="J96" s="1575">
        <f>IF(B24=0,0,J32/$B$24)</f>
        <v>0</v>
      </c>
      <c r="K96" s="451"/>
      <c r="L96" s="1575">
        <f>IF(B24=0,0,L32/$B$24)</f>
        <v>0</v>
      </c>
      <c r="M96" s="1254"/>
      <c r="N96" s="1575">
        <f>IF($B$24=0,0,(N32)/$B$24)</f>
        <v>0</v>
      </c>
      <c r="O96" s="451"/>
      <c r="P96" s="1575">
        <f>IF(B24=0,0,(P32)/$B$24)</f>
        <v>0</v>
      </c>
      <c r="Q96" s="451"/>
      <c r="R96" s="1253">
        <f>IF(B24=0,0,(R32)/$B$24)</f>
        <v>0</v>
      </c>
      <c r="S96" s="451"/>
      <c r="T96" s="1253">
        <f>IF(D24=0,0,(T32)/$B$24)</f>
        <v>0</v>
      </c>
      <c r="V96" s="1579"/>
    </row>
    <row r="97" spans="2:22" s="332" customFormat="1" ht="8.15" customHeight="1" x14ac:dyDescent="0.35">
      <c r="B97" s="1567"/>
      <c r="C97" s="24"/>
      <c r="D97" s="1548"/>
      <c r="E97" s="447"/>
      <c r="F97" s="446"/>
      <c r="G97" s="446"/>
      <c r="H97" s="1570"/>
      <c r="I97" s="455"/>
      <c r="J97" s="1576"/>
      <c r="K97" s="451"/>
      <c r="L97" s="1576"/>
      <c r="M97" s="1254"/>
      <c r="N97" s="1576"/>
      <c r="O97" s="451"/>
      <c r="P97" s="1576"/>
      <c r="Q97" s="451"/>
      <c r="R97" s="451"/>
      <c r="S97" s="451"/>
      <c r="T97" s="451"/>
      <c r="V97" s="1579"/>
    </row>
    <row r="98" spans="2:22" s="332" customFormat="1" ht="14.5" x14ac:dyDescent="0.35">
      <c r="B98" s="1567"/>
      <c r="C98" s="24"/>
      <c r="D98" s="1548"/>
      <c r="E98" s="447"/>
      <c r="F98" s="446"/>
      <c r="G98" s="446"/>
      <c r="H98" s="1570"/>
      <c r="I98" s="455"/>
      <c r="J98" s="1576"/>
      <c r="K98" s="451"/>
      <c r="L98" s="1576"/>
      <c r="M98" s="1254"/>
      <c r="N98" s="1576"/>
      <c r="O98" s="451"/>
      <c r="P98" s="1577"/>
      <c r="Q98" s="451"/>
      <c r="R98" s="1247">
        <f>IF(B24=0,0,(R34)/$B$24)</f>
        <v>0</v>
      </c>
      <c r="S98" s="451"/>
      <c r="T98" s="1247">
        <f>IF(D24=0,0,(T34)/$B$24)</f>
        <v>0</v>
      </c>
      <c r="V98" s="1579"/>
    </row>
    <row r="99" spans="2:22" s="332" customFormat="1" ht="8.15" customHeight="1" x14ac:dyDescent="0.35">
      <c r="B99" s="1567"/>
      <c r="C99" s="24"/>
      <c r="D99" s="1548"/>
      <c r="E99" s="447"/>
      <c r="F99" s="446"/>
      <c r="G99" s="446"/>
      <c r="H99" s="1570"/>
      <c r="I99" s="455"/>
      <c r="J99" s="1576"/>
      <c r="K99" s="451"/>
      <c r="L99" s="1576"/>
      <c r="M99" s="1254"/>
      <c r="N99" s="1576"/>
      <c r="O99" s="451"/>
      <c r="P99" s="451"/>
      <c r="Q99" s="451"/>
      <c r="R99" s="451"/>
      <c r="S99" s="451"/>
      <c r="T99" s="451"/>
      <c r="V99" s="1579"/>
    </row>
    <row r="100" spans="2:22" s="332" customFormat="1" ht="14.5" x14ac:dyDescent="0.35">
      <c r="B100" s="1567"/>
      <c r="C100" s="24"/>
      <c r="D100" s="1548"/>
      <c r="E100" s="447"/>
      <c r="F100" s="446"/>
      <c r="G100" s="446"/>
      <c r="H100" s="1570"/>
      <c r="I100" s="455"/>
      <c r="J100" s="1576"/>
      <c r="K100" s="451"/>
      <c r="L100" s="1576"/>
      <c r="M100" s="1254"/>
      <c r="N100" s="1577"/>
      <c r="O100" s="451"/>
      <c r="P100" s="1247">
        <f>IF(B24=0,0,(P36)/$B$24)</f>
        <v>0</v>
      </c>
      <c r="Q100" s="451"/>
      <c r="R100" s="451"/>
      <c r="S100" s="451"/>
      <c r="T100" s="451"/>
      <c r="V100" s="1579"/>
    </row>
    <row r="101" spans="2:22" s="332" customFormat="1" ht="8.15" customHeight="1" x14ac:dyDescent="0.35">
      <c r="B101" s="1567"/>
      <c r="C101" s="24"/>
      <c r="D101" s="1548"/>
      <c r="E101" s="447"/>
      <c r="F101" s="446"/>
      <c r="G101" s="446"/>
      <c r="H101" s="1570"/>
      <c r="I101" s="455"/>
      <c r="J101" s="1576"/>
      <c r="K101" s="451"/>
      <c r="L101" s="1576"/>
      <c r="M101" s="1254"/>
      <c r="N101" s="1254"/>
      <c r="O101" s="1254"/>
      <c r="P101" s="1254"/>
      <c r="Q101" s="1254"/>
      <c r="R101" s="1254"/>
      <c r="S101" s="1254"/>
      <c r="T101" s="1254"/>
      <c r="V101" s="1579"/>
    </row>
    <row r="102" spans="2:22" s="332" customFormat="1" ht="14.5" x14ac:dyDescent="0.35">
      <c r="B102" s="1567"/>
      <c r="C102" s="24"/>
      <c r="D102" s="1548"/>
      <c r="E102" s="447"/>
      <c r="F102" s="446"/>
      <c r="G102" s="446"/>
      <c r="H102" s="1570"/>
      <c r="I102" s="455"/>
      <c r="J102" s="1576"/>
      <c r="K102" s="451"/>
      <c r="L102" s="1577"/>
      <c r="M102" s="1254"/>
      <c r="N102" s="1247">
        <f>IF($B$24=0,0,(N38)/$B$24)</f>
        <v>0</v>
      </c>
      <c r="O102" s="1255"/>
      <c r="P102" s="1255"/>
      <c r="Q102" s="1255"/>
      <c r="R102" s="1255"/>
      <c r="S102" s="1255"/>
      <c r="T102" s="1255"/>
      <c r="V102" s="1579"/>
    </row>
    <row r="103" spans="2:22" s="332" customFormat="1" ht="8.15" customHeight="1" x14ac:dyDescent="0.35">
      <c r="B103" s="1567"/>
      <c r="C103" s="24"/>
      <c r="D103" s="1548"/>
      <c r="E103" s="447"/>
      <c r="F103" s="446"/>
      <c r="G103" s="446"/>
      <c r="H103" s="1570"/>
      <c r="I103" s="455"/>
      <c r="J103" s="1576"/>
      <c r="K103" s="451"/>
      <c r="L103" s="453"/>
      <c r="M103" s="1254"/>
      <c r="N103" s="1254"/>
      <c r="O103" s="1254"/>
      <c r="P103" s="1254"/>
      <c r="Q103" s="1254"/>
      <c r="R103" s="1254"/>
      <c r="S103" s="1254"/>
      <c r="T103" s="1254"/>
      <c r="V103" s="1579"/>
    </row>
    <row r="104" spans="2:22" s="332" customFormat="1" ht="14.5" x14ac:dyDescent="0.35">
      <c r="B104" s="1567"/>
      <c r="C104" s="24"/>
      <c r="D104" s="1548"/>
      <c r="E104" s="447"/>
      <c r="F104" s="446"/>
      <c r="G104" s="446"/>
      <c r="H104" s="1571"/>
      <c r="I104" s="455"/>
      <c r="J104" s="1577"/>
      <c r="K104" s="451"/>
      <c r="L104" s="1247">
        <f>IF(B24=0,0,L40/$B$24)</f>
        <v>0</v>
      </c>
      <c r="M104" s="1254"/>
      <c r="N104" s="1254"/>
      <c r="O104" s="1254"/>
      <c r="P104" s="1254"/>
      <c r="Q104" s="1254"/>
      <c r="R104" s="1254"/>
      <c r="S104" s="1254"/>
      <c r="T104" s="1254"/>
      <c r="V104" s="1579"/>
    </row>
    <row r="105" spans="2:22" s="332" customFormat="1" ht="14.5" x14ac:dyDescent="0.35">
      <c r="B105" s="1567"/>
      <c r="C105" s="24"/>
      <c r="D105" s="446"/>
      <c r="E105" s="446"/>
      <c r="F105" s="446"/>
      <c r="G105" s="446"/>
      <c r="H105" s="453"/>
      <c r="I105" s="455"/>
      <c r="J105" s="451"/>
      <c r="K105" s="451"/>
      <c r="L105" s="453"/>
      <c r="M105" s="451"/>
      <c r="N105" s="451"/>
      <c r="O105" s="451"/>
      <c r="P105" s="451"/>
      <c r="Q105" s="451"/>
      <c r="R105" s="451"/>
      <c r="S105" s="451"/>
      <c r="T105" s="451"/>
      <c r="V105" s="1579"/>
    </row>
    <row r="106" spans="2:22" s="332" customFormat="1" ht="15" customHeight="1" x14ac:dyDescent="0.35">
      <c r="B106" s="1567"/>
      <c r="C106" s="24"/>
      <c r="D106" s="1548" t="s">
        <v>139</v>
      </c>
      <c r="E106" s="445"/>
      <c r="F106" s="1548" t="s">
        <v>130</v>
      </c>
      <c r="G106" s="446"/>
      <c r="H106" s="1569">
        <f>IF(B24=0,0,H42/$B$24)</f>
        <v>0.20847109405826089</v>
      </c>
      <c r="I106" s="451"/>
      <c r="J106" s="1575">
        <f>IF(B24=0,0,J42/$B$24)</f>
        <v>0.20847109405826089</v>
      </c>
      <c r="K106" s="451"/>
      <c r="L106" s="1575">
        <f>IF(B24=0,0,L42/$B$24)</f>
        <v>0.17921461885662357</v>
      </c>
      <c r="M106" s="451"/>
      <c r="N106" s="1572">
        <f>IF(B24=0,0,(N42)/B24)</f>
        <v>0.17921461885662357</v>
      </c>
      <c r="O106" s="451"/>
      <c r="P106" s="1575">
        <f>IF(B24=0,0,(P42)/$B$24)</f>
        <v>0.17639101631788767</v>
      </c>
      <c r="Q106" s="451"/>
      <c r="R106" s="1253">
        <f>IF(B24=0,0,(R42)/$B$24)</f>
        <v>3.5278203263577529E-2</v>
      </c>
      <c r="S106" s="451"/>
      <c r="T106" s="1253">
        <f>IF(D24=0,0,(T42)/$B$24)</f>
        <v>3.5278203263577529E-2</v>
      </c>
      <c r="V106" s="1579"/>
    </row>
    <row r="107" spans="2:22" s="332" customFormat="1" ht="8.15" customHeight="1" x14ac:dyDescent="0.35">
      <c r="B107" s="1567"/>
      <c r="C107" s="24"/>
      <c r="D107" s="1548"/>
      <c r="E107" s="445"/>
      <c r="F107" s="1548"/>
      <c r="G107" s="446"/>
      <c r="H107" s="1570"/>
      <c r="I107" s="451"/>
      <c r="J107" s="1576"/>
      <c r="K107" s="451"/>
      <c r="L107" s="1576"/>
      <c r="M107" s="451"/>
      <c r="N107" s="1573"/>
      <c r="O107" s="451"/>
      <c r="P107" s="1576"/>
      <c r="Q107" s="451"/>
      <c r="R107" s="451"/>
      <c r="S107" s="451"/>
      <c r="T107" s="451"/>
      <c r="V107" s="1579"/>
    </row>
    <row r="108" spans="2:22" s="332" customFormat="1" ht="14.5" x14ac:dyDescent="0.35">
      <c r="B108" s="1567"/>
      <c r="C108" s="24"/>
      <c r="D108" s="1548"/>
      <c r="E108" s="445"/>
      <c r="F108" s="1548"/>
      <c r="G108" s="446"/>
      <c r="H108" s="1570"/>
      <c r="I108" s="451"/>
      <c r="J108" s="1576"/>
      <c r="K108" s="451"/>
      <c r="L108" s="1576"/>
      <c r="M108" s="451"/>
      <c r="N108" s="1573"/>
      <c r="O108" s="451"/>
      <c r="P108" s="1577"/>
      <c r="Q108" s="451"/>
      <c r="R108" s="1247">
        <f>IF(B24=0,0,(R44)/$B$24)</f>
        <v>0.14111281305431012</v>
      </c>
      <c r="S108" s="451"/>
      <c r="T108" s="1247">
        <f>IF(D34=0,0,(T44)/$B$24)</f>
        <v>0</v>
      </c>
      <c r="V108" s="1579"/>
    </row>
    <row r="109" spans="2:22" s="332" customFormat="1" ht="8.15" customHeight="1" x14ac:dyDescent="0.35">
      <c r="B109" s="1567"/>
      <c r="C109" s="24"/>
      <c r="D109" s="1548"/>
      <c r="E109" s="445"/>
      <c r="F109" s="1548"/>
      <c r="G109" s="446"/>
      <c r="H109" s="1570"/>
      <c r="I109" s="451"/>
      <c r="J109" s="1576"/>
      <c r="K109" s="451"/>
      <c r="L109" s="1576"/>
      <c r="M109" s="451"/>
      <c r="N109" s="1573"/>
      <c r="O109" s="451"/>
      <c r="P109" s="451"/>
      <c r="Q109" s="451"/>
      <c r="R109" s="451"/>
      <c r="S109" s="451"/>
      <c r="T109" s="451"/>
      <c r="V109" s="1579"/>
    </row>
    <row r="110" spans="2:22" s="332" customFormat="1" ht="14.5" x14ac:dyDescent="0.35">
      <c r="B110" s="1567"/>
      <c r="C110" s="24"/>
      <c r="D110" s="1548"/>
      <c r="E110" s="445"/>
      <c r="F110" s="1548"/>
      <c r="G110" s="446"/>
      <c r="H110" s="1570"/>
      <c r="I110" s="451"/>
      <c r="J110" s="1576"/>
      <c r="K110" s="451"/>
      <c r="L110" s="1576"/>
      <c r="M110" s="451"/>
      <c r="N110" s="1574"/>
      <c r="O110" s="451"/>
      <c r="P110" s="1247">
        <f>IF(B24=0,0,P46/$B$24)</f>
        <v>2.8236025387359167E-3</v>
      </c>
      <c r="Q110" s="451"/>
      <c r="R110" s="451"/>
      <c r="S110" s="451"/>
      <c r="T110" s="451"/>
      <c r="V110" s="1579"/>
    </row>
    <row r="111" spans="2:22" s="332" customFormat="1" ht="8.15" customHeight="1" x14ac:dyDescent="0.35">
      <c r="B111" s="1567"/>
      <c r="C111" s="24"/>
      <c r="D111" s="1548"/>
      <c r="E111" s="445"/>
      <c r="F111" s="1548"/>
      <c r="G111" s="446"/>
      <c r="H111" s="1570"/>
      <c r="I111" s="451"/>
      <c r="J111" s="1576"/>
      <c r="K111" s="451"/>
      <c r="L111" s="1576"/>
      <c r="M111" s="451"/>
      <c r="N111" s="451"/>
      <c r="O111" s="451"/>
      <c r="P111" s="451"/>
      <c r="Q111" s="451"/>
      <c r="R111" s="451"/>
      <c r="S111" s="451"/>
      <c r="T111" s="451"/>
      <c r="V111" s="1579"/>
    </row>
    <row r="112" spans="2:22" s="332" customFormat="1" ht="14.5" x14ac:dyDescent="0.35">
      <c r="B112" s="1567"/>
      <c r="C112" s="24"/>
      <c r="D112" s="1548"/>
      <c r="E112" s="445"/>
      <c r="F112" s="1548"/>
      <c r="G112" s="446"/>
      <c r="H112" s="1570"/>
      <c r="I112" s="451"/>
      <c r="J112" s="1576"/>
      <c r="K112" s="451"/>
      <c r="L112" s="1577"/>
      <c r="M112" s="451"/>
      <c r="N112" s="1247">
        <f>IF(B24=0,0,(N48)/$B$24)</f>
        <v>0</v>
      </c>
      <c r="O112" s="451"/>
      <c r="P112" s="451"/>
      <c r="Q112" s="451"/>
      <c r="R112" s="451"/>
      <c r="S112" s="451"/>
      <c r="T112" s="451"/>
      <c r="V112" s="1579"/>
    </row>
    <row r="113" spans="2:22" s="332" customFormat="1" ht="8.15" customHeight="1" x14ac:dyDescent="0.35">
      <c r="B113" s="1567"/>
      <c r="C113" s="24"/>
      <c r="D113" s="1548"/>
      <c r="E113" s="445"/>
      <c r="F113" s="1548"/>
      <c r="G113" s="446"/>
      <c r="H113" s="1570"/>
      <c r="I113" s="451"/>
      <c r="J113" s="1576"/>
      <c r="K113" s="451"/>
      <c r="L113" s="453"/>
      <c r="M113" s="451"/>
      <c r="N113" s="451"/>
      <c r="O113" s="451"/>
      <c r="P113" s="451"/>
      <c r="Q113" s="451"/>
      <c r="R113" s="451"/>
      <c r="S113" s="451"/>
      <c r="T113" s="451"/>
      <c r="V113" s="1579"/>
    </row>
    <row r="114" spans="2:22" s="332" customFormat="1" ht="14.5" x14ac:dyDescent="0.35">
      <c r="B114" s="1567"/>
      <c r="C114" s="24"/>
      <c r="D114" s="1548"/>
      <c r="E114" s="445"/>
      <c r="F114" s="1548"/>
      <c r="G114" s="446"/>
      <c r="H114" s="1571"/>
      <c r="I114" s="451"/>
      <c r="J114" s="1577"/>
      <c r="K114" s="451"/>
      <c r="L114" s="1247">
        <f>IF(B24=0,0,L50/B24)</f>
        <v>2.9256475201637301E-2</v>
      </c>
      <c r="M114" s="451"/>
      <c r="N114" s="451"/>
      <c r="O114" s="451"/>
      <c r="P114" s="451"/>
      <c r="Q114" s="451"/>
      <c r="R114" s="451"/>
      <c r="S114" s="451"/>
      <c r="T114" s="451"/>
      <c r="V114" s="1579"/>
    </row>
    <row r="115" spans="2:22" s="332" customFormat="1" ht="14.5" x14ac:dyDescent="0.35">
      <c r="B115" s="1567"/>
      <c r="C115" s="24"/>
      <c r="D115" s="1548"/>
      <c r="E115" s="452"/>
      <c r="F115" s="449"/>
      <c r="G115" s="446"/>
      <c r="H115" s="453"/>
      <c r="I115" s="455"/>
      <c r="J115" s="451"/>
      <c r="K115" s="451"/>
      <c r="L115" s="453"/>
      <c r="M115" s="451"/>
      <c r="N115" s="451"/>
      <c r="O115" s="451"/>
      <c r="P115" s="451"/>
      <c r="Q115" s="451"/>
      <c r="R115" s="451"/>
      <c r="S115" s="451"/>
      <c r="T115" s="451"/>
      <c r="V115" s="1579"/>
    </row>
    <row r="116" spans="2:22" s="332" customFormat="1" ht="14.5" x14ac:dyDescent="0.35">
      <c r="B116" s="1567"/>
      <c r="C116" s="24"/>
      <c r="D116" s="1548"/>
      <c r="E116" s="445"/>
      <c r="F116" s="1548" t="s">
        <v>131</v>
      </c>
      <c r="G116" s="446"/>
      <c r="H116" s="1589">
        <f>IF(B24=0,0,H52/$B$24)</f>
        <v>5.961575230782782E-2</v>
      </c>
      <c r="I116" s="451"/>
      <c r="J116" s="1572">
        <f>IF(B24=0,0,J52/$B$24)</f>
        <v>5.961575230782782E-2</v>
      </c>
      <c r="K116" s="451"/>
      <c r="L116" s="1572">
        <f>IF(B24=0,0,L52/$B$24)</f>
        <v>2.6017531685861864E-2</v>
      </c>
      <c r="M116" s="451"/>
      <c r="N116" s="1575">
        <f>IF(B24=0,0,N52/$B$24)</f>
        <v>1.4071465860045844E-3</v>
      </c>
      <c r="O116" s="451"/>
      <c r="P116" s="1575">
        <f>IF(B24=0,0,P52/$B$24)</f>
        <v>0</v>
      </c>
      <c r="Q116" s="451"/>
      <c r="R116" s="1253">
        <f>IF(B24=0,0,R52/$B$24)</f>
        <v>0</v>
      </c>
      <c r="S116" s="451"/>
      <c r="T116" s="1253">
        <f>IF(D24=0,0,T52/$B$24)</f>
        <v>0</v>
      </c>
      <c r="V116" s="1579"/>
    </row>
    <row r="117" spans="2:22" s="332" customFormat="1" ht="8.15" customHeight="1" x14ac:dyDescent="0.35">
      <c r="B117" s="1567"/>
      <c r="C117" s="24"/>
      <c r="D117" s="1548"/>
      <c r="E117" s="445"/>
      <c r="F117" s="1548"/>
      <c r="G117" s="446"/>
      <c r="H117" s="1590"/>
      <c r="I117" s="451"/>
      <c r="J117" s="1573"/>
      <c r="K117" s="451"/>
      <c r="L117" s="1573"/>
      <c r="M117" s="451"/>
      <c r="N117" s="1576"/>
      <c r="O117" s="451"/>
      <c r="P117" s="1576"/>
      <c r="Q117" s="451"/>
      <c r="R117" s="451"/>
      <c r="S117" s="451"/>
      <c r="T117" s="451"/>
      <c r="V117" s="1579"/>
    </row>
    <row r="118" spans="2:22" s="332" customFormat="1" ht="14.5" x14ac:dyDescent="0.35">
      <c r="B118" s="1567"/>
      <c r="C118" s="24"/>
      <c r="D118" s="1548"/>
      <c r="E118" s="445"/>
      <c r="F118" s="1548"/>
      <c r="G118" s="446"/>
      <c r="H118" s="1590"/>
      <c r="I118" s="451"/>
      <c r="J118" s="1573"/>
      <c r="K118" s="451"/>
      <c r="L118" s="1573"/>
      <c r="M118" s="451"/>
      <c r="N118" s="1576"/>
      <c r="O118" s="451"/>
      <c r="P118" s="1577"/>
      <c r="Q118" s="451"/>
      <c r="R118" s="1247">
        <f>IF(B24=0,0,R54/$B$24)</f>
        <v>0</v>
      </c>
      <c r="S118" s="451"/>
      <c r="T118" s="1247">
        <f>IF(D24=0,0,T54/$B$24)</f>
        <v>0</v>
      </c>
      <c r="V118" s="1579"/>
    </row>
    <row r="119" spans="2:22" s="332" customFormat="1" ht="8.15" customHeight="1" x14ac:dyDescent="0.35">
      <c r="B119" s="1567"/>
      <c r="C119" s="24"/>
      <c r="D119" s="1548"/>
      <c r="E119" s="445"/>
      <c r="F119" s="1548"/>
      <c r="G119" s="446"/>
      <c r="H119" s="1590"/>
      <c r="I119" s="451"/>
      <c r="J119" s="1573"/>
      <c r="K119" s="451"/>
      <c r="L119" s="1573"/>
      <c r="M119" s="451"/>
      <c r="N119" s="1576"/>
      <c r="O119" s="451"/>
      <c r="P119" s="451"/>
      <c r="Q119" s="451"/>
      <c r="R119" s="451"/>
      <c r="S119" s="451"/>
      <c r="T119" s="451"/>
      <c r="V119" s="1579"/>
    </row>
    <row r="120" spans="2:22" s="332" customFormat="1" ht="14.5" x14ac:dyDescent="0.35">
      <c r="B120" s="1567"/>
      <c r="C120" s="24"/>
      <c r="D120" s="1548"/>
      <c r="E120" s="445"/>
      <c r="F120" s="1548"/>
      <c r="G120" s="446"/>
      <c r="H120" s="1590"/>
      <c r="I120" s="451"/>
      <c r="J120" s="1573"/>
      <c r="K120" s="451"/>
      <c r="L120" s="1573"/>
      <c r="M120" s="451"/>
      <c r="N120" s="1577"/>
      <c r="O120" s="451"/>
      <c r="P120" s="1247">
        <f>IF(B24=0,0,P56/$B$24)</f>
        <v>1.4071465860045844E-3</v>
      </c>
      <c r="Q120" s="451"/>
      <c r="R120" s="451"/>
      <c r="S120" s="451"/>
      <c r="T120" s="451"/>
      <c r="V120" s="1579"/>
    </row>
    <row r="121" spans="2:22" s="332" customFormat="1" ht="8.15" customHeight="1" x14ac:dyDescent="0.35">
      <c r="B121" s="1567"/>
      <c r="C121" s="24"/>
      <c r="D121" s="1548"/>
      <c r="E121" s="445"/>
      <c r="F121" s="1548"/>
      <c r="G121" s="446"/>
      <c r="H121" s="1590"/>
      <c r="I121" s="451"/>
      <c r="J121" s="1573"/>
      <c r="K121" s="451"/>
      <c r="L121" s="1573"/>
      <c r="M121" s="451"/>
      <c r="N121" s="451"/>
      <c r="O121" s="451"/>
      <c r="P121" s="451"/>
      <c r="Q121" s="451"/>
      <c r="R121" s="451"/>
      <c r="S121" s="451"/>
      <c r="T121" s="451"/>
      <c r="V121" s="1579"/>
    </row>
    <row r="122" spans="2:22" s="332" customFormat="1" ht="14.5" x14ac:dyDescent="0.35">
      <c r="B122" s="1567"/>
      <c r="C122" s="24"/>
      <c r="D122" s="1548"/>
      <c r="E122" s="445"/>
      <c r="F122" s="1548"/>
      <c r="G122" s="446"/>
      <c r="H122" s="1590"/>
      <c r="I122" s="451"/>
      <c r="J122" s="1573"/>
      <c r="K122" s="451"/>
      <c r="L122" s="1574"/>
      <c r="M122" s="451"/>
      <c r="N122" s="1247">
        <f>IF(B24=0,0,(N58)/$B$24)</f>
        <v>2.4610385099857281E-2</v>
      </c>
      <c r="O122" s="451"/>
      <c r="P122" s="451"/>
      <c r="Q122" s="451"/>
      <c r="R122" s="451"/>
      <c r="S122" s="451"/>
      <c r="T122" s="451"/>
      <c r="V122" s="1579"/>
    </row>
    <row r="123" spans="2:22" s="332" customFormat="1" ht="8.15" customHeight="1" x14ac:dyDescent="0.35">
      <c r="B123" s="1567"/>
      <c r="C123" s="24"/>
      <c r="D123" s="1548"/>
      <c r="E123" s="445"/>
      <c r="F123" s="1548"/>
      <c r="G123" s="446"/>
      <c r="H123" s="1590"/>
      <c r="I123" s="451"/>
      <c r="J123" s="1573"/>
      <c r="K123" s="451"/>
      <c r="L123" s="453"/>
      <c r="M123" s="451"/>
      <c r="N123" s="451"/>
      <c r="O123" s="451"/>
      <c r="P123" s="451"/>
      <c r="Q123" s="451"/>
      <c r="R123" s="451"/>
      <c r="S123" s="451"/>
      <c r="T123" s="451"/>
      <c r="V123" s="1579"/>
    </row>
    <row r="124" spans="2:22" s="332" customFormat="1" ht="14.5" x14ac:dyDescent="0.35">
      <c r="B124" s="1567"/>
      <c r="C124" s="24"/>
      <c r="D124" s="1548"/>
      <c r="E124" s="445"/>
      <c r="F124" s="1548"/>
      <c r="G124" s="446"/>
      <c r="H124" s="1591"/>
      <c r="I124" s="451"/>
      <c r="J124" s="1574"/>
      <c r="K124" s="451"/>
      <c r="L124" s="1247">
        <f>IF(B24=0,0,L60/B24)</f>
        <v>3.3598220621965949E-2</v>
      </c>
      <c r="M124" s="451"/>
      <c r="N124" s="451"/>
      <c r="O124" s="451"/>
      <c r="P124" s="451"/>
      <c r="Q124" s="451"/>
      <c r="R124" s="451"/>
      <c r="S124" s="451"/>
      <c r="T124" s="451"/>
      <c r="V124" s="1579"/>
    </row>
    <row r="125" spans="2:22" s="332" customFormat="1" ht="15" customHeight="1" x14ac:dyDescent="0.35">
      <c r="B125" s="1567"/>
      <c r="C125" s="24"/>
      <c r="D125" s="446"/>
      <c r="E125" s="446"/>
      <c r="F125" s="446"/>
      <c r="G125" s="446"/>
      <c r="H125" s="453"/>
      <c r="I125" s="455"/>
      <c r="J125" s="451"/>
      <c r="K125" s="451"/>
      <c r="L125" s="451"/>
      <c r="M125" s="451"/>
      <c r="N125" s="451"/>
      <c r="O125" s="451"/>
      <c r="P125" s="451"/>
      <c r="Q125" s="451"/>
      <c r="R125" s="451"/>
      <c r="S125" s="451"/>
      <c r="T125" s="451"/>
      <c r="V125" s="1579"/>
    </row>
    <row r="126" spans="2:22" s="332" customFormat="1" ht="29" x14ac:dyDescent="0.35">
      <c r="B126" s="1568"/>
      <c r="C126" s="450"/>
      <c r="D126" s="1460" t="s">
        <v>132</v>
      </c>
      <c r="E126" s="447"/>
      <c r="F126" s="446"/>
      <c r="G126" s="446"/>
      <c r="H126" s="1248">
        <f>IF(B24=0,0,H62/$B$24)</f>
        <v>5.7360021139423519E-4</v>
      </c>
      <c r="I126" s="455"/>
      <c r="J126" s="1247">
        <f>IF(B24=0,0,J62/$B$24)</f>
        <v>5.7360021139423519E-4</v>
      </c>
      <c r="K126" s="451"/>
      <c r="L126" s="451"/>
      <c r="M126" s="451"/>
      <c r="N126" s="451"/>
      <c r="O126" s="451"/>
      <c r="P126" s="451"/>
      <c r="Q126" s="451"/>
      <c r="R126" s="451"/>
      <c r="S126" s="451"/>
      <c r="T126" s="451"/>
      <c r="V126" s="1580"/>
    </row>
    <row r="127" spans="2:22" ht="15" customHeight="1" x14ac:dyDescent="0.35"/>
    <row r="128" spans="2:22" ht="25" customHeight="1" x14ac:dyDescent="0.35">
      <c r="J128" s="1581">
        <f>IF(B24=0,0,SUM(J70:R70)/B24)</f>
        <v>0.73434973715361096</v>
      </c>
      <c r="K128" s="1582"/>
      <c r="L128" s="1582"/>
      <c r="M128" s="1582"/>
      <c r="N128" s="1582"/>
      <c r="O128" s="1582"/>
      <c r="P128" s="1582"/>
      <c r="Q128" s="1582"/>
      <c r="R128" s="1582"/>
      <c r="S128" s="1582"/>
      <c r="T128" s="1583"/>
    </row>
    <row r="131" spans="2:30" s="331" customFormat="1" ht="28" customHeight="1" x14ac:dyDescent="0.35">
      <c r="C131" s="429"/>
      <c r="D131" s="429"/>
      <c r="E131" s="429"/>
      <c r="F131" s="429"/>
      <c r="G131" s="429"/>
      <c r="H131" s="836" t="s">
        <v>133</v>
      </c>
      <c r="I131" s="840"/>
      <c r="J131" s="820" t="s">
        <v>14</v>
      </c>
      <c r="K131" s="439"/>
      <c r="L131" s="836" t="s">
        <v>16</v>
      </c>
      <c r="M131" s="439"/>
      <c r="N131" s="539" t="s">
        <v>18</v>
      </c>
      <c r="O131" s="439"/>
      <c r="P131" s="539" t="s">
        <v>19</v>
      </c>
      <c r="Q131" s="439"/>
      <c r="R131" s="539" t="s">
        <v>20</v>
      </c>
      <c r="S131" s="439"/>
      <c r="T131" s="836" t="s">
        <v>134</v>
      </c>
      <c r="X131" s="836" t="s">
        <v>12</v>
      </c>
    </row>
    <row r="133" spans="2:30" s="461" customFormat="1" ht="14.5" x14ac:dyDescent="0.35">
      <c r="B133" s="459" t="s">
        <v>136</v>
      </c>
      <c r="C133" s="460"/>
      <c r="D133" s="460"/>
      <c r="E133" s="460"/>
      <c r="F133" s="460"/>
      <c r="G133" s="460"/>
      <c r="H133" s="1213">
        <f>H88+H96+H106+H116+H126</f>
        <v>1</v>
      </c>
      <c r="I133" s="1214"/>
      <c r="J133" s="464">
        <f>ROUND((J88+J96+J106+J116)/0.001,0)*0.001</f>
        <v>0.999</v>
      </c>
      <c r="K133" s="464"/>
      <c r="L133" s="464">
        <f>ROUND((L88+L96+L106+L116)/0.001,0)*0.001</f>
        <v>0.93700000000000006</v>
      </c>
      <c r="M133" s="464"/>
      <c r="N133" s="464">
        <f>ROUND((N88+N96+N106+N116)/0.001,0)*0.001</f>
        <v>0.91200000000000003</v>
      </c>
      <c r="O133" s="464"/>
      <c r="P133" s="464">
        <f>ROUND((P88+P96+P106+P116)/0.001,0)*0.001</f>
        <v>0.83499999999999996</v>
      </c>
      <c r="Q133" s="464"/>
      <c r="R133" s="464">
        <f>ROUND((R88+R96+R106+R116)/0.001,0)*0.001</f>
        <v>0.26600000000000001</v>
      </c>
      <c r="S133" s="464"/>
      <c r="T133" s="464">
        <f>ROUND((T88+T96+T106+T116)/0.001,0)*0.001</f>
        <v>0.26600000000000001</v>
      </c>
      <c r="U133" s="465"/>
      <c r="V133" s="465"/>
      <c r="W133" s="465"/>
      <c r="X133" s="466">
        <f>T133</f>
        <v>0.26600000000000001</v>
      </c>
    </row>
    <row r="134" spans="2:30" x14ac:dyDescent="0.35">
      <c r="H134" s="1215"/>
      <c r="I134" s="1215"/>
      <c r="J134" s="1215"/>
      <c r="K134" s="1215"/>
      <c r="L134" s="1215"/>
      <c r="M134" s="1215"/>
      <c r="N134" s="1215"/>
      <c r="O134" s="1215"/>
      <c r="P134" s="1215"/>
      <c r="Q134" s="1215"/>
      <c r="R134" s="1215"/>
      <c r="S134" s="1215"/>
      <c r="T134" s="1215"/>
    </row>
    <row r="135" spans="2:30" s="463" customFormat="1" ht="14.5" x14ac:dyDescent="0.35">
      <c r="B135" s="462" t="s">
        <v>137</v>
      </c>
      <c r="J135" s="463">
        <f>ROUND((J126)/0.001,0)*0.001</f>
        <v>1E-3</v>
      </c>
      <c r="L135" s="463">
        <f>J133-L133</f>
        <v>6.1999999999999944E-2</v>
      </c>
      <c r="N135" s="463">
        <f>L133-N133</f>
        <v>2.5000000000000022E-2</v>
      </c>
      <c r="P135" s="463">
        <f>N133-P133</f>
        <v>7.7000000000000068E-2</v>
      </c>
      <c r="R135" s="463">
        <f>P133-R133</f>
        <v>0.56899999999999995</v>
      </c>
      <c r="T135" s="463">
        <f>R133-T133</f>
        <v>0</v>
      </c>
      <c r="X135" s="810">
        <f>SUM(J135:R135)</f>
        <v>0.73399999999999999</v>
      </c>
    </row>
    <row r="136" spans="2:30" x14ac:dyDescent="0.35">
      <c r="H136" s="1215"/>
      <c r="I136" s="1215"/>
      <c r="J136" s="1215"/>
      <c r="K136" s="1215"/>
      <c r="L136" s="1215"/>
      <c r="M136" s="1215"/>
      <c r="N136" s="1215"/>
      <c r="O136" s="1215"/>
      <c r="P136" s="1215"/>
      <c r="Q136" s="1215"/>
      <c r="R136" s="1215"/>
      <c r="S136" s="1215"/>
      <c r="T136" s="1215"/>
    </row>
    <row r="137" spans="2:30" ht="14.5" x14ac:dyDescent="0.35">
      <c r="X137" s="451">
        <f>X135+X133</f>
        <v>1</v>
      </c>
      <c r="Y137" s="332" t="str">
        <f>IF(X137=1,"OK","Not OK")</f>
        <v>OK</v>
      </c>
    </row>
    <row r="140" spans="2:30" ht="28" customHeight="1" x14ac:dyDescent="0.35">
      <c r="J140" s="820" t="s">
        <v>14</v>
      </c>
      <c r="K140" s="439"/>
      <c r="L140" s="836" t="s">
        <v>16</v>
      </c>
      <c r="M140" s="439"/>
      <c r="N140" s="539" t="s">
        <v>18</v>
      </c>
      <c r="O140" s="439"/>
      <c r="P140" s="539" t="s">
        <v>19</v>
      </c>
      <c r="Q140" s="439"/>
      <c r="R140" s="539" t="s">
        <v>20</v>
      </c>
      <c r="S140" s="439"/>
      <c r="T140" s="836" t="s">
        <v>134</v>
      </c>
    </row>
    <row r="141" spans="2:30" ht="75" customHeight="1" x14ac:dyDescent="0.35">
      <c r="B141" s="1584" t="s">
        <v>140</v>
      </c>
      <c r="C141" s="1584"/>
      <c r="D141" s="1584"/>
      <c r="E141" s="1584"/>
      <c r="F141" s="1584"/>
      <c r="G141" s="1584"/>
      <c r="H141" s="1584"/>
      <c r="J141" s="160" t="s">
        <v>132</v>
      </c>
      <c r="L141" s="160" t="s">
        <v>141</v>
      </c>
      <c r="N141" s="160" t="s">
        <v>142</v>
      </c>
      <c r="P141" s="160" t="s">
        <v>143</v>
      </c>
      <c r="R141" s="160" t="s">
        <v>144</v>
      </c>
      <c r="T141" s="160" t="s">
        <v>144</v>
      </c>
      <c r="X141" s="914"/>
      <c r="Y141" s="327"/>
      <c r="Z141" s="327"/>
      <c r="AA141" s="327"/>
      <c r="AB141" s="327"/>
      <c r="AC141" s="327"/>
      <c r="AD141" s="327"/>
    </row>
    <row r="143" spans="2:30" x14ac:dyDescent="0.35">
      <c r="N143" s="178"/>
    </row>
    <row r="145" spans="8:20" x14ac:dyDescent="0.35">
      <c r="N145" s="178"/>
    </row>
    <row r="147" spans="8:20" x14ac:dyDescent="0.35">
      <c r="N147" s="178"/>
      <c r="P147" s="178"/>
    </row>
    <row r="148" spans="8:20" x14ac:dyDescent="0.35">
      <c r="P148" s="178"/>
    </row>
    <row r="149" spans="8:20" x14ac:dyDescent="0.35">
      <c r="N149" s="178"/>
      <c r="P149" s="178"/>
    </row>
    <row r="150" spans="8:20" x14ac:dyDescent="0.35">
      <c r="N150" s="178"/>
      <c r="P150" s="178"/>
    </row>
    <row r="151" spans="8:20" x14ac:dyDescent="0.35">
      <c r="N151" s="178"/>
      <c r="P151" s="178"/>
    </row>
    <row r="152" spans="8:20" x14ac:dyDescent="0.35">
      <c r="N152" s="178"/>
      <c r="P152" s="178"/>
    </row>
    <row r="153" spans="8:20" x14ac:dyDescent="0.35">
      <c r="N153" s="178"/>
      <c r="P153" s="178"/>
    </row>
    <row r="154" spans="8:20" ht="28" customHeight="1" x14ac:dyDescent="0.35">
      <c r="J154" s="841" t="s">
        <v>14</v>
      </c>
      <c r="K154" s="439"/>
      <c r="L154" s="841" t="s">
        <v>16</v>
      </c>
      <c r="M154" s="439"/>
      <c r="N154" s="841" t="s">
        <v>18</v>
      </c>
      <c r="O154" s="439"/>
      <c r="P154" s="841" t="s">
        <v>19</v>
      </c>
      <c r="Q154" s="439"/>
      <c r="R154" s="841" t="s">
        <v>20</v>
      </c>
      <c r="S154" s="439"/>
      <c r="T154" s="841" t="s">
        <v>134</v>
      </c>
    </row>
    <row r="155" spans="8:20" x14ac:dyDescent="0.35">
      <c r="H155" s="1585" t="s">
        <v>145</v>
      </c>
      <c r="J155" s="160"/>
      <c r="K155" s="822"/>
      <c r="L155" s="1520"/>
      <c r="M155" s="822"/>
      <c r="N155" s="1520"/>
      <c r="O155" s="822"/>
      <c r="P155" s="1520"/>
      <c r="Q155" s="822"/>
      <c r="R155" s="1520"/>
      <c r="S155" s="822"/>
      <c r="T155" s="1520"/>
    </row>
    <row r="156" spans="8:20" ht="30" customHeight="1" x14ac:dyDescent="0.35">
      <c r="H156" s="1586"/>
      <c r="J156" s="160" t="s">
        <v>132</v>
      </c>
      <c r="K156" s="822"/>
      <c r="L156" s="160" t="s">
        <v>146</v>
      </c>
      <c r="M156" s="822"/>
      <c r="N156" s="160" t="s">
        <v>147</v>
      </c>
      <c r="O156" s="822"/>
      <c r="P156" s="837" t="s">
        <v>148</v>
      </c>
      <c r="Q156" s="822"/>
      <c r="R156" s="160" t="s">
        <v>149</v>
      </c>
      <c r="S156" s="822"/>
      <c r="T156" s="160" t="s">
        <v>149</v>
      </c>
    </row>
    <row r="157" spans="8:20" ht="30" customHeight="1" x14ac:dyDescent="0.35">
      <c r="H157" s="1586"/>
      <c r="J157" s="160"/>
      <c r="K157" s="822"/>
      <c r="L157" s="160" t="s">
        <v>141</v>
      </c>
      <c r="M157" s="822"/>
      <c r="N157" s="837" t="s">
        <v>142</v>
      </c>
      <c r="O157" s="822"/>
      <c r="P157" s="837" t="s">
        <v>150</v>
      </c>
      <c r="Q157" s="822"/>
      <c r="R157" s="160" t="s">
        <v>151</v>
      </c>
      <c r="S157" s="822"/>
      <c r="T157" s="160" t="s">
        <v>151</v>
      </c>
    </row>
    <row r="158" spans="8:20" ht="40" customHeight="1" x14ac:dyDescent="0.35">
      <c r="H158" s="1587"/>
      <c r="J158" s="160"/>
      <c r="K158" s="822"/>
      <c r="L158" s="160" t="s">
        <v>152</v>
      </c>
      <c r="M158" s="822"/>
      <c r="N158" s="160" t="s">
        <v>153</v>
      </c>
      <c r="O158" s="822"/>
      <c r="P158" s="837" t="s">
        <v>154</v>
      </c>
      <c r="Q158" s="822"/>
      <c r="R158" s="160" t="s">
        <v>144</v>
      </c>
      <c r="S158" s="822"/>
      <c r="T158" s="160" t="s">
        <v>144</v>
      </c>
    </row>
    <row r="159" spans="8:20" ht="40" customHeight="1" x14ac:dyDescent="0.35">
      <c r="H159" s="1178"/>
      <c r="J159" s="1179"/>
      <c r="K159" s="1179"/>
      <c r="L159" s="1179"/>
      <c r="M159" s="1179"/>
      <c r="N159" s="1179"/>
      <c r="O159" s="1179"/>
      <c r="P159" s="837" t="s">
        <v>155</v>
      </c>
      <c r="Q159" s="1179"/>
      <c r="R159" s="1179"/>
      <c r="S159" s="1179"/>
      <c r="T159" s="1179"/>
    </row>
    <row r="160" spans="8:20" ht="30" customHeight="1" x14ac:dyDescent="0.35">
      <c r="J160" s="444"/>
      <c r="K160" s="444"/>
      <c r="L160" s="444"/>
      <c r="M160" s="444"/>
      <c r="N160" s="444"/>
      <c r="O160" s="444"/>
      <c r="P160" s="837" t="s">
        <v>156</v>
      </c>
      <c r="Q160" s="444"/>
      <c r="R160" s="444"/>
      <c r="S160" s="444"/>
      <c r="T160" s="444"/>
    </row>
    <row r="161" spans="10:20" ht="30" customHeight="1" x14ac:dyDescent="0.35">
      <c r="J161" s="444"/>
      <c r="K161" s="444"/>
      <c r="L161" s="444"/>
      <c r="M161" s="444"/>
      <c r="N161" s="444"/>
      <c r="O161" s="444"/>
      <c r="P161" s="837" t="s">
        <v>143</v>
      </c>
      <c r="Q161" s="444"/>
      <c r="R161" s="444"/>
      <c r="S161" s="444"/>
      <c r="T161" s="444"/>
    </row>
    <row r="162" spans="10:20" ht="40" customHeight="1" x14ac:dyDescent="0.35">
      <c r="J162" s="444"/>
      <c r="K162" s="444"/>
      <c r="L162" s="444"/>
      <c r="M162" s="444"/>
      <c r="N162" s="444"/>
      <c r="O162" s="444"/>
      <c r="P162" s="837" t="s">
        <v>157</v>
      </c>
      <c r="Q162" s="444"/>
      <c r="R162" s="444"/>
      <c r="S162" s="444"/>
      <c r="T162" s="444"/>
    </row>
    <row r="163" spans="10:20" ht="75" customHeight="1" x14ac:dyDescent="0.35">
      <c r="J163" s="444"/>
      <c r="K163" s="444"/>
      <c r="L163" s="444"/>
      <c r="M163" s="444"/>
      <c r="N163" s="444"/>
      <c r="O163" s="444"/>
      <c r="P163" s="837" t="s">
        <v>158</v>
      </c>
      <c r="Q163" s="444"/>
      <c r="R163" s="444"/>
      <c r="S163" s="444"/>
      <c r="T163" s="444"/>
    </row>
    <row r="164" spans="10:20" x14ac:dyDescent="0.35">
      <c r="J164" s="444"/>
      <c r="K164" s="444"/>
      <c r="L164" s="444"/>
      <c r="M164" s="444"/>
      <c r="N164" s="444"/>
      <c r="O164" s="444"/>
      <c r="P164" s="444"/>
      <c r="Q164" s="444"/>
      <c r="R164" s="444"/>
      <c r="S164" s="444"/>
      <c r="T164" s="444"/>
    </row>
    <row r="165" spans="10:20" x14ac:dyDescent="0.35">
      <c r="J165" s="444"/>
      <c r="K165" s="444"/>
      <c r="L165" s="444"/>
      <c r="M165" s="444"/>
      <c r="N165" s="444"/>
      <c r="O165" s="444"/>
      <c r="P165" s="444"/>
      <c r="Q165" s="444"/>
      <c r="R165" s="444"/>
      <c r="S165" s="444"/>
      <c r="T165" s="444"/>
    </row>
    <row r="166" spans="10:20" x14ac:dyDescent="0.35">
      <c r="J166" s="444"/>
      <c r="K166" s="444"/>
      <c r="L166" s="444"/>
      <c r="M166" s="444"/>
      <c r="N166" s="444"/>
      <c r="O166" s="444"/>
      <c r="P166" s="444"/>
      <c r="Q166" s="444"/>
      <c r="R166" s="444"/>
      <c r="S166" s="444"/>
      <c r="T166" s="444"/>
    </row>
    <row r="167" spans="10:20" x14ac:dyDescent="0.35">
      <c r="J167" s="444"/>
      <c r="K167" s="444"/>
      <c r="L167" s="444"/>
      <c r="M167" s="444"/>
      <c r="N167" s="444"/>
      <c r="O167" s="444"/>
      <c r="P167" s="444"/>
      <c r="Q167" s="444"/>
      <c r="R167" s="444"/>
      <c r="S167" s="444"/>
      <c r="T167" s="444"/>
    </row>
    <row r="168" spans="10:20" x14ac:dyDescent="0.35">
      <c r="J168" s="444"/>
      <c r="K168" s="444"/>
      <c r="L168" s="444"/>
      <c r="M168" s="444"/>
      <c r="N168" s="444"/>
      <c r="O168" s="444"/>
      <c r="P168" s="444"/>
      <c r="Q168" s="444"/>
      <c r="R168" s="444"/>
      <c r="S168" s="444"/>
      <c r="T168" s="444"/>
    </row>
    <row r="169" spans="10:20" x14ac:dyDescent="0.35">
      <c r="J169" s="444"/>
      <c r="K169" s="444"/>
      <c r="L169" s="444"/>
      <c r="M169" s="444"/>
      <c r="N169" s="444"/>
      <c r="O169" s="444"/>
      <c r="P169" s="444"/>
      <c r="Q169" s="444"/>
      <c r="R169" s="444"/>
      <c r="S169" s="444"/>
      <c r="T169" s="444"/>
    </row>
  </sheetData>
  <mergeCells count="61">
    <mergeCell ref="H155:H158"/>
    <mergeCell ref="N32:N36"/>
    <mergeCell ref="L88:L94"/>
    <mergeCell ref="J32:J40"/>
    <mergeCell ref="H32:H40"/>
    <mergeCell ref="N106:N110"/>
    <mergeCell ref="H116:H124"/>
    <mergeCell ref="J116:J124"/>
    <mergeCell ref="L116:L122"/>
    <mergeCell ref="N116:N120"/>
    <mergeCell ref="J64:T64"/>
    <mergeCell ref="P106:P108"/>
    <mergeCell ref="V88:V126"/>
    <mergeCell ref="P96:P98"/>
    <mergeCell ref="J128:T128"/>
    <mergeCell ref="B141:H141"/>
    <mergeCell ref="F116:F124"/>
    <mergeCell ref="P116:P118"/>
    <mergeCell ref="D106:D124"/>
    <mergeCell ref="F106:F114"/>
    <mergeCell ref="N88:N92"/>
    <mergeCell ref="P88:P90"/>
    <mergeCell ref="L96:L102"/>
    <mergeCell ref="N96:N100"/>
    <mergeCell ref="L106:L112"/>
    <mergeCell ref="D86:F86"/>
    <mergeCell ref="B88:B126"/>
    <mergeCell ref="D88:D94"/>
    <mergeCell ref="H88:H94"/>
    <mergeCell ref="J88:J94"/>
    <mergeCell ref="D96:D104"/>
    <mergeCell ref="H96:H104"/>
    <mergeCell ref="J96:J104"/>
    <mergeCell ref="H106:H114"/>
    <mergeCell ref="J106:J114"/>
    <mergeCell ref="L24:L30"/>
    <mergeCell ref="N24:N28"/>
    <mergeCell ref="P24:P26"/>
    <mergeCell ref="V24:V62"/>
    <mergeCell ref="L32:L38"/>
    <mergeCell ref="P32:P34"/>
    <mergeCell ref="P52:P54"/>
    <mergeCell ref="N42:N46"/>
    <mergeCell ref="L42:L48"/>
    <mergeCell ref="P42:P44"/>
    <mergeCell ref="L52:L58"/>
    <mergeCell ref="N52:N56"/>
    <mergeCell ref="B2:J2"/>
    <mergeCell ref="D22:F22"/>
    <mergeCell ref="B24:B62"/>
    <mergeCell ref="D24:D30"/>
    <mergeCell ref="H24:H30"/>
    <mergeCell ref="J24:J30"/>
    <mergeCell ref="D42:D60"/>
    <mergeCell ref="F42:F50"/>
    <mergeCell ref="H42:H50"/>
    <mergeCell ref="J42:J50"/>
    <mergeCell ref="F52:F60"/>
    <mergeCell ref="H52:H60"/>
    <mergeCell ref="J52:J60"/>
    <mergeCell ref="D32:D40"/>
  </mergeCells>
  <conditionalFormatting sqref="H74">
    <cfRule type="expression" dxfId="916" priority="201">
      <formula>H73=0</formula>
    </cfRule>
  </conditionalFormatting>
  <conditionalFormatting sqref="J74">
    <cfRule type="expression" dxfId="915" priority="200">
      <formula>J73=0</formula>
    </cfRule>
  </conditionalFormatting>
  <conditionalFormatting sqref="L74">
    <cfRule type="expression" dxfId="914" priority="199">
      <formula>L73=0</formula>
    </cfRule>
  </conditionalFormatting>
  <conditionalFormatting sqref="N74">
    <cfRule type="expression" dxfId="913" priority="198">
      <formula>N73=0</formula>
    </cfRule>
  </conditionalFormatting>
  <conditionalFormatting sqref="P74">
    <cfRule type="expression" dxfId="912" priority="197">
      <formula>P73=0</formula>
    </cfRule>
  </conditionalFormatting>
  <conditionalFormatting sqref="R74">
    <cfRule type="expression" dxfId="911" priority="196">
      <formula>R73=0</formula>
    </cfRule>
  </conditionalFormatting>
  <conditionalFormatting sqref="T74">
    <cfRule type="expression" dxfId="910" priority="195">
      <formula>T73=0</formula>
    </cfRule>
  </conditionalFormatting>
  <conditionalFormatting sqref="J52 L52 J42:J50 L42:L48 J96:J104 L96:L102">
    <cfRule type="expression" dxfId="909" priority="194">
      <formula>J42=0</formula>
    </cfRule>
  </conditionalFormatting>
  <conditionalFormatting sqref="J126">
    <cfRule type="expression" dxfId="908" priority="193">
      <formula>J126=0</formula>
    </cfRule>
  </conditionalFormatting>
  <conditionalFormatting sqref="J24">
    <cfRule type="expression" dxfId="907" priority="192">
      <formula>J24=0</formula>
    </cfRule>
  </conditionalFormatting>
  <conditionalFormatting sqref="P24">
    <cfRule type="expression" dxfId="906" priority="191">
      <formula>P24=0</formula>
    </cfRule>
  </conditionalFormatting>
  <conditionalFormatting sqref="P28">
    <cfRule type="expression" dxfId="905" priority="190">
      <formula>P28=0</formula>
    </cfRule>
  </conditionalFormatting>
  <conditionalFormatting sqref="R24">
    <cfRule type="expression" dxfId="904" priority="189">
      <formula>R24=0</formula>
    </cfRule>
  </conditionalFormatting>
  <conditionalFormatting sqref="J32">
    <cfRule type="expression" dxfId="903" priority="188">
      <formula>J32=0</formula>
    </cfRule>
  </conditionalFormatting>
  <conditionalFormatting sqref="L32:L38">
    <cfRule type="expression" dxfId="902" priority="187">
      <formula>L32=0</formula>
    </cfRule>
  </conditionalFormatting>
  <conditionalFormatting sqref="N42">
    <cfRule type="expression" dxfId="901" priority="184">
      <formula>N42=0</formula>
    </cfRule>
  </conditionalFormatting>
  <conditionalFormatting sqref="L24">
    <cfRule type="expression" dxfId="900" priority="182">
      <formula>L24=0</formula>
    </cfRule>
  </conditionalFormatting>
  <conditionalFormatting sqref="R26">
    <cfRule type="expression" dxfId="899" priority="181">
      <formula>R26=0</formula>
    </cfRule>
  </conditionalFormatting>
  <conditionalFormatting sqref="P32">
    <cfRule type="expression" dxfId="898" priority="177">
      <formula>P32=0</formula>
    </cfRule>
  </conditionalFormatting>
  <conditionalFormatting sqref="R34">
    <cfRule type="expression" dxfId="897" priority="174">
      <formula>R34=0</formula>
    </cfRule>
  </conditionalFormatting>
  <conditionalFormatting sqref="N32">
    <cfRule type="expression" dxfId="896" priority="178">
      <formula>N32=0</formula>
    </cfRule>
  </conditionalFormatting>
  <conditionalFormatting sqref="P36">
    <cfRule type="expression" dxfId="895" priority="176">
      <formula>P36=0</formula>
    </cfRule>
  </conditionalFormatting>
  <conditionalFormatting sqref="R32">
    <cfRule type="expression" dxfId="894" priority="175">
      <formula>R32=0</formula>
    </cfRule>
  </conditionalFormatting>
  <conditionalFormatting sqref="R44">
    <cfRule type="expression" dxfId="893" priority="164">
      <formula>R44=0</formula>
    </cfRule>
  </conditionalFormatting>
  <conditionalFormatting sqref="P42">
    <cfRule type="expression" dxfId="892" priority="167">
      <formula>P42=0</formula>
    </cfRule>
  </conditionalFormatting>
  <conditionalFormatting sqref="R42">
    <cfRule type="expression" dxfId="891" priority="165">
      <formula>R42=0</formula>
    </cfRule>
  </conditionalFormatting>
  <conditionalFormatting sqref="N24">
    <cfRule type="expression" dxfId="890" priority="153">
      <formula>N24=0</formula>
    </cfRule>
  </conditionalFormatting>
  <conditionalFormatting sqref="R52">
    <cfRule type="expression" dxfId="889" priority="160">
      <formula>R52=0</formula>
    </cfRule>
  </conditionalFormatting>
  <conditionalFormatting sqref="P52">
    <cfRule type="expression" dxfId="888" priority="159">
      <formula>P52=0</formula>
    </cfRule>
  </conditionalFormatting>
  <conditionalFormatting sqref="J62">
    <cfRule type="expression" dxfId="887" priority="157">
      <formula>J62=0</formula>
    </cfRule>
  </conditionalFormatting>
  <conditionalFormatting sqref="N52">
    <cfRule type="expression" dxfId="886" priority="156">
      <formula>N52=0</formula>
    </cfRule>
  </conditionalFormatting>
  <conditionalFormatting sqref="P96">
    <cfRule type="expression" dxfId="885" priority="104">
      <formula>P96=0</formula>
    </cfRule>
  </conditionalFormatting>
  <conditionalFormatting sqref="T98">
    <cfRule type="expression" dxfId="884" priority="99">
      <formula>T98=0</formula>
    </cfRule>
  </conditionalFormatting>
  <conditionalFormatting sqref="N96">
    <cfRule type="expression" dxfId="883" priority="105">
      <formula>N96=0</formula>
    </cfRule>
  </conditionalFormatting>
  <conditionalFormatting sqref="P100">
    <cfRule type="expression" dxfId="882" priority="103">
      <formula>P100=0</formula>
    </cfRule>
  </conditionalFormatting>
  <conditionalFormatting sqref="R96">
    <cfRule type="expression" dxfId="881" priority="102">
      <formula>R96=0</formula>
    </cfRule>
  </conditionalFormatting>
  <conditionalFormatting sqref="R98">
    <cfRule type="expression" dxfId="880" priority="101">
      <formula>R98=0</formula>
    </cfRule>
  </conditionalFormatting>
  <conditionalFormatting sqref="T96">
    <cfRule type="expression" dxfId="879" priority="100">
      <formula>T96=0</formula>
    </cfRule>
  </conditionalFormatting>
  <conditionalFormatting sqref="L104">
    <cfRule type="expression" dxfId="878" priority="96">
      <formula>L104=0</formula>
    </cfRule>
  </conditionalFormatting>
  <conditionalFormatting sqref="N102">
    <cfRule type="expression" dxfId="877" priority="89">
      <formula>N102=0</formula>
    </cfRule>
  </conditionalFormatting>
  <conditionalFormatting sqref="T24">
    <cfRule type="expression" dxfId="876" priority="59">
      <formula>T24=0</formula>
    </cfRule>
  </conditionalFormatting>
  <conditionalFormatting sqref="N30">
    <cfRule type="expression" dxfId="875" priority="57">
      <formula>N30=0</formula>
    </cfRule>
  </conditionalFormatting>
  <conditionalFormatting sqref="N38:N40">
    <cfRule type="expression" dxfId="874" priority="56">
      <formula>N38=0</formula>
    </cfRule>
  </conditionalFormatting>
  <conditionalFormatting sqref="T32">
    <cfRule type="expression" dxfId="873" priority="55">
      <formula>T32=0</formula>
    </cfRule>
  </conditionalFormatting>
  <conditionalFormatting sqref="N48">
    <cfRule type="expression" dxfId="872" priority="53">
      <formula>N48=0</formula>
    </cfRule>
  </conditionalFormatting>
  <conditionalFormatting sqref="P46">
    <cfRule type="expression" dxfId="871" priority="52">
      <formula>P46=0</formula>
    </cfRule>
  </conditionalFormatting>
  <conditionalFormatting sqref="T42">
    <cfRule type="expression" dxfId="870" priority="51">
      <formula>T42=0</formula>
    </cfRule>
  </conditionalFormatting>
  <conditionalFormatting sqref="T44">
    <cfRule type="expression" dxfId="869" priority="50">
      <formula>T44=0</formula>
    </cfRule>
  </conditionalFormatting>
  <conditionalFormatting sqref="T52">
    <cfRule type="expression" dxfId="868" priority="49">
      <formula>T52=0</formula>
    </cfRule>
  </conditionalFormatting>
  <conditionalFormatting sqref="N58">
    <cfRule type="expression" dxfId="867" priority="47">
      <formula>N58=0</formula>
    </cfRule>
  </conditionalFormatting>
  <conditionalFormatting sqref="L60">
    <cfRule type="expression" dxfId="866" priority="46">
      <formula>L60=0</formula>
    </cfRule>
  </conditionalFormatting>
  <conditionalFormatting sqref="L50">
    <cfRule type="expression" dxfId="865" priority="45">
      <formula>L50=0</formula>
    </cfRule>
  </conditionalFormatting>
  <conditionalFormatting sqref="P56">
    <cfRule type="expression" dxfId="864" priority="44">
      <formula>P56=0</formula>
    </cfRule>
  </conditionalFormatting>
  <conditionalFormatting sqref="R54">
    <cfRule type="expression" dxfId="863" priority="43">
      <formula>R54=0</formula>
    </cfRule>
  </conditionalFormatting>
  <conditionalFormatting sqref="J88">
    <cfRule type="expression" dxfId="862" priority="41">
      <formula>J88=0</formula>
    </cfRule>
  </conditionalFormatting>
  <conditionalFormatting sqref="P88">
    <cfRule type="expression" dxfId="861" priority="40">
      <formula>P88=0</formula>
    </cfRule>
  </conditionalFormatting>
  <conditionalFormatting sqref="P92">
    <cfRule type="expression" dxfId="860" priority="39">
      <formula>P92=0</formula>
    </cfRule>
  </conditionalFormatting>
  <conditionalFormatting sqref="R88">
    <cfRule type="expression" dxfId="859" priority="38">
      <formula>R88=0</formula>
    </cfRule>
  </conditionalFormatting>
  <conditionalFormatting sqref="L88">
    <cfRule type="expression" dxfId="858" priority="37">
      <formula>L88=0</formula>
    </cfRule>
  </conditionalFormatting>
  <conditionalFormatting sqref="R90">
    <cfRule type="expression" dxfId="857" priority="36">
      <formula>R90=0</formula>
    </cfRule>
  </conditionalFormatting>
  <conditionalFormatting sqref="N88">
    <cfRule type="expression" dxfId="856" priority="35">
      <formula>N88=0</formula>
    </cfRule>
  </conditionalFormatting>
  <conditionalFormatting sqref="N94">
    <cfRule type="expression" dxfId="855" priority="32">
      <formula>N94=0</formula>
    </cfRule>
  </conditionalFormatting>
  <conditionalFormatting sqref="T88">
    <cfRule type="expression" dxfId="854" priority="31">
      <formula>T88=0</formula>
    </cfRule>
  </conditionalFormatting>
  <conditionalFormatting sqref="T90">
    <cfRule type="expression" dxfId="853" priority="30">
      <formula>T90=0</formula>
    </cfRule>
  </conditionalFormatting>
  <conditionalFormatting sqref="L40">
    <cfRule type="expression" dxfId="852" priority="29">
      <formula>L40=0</formula>
    </cfRule>
  </conditionalFormatting>
  <conditionalFormatting sqref="J106:J114 L106:L112">
    <cfRule type="expression" dxfId="851" priority="28">
      <formula>J106=0</formula>
    </cfRule>
  </conditionalFormatting>
  <conditionalFormatting sqref="N106">
    <cfRule type="expression" dxfId="850" priority="27">
      <formula>N106=0</formula>
    </cfRule>
  </conditionalFormatting>
  <conditionalFormatting sqref="R108">
    <cfRule type="expression" dxfId="849" priority="24">
      <formula>R108=0</formula>
    </cfRule>
  </conditionalFormatting>
  <conditionalFormatting sqref="P106">
    <cfRule type="expression" dxfId="848" priority="26">
      <formula>P106=0</formula>
    </cfRule>
  </conditionalFormatting>
  <conditionalFormatting sqref="R106">
    <cfRule type="expression" dxfId="847" priority="25">
      <formula>R106=0</formula>
    </cfRule>
  </conditionalFormatting>
  <conditionalFormatting sqref="N112">
    <cfRule type="expression" dxfId="846" priority="23">
      <formula>N112=0</formula>
    </cfRule>
  </conditionalFormatting>
  <conditionalFormatting sqref="P110">
    <cfRule type="expression" dxfId="845" priority="22">
      <formula>P110=0</formula>
    </cfRule>
  </conditionalFormatting>
  <conditionalFormatting sqref="T106">
    <cfRule type="expression" dxfId="844" priority="21">
      <formula>T106=0</formula>
    </cfRule>
  </conditionalFormatting>
  <conditionalFormatting sqref="L114">
    <cfRule type="expression" dxfId="843" priority="19">
      <formula>L114=0</formula>
    </cfRule>
  </conditionalFormatting>
  <conditionalFormatting sqref="J116 L116">
    <cfRule type="expression" dxfId="842" priority="18">
      <formula>J116=0</formula>
    </cfRule>
  </conditionalFormatting>
  <conditionalFormatting sqref="R116">
    <cfRule type="expression" dxfId="841" priority="17">
      <formula>R116=0</formula>
    </cfRule>
  </conditionalFormatting>
  <conditionalFormatting sqref="P116">
    <cfRule type="expression" dxfId="840" priority="16">
      <formula>P116=0</formula>
    </cfRule>
  </conditionalFormatting>
  <conditionalFormatting sqref="N116">
    <cfRule type="expression" dxfId="839" priority="15">
      <formula>N116=0</formula>
    </cfRule>
  </conditionalFormatting>
  <conditionalFormatting sqref="T116">
    <cfRule type="expression" dxfId="838" priority="14">
      <formula>T116=0</formula>
    </cfRule>
  </conditionalFormatting>
  <conditionalFormatting sqref="N122">
    <cfRule type="expression" dxfId="837" priority="13">
      <formula>N122=0</formula>
    </cfRule>
  </conditionalFormatting>
  <conditionalFormatting sqref="L124">
    <cfRule type="expression" dxfId="836" priority="12">
      <formula>L124=0</formula>
    </cfRule>
  </conditionalFormatting>
  <conditionalFormatting sqref="P120">
    <cfRule type="expression" dxfId="835" priority="11">
      <formula>P120=0</formula>
    </cfRule>
  </conditionalFormatting>
  <conditionalFormatting sqref="R118">
    <cfRule type="expression" dxfId="834" priority="10">
      <formula>R118=0</formula>
    </cfRule>
  </conditionalFormatting>
  <conditionalFormatting sqref="T118">
    <cfRule type="expression" dxfId="833" priority="9">
      <formula>T118=0</formula>
    </cfRule>
  </conditionalFormatting>
  <conditionalFormatting sqref="Z44">
    <cfRule type="expression" dxfId="832" priority="8">
      <formula>Z44=0</formula>
    </cfRule>
  </conditionalFormatting>
  <conditionalFormatting sqref="Z34">
    <cfRule type="expression" dxfId="831" priority="7">
      <formula>Z34=0</formula>
    </cfRule>
  </conditionalFormatting>
  <conditionalFormatting sqref="T34">
    <cfRule type="expression" dxfId="830" priority="6">
      <formula>T34=0</formula>
    </cfRule>
  </conditionalFormatting>
  <conditionalFormatting sqref="Z26">
    <cfRule type="expression" dxfId="829" priority="5">
      <formula>Z26=0</formula>
    </cfRule>
  </conditionalFormatting>
  <conditionalFormatting sqref="T26">
    <cfRule type="expression" dxfId="828" priority="4">
      <formula>T26=0</formula>
    </cfRule>
  </conditionalFormatting>
  <conditionalFormatting sqref="Z54">
    <cfRule type="expression" dxfId="827" priority="3">
      <formula>Z54=0</formula>
    </cfRule>
  </conditionalFormatting>
  <conditionalFormatting sqref="T54">
    <cfRule type="expression" dxfId="826" priority="2">
      <formula>T54=0</formula>
    </cfRule>
  </conditionalFormatting>
  <conditionalFormatting sqref="T108">
    <cfRule type="expression" dxfId="825" priority="1">
      <formula>T108=0</formula>
    </cfRule>
  </conditionalFormatting>
  <dataValidations disablePrompts="1" count="6">
    <dataValidation type="list" allowBlank="1" showInputMessage="1" showErrorMessage="1" sqref="L141">
      <formula1>$L$155:$L$158</formula1>
    </dataValidation>
    <dataValidation type="list" allowBlank="1" showInputMessage="1" showErrorMessage="1" sqref="N141">
      <formula1>$N$155:$N$158</formula1>
    </dataValidation>
    <dataValidation type="list" allowBlank="1" showInputMessage="1" showErrorMessage="1" sqref="P141">
      <formula1>$P$155:$P$163</formula1>
    </dataValidation>
    <dataValidation type="list" allowBlank="1" showInputMessage="1" showErrorMessage="1" sqref="R141">
      <formula1>$R$155:$R$158</formula1>
    </dataValidation>
    <dataValidation type="list" allowBlank="1" showInputMessage="1" showErrorMessage="1" sqref="T141">
      <formula1>$T$155:$T$158</formula1>
    </dataValidation>
    <dataValidation type="list" allowBlank="1" showInputMessage="1" showErrorMessage="1" sqref="J141">
      <formula1>$J$155:$J$156</formula1>
    </dataValidation>
  </dataValidations>
  <pageMargins left="0.70866141732283472" right="0.70866141732283472" top="0.74803149606299213" bottom="0.74803149606299213" header="0.31496062992125984" footer="0.31496062992125984"/>
  <pageSetup paperSize="9" scale="41" fitToHeight="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pageSetUpPr fitToPage="1"/>
  </sheetPr>
  <dimension ref="A1:AD213"/>
  <sheetViews>
    <sheetView showGridLines="0" showRowColHeaders="0" zoomScale="80" zoomScaleNormal="80" workbookViewId="0">
      <pane ySplit="19" topLeftCell="A20" activePane="bottomLeft" state="frozen"/>
      <selection pane="bottomLeft" activeCell="J185" sqref="J185"/>
    </sheetView>
  </sheetViews>
  <sheetFormatPr defaultColWidth="9.1796875" defaultRowHeight="13" x14ac:dyDescent="0.35"/>
  <cols>
    <col min="1" max="1" width="3.26953125" style="68" customWidth="1"/>
    <col min="2" max="2" width="14.7265625" style="68" customWidth="1"/>
    <col min="3" max="3" width="3.26953125" style="148" customWidth="1"/>
    <col min="4" max="4" width="14.7265625" style="148" customWidth="1"/>
    <col min="5" max="5" width="1.7265625" style="148" customWidth="1"/>
    <col min="6" max="6" width="14.7265625" style="148" customWidth="1"/>
    <col min="7" max="7" width="3.26953125" style="148" customWidth="1"/>
    <col min="8" max="8" width="14.7265625" style="148" customWidth="1"/>
    <col min="9" max="9" width="3.26953125" style="148" customWidth="1"/>
    <col min="10" max="10" width="14.7265625" style="148" customWidth="1"/>
    <col min="11" max="11" width="3.26953125" style="148" customWidth="1"/>
    <col min="12" max="12" width="14.7265625" style="148" customWidth="1"/>
    <col min="13" max="13" width="3.26953125" style="148" customWidth="1"/>
    <col min="14" max="14" width="14.7265625" style="148" customWidth="1"/>
    <col min="15" max="15" width="3.26953125" style="148" customWidth="1"/>
    <col min="16" max="16" width="14.7265625" style="148" customWidth="1"/>
    <col min="17" max="17" width="3.26953125" style="148" customWidth="1"/>
    <col min="18" max="18" width="14.7265625" style="148" customWidth="1"/>
    <col min="19" max="19" width="3.26953125" style="148" customWidth="1"/>
    <col min="20" max="20" width="14.7265625" style="148" customWidth="1"/>
    <col min="21" max="21" width="3.26953125" style="68" customWidth="1"/>
    <col min="22" max="22" width="5.26953125" style="68" customWidth="1"/>
    <col min="23" max="23" width="3.26953125" style="68" customWidth="1"/>
    <col min="24" max="24" width="11.7265625" style="68" customWidth="1"/>
    <col min="25" max="25" width="10.26953125" style="68" bestFit="1" customWidth="1"/>
    <col min="26" max="16384" width="9.1796875" style="68"/>
  </cols>
  <sheetData>
    <row r="1" spans="2:24" s="764" customFormat="1" ht="36.75" customHeight="1" x14ac:dyDescent="0.45">
      <c r="B1" s="1243" t="str">
        <f>'User interface_RES'!AJ11</f>
        <v>Any city in , the world</v>
      </c>
      <c r="C1" s="762"/>
      <c r="D1" s="763"/>
      <c r="E1" s="763"/>
      <c r="F1" s="763"/>
      <c r="G1" s="763"/>
      <c r="H1" s="763"/>
      <c r="I1" s="763"/>
      <c r="J1" s="763"/>
      <c r="K1" s="763"/>
      <c r="L1" s="763"/>
      <c r="M1" s="763"/>
      <c r="N1" s="763"/>
      <c r="O1" s="763"/>
      <c r="P1" s="763"/>
      <c r="Q1" s="763"/>
      <c r="R1" s="763"/>
      <c r="S1" s="763"/>
      <c r="T1" s="763"/>
    </row>
    <row r="2" spans="2:24" s="774" customFormat="1" ht="57" customHeight="1" thickBot="1" x14ac:dyDescent="0.4">
      <c r="B2" s="1541" t="s">
        <v>110</v>
      </c>
      <c r="C2" s="1541"/>
      <c r="D2" s="1541"/>
      <c r="E2" s="1541"/>
      <c r="F2" s="1541"/>
      <c r="G2" s="1541"/>
      <c r="H2" s="1541"/>
      <c r="I2" s="1541"/>
      <c r="J2" s="1541"/>
      <c r="K2" s="773"/>
      <c r="L2" s="773"/>
      <c r="M2" s="773"/>
      <c r="N2" s="773"/>
      <c r="O2" s="773"/>
      <c r="P2" s="773"/>
      <c r="Q2" s="773"/>
      <c r="R2" s="773"/>
      <c r="S2" s="773"/>
      <c r="T2" s="773"/>
      <c r="X2" s="775"/>
    </row>
    <row r="3" spans="2:24" hidden="1" x14ac:dyDescent="0.35"/>
    <row r="4" spans="2:24" ht="26" hidden="1" x14ac:dyDescent="0.3">
      <c r="J4" s="137"/>
      <c r="K4" s="137"/>
      <c r="L4" s="137"/>
      <c r="M4" s="444"/>
      <c r="N4" s="820" t="s">
        <v>111</v>
      </c>
      <c r="O4" s="822"/>
      <c r="P4" s="820" t="s">
        <v>112</v>
      </c>
      <c r="Q4" s="822"/>
      <c r="R4" s="820" t="s">
        <v>113</v>
      </c>
    </row>
    <row r="5" spans="2:24" hidden="1" x14ac:dyDescent="0.3">
      <c r="B5" s="831" t="s">
        <v>114</v>
      </c>
      <c r="C5" s="830"/>
      <c r="D5" s="830"/>
      <c r="E5" s="830"/>
      <c r="F5" s="830"/>
      <c r="G5" s="830"/>
      <c r="H5" s="441"/>
      <c r="J5" s="137" t="s">
        <v>115</v>
      </c>
      <c r="K5" s="137"/>
      <c r="L5" s="137"/>
      <c r="M5" s="68"/>
      <c r="N5" s="442">
        <f>'SUM for FWF Diagram_SLUDGE'!N5</f>
        <v>147700</v>
      </c>
      <c r="O5" s="821"/>
      <c r="P5" s="442">
        <f>'SUM for FWF Diagram_SLUDGE'!P5</f>
        <v>0</v>
      </c>
      <c r="Q5" s="821"/>
      <c r="R5" s="442">
        <f>'SUM for FWF Diagram_SLUDGE'!R5</f>
        <v>0</v>
      </c>
    </row>
    <row r="6" spans="2:24" hidden="1" x14ac:dyDescent="0.3">
      <c r="B6" s="440" t="s">
        <v>116</v>
      </c>
      <c r="C6" s="830"/>
      <c r="D6" s="830"/>
      <c r="E6" s="830"/>
      <c r="F6" s="830"/>
      <c r="G6" s="830"/>
      <c r="H6" s="441"/>
      <c r="J6" s="137"/>
      <c r="K6" s="137"/>
      <c r="L6" s="137"/>
      <c r="M6" s="68"/>
      <c r="N6" s="1520">
        <f>'SUM for FWF Diagram_SLUDGE'!N6</f>
        <v>0</v>
      </c>
      <c r="O6" s="821"/>
      <c r="P6" s="1520">
        <f>'SUM for FWF Diagram_SLUDGE'!P6</f>
        <v>0</v>
      </c>
      <c r="Q6" s="821"/>
      <c r="R6" s="1520">
        <f>'SUM for FWF Diagram_SLUDGE'!R6</f>
        <v>0</v>
      </c>
    </row>
    <row r="7" spans="2:24" hidden="1" x14ac:dyDescent="0.3">
      <c r="B7" s="440" t="s">
        <v>117</v>
      </c>
      <c r="C7" s="830"/>
      <c r="D7" s="830"/>
      <c r="E7" s="830"/>
      <c r="F7" s="830"/>
      <c r="G7" s="830"/>
      <c r="H7" s="441"/>
      <c r="J7" s="137"/>
      <c r="K7" s="137"/>
      <c r="L7" s="137"/>
      <c r="M7" s="443"/>
      <c r="N7" s="1520">
        <f>'SUM for FWF Diagram_SLUDGE'!N7</f>
        <v>0</v>
      </c>
      <c r="O7" s="821"/>
      <c r="P7" s="1520">
        <f>'SUM for FWF Diagram_SLUDGE'!P7</f>
        <v>0</v>
      </c>
      <c r="Q7" s="821"/>
      <c r="R7" s="1520">
        <f>'SUM for FWF Diagram_SLUDGE'!R7</f>
        <v>0</v>
      </c>
    </row>
    <row r="8" spans="2:24" hidden="1" x14ac:dyDescent="0.3">
      <c r="B8" s="440" t="s">
        <v>118</v>
      </c>
      <c r="C8" s="830"/>
      <c r="D8" s="830"/>
      <c r="E8" s="830"/>
      <c r="F8" s="830"/>
      <c r="G8" s="830"/>
      <c r="H8" s="441"/>
      <c r="J8" s="137"/>
      <c r="K8" s="137"/>
      <c r="L8" s="137"/>
      <c r="M8" s="443"/>
      <c r="N8" s="1520">
        <f>'SUM for FWF Diagram_SLUDGE'!N8</f>
        <v>98575</v>
      </c>
      <c r="O8" s="821"/>
      <c r="P8" s="1520">
        <f>'SUM for FWF Diagram_SLUDGE'!P8</f>
        <v>0</v>
      </c>
      <c r="Q8" s="821"/>
      <c r="R8" s="1520">
        <f>'SUM for FWF Diagram_SLUDGE'!R8</f>
        <v>0</v>
      </c>
    </row>
    <row r="9" spans="2:24" hidden="1" x14ac:dyDescent="0.3">
      <c r="B9" s="440" t="s">
        <v>119</v>
      </c>
      <c r="C9" s="830"/>
      <c r="D9" s="830"/>
      <c r="E9" s="830"/>
      <c r="F9" s="830"/>
      <c r="G9" s="830"/>
      <c r="H9" s="441"/>
      <c r="J9" s="137"/>
      <c r="K9" s="137"/>
      <c r="L9" s="137"/>
      <c r="M9" s="443"/>
      <c r="N9" s="1520">
        <f>'SUM for FWF Diagram_SLUDGE'!N9</f>
        <v>49125</v>
      </c>
      <c r="O9" s="821"/>
      <c r="P9" s="1520">
        <f>'SUM for FWF Diagram_SLUDGE'!P9</f>
        <v>0</v>
      </c>
      <c r="Q9" s="821"/>
      <c r="R9" s="1520">
        <f>'SUM for FWF Diagram_SLUDGE'!R9</f>
        <v>0</v>
      </c>
    </row>
    <row r="10" spans="2:24" hidden="1" x14ac:dyDescent="0.3">
      <c r="J10" s="137"/>
      <c r="K10" s="137"/>
      <c r="L10" s="137"/>
      <c r="M10" s="443"/>
      <c r="O10" s="67"/>
      <c r="Q10" s="67"/>
    </row>
    <row r="11" spans="2:24" ht="26" hidden="1" x14ac:dyDescent="0.3">
      <c r="J11" s="137"/>
      <c r="K11" s="137"/>
      <c r="L11" s="137"/>
      <c r="M11" s="443"/>
      <c r="N11" s="820" t="s">
        <v>120</v>
      </c>
      <c r="O11" s="822"/>
      <c r="P11" s="820" t="s">
        <v>121</v>
      </c>
      <c r="Q11" s="822"/>
      <c r="R11" s="820" t="s">
        <v>122</v>
      </c>
    </row>
    <row r="12" spans="2:24" hidden="1" x14ac:dyDescent="0.3">
      <c r="J12" s="137"/>
      <c r="K12" s="137"/>
      <c r="L12" s="137"/>
      <c r="M12" s="443"/>
      <c r="N12" s="325">
        <f>'SUM for FWF Diagram_SLUDGE'!N12</f>
        <v>0</v>
      </c>
      <c r="O12" s="821"/>
      <c r="P12" s="325">
        <f>'SUM for FWF Diagram_SLUDGE'!P12</f>
        <v>147900</v>
      </c>
      <c r="Q12" s="821"/>
      <c r="R12" s="325">
        <f>'SUM for FWF Diagram_SLUDGE'!R12</f>
        <v>0</v>
      </c>
    </row>
    <row r="13" spans="2:24" hidden="1" x14ac:dyDescent="0.3">
      <c r="J13" s="137"/>
      <c r="K13" s="137"/>
      <c r="L13" s="137"/>
      <c r="M13" s="443"/>
      <c r="N13" s="1520">
        <f>'SUM for FWF Diagram_SLUDGE'!N13</f>
        <v>0</v>
      </c>
      <c r="O13" s="821"/>
      <c r="P13" s="1520">
        <f>'SUM for FWF Diagram_SLUDGE'!P13</f>
        <v>0</v>
      </c>
      <c r="Q13" s="821"/>
      <c r="R13" s="1520">
        <f>'SUM for FWF Diagram_SLUDGE'!R13</f>
        <v>0</v>
      </c>
    </row>
    <row r="14" spans="2:24" hidden="1" x14ac:dyDescent="0.3">
      <c r="J14" s="137"/>
      <c r="K14" s="137"/>
      <c r="L14" s="137"/>
      <c r="M14" s="443"/>
      <c r="N14" s="1520">
        <f>'SUM for FWF Diagram_SLUDGE'!N14</f>
        <v>0</v>
      </c>
      <c r="O14" s="821"/>
      <c r="P14" s="1520">
        <f>'SUM for FWF Diagram_SLUDGE'!P14</f>
        <v>0</v>
      </c>
      <c r="Q14" s="821"/>
      <c r="R14" s="1520">
        <f>'SUM for FWF Diagram_SLUDGE'!R14</f>
        <v>0</v>
      </c>
    </row>
    <row r="15" spans="2:24" hidden="1" x14ac:dyDescent="0.3">
      <c r="J15" s="137"/>
      <c r="K15" s="137"/>
      <c r="L15" s="137"/>
      <c r="M15" s="443"/>
      <c r="N15" s="1520">
        <f>'SUM for FWF Diagram_SLUDGE'!N15</f>
        <v>0</v>
      </c>
      <c r="O15" s="821"/>
      <c r="P15" s="1520">
        <f>'SUM for FWF Diagram_SLUDGE'!P15</f>
        <v>98710</v>
      </c>
      <c r="Q15" s="821"/>
      <c r="R15" s="1520">
        <f>'SUM for FWF Diagram_SLUDGE'!R15</f>
        <v>0</v>
      </c>
    </row>
    <row r="16" spans="2:24" hidden="1" x14ac:dyDescent="0.3">
      <c r="J16" s="137"/>
      <c r="K16" s="137"/>
      <c r="L16" s="137"/>
      <c r="M16" s="443"/>
      <c r="N16" s="1520">
        <f>'SUM for FWF Diagram_SLUDGE'!N16</f>
        <v>0</v>
      </c>
      <c r="O16" s="821"/>
      <c r="P16" s="1520">
        <f>'SUM for FWF Diagram_SLUDGE'!P16</f>
        <v>49190</v>
      </c>
      <c r="Q16" s="821"/>
      <c r="R16" s="1520">
        <f>'SUM for FWF Diagram_SLUDGE'!R16</f>
        <v>0</v>
      </c>
    </row>
    <row r="17" spans="1:25" hidden="1" x14ac:dyDescent="0.3">
      <c r="J17" s="137"/>
      <c r="K17" s="137"/>
      <c r="L17" s="137"/>
      <c r="M17" s="443"/>
      <c r="N17" s="67"/>
      <c r="O17" s="67"/>
      <c r="P17" s="67"/>
      <c r="Q17" s="67"/>
      <c r="R17" s="67"/>
    </row>
    <row r="18" spans="1:25" hidden="1" x14ac:dyDescent="0.35">
      <c r="M18" s="443"/>
      <c r="N18" s="67"/>
      <c r="O18" s="67"/>
      <c r="P18" s="67"/>
      <c r="Q18" s="67"/>
      <c r="R18" s="67"/>
    </row>
    <row r="19" spans="1:25" hidden="1" x14ac:dyDescent="0.35">
      <c r="M19" s="443"/>
    </row>
    <row r="20" spans="1:25" ht="35.15" customHeight="1" thickBot="1" x14ac:dyDescent="0.6">
      <c r="A20" s="1281"/>
      <c r="B20" s="861" t="s">
        <v>123</v>
      </c>
      <c r="C20" s="766"/>
      <c r="D20" s="766"/>
      <c r="E20" s="766"/>
      <c r="F20" s="766"/>
      <c r="G20" s="766"/>
      <c r="H20" s="766"/>
      <c r="I20" s="766"/>
      <c r="J20" s="766"/>
      <c r="K20" s="766"/>
      <c r="L20" s="766"/>
      <c r="M20" s="766"/>
      <c r="N20" s="766"/>
      <c r="O20" s="766"/>
      <c r="P20" s="766"/>
      <c r="Q20" s="766"/>
      <c r="R20" s="766"/>
      <c r="S20" s="766"/>
      <c r="T20" s="766"/>
      <c r="U20" s="767"/>
      <c r="V20" s="842" t="s">
        <v>124</v>
      </c>
      <c r="W20" s="771"/>
      <c r="X20" s="771"/>
      <c r="Y20" s="843"/>
    </row>
    <row r="21" spans="1:25" ht="36" customHeight="1" x14ac:dyDescent="0.35"/>
    <row r="22" spans="1:25" s="446" customFormat="1" ht="48" customHeight="1" x14ac:dyDescent="0.35">
      <c r="B22" s="765" t="s">
        <v>125</v>
      </c>
      <c r="C22" s="445"/>
      <c r="D22" s="1542" t="s">
        <v>114</v>
      </c>
      <c r="E22" s="1543"/>
      <c r="F22" s="1544"/>
      <c r="G22" s="445"/>
      <c r="H22" s="765" t="s">
        <v>126</v>
      </c>
      <c r="I22" s="445"/>
      <c r="J22" s="819" t="s">
        <v>42</v>
      </c>
      <c r="K22" s="448"/>
      <c r="L22" s="765" t="s">
        <v>43</v>
      </c>
      <c r="M22" s="448"/>
      <c r="N22" s="536" t="s">
        <v>44</v>
      </c>
      <c r="O22" s="448"/>
      <c r="P22" s="536" t="s">
        <v>45</v>
      </c>
      <c r="Q22" s="448"/>
      <c r="R22" s="536" t="s">
        <v>46</v>
      </c>
      <c r="S22" s="448"/>
      <c r="T22" s="765" t="s">
        <v>127</v>
      </c>
    </row>
    <row r="23" spans="1:25" s="332" customFormat="1" ht="14.5" x14ac:dyDescent="0.35">
      <c r="C23" s="24"/>
      <c r="D23" s="446"/>
      <c r="E23" s="446"/>
      <c r="F23" s="446"/>
      <c r="G23" s="446"/>
      <c r="H23" s="446"/>
      <c r="I23" s="446"/>
      <c r="J23" s="446"/>
      <c r="K23" s="446"/>
      <c r="L23" s="446"/>
      <c r="M23" s="446"/>
      <c r="N23" s="446"/>
      <c r="O23" s="446"/>
      <c r="P23" s="446"/>
      <c r="Q23" s="446"/>
      <c r="R23" s="446"/>
      <c r="S23" s="446"/>
      <c r="T23" s="446"/>
    </row>
    <row r="24" spans="1:25" s="332" customFormat="1" ht="15" customHeight="1" x14ac:dyDescent="0.35">
      <c r="B24" s="1545">
        <f>Overview_ALL!C6</f>
        <v>34911075</v>
      </c>
      <c r="C24" s="24"/>
      <c r="D24" s="1548" t="s">
        <v>128</v>
      </c>
      <c r="E24" s="447"/>
      <c r="F24" s="447"/>
      <c r="G24" s="446"/>
      <c r="H24" s="1549">
        <f>'FW Flows_ALL'!C13</f>
        <v>25531850</v>
      </c>
      <c r="I24" s="446"/>
      <c r="J24" s="1553">
        <f>'FW Flows_ALL'!C13</f>
        <v>25531850</v>
      </c>
      <c r="K24" s="472"/>
      <c r="L24" s="1556">
        <f>'FW Flows_ALL'!G19</f>
        <v>25531850</v>
      </c>
      <c r="M24" s="472"/>
      <c r="N24" s="1556">
        <f>'FW Flows_ALL'!K19</f>
        <v>25531850</v>
      </c>
      <c r="O24" s="472"/>
      <c r="P24" s="1556">
        <f>'FW Flows_ALL'!O19</f>
        <v>22978675</v>
      </c>
      <c r="Q24" s="472"/>
      <c r="R24" s="1252">
        <f>'Treatment volumes'!G104</f>
        <v>8042536.25</v>
      </c>
      <c r="S24" s="472"/>
      <c r="T24" s="1252">
        <f>'Disposal volumes'!I188</f>
        <v>8042536.25</v>
      </c>
      <c r="V24" s="1602">
        <f>X99</f>
        <v>9274136.25</v>
      </c>
    </row>
    <row r="25" spans="1:25" s="332" customFormat="1" ht="8.15" customHeight="1" x14ac:dyDescent="0.35">
      <c r="B25" s="1546"/>
      <c r="C25" s="24"/>
      <c r="D25" s="1548"/>
      <c r="E25" s="447"/>
      <c r="F25" s="446"/>
      <c r="G25" s="446"/>
      <c r="H25" s="1550"/>
      <c r="I25" s="446"/>
      <c r="J25" s="1554"/>
      <c r="K25" s="472"/>
      <c r="L25" s="1557"/>
      <c r="M25" s="472"/>
      <c r="N25" s="1557"/>
      <c r="O25" s="472"/>
      <c r="P25" s="1557"/>
      <c r="Q25" s="472"/>
      <c r="R25" s="472"/>
      <c r="S25" s="472"/>
      <c r="T25" s="472"/>
      <c r="V25" s="1602"/>
    </row>
    <row r="26" spans="1:25" s="332" customFormat="1" ht="14.5" x14ac:dyDescent="0.35">
      <c r="B26" s="1546"/>
      <c r="C26" s="24"/>
      <c r="D26" s="1548"/>
      <c r="E26" s="447"/>
      <c r="F26" s="446"/>
      <c r="G26" s="446"/>
      <c r="H26" s="1550"/>
      <c r="I26" s="446"/>
      <c r="J26" s="1554"/>
      <c r="K26" s="472"/>
      <c r="L26" s="1557"/>
      <c r="M26" s="472"/>
      <c r="N26" s="1557"/>
      <c r="O26" s="472"/>
      <c r="P26" s="1558"/>
      <c r="Q26" s="472"/>
      <c r="R26" s="1249">
        <f>'Treatment volumes'!H104</f>
        <v>14936138.75</v>
      </c>
      <c r="S26" s="472"/>
      <c r="T26" s="1249">
        <f>R26</f>
        <v>14936138.75</v>
      </c>
      <c r="V26" s="1602"/>
    </row>
    <row r="27" spans="1:25" s="332" customFormat="1" ht="8.15" customHeight="1" x14ac:dyDescent="0.35">
      <c r="B27" s="1546"/>
      <c r="C27" s="24"/>
      <c r="D27" s="1548"/>
      <c r="E27" s="447"/>
      <c r="F27" s="446"/>
      <c r="G27" s="446"/>
      <c r="H27" s="1550"/>
      <c r="I27" s="446"/>
      <c r="J27" s="1554"/>
      <c r="K27" s="472"/>
      <c r="L27" s="1557"/>
      <c r="M27" s="472"/>
      <c r="N27" s="1557"/>
      <c r="O27" s="472"/>
      <c r="P27" s="472"/>
      <c r="Q27" s="472"/>
      <c r="R27" s="472"/>
      <c r="S27" s="472"/>
      <c r="T27" s="472"/>
      <c r="V27" s="1602"/>
    </row>
    <row r="28" spans="1:25" s="332" customFormat="1" ht="14.5" x14ac:dyDescent="0.35">
      <c r="B28" s="1546"/>
      <c r="C28" s="24"/>
      <c r="D28" s="1548"/>
      <c r="E28" s="447"/>
      <c r="F28" s="446"/>
      <c r="G28" s="446"/>
      <c r="H28" s="1550"/>
      <c r="I28" s="446"/>
      <c r="J28" s="1554"/>
      <c r="K28" s="472"/>
      <c r="L28" s="1558"/>
      <c r="M28" s="472"/>
      <c r="N28" s="1558"/>
      <c r="O28" s="472"/>
      <c r="P28" s="1249">
        <f>'FW Flows_ALL'!O32</f>
        <v>2553175</v>
      </c>
      <c r="Q28" s="472"/>
      <c r="R28" s="472"/>
      <c r="S28" s="472"/>
      <c r="T28" s="472"/>
      <c r="V28" s="1602"/>
    </row>
    <row r="29" spans="1:25" s="332" customFormat="1" ht="8.15" customHeight="1" x14ac:dyDescent="0.35">
      <c r="B29" s="1546"/>
      <c r="C29" s="24"/>
      <c r="D29" s="1548"/>
      <c r="E29" s="447"/>
      <c r="F29" s="446"/>
      <c r="G29" s="446"/>
      <c r="H29" s="1550"/>
      <c r="I29" s="446"/>
      <c r="J29" s="1554"/>
      <c r="K29" s="472"/>
      <c r="L29" s="1166"/>
      <c r="M29" s="472"/>
      <c r="N29" s="1166"/>
      <c r="O29" s="472"/>
      <c r="P29" s="833"/>
      <c r="Q29" s="472"/>
      <c r="R29" s="472"/>
      <c r="S29" s="472"/>
      <c r="T29" s="472"/>
      <c r="V29" s="1602"/>
    </row>
    <row r="30" spans="1:25" s="332" customFormat="1" ht="14.5" x14ac:dyDescent="0.35">
      <c r="B30" s="1546"/>
      <c r="C30" s="24"/>
      <c r="D30" s="1548"/>
      <c r="E30" s="447"/>
      <c r="F30" s="446"/>
      <c r="G30" s="446"/>
      <c r="H30" s="1550"/>
      <c r="I30" s="446"/>
      <c r="J30" s="1554"/>
      <c r="K30" s="472"/>
      <c r="L30" s="1553">
        <f>'FW Flows_ALL'!G13</f>
        <v>0</v>
      </c>
      <c r="M30" s="472"/>
      <c r="N30" s="1553">
        <f>N6</f>
        <v>0</v>
      </c>
      <c r="O30" s="472"/>
      <c r="P30" s="1556">
        <f>P6</f>
        <v>0</v>
      </c>
      <c r="Q30" s="472"/>
      <c r="R30" s="1252">
        <f>R6</f>
        <v>0</v>
      </c>
      <c r="S30" s="472"/>
      <c r="T30" s="1252">
        <f>R30</f>
        <v>0</v>
      </c>
      <c r="V30" s="1602"/>
    </row>
    <row r="31" spans="1:25" s="332" customFormat="1" ht="8.15" customHeight="1" x14ac:dyDescent="0.35">
      <c r="B31" s="1546"/>
      <c r="C31" s="24"/>
      <c r="D31" s="1548"/>
      <c r="E31" s="447"/>
      <c r="F31" s="446"/>
      <c r="G31" s="446"/>
      <c r="H31" s="1550"/>
      <c r="I31" s="446"/>
      <c r="J31" s="1554"/>
      <c r="K31" s="472"/>
      <c r="L31" s="1554"/>
      <c r="M31" s="472"/>
      <c r="N31" s="1554"/>
      <c r="O31" s="472"/>
      <c r="P31" s="1557"/>
      <c r="Q31" s="472"/>
      <c r="R31" s="472"/>
      <c r="S31" s="472"/>
      <c r="T31" s="472"/>
      <c r="V31" s="1602"/>
    </row>
    <row r="32" spans="1:25" s="332" customFormat="1" ht="14.5" x14ac:dyDescent="0.35">
      <c r="B32" s="1546"/>
      <c r="C32" s="24"/>
      <c r="D32" s="1548"/>
      <c r="E32" s="447"/>
      <c r="F32" s="446"/>
      <c r="G32" s="446"/>
      <c r="H32" s="1550"/>
      <c r="I32" s="446"/>
      <c r="J32" s="1554"/>
      <c r="K32" s="472"/>
      <c r="L32" s="1554"/>
      <c r="M32" s="472"/>
      <c r="N32" s="1554"/>
      <c r="O32" s="472"/>
      <c r="P32" s="1558"/>
      <c r="Q32" s="472"/>
      <c r="R32" s="1249">
        <f>R13</f>
        <v>0</v>
      </c>
      <c r="S32" s="472"/>
      <c r="T32" s="1249">
        <f>R32</f>
        <v>0</v>
      </c>
      <c r="V32" s="1602"/>
    </row>
    <row r="33" spans="2:27" s="332" customFormat="1" ht="8.15" customHeight="1" x14ac:dyDescent="0.35">
      <c r="B33" s="1546"/>
      <c r="C33" s="24"/>
      <c r="D33" s="1548"/>
      <c r="E33" s="447"/>
      <c r="F33" s="446"/>
      <c r="G33" s="446"/>
      <c r="H33" s="1550"/>
      <c r="I33" s="446"/>
      <c r="J33" s="1554"/>
      <c r="K33" s="472"/>
      <c r="L33" s="1554"/>
      <c r="M33" s="472"/>
      <c r="N33" s="1554"/>
      <c r="O33" s="472"/>
      <c r="P33" s="833"/>
      <c r="Q33" s="472"/>
      <c r="R33" s="472"/>
      <c r="S33" s="472"/>
      <c r="T33" s="472"/>
      <c r="V33" s="1602"/>
    </row>
    <row r="34" spans="2:27" s="332" customFormat="1" ht="14.5" x14ac:dyDescent="0.35">
      <c r="B34" s="1546"/>
      <c r="C34" s="24"/>
      <c r="D34" s="1548"/>
      <c r="E34" s="447"/>
      <c r="F34" s="446"/>
      <c r="G34" s="446"/>
      <c r="H34" s="1550"/>
      <c r="I34" s="446"/>
      <c r="J34" s="1554"/>
      <c r="K34" s="472"/>
      <c r="L34" s="1554"/>
      <c r="M34" s="472"/>
      <c r="N34" s="1555"/>
      <c r="O34" s="472"/>
      <c r="P34" s="1249">
        <f>N30-P30</f>
        <v>0</v>
      </c>
      <c r="Q34" s="472"/>
      <c r="R34" s="472"/>
      <c r="S34" s="472"/>
      <c r="T34" s="472"/>
      <c r="V34" s="1602"/>
    </row>
    <row r="35" spans="2:27" s="332" customFormat="1" ht="8.15" customHeight="1" x14ac:dyDescent="0.35">
      <c r="B35" s="1546"/>
      <c r="C35" s="24"/>
      <c r="D35" s="1548"/>
      <c r="E35" s="447"/>
      <c r="F35" s="446"/>
      <c r="G35" s="446"/>
      <c r="H35" s="1550"/>
      <c r="I35" s="446"/>
      <c r="J35" s="1554"/>
      <c r="K35" s="472"/>
      <c r="L35" s="1554"/>
      <c r="M35" s="472"/>
      <c r="N35" s="1166"/>
      <c r="O35" s="472"/>
      <c r="P35" s="833"/>
      <c r="Q35" s="472"/>
      <c r="R35" s="472"/>
      <c r="S35" s="472"/>
      <c r="T35" s="472"/>
      <c r="V35" s="1602"/>
    </row>
    <row r="36" spans="2:27" s="332" customFormat="1" ht="14.5" x14ac:dyDescent="0.35">
      <c r="B36" s="1546"/>
      <c r="C36" s="24"/>
      <c r="D36" s="1548"/>
      <c r="E36" s="447"/>
      <c r="F36" s="446"/>
      <c r="G36" s="446"/>
      <c r="H36" s="1552"/>
      <c r="I36" s="446"/>
      <c r="J36" s="1555"/>
      <c r="K36" s="472"/>
      <c r="L36" s="1555"/>
      <c r="M36" s="472"/>
      <c r="N36" s="1249">
        <f>L30-N30</f>
        <v>0</v>
      </c>
      <c r="O36" s="472"/>
      <c r="P36" s="833"/>
      <c r="Q36" s="472"/>
      <c r="R36" s="472"/>
      <c r="S36" s="472"/>
      <c r="T36" s="472"/>
      <c r="V36" s="1602"/>
    </row>
    <row r="37" spans="2:27" s="332" customFormat="1" ht="14.5" x14ac:dyDescent="0.35">
      <c r="B37" s="1546"/>
      <c r="C37" s="24"/>
      <c r="D37" s="446"/>
      <c r="E37" s="446"/>
      <c r="F37" s="446"/>
      <c r="G37" s="446"/>
      <c r="H37" s="446"/>
      <c r="I37" s="446"/>
      <c r="J37" s="472"/>
      <c r="K37" s="472"/>
      <c r="L37" s="475"/>
      <c r="M37" s="472"/>
      <c r="N37" s="472"/>
      <c r="O37" s="472"/>
      <c r="P37" s="472"/>
      <c r="Q37" s="472"/>
      <c r="R37" s="472"/>
      <c r="S37" s="472"/>
      <c r="T37" s="472"/>
      <c r="V37" s="1602"/>
    </row>
    <row r="38" spans="2:27" s="332" customFormat="1" ht="14.5" x14ac:dyDescent="0.35">
      <c r="B38" s="1546"/>
      <c r="C38" s="24"/>
      <c r="D38" s="1548" t="s">
        <v>117</v>
      </c>
      <c r="E38" s="447"/>
      <c r="F38" s="447"/>
      <c r="G38" s="446"/>
      <c r="H38" s="1549">
        <f>'FW Flows_ALL'!C14</f>
        <v>0</v>
      </c>
      <c r="I38" s="446"/>
      <c r="J38" s="1556">
        <f>'FW Flows_ALL'!C14</f>
        <v>0</v>
      </c>
      <c r="K38" s="472"/>
      <c r="L38" s="1556">
        <f>'FW Flows_ALL'!G14</f>
        <v>0</v>
      </c>
      <c r="M38" s="472"/>
      <c r="N38" s="1556">
        <f>'FW Flows_ALL'!K20-N44</f>
        <v>0</v>
      </c>
      <c r="O38" s="472"/>
      <c r="P38" s="1556">
        <f>'FW Flows_ALL'!K20</f>
        <v>0</v>
      </c>
      <c r="Q38" s="472"/>
      <c r="R38" s="1252">
        <f>'Treatment volumes'!B105</f>
        <v>0</v>
      </c>
      <c r="S38" s="472"/>
      <c r="T38" s="1252">
        <f>'Disposal volumes'!F160</f>
        <v>0</v>
      </c>
      <c r="V38" s="1602"/>
    </row>
    <row r="39" spans="2:27" s="332" customFormat="1" ht="8.15" customHeight="1" x14ac:dyDescent="0.35">
      <c r="B39" s="1546"/>
      <c r="C39" s="24"/>
      <c r="D39" s="1548"/>
      <c r="E39" s="447"/>
      <c r="F39" s="446"/>
      <c r="G39" s="446"/>
      <c r="H39" s="1550"/>
      <c r="I39" s="446"/>
      <c r="J39" s="1557"/>
      <c r="K39" s="472"/>
      <c r="L39" s="1557"/>
      <c r="M39" s="472"/>
      <c r="N39" s="1557"/>
      <c r="O39" s="472"/>
      <c r="P39" s="1557"/>
      <c r="Q39" s="472"/>
      <c r="R39" s="472"/>
      <c r="S39" s="472"/>
      <c r="T39" s="472"/>
      <c r="V39" s="1602"/>
    </row>
    <row r="40" spans="2:27" s="332" customFormat="1" ht="14.5" x14ac:dyDescent="0.35">
      <c r="B40" s="1546"/>
      <c r="C40" s="24"/>
      <c r="D40" s="1548"/>
      <c r="E40" s="447"/>
      <c r="F40" s="446"/>
      <c r="G40" s="446"/>
      <c r="H40" s="1550"/>
      <c r="I40" s="446"/>
      <c r="J40" s="1557"/>
      <c r="K40" s="472"/>
      <c r="L40" s="1557"/>
      <c r="M40" s="472"/>
      <c r="N40" s="1557"/>
      <c r="O40" s="472"/>
      <c r="P40" s="1558"/>
      <c r="Q40" s="472"/>
      <c r="R40" s="1249">
        <f>'Treatment volumes'!C105</f>
        <v>0</v>
      </c>
      <c r="S40" s="472"/>
      <c r="T40" s="1249">
        <v>0</v>
      </c>
      <c r="V40" s="1602"/>
      <c r="AA40" s="772"/>
    </row>
    <row r="41" spans="2:27" s="332" customFormat="1" ht="8.15" customHeight="1" x14ac:dyDescent="0.35">
      <c r="B41" s="1546"/>
      <c r="C41" s="24"/>
      <c r="D41" s="1548"/>
      <c r="E41" s="447"/>
      <c r="F41" s="446"/>
      <c r="G41" s="446"/>
      <c r="H41" s="1550"/>
      <c r="I41" s="446"/>
      <c r="J41" s="1557"/>
      <c r="K41" s="472"/>
      <c r="L41" s="1557"/>
      <c r="M41" s="472"/>
      <c r="N41" s="1557"/>
      <c r="O41" s="472"/>
      <c r="P41" s="472"/>
      <c r="Q41" s="472"/>
      <c r="R41" s="472"/>
      <c r="S41" s="472"/>
      <c r="T41" s="472"/>
      <c r="V41" s="1602"/>
    </row>
    <row r="42" spans="2:27" s="332" customFormat="1" ht="14.5" x14ac:dyDescent="0.35">
      <c r="B42" s="1546"/>
      <c r="C42" s="24"/>
      <c r="D42" s="1548"/>
      <c r="E42" s="447"/>
      <c r="F42" s="446"/>
      <c r="G42" s="446"/>
      <c r="H42" s="1550"/>
      <c r="I42" s="446"/>
      <c r="J42" s="1557"/>
      <c r="K42" s="472"/>
      <c r="L42" s="1557"/>
      <c r="M42" s="472"/>
      <c r="N42" s="1558"/>
      <c r="O42" s="472"/>
      <c r="P42" s="1249">
        <f>'FW Flows_ALL'!O33</f>
        <v>0</v>
      </c>
      <c r="Q42" s="472"/>
      <c r="R42" s="472"/>
      <c r="S42" s="472"/>
      <c r="T42" s="472"/>
      <c r="V42" s="1602"/>
    </row>
    <row r="43" spans="2:27" s="332" customFormat="1" ht="8.15" customHeight="1" x14ac:dyDescent="0.35">
      <c r="B43" s="1546"/>
      <c r="C43" s="24"/>
      <c r="D43" s="1548"/>
      <c r="E43" s="447"/>
      <c r="F43" s="446"/>
      <c r="G43" s="446"/>
      <c r="H43" s="1550"/>
      <c r="I43" s="446"/>
      <c r="J43" s="1557"/>
      <c r="K43" s="472"/>
      <c r="L43" s="1557"/>
      <c r="M43" s="472"/>
      <c r="N43" s="472"/>
      <c r="O43" s="472"/>
      <c r="P43" s="472"/>
      <c r="Q43" s="472"/>
      <c r="R43" s="472"/>
      <c r="S43" s="472"/>
      <c r="T43" s="472"/>
      <c r="V43" s="1602"/>
    </row>
    <row r="44" spans="2:27" s="332" customFormat="1" ht="15" customHeight="1" x14ac:dyDescent="0.35">
      <c r="B44" s="1546"/>
      <c r="C44" s="24"/>
      <c r="D44" s="1548"/>
      <c r="E44" s="447"/>
      <c r="F44" s="446"/>
      <c r="G44" s="446"/>
      <c r="H44" s="1550"/>
      <c r="I44" s="446"/>
      <c r="J44" s="1557"/>
      <c r="K44" s="472"/>
      <c r="L44" s="1557"/>
      <c r="M44" s="472"/>
      <c r="N44" s="1556">
        <f>N7</f>
        <v>0</v>
      </c>
      <c r="O44" s="472"/>
      <c r="P44" s="1553">
        <f>P7</f>
        <v>0</v>
      </c>
      <c r="Q44" s="472"/>
      <c r="R44" s="1252">
        <f>R7</f>
        <v>0</v>
      </c>
      <c r="S44" s="472"/>
      <c r="T44" s="1252">
        <f>R44</f>
        <v>0</v>
      </c>
      <c r="V44" s="1602"/>
    </row>
    <row r="45" spans="2:27" s="332" customFormat="1" ht="8.15" customHeight="1" x14ac:dyDescent="0.35">
      <c r="B45" s="1546"/>
      <c r="C45" s="24"/>
      <c r="D45" s="1548"/>
      <c r="E45" s="447"/>
      <c r="F45" s="446"/>
      <c r="G45" s="446"/>
      <c r="H45" s="1550"/>
      <c r="I45" s="446"/>
      <c r="J45" s="1557"/>
      <c r="K45" s="472"/>
      <c r="L45" s="1557"/>
      <c r="M45" s="472"/>
      <c r="N45" s="1557"/>
      <c r="O45" s="472"/>
      <c r="P45" s="1554"/>
      <c r="Q45" s="472"/>
      <c r="R45" s="472"/>
      <c r="S45" s="472"/>
      <c r="T45" s="472"/>
      <c r="V45" s="1602"/>
    </row>
    <row r="46" spans="2:27" s="332" customFormat="1" ht="15" customHeight="1" x14ac:dyDescent="0.35">
      <c r="B46" s="1546"/>
      <c r="C46" s="24"/>
      <c r="D46" s="1548"/>
      <c r="E46" s="447"/>
      <c r="F46" s="446"/>
      <c r="G46" s="446"/>
      <c r="H46" s="1550"/>
      <c r="I46" s="446"/>
      <c r="J46" s="1557"/>
      <c r="K46" s="472"/>
      <c r="L46" s="1557"/>
      <c r="M46" s="472"/>
      <c r="N46" s="1562"/>
      <c r="O46" s="472"/>
      <c r="P46" s="1555"/>
      <c r="Q46" s="472"/>
      <c r="R46" s="1249">
        <f>R14</f>
        <v>0</v>
      </c>
      <c r="S46" s="472"/>
      <c r="T46" s="1249">
        <v>0</v>
      </c>
      <c r="V46" s="1602"/>
    </row>
    <row r="47" spans="2:27" s="332" customFormat="1" ht="8.15" customHeight="1" x14ac:dyDescent="0.35">
      <c r="B47" s="1546"/>
      <c r="C47" s="24"/>
      <c r="D47" s="1548"/>
      <c r="E47" s="447"/>
      <c r="F47" s="446"/>
      <c r="G47" s="446"/>
      <c r="H47" s="1550"/>
      <c r="I47" s="446"/>
      <c r="J47" s="1557"/>
      <c r="K47" s="472"/>
      <c r="L47" s="1557"/>
      <c r="M47" s="472"/>
      <c r="N47" s="1562"/>
      <c r="O47" s="472"/>
      <c r="P47" s="472"/>
      <c r="Q47" s="472"/>
      <c r="R47" s="472"/>
      <c r="S47" s="472"/>
      <c r="T47" s="472"/>
      <c r="V47" s="1602"/>
    </row>
    <row r="48" spans="2:27" s="332" customFormat="1" ht="14.5" x14ac:dyDescent="0.35">
      <c r="B48" s="1546"/>
      <c r="C48" s="24"/>
      <c r="D48" s="1548"/>
      <c r="E48" s="447"/>
      <c r="F48" s="446"/>
      <c r="G48" s="446"/>
      <c r="H48" s="1550"/>
      <c r="I48" s="446"/>
      <c r="J48" s="1557"/>
      <c r="K48" s="472"/>
      <c r="L48" s="1557"/>
      <c r="M48" s="472"/>
      <c r="N48" s="1558"/>
      <c r="O48" s="472"/>
      <c r="P48" s="1249">
        <f>P14</f>
        <v>0</v>
      </c>
      <c r="Q48" s="472"/>
      <c r="R48" s="472"/>
      <c r="S48" s="472"/>
      <c r="T48" s="472"/>
      <c r="V48" s="1602"/>
    </row>
    <row r="49" spans="2:22" s="332" customFormat="1" ht="8.15" customHeight="1" x14ac:dyDescent="0.35">
      <c r="B49" s="1546"/>
      <c r="C49" s="24"/>
      <c r="D49" s="1548"/>
      <c r="E49" s="447"/>
      <c r="F49" s="446"/>
      <c r="G49" s="446"/>
      <c r="H49" s="1550"/>
      <c r="I49" s="446"/>
      <c r="J49" s="1557"/>
      <c r="K49" s="472"/>
      <c r="L49" s="1557"/>
      <c r="M49" s="472"/>
      <c r="N49" s="472"/>
      <c r="O49" s="472"/>
      <c r="P49" s="472"/>
      <c r="Q49" s="472"/>
      <c r="R49" s="472"/>
      <c r="S49" s="472"/>
      <c r="T49" s="472"/>
      <c r="V49" s="1602"/>
    </row>
    <row r="50" spans="2:22" s="332" customFormat="1" ht="14.5" x14ac:dyDescent="0.35">
      <c r="B50" s="1546"/>
      <c r="C50" s="24"/>
      <c r="D50" s="1548"/>
      <c r="E50" s="447"/>
      <c r="F50" s="446"/>
      <c r="G50" s="446"/>
      <c r="H50" s="1550"/>
      <c r="I50" s="446"/>
      <c r="J50" s="1557"/>
      <c r="K50" s="472"/>
      <c r="L50" s="1557"/>
      <c r="M50" s="472"/>
      <c r="N50" s="1249">
        <f>N14</f>
        <v>0</v>
      </c>
      <c r="O50" s="472"/>
      <c r="P50" s="472"/>
      <c r="Q50" s="472"/>
      <c r="R50" s="472"/>
      <c r="S50" s="472"/>
      <c r="T50" s="472"/>
      <c r="V50" s="1602"/>
    </row>
    <row r="51" spans="2:22" s="332" customFormat="1" ht="8.15" customHeight="1" x14ac:dyDescent="0.35">
      <c r="B51" s="1546"/>
      <c r="C51" s="24"/>
      <c r="D51" s="1548"/>
      <c r="E51" s="447"/>
      <c r="F51" s="446"/>
      <c r="G51" s="446"/>
      <c r="H51" s="1550"/>
      <c r="I51" s="446"/>
      <c r="J51" s="1557"/>
      <c r="K51" s="472"/>
      <c r="L51" s="1557"/>
      <c r="M51" s="472"/>
      <c r="N51" s="472"/>
      <c r="O51" s="472"/>
      <c r="P51" s="472"/>
      <c r="Q51" s="472"/>
      <c r="R51" s="472"/>
      <c r="S51" s="472"/>
      <c r="T51" s="472"/>
      <c r="V51" s="1602"/>
    </row>
    <row r="52" spans="2:22" s="332" customFormat="1" ht="14.5" x14ac:dyDescent="0.35">
      <c r="B52" s="1546"/>
      <c r="C52" s="24"/>
      <c r="D52" s="1548"/>
      <c r="E52" s="447"/>
      <c r="F52" s="446"/>
      <c r="G52" s="446"/>
      <c r="H52" s="1550"/>
      <c r="I52" s="446"/>
      <c r="J52" s="1557"/>
      <c r="K52" s="472"/>
      <c r="L52" s="1558"/>
      <c r="M52" s="472"/>
      <c r="N52" s="1249">
        <f>L38-N38-N44-N50</f>
        <v>0</v>
      </c>
      <c r="O52" s="472"/>
      <c r="P52" s="472"/>
      <c r="Q52" s="472"/>
      <c r="R52" s="472"/>
      <c r="S52" s="472"/>
      <c r="T52" s="472"/>
      <c r="V52" s="1602"/>
    </row>
    <row r="53" spans="2:22" s="332" customFormat="1" ht="8.15" customHeight="1" x14ac:dyDescent="0.35">
      <c r="B53" s="1546"/>
      <c r="C53" s="24"/>
      <c r="D53" s="1548"/>
      <c r="E53" s="447"/>
      <c r="F53" s="446"/>
      <c r="G53" s="446"/>
      <c r="H53" s="1550"/>
      <c r="I53" s="446"/>
      <c r="J53" s="1557"/>
      <c r="K53" s="472"/>
      <c r="L53" s="475"/>
      <c r="M53" s="472"/>
      <c r="N53" s="472"/>
      <c r="O53" s="472"/>
      <c r="P53" s="472"/>
      <c r="Q53" s="472"/>
      <c r="R53" s="472"/>
      <c r="S53" s="472"/>
      <c r="T53" s="472"/>
      <c r="V53" s="1602"/>
    </row>
    <row r="54" spans="2:22" s="332" customFormat="1" ht="14.5" x14ac:dyDescent="0.35">
      <c r="B54" s="1546"/>
      <c r="C54" s="24"/>
      <c r="D54" s="1548"/>
      <c r="E54" s="447"/>
      <c r="F54" s="446"/>
      <c r="G54" s="446"/>
      <c r="H54" s="1552"/>
      <c r="I54" s="446"/>
      <c r="J54" s="1558"/>
      <c r="K54" s="472"/>
      <c r="L54" s="1249">
        <f>'FW Flows_ALL'!G24</f>
        <v>0</v>
      </c>
      <c r="M54" s="472"/>
      <c r="N54" s="472"/>
      <c r="O54" s="472"/>
      <c r="P54" s="472"/>
      <c r="Q54" s="472"/>
      <c r="R54" s="472"/>
      <c r="S54" s="472"/>
      <c r="T54" s="472"/>
      <c r="V54" s="1602"/>
    </row>
    <row r="55" spans="2:22" s="332" customFormat="1" ht="14.5" x14ac:dyDescent="0.35">
      <c r="B55" s="1546"/>
      <c r="C55" s="24"/>
      <c r="D55" s="446"/>
      <c r="E55" s="446"/>
      <c r="F55" s="446"/>
      <c r="G55" s="446"/>
      <c r="H55" s="446"/>
      <c r="I55" s="446"/>
      <c r="J55" s="472"/>
      <c r="K55" s="472"/>
      <c r="L55" s="475"/>
      <c r="M55" s="472"/>
      <c r="N55" s="472"/>
      <c r="O55" s="472"/>
      <c r="P55" s="472"/>
      <c r="Q55" s="472"/>
      <c r="R55" s="472"/>
      <c r="S55" s="472"/>
      <c r="T55" s="472"/>
      <c r="V55" s="1602"/>
    </row>
    <row r="56" spans="2:22" s="332" customFormat="1" ht="14.5" x14ac:dyDescent="0.35">
      <c r="B56" s="1546"/>
      <c r="C56" s="24"/>
      <c r="D56" s="1548" t="s">
        <v>129</v>
      </c>
      <c r="E56" s="445"/>
      <c r="F56" s="1548" t="s">
        <v>130</v>
      </c>
      <c r="G56" s="446"/>
      <c r="H56" s="1549">
        <f>'FW Flows_ALL'!C15</f>
        <v>7277950</v>
      </c>
      <c r="I56" s="446"/>
      <c r="J56" s="1556">
        <f>'FW Flows_ALL'!C15</f>
        <v>7277950</v>
      </c>
      <c r="K56" s="472"/>
      <c r="L56" s="1556">
        <f>'FW Flows_ALL'!G15</f>
        <v>6256575</v>
      </c>
      <c r="M56" s="472"/>
      <c r="N56" s="1556">
        <f>'FW Flows_ALL'!K21</f>
        <v>6158000</v>
      </c>
      <c r="O56" s="472"/>
      <c r="P56" s="1556">
        <f>'FW Flows_ALL'!O21</f>
        <v>6158000</v>
      </c>
      <c r="Q56" s="472"/>
      <c r="R56" s="1252">
        <f>'Treatment volumes'!B106</f>
        <v>1231600</v>
      </c>
      <c r="S56" s="472"/>
      <c r="T56" s="1252">
        <f>'Disposal volumes'!F161</f>
        <v>1231600</v>
      </c>
      <c r="V56" s="1602"/>
    </row>
    <row r="57" spans="2:22" s="332" customFormat="1" ht="8.15" customHeight="1" x14ac:dyDescent="0.35">
      <c r="B57" s="1546"/>
      <c r="C57" s="24"/>
      <c r="D57" s="1548"/>
      <c r="E57" s="445"/>
      <c r="F57" s="1548"/>
      <c r="G57" s="446"/>
      <c r="H57" s="1550"/>
      <c r="I57" s="446"/>
      <c r="J57" s="1557"/>
      <c r="K57" s="472"/>
      <c r="L57" s="1557"/>
      <c r="M57" s="472"/>
      <c r="N57" s="1557"/>
      <c r="O57" s="472"/>
      <c r="P57" s="1557"/>
      <c r="Q57" s="472"/>
      <c r="R57" s="472"/>
      <c r="S57" s="472"/>
      <c r="T57" s="472"/>
      <c r="V57" s="1602"/>
    </row>
    <row r="58" spans="2:22" s="332" customFormat="1" ht="14.5" x14ac:dyDescent="0.35">
      <c r="B58" s="1546"/>
      <c r="C58" s="24"/>
      <c r="D58" s="1548"/>
      <c r="E58" s="445"/>
      <c r="F58" s="1548"/>
      <c r="G58" s="446"/>
      <c r="H58" s="1550"/>
      <c r="I58" s="446"/>
      <c r="J58" s="1557"/>
      <c r="K58" s="472"/>
      <c r="L58" s="1557"/>
      <c r="M58" s="472"/>
      <c r="N58" s="1558"/>
      <c r="O58" s="472"/>
      <c r="P58" s="1558"/>
      <c r="Q58" s="472"/>
      <c r="R58" s="1249">
        <f>'Treatment volumes'!C106</f>
        <v>4926400</v>
      </c>
      <c r="S58" s="472"/>
      <c r="T58" s="1249">
        <f>R58</f>
        <v>4926400</v>
      </c>
      <c r="V58" s="1602"/>
    </row>
    <row r="59" spans="2:22" s="332" customFormat="1" ht="8.15" customHeight="1" x14ac:dyDescent="0.35">
      <c r="B59" s="1546"/>
      <c r="C59" s="24"/>
      <c r="D59" s="1548"/>
      <c r="E59" s="445"/>
      <c r="F59" s="1548"/>
      <c r="G59" s="446"/>
      <c r="H59" s="1550"/>
      <c r="I59" s="446"/>
      <c r="J59" s="1557"/>
      <c r="K59" s="472"/>
      <c r="L59" s="1557"/>
      <c r="M59" s="472"/>
      <c r="N59" s="472"/>
      <c r="O59" s="472"/>
      <c r="P59" s="472"/>
      <c r="Q59" s="472"/>
      <c r="R59" s="472"/>
      <c r="S59" s="472"/>
      <c r="T59" s="472"/>
      <c r="V59" s="1602"/>
    </row>
    <row r="60" spans="2:22" s="332" customFormat="1" ht="14.5" x14ac:dyDescent="0.35">
      <c r="B60" s="1546"/>
      <c r="C60" s="24"/>
      <c r="D60" s="1548"/>
      <c r="E60" s="445"/>
      <c r="F60" s="1548"/>
      <c r="G60" s="446"/>
      <c r="H60" s="1550"/>
      <c r="I60" s="446"/>
      <c r="J60" s="1557"/>
      <c r="K60" s="472"/>
      <c r="L60" s="1557"/>
      <c r="M60" s="472"/>
      <c r="N60" s="1556">
        <f>N8</f>
        <v>98575</v>
      </c>
      <c r="O60" s="472"/>
      <c r="P60" s="1556">
        <f>P8</f>
        <v>0</v>
      </c>
      <c r="Q60" s="472"/>
      <c r="R60" s="1252">
        <f>R8</f>
        <v>0</v>
      </c>
      <c r="S60" s="472"/>
      <c r="T60" s="1252">
        <f>R60</f>
        <v>0</v>
      </c>
      <c r="V60" s="1602"/>
    </row>
    <row r="61" spans="2:22" s="332" customFormat="1" ht="8.15" customHeight="1" x14ac:dyDescent="0.35">
      <c r="B61" s="1546"/>
      <c r="C61" s="24"/>
      <c r="D61" s="1548"/>
      <c r="E61" s="445"/>
      <c r="F61" s="1548"/>
      <c r="G61" s="446"/>
      <c r="H61" s="1550"/>
      <c r="I61" s="446"/>
      <c r="J61" s="1557"/>
      <c r="K61" s="472"/>
      <c r="L61" s="1557"/>
      <c r="M61" s="472"/>
      <c r="N61" s="1557"/>
      <c r="O61" s="472"/>
      <c r="P61" s="1557"/>
      <c r="Q61" s="472"/>
      <c r="R61" s="472"/>
      <c r="S61" s="472"/>
      <c r="T61" s="472"/>
      <c r="V61" s="1602"/>
    </row>
    <row r="62" spans="2:22" s="332" customFormat="1" ht="14.5" x14ac:dyDescent="0.35">
      <c r="B62" s="1546"/>
      <c r="C62" s="24"/>
      <c r="D62" s="1548"/>
      <c r="E62" s="445"/>
      <c r="F62" s="1548"/>
      <c r="G62" s="446"/>
      <c r="H62" s="1550"/>
      <c r="I62" s="446"/>
      <c r="J62" s="1557"/>
      <c r="K62" s="472"/>
      <c r="L62" s="1557"/>
      <c r="M62" s="472"/>
      <c r="N62" s="1557"/>
      <c r="O62" s="472"/>
      <c r="P62" s="1558"/>
      <c r="Q62" s="472"/>
      <c r="R62" s="1249">
        <f>R15</f>
        <v>0</v>
      </c>
      <c r="S62" s="472"/>
      <c r="T62" s="1249">
        <v>0</v>
      </c>
      <c r="V62" s="1602"/>
    </row>
    <row r="63" spans="2:22" s="332" customFormat="1" ht="8.15" customHeight="1" x14ac:dyDescent="0.35">
      <c r="B63" s="1546"/>
      <c r="C63" s="24"/>
      <c r="D63" s="1548"/>
      <c r="E63" s="445"/>
      <c r="F63" s="1548"/>
      <c r="G63" s="446"/>
      <c r="H63" s="1550"/>
      <c r="I63" s="446"/>
      <c r="J63" s="1557"/>
      <c r="K63" s="472"/>
      <c r="L63" s="1557"/>
      <c r="M63" s="472"/>
      <c r="N63" s="1557"/>
      <c r="O63" s="472"/>
      <c r="P63" s="472"/>
      <c r="Q63" s="472"/>
      <c r="R63" s="472"/>
      <c r="S63" s="472"/>
      <c r="T63" s="472"/>
      <c r="V63" s="1602"/>
    </row>
    <row r="64" spans="2:22" s="332" customFormat="1" ht="14.5" x14ac:dyDescent="0.35">
      <c r="B64" s="1546"/>
      <c r="C64" s="24"/>
      <c r="D64" s="1548"/>
      <c r="E64" s="445"/>
      <c r="F64" s="1548"/>
      <c r="G64" s="446"/>
      <c r="H64" s="1550"/>
      <c r="I64" s="446"/>
      <c r="J64" s="1557"/>
      <c r="K64" s="472"/>
      <c r="L64" s="1557"/>
      <c r="M64" s="472"/>
      <c r="N64" s="1558"/>
      <c r="O64" s="472"/>
      <c r="P64" s="1249">
        <f>N60-P60</f>
        <v>98575</v>
      </c>
      <c r="Q64" s="472"/>
      <c r="R64" s="472"/>
      <c r="S64" s="472"/>
      <c r="T64" s="472"/>
      <c r="V64" s="1602"/>
    </row>
    <row r="65" spans="2:22" s="332" customFormat="1" ht="8.15" customHeight="1" x14ac:dyDescent="0.35">
      <c r="B65" s="1546"/>
      <c r="C65" s="24"/>
      <c r="D65" s="1548"/>
      <c r="E65" s="445"/>
      <c r="F65" s="1548"/>
      <c r="G65" s="446"/>
      <c r="H65" s="1550"/>
      <c r="I65" s="446"/>
      <c r="J65" s="1557"/>
      <c r="K65" s="472"/>
      <c r="L65" s="1557"/>
      <c r="M65" s="472"/>
      <c r="N65" s="472"/>
      <c r="O65" s="472"/>
      <c r="P65" s="472"/>
      <c r="Q65" s="472"/>
      <c r="R65" s="472"/>
      <c r="S65" s="472"/>
      <c r="T65" s="472"/>
      <c r="V65" s="1602"/>
    </row>
    <row r="66" spans="2:22" s="332" customFormat="1" ht="14.5" x14ac:dyDescent="0.35">
      <c r="B66" s="1546"/>
      <c r="C66" s="24"/>
      <c r="D66" s="1548"/>
      <c r="E66" s="445"/>
      <c r="F66" s="1548"/>
      <c r="G66" s="446"/>
      <c r="H66" s="1550"/>
      <c r="I66" s="446"/>
      <c r="J66" s="1557"/>
      <c r="K66" s="472"/>
      <c r="L66" s="1557"/>
      <c r="M66" s="472"/>
      <c r="N66" s="1249">
        <f>N15</f>
        <v>0</v>
      </c>
      <c r="O66" s="472"/>
      <c r="P66" s="472"/>
      <c r="Q66" s="472"/>
      <c r="R66" s="472"/>
      <c r="S66" s="472"/>
      <c r="T66" s="472"/>
      <c r="V66" s="1602"/>
    </row>
    <row r="67" spans="2:22" s="332" customFormat="1" ht="8.15" customHeight="1" x14ac:dyDescent="0.35">
      <c r="B67" s="1546"/>
      <c r="C67" s="24"/>
      <c r="D67" s="1548"/>
      <c r="E67" s="445"/>
      <c r="F67" s="1548"/>
      <c r="G67" s="446"/>
      <c r="H67" s="1550"/>
      <c r="I67" s="446"/>
      <c r="J67" s="1557"/>
      <c r="K67" s="472"/>
      <c r="L67" s="1557"/>
      <c r="M67" s="472"/>
      <c r="N67" s="472"/>
      <c r="O67" s="472"/>
      <c r="P67" s="472"/>
      <c r="Q67" s="472"/>
      <c r="R67" s="472"/>
      <c r="S67" s="472"/>
      <c r="T67" s="472"/>
      <c r="V67" s="1602"/>
    </row>
    <row r="68" spans="2:22" s="332" customFormat="1" ht="14.5" x14ac:dyDescent="0.35">
      <c r="B68" s="1546"/>
      <c r="C68" s="24"/>
      <c r="D68" s="1548"/>
      <c r="E68" s="445"/>
      <c r="F68" s="1548"/>
      <c r="G68" s="446"/>
      <c r="H68" s="1550"/>
      <c r="I68" s="446"/>
      <c r="J68" s="1557"/>
      <c r="K68" s="472"/>
      <c r="L68" s="1558"/>
      <c r="M68" s="472"/>
      <c r="N68" s="1249">
        <f>L56-N56-N60-N66</f>
        <v>0</v>
      </c>
      <c r="O68" s="472"/>
      <c r="P68" s="472"/>
      <c r="Q68" s="472"/>
      <c r="R68" s="472"/>
      <c r="S68" s="472"/>
      <c r="T68" s="472"/>
      <c r="V68" s="1602"/>
    </row>
    <row r="69" spans="2:22" s="332" customFormat="1" ht="8.15" customHeight="1" x14ac:dyDescent="0.35">
      <c r="B69" s="1546"/>
      <c r="C69" s="24"/>
      <c r="D69" s="1548"/>
      <c r="E69" s="445"/>
      <c r="F69" s="1548"/>
      <c r="G69" s="446"/>
      <c r="H69" s="1550"/>
      <c r="I69" s="446"/>
      <c r="J69" s="1557"/>
      <c r="K69" s="472"/>
      <c r="L69" s="475"/>
      <c r="M69" s="472"/>
      <c r="N69" s="472"/>
      <c r="O69" s="472"/>
      <c r="P69" s="472"/>
      <c r="Q69" s="472"/>
      <c r="R69" s="472"/>
      <c r="S69" s="472"/>
      <c r="T69" s="472"/>
      <c r="V69" s="1602"/>
    </row>
    <row r="70" spans="2:22" s="332" customFormat="1" ht="14.5" x14ac:dyDescent="0.35">
      <c r="B70" s="1546"/>
      <c r="C70" s="24"/>
      <c r="D70" s="1548"/>
      <c r="E70" s="445"/>
      <c r="F70" s="1548"/>
      <c r="G70" s="446"/>
      <c r="H70" s="1552"/>
      <c r="I70" s="446"/>
      <c r="J70" s="1558"/>
      <c r="K70" s="472"/>
      <c r="L70" s="1249">
        <f>'FW Flows_ALL'!G25</f>
        <v>1021375</v>
      </c>
      <c r="M70" s="472"/>
      <c r="N70" s="472"/>
      <c r="O70" s="472"/>
      <c r="P70" s="472"/>
      <c r="Q70" s="472"/>
      <c r="R70" s="472"/>
      <c r="S70" s="472"/>
      <c r="T70" s="472"/>
      <c r="V70" s="1602"/>
    </row>
    <row r="71" spans="2:22" s="332" customFormat="1" ht="14.5" x14ac:dyDescent="0.35">
      <c r="B71" s="1546"/>
      <c r="C71" s="24"/>
      <c r="D71" s="1548"/>
      <c r="E71" s="452"/>
      <c r="F71" s="449"/>
      <c r="G71" s="446"/>
      <c r="H71" s="446"/>
      <c r="I71" s="446"/>
      <c r="J71" s="472"/>
      <c r="K71" s="472"/>
      <c r="L71" s="475"/>
      <c r="M71" s="472"/>
      <c r="N71" s="472"/>
      <c r="O71" s="472"/>
      <c r="P71" s="472"/>
      <c r="Q71" s="472"/>
      <c r="R71" s="472"/>
      <c r="S71" s="472"/>
      <c r="T71" s="472"/>
      <c r="V71" s="1602"/>
    </row>
    <row r="72" spans="2:22" s="332" customFormat="1" ht="14.5" x14ac:dyDescent="0.35">
      <c r="B72" s="1546"/>
      <c r="C72" s="24"/>
      <c r="D72" s="1548"/>
      <c r="E72" s="445"/>
      <c r="F72" s="1559" t="s">
        <v>131</v>
      </c>
      <c r="G72" s="446"/>
      <c r="H72" s="1545">
        <f>'FW Flows_ALL'!C16</f>
        <v>2081250</v>
      </c>
      <c r="I72" s="446"/>
      <c r="J72" s="1553">
        <f>'FW Flows_ALL'!C16</f>
        <v>2081250</v>
      </c>
      <c r="K72" s="472"/>
      <c r="L72" s="1553">
        <f>'FW Flows_ALL'!G16</f>
        <v>908300</v>
      </c>
      <c r="M72" s="472"/>
      <c r="N72" s="1556">
        <f>N9</f>
        <v>49125</v>
      </c>
      <c r="O72" s="472"/>
      <c r="P72" s="1556">
        <f>P9</f>
        <v>0</v>
      </c>
      <c r="Q72" s="472"/>
      <c r="R72" s="1252">
        <f>R9</f>
        <v>0</v>
      </c>
      <c r="S72" s="472"/>
      <c r="T72" s="1252">
        <f>R72</f>
        <v>0</v>
      </c>
      <c r="V72" s="1602"/>
    </row>
    <row r="73" spans="2:22" s="332" customFormat="1" ht="8.15" customHeight="1" x14ac:dyDescent="0.35">
      <c r="B73" s="1546"/>
      <c r="C73" s="24"/>
      <c r="D73" s="1548"/>
      <c r="E73" s="445"/>
      <c r="F73" s="1560"/>
      <c r="G73" s="446"/>
      <c r="H73" s="1546"/>
      <c r="I73" s="446"/>
      <c r="J73" s="1554"/>
      <c r="K73" s="472"/>
      <c r="L73" s="1554"/>
      <c r="M73" s="472"/>
      <c r="N73" s="1557"/>
      <c r="O73" s="472"/>
      <c r="P73" s="1557"/>
      <c r="Q73" s="472"/>
      <c r="R73" s="472"/>
      <c r="S73" s="472"/>
      <c r="T73" s="472"/>
      <c r="V73" s="1602"/>
    </row>
    <row r="74" spans="2:22" s="332" customFormat="1" ht="14.5" x14ac:dyDescent="0.35">
      <c r="B74" s="1546"/>
      <c r="C74" s="24"/>
      <c r="D74" s="1548"/>
      <c r="E74" s="445"/>
      <c r="F74" s="1560"/>
      <c r="G74" s="446"/>
      <c r="H74" s="1546"/>
      <c r="I74" s="446"/>
      <c r="J74" s="1554"/>
      <c r="K74" s="472"/>
      <c r="L74" s="1554"/>
      <c r="M74" s="472"/>
      <c r="N74" s="1557"/>
      <c r="O74" s="472"/>
      <c r="P74" s="1558"/>
      <c r="Q74" s="472"/>
      <c r="R74" s="1249">
        <f>R16</f>
        <v>0</v>
      </c>
      <c r="S74" s="472"/>
      <c r="T74" s="1249">
        <v>0</v>
      </c>
      <c r="V74" s="1602"/>
    </row>
    <row r="75" spans="2:22" s="332" customFormat="1" ht="8.15" customHeight="1" x14ac:dyDescent="0.35">
      <c r="B75" s="1546"/>
      <c r="C75" s="24"/>
      <c r="D75" s="1548"/>
      <c r="E75" s="445"/>
      <c r="F75" s="1560"/>
      <c r="G75" s="446"/>
      <c r="H75" s="1546"/>
      <c r="I75" s="446"/>
      <c r="J75" s="1554"/>
      <c r="K75" s="472"/>
      <c r="L75" s="1554"/>
      <c r="M75" s="472"/>
      <c r="N75" s="1557"/>
      <c r="O75" s="472"/>
      <c r="P75" s="472"/>
      <c r="Q75" s="472"/>
      <c r="R75" s="472"/>
      <c r="S75" s="472"/>
      <c r="T75" s="472"/>
      <c r="V75" s="1602"/>
    </row>
    <row r="76" spans="2:22" s="332" customFormat="1" ht="14.5" x14ac:dyDescent="0.35">
      <c r="B76" s="1546"/>
      <c r="C76" s="24"/>
      <c r="D76" s="1548"/>
      <c r="E76" s="445"/>
      <c r="F76" s="1560"/>
      <c r="G76" s="446"/>
      <c r="H76" s="1546"/>
      <c r="I76" s="446"/>
      <c r="J76" s="1554"/>
      <c r="K76" s="472"/>
      <c r="L76" s="1554"/>
      <c r="M76" s="472"/>
      <c r="N76" s="1558"/>
      <c r="O76" s="472"/>
      <c r="P76" s="1249">
        <f>N72-P72</f>
        <v>49125</v>
      </c>
      <c r="Q76" s="472"/>
      <c r="R76" s="472"/>
      <c r="S76" s="472"/>
      <c r="T76" s="472"/>
      <c r="V76" s="1602"/>
    </row>
    <row r="77" spans="2:22" s="332" customFormat="1" ht="8.15" customHeight="1" x14ac:dyDescent="0.35">
      <c r="B77" s="1546"/>
      <c r="C77" s="24"/>
      <c r="D77" s="1548"/>
      <c r="E77" s="445"/>
      <c r="F77" s="1560"/>
      <c r="G77" s="446"/>
      <c r="H77" s="1546"/>
      <c r="I77" s="446"/>
      <c r="J77" s="1554"/>
      <c r="K77" s="472"/>
      <c r="L77" s="1554"/>
      <c r="M77" s="472"/>
      <c r="N77" s="472"/>
      <c r="O77" s="472"/>
      <c r="P77" s="472"/>
      <c r="Q77" s="472"/>
      <c r="R77" s="472"/>
      <c r="S77" s="472"/>
      <c r="T77" s="472"/>
      <c r="V77" s="1602"/>
    </row>
    <row r="78" spans="2:22" s="332" customFormat="1" ht="14.5" x14ac:dyDescent="0.35">
      <c r="B78" s="1546"/>
      <c r="C78" s="24"/>
      <c r="D78" s="1548"/>
      <c r="E78" s="445"/>
      <c r="F78" s="1560"/>
      <c r="G78" s="446"/>
      <c r="H78" s="1546"/>
      <c r="I78" s="446"/>
      <c r="J78" s="1554"/>
      <c r="K78" s="472"/>
      <c r="L78" s="1554"/>
      <c r="M78" s="472"/>
      <c r="N78" s="1249">
        <f>N16</f>
        <v>0</v>
      </c>
      <c r="O78" s="472"/>
      <c r="P78" s="472"/>
      <c r="Q78" s="472"/>
      <c r="R78" s="472"/>
      <c r="S78" s="472"/>
      <c r="T78" s="472"/>
      <c r="V78" s="1602"/>
    </row>
    <row r="79" spans="2:22" s="332" customFormat="1" ht="8.15" customHeight="1" x14ac:dyDescent="0.35">
      <c r="B79" s="1546"/>
      <c r="C79" s="24"/>
      <c r="D79" s="1548"/>
      <c r="E79" s="445"/>
      <c r="F79" s="1560"/>
      <c r="G79" s="446"/>
      <c r="H79" s="1546"/>
      <c r="I79" s="446"/>
      <c r="J79" s="1554"/>
      <c r="K79" s="472"/>
      <c r="L79" s="1554"/>
      <c r="M79" s="472"/>
      <c r="N79" s="472"/>
      <c r="O79" s="472"/>
      <c r="P79" s="472"/>
      <c r="Q79" s="472"/>
      <c r="R79" s="472"/>
      <c r="S79" s="472"/>
      <c r="T79" s="472"/>
      <c r="V79" s="1602"/>
    </row>
    <row r="80" spans="2:22" s="332" customFormat="1" ht="14.5" x14ac:dyDescent="0.35">
      <c r="B80" s="1546"/>
      <c r="C80" s="24"/>
      <c r="D80" s="1548"/>
      <c r="E80" s="445"/>
      <c r="F80" s="1560"/>
      <c r="G80" s="446"/>
      <c r="H80" s="1546"/>
      <c r="I80" s="446"/>
      <c r="J80" s="1554"/>
      <c r="K80" s="472"/>
      <c r="L80" s="1555"/>
      <c r="M80" s="472"/>
      <c r="N80" s="1249">
        <f>L72-N72-N78</f>
        <v>859175</v>
      </c>
      <c r="O80" s="472"/>
      <c r="P80" s="472"/>
      <c r="Q80" s="472"/>
      <c r="R80" s="472"/>
      <c r="S80" s="472"/>
      <c r="T80" s="472"/>
      <c r="V80" s="1602"/>
    </row>
    <row r="81" spans="2:24" s="332" customFormat="1" ht="8.15" customHeight="1" x14ac:dyDescent="0.35">
      <c r="B81" s="1546"/>
      <c r="C81" s="24"/>
      <c r="D81" s="1548"/>
      <c r="E81" s="445"/>
      <c r="F81" s="1560"/>
      <c r="G81" s="446"/>
      <c r="H81" s="1546"/>
      <c r="I81" s="446"/>
      <c r="J81" s="1554"/>
      <c r="K81" s="472"/>
      <c r="L81" s="475"/>
      <c r="M81" s="472"/>
      <c r="N81" s="472"/>
      <c r="O81" s="472"/>
      <c r="P81" s="472"/>
      <c r="Q81" s="472"/>
      <c r="R81" s="472"/>
      <c r="S81" s="472"/>
      <c r="T81" s="472"/>
      <c r="V81" s="1602"/>
    </row>
    <row r="82" spans="2:24" s="332" customFormat="1" ht="14.5" x14ac:dyDescent="0.35">
      <c r="B82" s="1546"/>
      <c r="C82" s="24"/>
      <c r="D82" s="1548"/>
      <c r="E82" s="445"/>
      <c r="F82" s="1561"/>
      <c r="G82" s="446"/>
      <c r="H82" s="1547"/>
      <c r="I82" s="446"/>
      <c r="J82" s="1555"/>
      <c r="K82" s="472"/>
      <c r="L82" s="1249">
        <f>'FW Flows_ALL'!G26</f>
        <v>1172950</v>
      </c>
      <c r="M82" s="472"/>
      <c r="N82" s="472"/>
      <c r="O82" s="472"/>
      <c r="P82" s="472"/>
      <c r="Q82" s="472"/>
      <c r="R82" s="472"/>
      <c r="S82" s="472"/>
      <c r="T82" s="472"/>
      <c r="V82" s="1602"/>
    </row>
    <row r="83" spans="2:24" s="332" customFormat="1" ht="14.5" x14ac:dyDescent="0.35">
      <c r="B83" s="1546"/>
      <c r="C83" s="24"/>
      <c r="D83" s="446"/>
      <c r="E83" s="446"/>
      <c r="F83" s="446"/>
      <c r="G83" s="446"/>
      <c r="H83" s="446"/>
      <c r="I83" s="446"/>
      <c r="J83" s="472"/>
      <c r="K83" s="472"/>
      <c r="L83" s="472"/>
      <c r="M83" s="472"/>
      <c r="N83" s="472"/>
      <c r="O83" s="472"/>
      <c r="P83" s="472"/>
      <c r="Q83" s="472"/>
      <c r="R83" s="472"/>
      <c r="S83" s="472"/>
      <c r="T83" s="472"/>
      <c r="V83" s="1602"/>
    </row>
    <row r="84" spans="2:24" s="332" customFormat="1" ht="29" x14ac:dyDescent="0.35">
      <c r="B84" s="1547"/>
      <c r="C84" s="450"/>
      <c r="D84" s="1460" t="s">
        <v>132</v>
      </c>
      <c r="E84" s="447"/>
      <c r="F84" s="446"/>
      <c r="G84" s="446"/>
      <c r="H84" s="1250">
        <f>'FW Flows_ALL'!C24</f>
        <v>20025</v>
      </c>
      <c r="I84" s="446"/>
      <c r="J84" s="1249">
        <f>'FW Flows_ALL'!C24</f>
        <v>20025</v>
      </c>
      <c r="K84" s="472"/>
      <c r="L84" s="472"/>
      <c r="M84" s="472"/>
      <c r="N84" s="472"/>
      <c r="O84" s="472"/>
      <c r="P84" s="472"/>
      <c r="Q84" s="472"/>
      <c r="R84" s="472"/>
      <c r="S84" s="472"/>
      <c r="T84" s="472"/>
      <c r="V84" s="1602"/>
    </row>
    <row r="85" spans="2:24" s="331" customFormat="1" ht="15" customHeight="1" x14ac:dyDescent="0.35">
      <c r="C85" s="429"/>
      <c r="D85" s="429"/>
      <c r="E85" s="429"/>
      <c r="F85" s="429"/>
      <c r="G85" s="429"/>
      <c r="H85" s="429"/>
      <c r="I85" s="429"/>
      <c r="J85" s="439"/>
      <c r="K85" s="429"/>
      <c r="L85" s="429"/>
      <c r="M85" s="429"/>
      <c r="N85" s="429"/>
      <c r="O85" s="429"/>
      <c r="P85" s="429"/>
      <c r="Q85" s="429"/>
      <c r="R85" s="429"/>
      <c r="S85" s="429"/>
      <c r="T85" s="429"/>
    </row>
    <row r="86" spans="2:24" s="331" customFormat="1" ht="25" customHeight="1" x14ac:dyDescent="0.35">
      <c r="C86" s="429"/>
      <c r="D86" s="429"/>
      <c r="E86" s="429"/>
      <c r="F86" s="429"/>
      <c r="G86" s="429"/>
      <c r="H86" s="429"/>
      <c r="I86" s="429"/>
      <c r="J86" s="1592">
        <f>X101</f>
        <v>25636938.75</v>
      </c>
      <c r="K86" s="1593"/>
      <c r="L86" s="1593"/>
      <c r="M86" s="1593"/>
      <c r="N86" s="1593"/>
      <c r="O86" s="1593"/>
      <c r="P86" s="1593"/>
      <c r="Q86" s="1593"/>
      <c r="R86" s="1593"/>
      <c r="S86" s="1593"/>
      <c r="T86" s="1594"/>
    </row>
    <row r="87" spans="2:24" s="331" customFormat="1" x14ac:dyDescent="0.35">
      <c r="C87" s="429"/>
      <c r="D87" s="429"/>
      <c r="E87" s="429"/>
      <c r="F87" s="429"/>
      <c r="G87" s="429"/>
      <c r="H87" s="429"/>
      <c r="I87" s="429"/>
      <c r="J87" s="439"/>
      <c r="K87" s="429"/>
      <c r="L87" s="429"/>
      <c r="M87" s="429"/>
      <c r="N87" s="429"/>
      <c r="O87" s="429"/>
      <c r="P87" s="429"/>
      <c r="Q87" s="429"/>
      <c r="R87" s="429"/>
      <c r="S87" s="429"/>
      <c r="T87" s="429"/>
    </row>
    <row r="88" spans="2:24" s="331" customFormat="1" x14ac:dyDescent="0.35">
      <c r="C88" s="429"/>
      <c r="D88" s="429"/>
      <c r="E88" s="429"/>
      <c r="F88" s="429"/>
      <c r="G88" s="429"/>
      <c r="H88" s="429"/>
      <c r="I88" s="429"/>
      <c r="J88" s="439"/>
      <c r="K88" s="429"/>
      <c r="L88" s="429"/>
      <c r="M88" s="429"/>
      <c r="N88" s="429"/>
      <c r="O88" s="429"/>
      <c r="P88" s="429"/>
      <c r="Q88" s="429"/>
      <c r="R88" s="429"/>
      <c r="S88" s="429"/>
      <c r="T88" s="429"/>
    </row>
    <row r="89" spans="2:24" s="331" customFormat="1" ht="28" customHeight="1" x14ac:dyDescent="0.35">
      <c r="C89" s="429"/>
      <c r="D89" s="429"/>
      <c r="E89" s="429"/>
      <c r="F89" s="429"/>
      <c r="G89" s="429"/>
      <c r="H89" s="836" t="s">
        <v>133</v>
      </c>
      <c r="I89" s="840"/>
      <c r="J89" s="820" t="s">
        <v>14</v>
      </c>
      <c r="K89" s="439"/>
      <c r="L89" s="836" t="s">
        <v>16</v>
      </c>
      <c r="M89" s="439"/>
      <c r="N89" s="539" t="s">
        <v>18</v>
      </c>
      <c r="O89" s="439"/>
      <c r="P89" s="539" t="s">
        <v>19</v>
      </c>
      <c r="Q89" s="439"/>
      <c r="R89" s="539" t="s">
        <v>20</v>
      </c>
      <c r="S89" s="439"/>
      <c r="T89" s="836" t="s">
        <v>134</v>
      </c>
      <c r="X89" s="836" t="s">
        <v>12</v>
      </c>
    </row>
    <row r="90" spans="2:24" s="331" customFormat="1" x14ac:dyDescent="0.35">
      <c r="C90" s="429"/>
      <c r="D90" s="429"/>
      <c r="E90" s="429"/>
      <c r="F90" s="429"/>
      <c r="G90" s="429"/>
      <c r="H90" s="429"/>
      <c r="I90" s="429"/>
      <c r="J90" s="439"/>
      <c r="K90" s="429"/>
      <c r="L90" s="429"/>
      <c r="M90" s="429"/>
      <c r="N90" s="429"/>
      <c r="O90" s="429"/>
      <c r="P90" s="429"/>
      <c r="Q90" s="429"/>
      <c r="R90" s="429"/>
      <c r="S90" s="429"/>
      <c r="T90" s="429"/>
    </row>
    <row r="91" spans="2:24" s="331" customFormat="1" ht="15" customHeight="1" x14ac:dyDescent="0.35">
      <c r="C91" s="429"/>
      <c r="D91" s="429"/>
      <c r="E91" s="429"/>
      <c r="F91" s="429"/>
      <c r="G91" s="429"/>
      <c r="H91" s="429"/>
      <c r="I91" s="429"/>
      <c r="J91" s="1261">
        <f>J24+J38+J56+J72</f>
        <v>34891050</v>
      </c>
      <c r="K91" s="429"/>
      <c r="L91" s="1261">
        <f>L24+L30+L38+L56+L72</f>
        <v>32696725</v>
      </c>
      <c r="M91" s="429"/>
      <c r="N91" s="1261">
        <f>N24+N30+N38+N44+N56+N60+N72</f>
        <v>31837550</v>
      </c>
      <c r="O91" s="429"/>
      <c r="P91" s="1261">
        <f>P24+P30+P38+P44+P56+P60+P72</f>
        <v>29136675</v>
      </c>
      <c r="Q91" s="429"/>
      <c r="R91" s="1261">
        <f>R24+R30+R38+R56+R60+R72</f>
        <v>9274136.25</v>
      </c>
      <c r="S91" s="429"/>
      <c r="T91" s="1261">
        <f>T24+T30+T38+T56+T60+T72</f>
        <v>9274136.25</v>
      </c>
    </row>
    <row r="92" spans="2:24" s="331" customFormat="1" ht="15" customHeight="1" x14ac:dyDescent="0.35">
      <c r="C92" s="429"/>
      <c r="D92" s="429"/>
      <c r="E92" s="429"/>
      <c r="F92" s="429"/>
      <c r="G92" s="429"/>
      <c r="H92" s="429"/>
      <c r="I92" s="429"/>
      <c r="J92" s="1260">
        <f>J84</f>
        <v>20025</v>
      </c>
      <c r="K92" s="429"/>
      <c r="L92" s="1260">
        <f>L54+L70+L82</f>
        <v>2194325</v>
      </c>
      <c r="M92" s="429"/>
      <c r="N92" s="1260">
        <f>N36+N50+N52+N66+N68+N78+N80</f>
        <v>859175</v>
      </c>
      <c r="O92" s="429"/>
      <c r="P92" s="1260">
        <f>P28+P34+P42+P48+P64+P76</f>
        <v>2700875</v>
      </c>
      <c r="Q92" s="429"/>
      <c r="R92" s="1260">
        <f>R26+R32+R40+R58+R62+R74</f>
        <v>19862538.75</v>
      </c>
      <c r="S92" s="429"/>
      <c r="T92" s="1260">
        <f>T26+T32+T40+T58+T62+T74</f>
        <v>19862538.75</v>
      </c>
    </row>
    <row r="93" spans="2:24" s="331" customFormat="1" ht="15" customHeight="1" x14ac:dyDescent="0.35">
      <c r="C93" s="429"/>
      <c r="D93" s="429"/>
      <c r="E93" s="429"/>
      <c r="F93" s="429"/>
      <c r="G93" s="429"/>
      <c r="H93" s="429"/>
      <c r="I93" s="429"/>
      <c r="J93" s="439"/>
      <c r="K93" s="429"/>
      <c r="L93" s="429"/>
      <c r="M93" s="429"/>
      <c r="N93" s="429"/>
      <c r="O93" s="429"/>
      <c r="P93" s="429"/>
      <c r="Q93" s="429"/>
      <c r="R93" s="429"/>
      <c r="S93" s="429"/>
      <c r="T93" s="429"/>
    </row>
    <row r="94" spans="2:24" ht="15" customHeight="1" x14ac:dyDescent="0.35">
      <c r="B94" s="53">
        <f>SUM(B24:B84)</f>
        <v>34911075</v>
      </c>
      <c r="H94" s="53">
        <f>SUM(H24:H84)</f>
        <v>34911075</v>
      </c>
      <c r="J94" s="205">
        <f>SUM(J91:J92)</f>
        <v>34911075</v>
      </c>
      <c r="L94" s="205">
        <f>SUM(L91:L92)</f>
        <v>34891050</v>
      </c>
      <c r="N94" s="205">
        <f>SUM(N91:N92)</f>
        <v>32696725</v>
      </c>
      <c r="P94" s="205">
        <f>SUM(P91:P92)</f>
        <v>31837550</v>
      </c>
      <c r="R94" s="205">
        <f>SUM(R91:R92)</f>
        <v>29136675</v>
      </c>
      <c r="T94" s="205">
        <f>SUM(T91:T92)</f>
        <v>29136675</v>
      </c>
    </row>
    <row r="95" spans="2:24" ht="15" customHeight="1" x14ac:dyDescent="0.35">
      <c r="B95" s="54"/>
      <c r="H95" s="53">
        <f>H94-B94</f>
        <v>0</v>
      </c>
      <c r="J95" s="205">
        <f>J94-H94</f>
        <v>0</v>
      </c>
      <c r="L95" s="205">
        <f>L94-J91</f>
        <v>0</v>
      </c>
      <c r="N95" s="205">
        <f>N94-L91</f>
        <v>0</v>
      </c>
      <c r="P95" s="205">
        <f>P94-N91</f>
        <v>0</v>
      </c>
      <c r="R95" s="205">
        <f>R94-P91</f>
        <v>0</v>
      </c>
      <c r="T95" s="205">
        <f>T94-P91</f>
        <v>0</v>
      </c>
    </row>
    <row r="96" spans="2:24" ht="15" customHeight="1" x14ac:dyDescent="0.35">
      <c r="B96" s="332" t="s">
        <v>135</v>
      </c>
      <c r="H96" s="438" t="str">
        <f>IF(H95=0,"OK","Not OK")</f>
        <v>OK</v>
      </c>
      <c r="J96" s="438" t="str">
        <f>IF(J95=0,"OK","Not OK")</f>
        <v>OK</v>
      </c>
      <c r="L96" s="438" t="str">
        <f>IF(L95=0,"OK","Not OK")</f>
        <v>OK</v>
      </c>
      <c r="N96" s="438" t="str">
        <f>IF(N95=0,"OK","Not OK")</f>
        <v>OK</v>
      </c>
      <c r="P96" s="438" t="str">
        <f>IF(P95=0,"OK","Not OK")</f>
        <v>OK</v>
      </c>
      <c r="R96" s="438" t="str">
        <f>IF(R95=0,"OK","Not OK")</f>
        <v>OK</v>
      </c>
      <c r="T96" s="438" t="str">
        <f>IF(T95=0,"OK","Not OK")</f>
        <v>OK</v>
      </c>
    </row>
    <row r="99" spans="2:25" s="461" customFormat="1" ht="14.5" x14ac:dyDescent="0.35">
      <c r="B99" s="1267" t="s">
        <v>136</v>
      </c>
      <c r="C99" s="1263"/>
      <c r="D99" s="1263"/>
      <c r="E99" s="1263"/>
      <c r="F99" s="1263"/>
      <c r="G99" s="1263"/>
      <c r="H99" s="1262">
        <f>H24+H38+H56+H72+H84</f>
        <v>34911075</v>
      </c>
      <c r="I99" s="1263"/>
      <c r="J99" s="1264">
        <f>J91</f>
        <v>34891050</v>
      </c>
      <c r="K99" s="1264"/>
      <c r="L99" s="1264">
        <f>L91</f>
        <v>32696725</v>
      </c>
      <c r="M99" s="1264"/>
      <c r="N99" s="1264">
        <f>N91</f>
        <v>31837550</v>
      </c>
      <c r="O99" s="1264"/>
      <c r="P99" s="1264">
        <f>P91</f>
        <v>29136675</v>
      </c>
      <c r="Q99" s="1264"/>
      <c r="R99" s="1264">
        <f>R91</f>
        <v>9274136.25</v>
      </c>
      <c r="S99" s="1264"/>
      <c r="T99" s="1264">
        <f>T91</f>
        <v>9274136.25</v>
      </c>
      <c r="U99" s="1265"/>
      <c r="V99" s="1265"/>
      <c r="W99" s="1265"/>
      <c r="X99" s="1266">
        <f>T99</f>
        <v>9274136.25</v>
      </c>
    </row>
    <row r="100" spans="2:25" x14ac:dyDescent="0.35">
      <c r="X100" s="148"/>
    </row>
    <row r="101" spans="2:25" s="463" customFormat="1" ht="14.5" x14ac:dyDescent="0.35">
      <c r="B101" s="1268" t="s">
        <v>137</v>
      </c>
      <c r="C101" s="1269"/>
      <c r="D101" s="1269"/>
      <c r="E101" s="1269"/>
      <c r="F101" s="1269"/>
      <c r="G101" s="1269"/>
      <c r="H101" s="1269"/>
      <c r="I101" s="1269"/>
      <c r="J101" s="1270">
        <f>J92</f>
        <v>20025</v>
      </c>
      <c r="K101" s="1270"/>
      <c r="L101" s="1270">
        <f>L92</f>
        <v>2194325</v>
      </c>
      <c r="M101" s="1270"/>
      <c r="N101" s="1270">
        <f>N92</f>
        <v>859175</v>
      </c>
      <c r="O101" s="1270"/>
      <c r="P101" s="1270">
        <f>P92</f>
        <v>2700875</v>
      </c>
      <c r="Q101" s="1270"/>
      <c r="R101" s="1270">
        <f>R92</f>
        <v>19862538.75</v>
      </c>
      <c r="S101" s="1270"/>
      <c r="T101" s="1270">
        <f>IF(T92=R92,0,R92-T92)</f>
        <v>0</v>
      </c>
      <c r="U101" s="1270"/>
      <c r="V101" s="1270"/>
      <c r="W101" s="1270"/>
      <c r="X101" s="1270">
        <f>SUM(J101:R101)</f>
        <v>25636938.75</v>
      </c>
    </row>
    <row r="102" spans="2:25" x14ac:dyDescent="0.35">
      <c r="X102" s="148"/>
    </row>
    <row r="103" spans="2:25" ht="14.5" x14ac:dyDescent="0.35">
      <c r="X103" s="446">
        <f>SUM(X99:X101)</f>
        <v>34911075</v>
      </c>
      <c r="Y103" s="835" t="str">
        <f>IF(X103=H99,"OK","Not OK")</f>
        <v>OK</v>
      </c>
    </row>
    <row r="105" spans="2:25" ht="24" thickBot="1" x14ac:dyDescent="0.6">
      <c r="B105" s="916" t="s">
        <v>138</v>
      </c>
      <c r="C105" s="766"/>
      <c r="D105" s="766"/>
      <c r="E105" s="766"/>
      <c r="F105" s="766"/>
      <c r="G105" s="766"/>
      <c r="H105" s="766"/>
      <c r="I105" s="766"/>
      <c r="J105" s="766"/>
      <c r="K105" s="766"/>
      <c r="L105" s="766"/>
      <c r="M105" s="766"/>
      <c r="N105" s="766"/>
      <c r="O105" s="766"/>
      <c r="P105" s="766"/>
      <c r="Q105" s="766"/>
      <c r="R105" s="766"/>
      <c r="S105" s="766"/>
      <c r="T105" s="766"/>
      <c r="U105" s="767"/>
      <c r="V105" s="767"/>
      <c r="W105" s="771"/>
      <c r="X105" s="771"/>
    </row>
    <row r="106" spans="2:25" ht="17.25" customHeight="1" x14ac:dyDescent="0.35"/>
    <row r="107" spans="2:25" ht="18.75" customHeight="1" x14ac:dyDescent="0.35"/>
    <row r="108" spans="2:25" s="446" customFormat="1" ht="48" customHeight="1" x14ac:dyDescent="0.35">
      <c r="B108" s="765" t="s">
        <v>125</v>
      </c>
      <c r="C108" s="445"/>
      <c r="D108" s="1542" t="s">
        <v>114</v>
      </c>
      <c r="E108" s="1543"/>
      <c r="F108" s="1544"/>
      <c r="G108" s="445"/>
      <c r="H108" s="765" t="s">
        <v>126</v>
      </c>
      <c r="I108" s="445"/>
      <c r="J108" s="765" t="s">
        <v>42</v>
      </c>
      <c r="L108" s="765" t="s">
        <v>43</v>
      </c>
      <c r="N108" s="536" t="s">
        <v>44</v>
      </c>
      <c r="P108" s="536" t="s">
        <v>45</v>
      </c>
      <c r="R108" s="536" t="s">
        <v>46</v>
      </c>
      <c r="T108" s="765" t="s">
        <v>127</v>
      </c>
    </row>
    <row r="109" spans="2:25" s="332" customFormat="1" ht="14.5" x14ac:dyDescent="0.35">
      <c r="C109" s="24"/>
      <c r="D109" s="446"/>
      <c r="E109" s="446"/>
      <c r="F109" s="446"/>
      <c r="G109" s="446"/>
      <c r="H109" s="446"/>
      <c r="I109" s="446"/>
      <c r="J109" s="446"/>
      <c r="K109" s="446"/>
      <c r="L109" s="446"/>
      <c r="M109" s="446"/>
      <c r="N109" s="446"/>
      <c r="O109" s="446"/>
      <c r="P109" s="446"/>
      <c r="Q109" s="446"/>
      <c r="R109" s="446"/>
      <c r="S109" s="446"/>
      <c r="T109" s="446"/>
    </row>
    <row r="110" spans="2:25" s="332" customFormat="1" ht="15" customHeight="1" x14ac:dyDescent="0.35">
      <c r="B110" s="1566">
        <f>IF(B24=0,0,B24/B24)</f>
        <v>1</v>
      </c>
      <c r="C110" s="24"/>
      <c r="D110" s="1548" t="s">
        <v>128</v>
      </c>
      <c r="E110" s="447"/>
      <c r="F110" s="447"/>
      <c r="G110" s="446"/>
      <c r="H110" s="1569">
        <f>IF(B24=0,0,H24/$B$24)</f>
        <v>0.73133955342251711</v>
      </c>
      <c r="I110" s="455"/>
      <c r="J110" s="1572">
        <f>IF($B$24=0,0,J24/$B$24)</f>
        <v>0.73133955342251711</v>
      </c>
      <c r="K110" s="451"/>
      <c r="L110" s="1572">
        <f>IF($B$24=0,0,(L24)/$B$24)</f>
        <v>0.73133955342251711</v>
      </c>
      <c r="M110" s="451"/>
      <c r="N110" s="1572">
        <f>IF($B$24=0,0,(N24)/$B$24)</f>
        <v>0.73133955342251711</v>
      </c>
      <c r="O110" s="451"/>
      <c r="P110" s="1572">
        <f>IF(B24=0,0,(P24)/$B$24)</f>
        <v>0.65820588452231854</v>
      </c>
      <c r="Q110" s="472"/>
      <c r="R110" s="1253">
        <f>IF($B$24=0,0,(R24)/$B$24)</f>
        <v>0.23037205958281148</v>
      </c>
      <c r="S110" s="451"/>
      <c r="T110" s="1253">
        <f>IF($B$24=0,0,(T24)/$B$24)</f>
        <v>0.23037205958281148</v>
      </c>
      <c r="V110" s="1578">
        <f>IF(B24=0,0,T91/B24)</f>
        <v>0.26565026284638898</v>
      </c>
    </row>
    <row r="111" spans="2:25" s="332" customFormat="1" ht="8.15" customHeight="1" x14ac:dyDescent="0.35">
      <c r="B111" s="1567"/>
      <c r="C111" s="24"/>
      <c r="D111" s="1548"/>
      <c r="E111" s="447"/>
      <c r="F111" s="446"/>
      <c r="G111" s="446"/>
      <c r="H111" s="1570"/>
      <c r="I111" s="455"/>
      <c r="J111" s="1573"/>
      <c r="K111" s="451"/>
      <c r="L111" s="1573"/>
      <c r="M111" s="451"/>
      <c r="N111" s="1573"/>
      <c r="O111" s="451"/>
      <c r="P111" s="1573"/>
      <c r="Q111" s="472"/>
      <c r="R111" s="451"/>
      <c r="S111" s="451"/>
      <c r="T111" s="451"/>
      <c r="V111" s="1579"/>
    </row>
    <row r="112" spans="2:25" s="332" customFormat="1" ht="14.5" x14ac:dyDescent="0.35">
      <c r="B112" s="1567"/>
      <c r="C112" s="24"/>
      <c r="D112" s="1548"/>
      <c r="E112" s="447"/>
      <c r="F112" s="446"/>
      <c r="G112" s="446"/>
      <c r="H112" s="1570"/>
      <c r="I112" s="455"/>
      <c r="J112" s="1573"/>
      <c r="K112" s="451"/>
      <c r="L112" s="1573"/>
      <c r="M112" s="451"/>
      <c r="N112" s="1573"/>
      <c r="O112" s="451"/>
      <c r="P112" s="1574"/>
      <c r="Q112" s="472"/>
      <c r="R112" s="1247">
        <f>IF(B24=0,0,(R26)/$B$24)</f>
        <v>0.427833824939507</v>
      </c>
      <c r="S112" s="451"/>
      <c r="T112" s="1247">
        <f>IF(B24=0,0,(T32)/$B$24)</f>
        <v>0</v>
      </c>
      <c r="V112" s="1579"/>
    </row>
    <row r="113" spans="2:22" s="332" customFormat="1" ht="8.15" customHeight="1" x14ac:dyDescent="0.35">
      <c r="B113" s="1567"/>
      <c r="C113" s="24"/>
      <c r="D113" s="1548"/>
      <c r="E113" s="447"/>
      <c r="F113" s="446"/>
      <c r="G113" s="446"/>
      <c r="H113" s="1570"/>
      <c r="I113" s="455"/>
      <c r="J113" s="1573"/>
      <c r="K113" s="451"/>
      <c r="L113" s="1573"/>
      <c r="M113" s="451"/>
      <c r="N113" s="1573"/>
      <c r="O113" s="451"/>
      <c r="P113" s="451"/>
      <c r="Q113" s="472"/>
      <c r="R113" s="472"/>
      <c r="S113" s="472"/>
      <c r="T113" s="472"/>
      <c r="V113" s="1579"/>
    </row>
    <row r="114" spans="2:22" s="332" customFormat="1" ht="14.5" x14ac:dyDescent="0.35">
      <c r="B114" s="1567"/>
      <c r="C114" s="24"/>
      <c r="D114" s="1548"/>
      <c r="E114" s="447"/>
      <c r="F114" s="446"/>
      <c r="G114" s="446"/>
      <c r="H114" s="1570"/>
      <c r="I114" s="455"/>
      <c r="J114" s="1573"/>
      <c r="K114" s="451"/>
      <c r="L114" s="1574"/>
      <c r="M114" s="451"/>
      <c r="N114" s="1574"/>
      <c r="O114" s="451"/>
      <c r="P114" s="1247">
        <f>IF(B24=0,0,(P28)/$B$24)</f>
        <v>7.3133668900198581E-2</v>
      </c>
      <c r="Q114" s="472"/>
      <c r="R114" s="472"/>
      <c r="S114" s="472"/>
      <c r="T114" s="472"/>
      <c r="V114" s="1579"/>
    </row>
    <row r="115" spans="2:22" s="332" customFormat="1" ht="14.5" x14ac:dyDescent="0.35">
      <c r="B115" s="1567"/>
      <c r="C115" s="24"/>
      <c r="D115" s="1548"/>
      <c r="E115" s="447"/>
      <c r="F115" s="446"/>
      <c r="G115" s="446"/>
      <c r="H115" s="1570"/>
      <c r="I115" s="455"/>
      <c r="J115" s="1573"/>
      <c r="K115" s="451"/>
      <c r="L115" s="1169"/>
      <c r="M115" s="451"/>
      <c r="N115" s="1169"/>
      <c r="O115" s="451"/>
      <c r="P115" s="1168"/>
      <c r="Q115" s="472"/>
      <c r="R115"/>
      <c r="S115" s="472"/>
      <c r="T115"/>
      <c r="V115" s="1579"/>
    </row>
    <row r="116" spans="2:22" s="332" customFormat="1" ht="14.5" x14ac:dyDescent="0.35">
      <c r="B116" s="1567"/>
      <c r="C116" s="24"/>
      <c r="D116" s="1548"/>
      <c r="E116" s="447"/>
      <c r="F116" s="446"/>
      <c r="G116" s="446"/>
      <c r="H116" s="1570"/>
      <c r="I116" s="455"/>
      <c r="J116" s="1573"/>
      <c r="K116" s="451"/>
      <c r="L116" s="1599">
        <f>IF($B$24=0,0,(L30)/$B$24)</f>
        <v>0</v>
      </c>
      <c r="M116" s="472"/>
      <c r="N116" s="1599">
        <f>IF($B$24=0,0,(N30)/$B$24)</f>
        <v>0</v>
      </c>
      <c r="O116" s="1255"/>
      <c r="P116" s="1595">
        <f>IF(B24=0,0,(P30)/$B$24)</f>
        <v>0</v>
      </c>
      <c r="Q116" s="1255"/>
      <c r="R116" s="1273">
        <f>IF($B$24=0,0,(R30)/$B$24)</f>
        <v>0</v>
      </c>
      <c r="S116" s="1255"/>
      <c r="T116" s="1273">
        <f>IF($B$24=0,0,(T30)/$B$24)</f>
        <v>0</v>
      </c>
      <c r="V116" s="1579"/>
    </row>
    <row r="117" spans="2:22" s="332" customFormat="1" ht="8.15" customHeight="1" x14ac:dyDescent="0.35">
      <c r="B117" s="1567"/>
      <c r="C117" s="24"/>
      <c r="D117" s="1548"/>
      <c r="E117" s="447"/>
      <c r="F117" s="446"/>
      <c r="G117" s="446"/>
      <c r="H117" s="1570"/>
      <c r="I117" s="455"/>
      <c r="J117" s="1573"/>
      <c r="K117" s="451"/>
      <c r="L117" s="1600"/>
      <c r="M117" s="472"/>
      <c r="N117" s="1600"/>
      <c r="O117" s="1255"/>
      <c r="P117" s="1596"/>
      <c r="Q117" s="1255"/>
      <c r="R117" s="1255"/>
      <c r="S117" s="1255"/>
      <c r="T117" s="1255"/>
      <c r="V117" s="1579"/>
    </row>
    <row r="118" spans="2:22" s="332" customFormat="1" ht="14.5" x14ac:dyDescent="0.35">
      <c r="B118" s="1567"/>
      <c r="C118" s="24"/>
      <c r="D118" s="1548"/>
      <c r="E118" s="447"/>
      <c r="F118" s="446"/>
      <c r="G118" s="446"/>
      <c r="H118" s="1570"/>
      <c r="I118" s="455"/>
      <c r="J118" s="1573"/>
      <c r="K118" s="451"/>
      <c r="L118" s="1600"/>
      <c r="M118" s="472"/>
      <c r="N118" s="1600"/>
      <c r="O118" s="1255"/>
      <c r="P118" s="1598"/>
      <c r="Q118" s="1255"/>
      <c r="R118" s="1274">
        <f>IF(B24=0,0,(R32)/$B$24)</f>
        <v>0</v>
      </c>
      <c r="S118" s="1255"/>
      <c r="T118" s="1274">
        <f>IF(B24=0,0,(T32)/$B$24)</f>
        <v>0</v>
      </c>
      <c r="V118" s="1579"/>
    </row>
    <row r="119" spans="2:22" s="332" customFormat="1" ht="8.15" customHeight="1" x14ac:dyDescent="0.35">
      <c r="B119" s="1567"/>
      <c r="C119" s="24"/>
      <c r="D119" s="1548"/>
      <c r="E119" s="447"/>
      <c r="F119" s="446"/>
      <c r="G119" s="446"/>
      <c r="H119" s="1570"/>
      <c r="I119" s="455"/>
      <c r="J119" s="1573"/>
      <c r="K119" s="451"/>
      <c r="L119" s="1600"/>
      <c r="M119" s="472"/>
      <c r="N119" s="1600"/>
      <c r="O119" s="1255"/>
      <c r="P119" s="1256"/>
      <c r="Q119" s="1255"/>
      <c r="R119" s="1255"/>
      <c r="S119" s="1255"/>
      <c r="T119" s="1255"/>
      <c r="V119" s="1579"/>
    </row>
    <row r="120" spans="2:22" s="332" customFormat="1" ht="14.5" x14ac:dyDescent="0.35">
      <c r="B120" s="1567"/>
      <c r="C120" s="24"/>
      <c r="D120" s="1548"/>
      <c r="E120" s="447"/>
      <c r="F120" s="446"/>
      <c r="G120" s="446"/>
      <c r="H120" s="1570"/>
      <c r="I120" s="455"/>
      <c r="J120" s="1573"/>
      <c r="K120" s="451"/>
      <c r="L120" s="1600"/>
      <c r="M120" s="472"/>
      <c r="N120" s="1601"/>
      <c r="O120" s="1255"/>
      <c r="P120" s="1274">
        <f>IF(B24=0,0,(P34)/$B$24)</f>
        <v>0</v>
      </c>
      <c r="Q120" s="1255"/>
      <c r="R120" s="1255"/>
      <c r="S120" s="1255"/>
      <c r="T120" s="1255"/>
      <c r="V120" s="1579"/>
    </row>
    <row r="121" spans="2:22" s="332" customFormat="1" ht="8.15" customHeight="1" x14ac:dyDescent="0.35">
      <c r="B121" s="1567"/>
      <c r="C121" s="24"/>
      <c r="D121" s="1548"/>
      <c r="E121" s="447"/>
      <c r="F121" s="446"/>
      <c r="G121" s="446"/>
      <c r="H121" s="1570"/>
      <c r="I121" s="455"/>
      <c r="J121" s="1573"/>
      <c r="K121" s="451"/>
      <c r="L121" s="1600"/>
      <c r="M121" s="472"/>
      <c r="N121" s="1257"/>
      <c r="O121" s="1255"/>
      <c r="P121" s="1256"/>
      <c r="Q121" s="1255"/>
      <c r="R121" s="1255"/>
      <c r="S121" s="1255"/>
      <c r="T121" s="1255"/>
      <c r="V121" s="1579"/>
    </row>
    <row r="122" spans="2:22" s="332" customFormat="1" ht="14.5" x14ac:dyDescent="0.35">
      <c r="B122" s="1567"/>
      <c r="C122" s="24"/>
      <c r="D122" s="1548"/>
      <c r="E122" s="447"/>
      <c r="F122" s="446"/>
      <c r="G122" s="446"/>
      <c r="H122" s="1571"/>
      <c r="I122" s="455"/>
      <c r="J122" s="1574"/>
      <c r="K122" s="451"/>
      <c r="L122" s="1601"/>
      <c r="M122" s="472"/>
      <c r="N122" s="1274">
        <f>IF(B24=0,0,N36/$B$24)</f>
        <v>0</v>
      </c>
      <c r="O122" s="1255"/>
      <c r="P122" s="1256"/>
      <c r="Q122" s="1255"/>
      <c r="R122" s="1255"/>
      <c r="S122" s="1255"/>
      <c r="T122" s="1255"/>
      <c r="V122" s="1579"/>
    </row>
    <row r="123" spans="2:22" s="332" customFormat="1" ht="14.5" x14ac:dyDescent="0.35">
      <c r="B123" s="1567"/>
      <c r="C123" s="24"/>
      <c r="D123" s="446"/>
      <c r="E123" s="446"/>
      <c r="F123" s="446"/>
      <c r="G123" s="446"/>
      <c r="H123" s="453"/>
      <c r="I123" s="455"/>
      <c r="J123" s="451"/>
      <c r="K123" s="451"/>
      <c r="L123" s="453"/>
      <c r="M123" s="451"/>
      <c r="N123" s="451"/>
      <c r="O123" s="451"/>
      <c r="P123" s="451"/>
      <c r="Q123" s="451"/>
      <c r="R123" s="451"/>
      <c r="S123" s="451"/>
      <c r="T123" s="451"/>
      <c r="V123" s="1579"/>
    </row>
    <row r="124" spans="2:22" s="332" customFormat="1" ht="15" customHeight="1" x14ac:dyDescent="0.35">
      <c r="B124" s="1567"/>
      <c r="C124" s="24"/>
      <c r="D124" s="1548" t="s">
        <v>117</v>
      </c>
      <c r="E124" s="447"/>
      <c r="F124" s="447"/>
      <c r="G124" s="446"/>
      <c r="H124" s="1569">
        <f>IF(B24=0,0,H38/$B$24)</f>
        <v>0</v>
      </c>
      <c r="I124" s="451"/>
      <c r="J124" s="1575">
        <f>IF(B24=0,0,J38/$B$24)</f>
        <v>0</v>
      </c>
      <c r="K124" s="451"/>
      <c r="L124" s="1575">
        <f>IF(B24=0,0,L38/$B$24)</f>
        <v>0</v>
      </c>
      <c r="M124" s="451"/>
      <c r="N124" s="1575">
        <f>IF($B$24=0,0,(N38)/$B$24)</f>
        <v>0</v>
      </c>
      <c r="O124" s="451"/>
      <c r="P124" s="1575">
        <f>IF(B24=0,0,(P38)/$B$24)</f>
        <v>0</v>
      </c>
      <c r="Q124" s="451"/>
      <c r="R124" s="1253">
        <f>IF(B24=0,0,(R38)/$B$24)</f>
        <v>0</v>
      </c>
      <c r="S124" s="451"/>
      <c r="T124" s="1253">
        <f>IF(B24=0,0,(T38)/$B$24)</f>
        <v>0</v>
      </c>
      <c r="V124" s="1579"/>
    </row>
    <row r="125" spans="2:22" s="332" customFormat="1" ht="8.15" customHeight="1" x14ac:dyDescent="0.35">
      <c r="B125" s="1567"/>
      <c r="C125" s="24"/>
      <c r="D125" s="1548"/>
      <c r="E125" s="447"/>
      <c r="F125" s="446"/>
      <c r="G125" s="446"/>
      <c r="H125" s="1570"/>
      <c r="I125" s="451"/>
      <c r="J125" s="1576"/>
      <c r="K125" s="451"/>
      <c r="L125" s="1576"/>
      <c r="M125" s="451"/>
      <c r="N125" s="1576"/>
      <c r="O125" s="451"/>
      <c r="P125" s="1576"/>
      <c r="Q125" s="451"/>
      <c r="R125" s="451"/>
      <c r="S125" s="451"/>
      <c r="T125" s="451"/>
      <c r="V125" s="1579"/>
    </row>
    <row r="126" spans="2:22" s="332" customFormat="1" ht="14.5" x14ac:dyDescent="0.35">
      <c r="B126" s="1567"/>
      <c r="C126" s="24"/>
      <c r="D126" s="1548"/>
      <c r="E126" s="447"/>
      <c r="F126" s="446"/>
      <c r="G126" s="446"/>
      <c r="H126" s="1570"/>
      <c r="I126" s="451"/>
      <c r="J126" s="1576"/>
      <c r="K126" s="451"/>
      <c r="L126" s="1576"/>
      <c r="M126" s="451"/>
      <c r="N126" s="1576"/>
      <c r="O126" s="451"/>
      <c r="P126" s="1577"/>
      <c r="Q126" s="451"/>
      <c r="R126" s="1247">
        <f>IF(B24=0,0,(R40)/$B$24)</f>
        <v>0</v>
      </c>
      <c r="S126" s="451"/>
      <c r="T126" s="1247">
        <f>IF(B24=0,0,(T40)/$B$24)</f>
        <v>0</v>
      </c>
      <c r="V126" s="1579"/>
    </row>
    <row r="127" spans="2:22" s="332" customFormat="1" ht="8.15" customHeight="1" x14ac:dyDescent="0.35">
      <c r="B127" s="1567"/>
      <c r="C127" s="24"/>
      <c r="D127" s="1548"/>
      <c r="E127" s="447"/>
      <c r="F127" s="446"/>
      <c r="G127" s="446"/>
      <c r="H127" s="1570"/>
      <c r="I127" s="451"/>
      <c r="J127" s="1576"/>
      <c r="K127" s="451"/>
      <c r="L127" s="1576"/>
      <c r="M127" s="451"/>
      <c r="N127" s="1576"/>
      <c r="O127" s="451"/>
      <c r="P127" s="451"/>
      <c r="Q127" s="451"/>
      <c r="R127" s="451"/>
      <c r="S127" s="451"/>
      <c r="T127" s="451"/>
      <c r="V127" s="1579"/>
    </row>
    <row r="128" spans="2:22" s="332" customFormat="1" ht="14.5" x14ac:dyDescent="0.35">
      <c r="B128" s="1567"/>
      <c r="C128" s="24"/>
      <c r="D128" s="1548"/>
      <c r="E128" s="447"/>
      <c r="F128" s="446"/>
      <c r="G128" s="446"/>
      <c r="H128" s="1570"/>
      <c r="I128" s="451"/>
      <c r="J128" s="1576"/>
      <c r="K128" s="451"/>
      <c r="L128" s="1576"/>
      <c r="M128" s="451"/>
      <c r="N128" s="1577"/>
      <c r="O128" s="451"/>
      <c r="P128" s="1247">
        <f>IF(B24=0,0,(P42)/$B$24)</f>
        <v>0</v>
      </c>
      <c r="Q128" s="451"/>
      <c r="R128" s="451"/>
      <c r="S128" s="451"/>
      <c r="T128" s="451"/>
      <c r="V128" s="1579"/>
    </row>
    <row r="129" spans="2:22" s="332" customFormat="1" ht="8.15" customHeight="1" x14ac:dyDescent="0.35">
      <c r="B129" s="1567"/>
      <c r="C129" s="24"/>
      <c r="D129" s="1548"/>
      <c r="E129" s="447"/>
      <c r="F129" s="446"/>
      <c r="G129" s="446"/>
      <c r="H129" s="1570"/>
      <c r="I129" s="451"/>
      <c r="J129" s="1576"/>
      <c r="K129" s="451"/>
      <c r="L129" s="1576"/>
      <c r="M129" s="451"/>
      <c r="N129" s="451"/>
      <c r="O129" s="451"/>
      <c r="P129" s="451"/>
      <c r="Q129" s="451"/>
      <c r="R129" s="451"/>
      <c r="S129" s="451"/>
      <c r="T129" s="451"/>
      <c r="V129" s="1579"/>
    </row>
    <row r="130" spans="2:22" s="332" customFormat="1" ht="15" customHeight="1" x14ac:dyDescent="0.35">
      <c r="B130" s="1567"/>
      <c r="C130" s="24"/>
      <c r="D130" s="1548"/>
      <c r="E130" s="447"/>
      <c r="F130" s="446"/>
      <c r="G130" s="446"/>
      <c r="H130" s="1570"/>
      <c r="I130" s="451"/>
      <c r="J130" s="1576"/>
      <c r="K130" s="451"/>
      <c r="L130" s="1576"/>
      <c r="M130" s="451"/>
      <c r="N130" s="1595">
        <f>IF($B$24=0,0,(N44)/$B$24)</f>
        <v>0</v>
      </c>
      <c r="O130" s="1255"/>
      <c r="P130" s="1599">
        <f>IF(B24=0,0,(P44)/$B$24)</f>
        <v>0</v>
      </c>
      <c r="Q130" s="1255"/>
      <c r="R130" s="1273">
        <f>IF(B24=0,0,(R44)/$B$24)</f>
        <v>0</v>
      </c>
      <c r="S130" s="1255"/>
      <c r="T130" s="1273">
        <f>IF(B24=0,0,(T44)/$B$24)</f>
        <v>0</v>
      </c>
      <c r="V130" s="1579"/>
    </row>
    <row r="131" spans="2:22" s="332" customFormat="1" ht="8.15" customHeight="1" x14ac:dyDescent="0.35">
      <c r="B131" s="1567"/>
      <c r="C131" s="24"/>
      <c r="D131" s="1548"/>
      <c r="E131" s="447"/>
      <c r="F131" s="446"/>
      <c r="G131" s="446"/>
      <c r="H131" s="1570"/>
      <c r="I131" s="451"/>
      <c r="J131" s="1576"/>
      <c r="K131" s="451"/>
      <c r="L131" s="1576"/>
      <c r="M131" s="451"/>
      <c r="N131" s="1596"/>
      <c r="O131" s="1255"/>
      <c r="P131" s="1600"/>
      <c r="Q131" s="1255"/>
      <c r="R131" s="1255"/>
      <c r="S131" s="1255"/>
      <c r="T131" s="1255"/>
      <c r="V131" s="1579"/>
    </row>
    <row r="132" spans="2:22" s="332" customFormat="1" ht="15" customHeight="1" x14ac:dyDescent="0.35">
      <c r="B132" s="1567"/>
      <c r="C132" s="24"/>
      <c r="D132" s="1548"/>
      <c r="E132" s="447"/>
      <c r="F132" s="446"/>
      <c r="G132" s="446"/>
      <c r="H132" s="1570"/>
      <c r="I132" s="451"/>
      <c r="J132" s="1576"/>
      <c r="K132" s="451"/>
      <c r="L132" s="1576"/>
      <c r="M132" s="451"/>
      <c r="N132" s="1597"/>
      <c r="O132" s="1255"/>
      <c r="P132" s="1601"/>
      <c r="Q132" s="1255"/>
      <c r="R132" s="1274">
        <f>IF(B24=0,0,(R46)/$B$24)</f>
        <v>0</v>
      </c>
      <c r="S132" s="1255"/>
      <c r="T132" s="1274">
        <f>IF(B24=0,0,(T46)/$B$24)</f>
        <v>0</v>
      </c>
      <c r="V132" s="1579"/>
    </row>
    <row r="133" spans="2:22" s="332" customFormat="1" ht="8.15" customHeight="1" x14ac:dyDescent="0.35">
      <c r="B133" s="1567"/>
      <c r="C133" s="24"/>
      <c r="D133" s="1548"/>
      <c r="E133" s="447"/>
      <c r="F133" s="446"/>
      <c r="G133" s="446"/>
      <c r="H133" s="1570"/>
      <c r="I133" s="451"/>
      <c r="J133" s="1576"/>
      <c r="K133" s="451"/>
      <c r="L133" s="1576"/>
      <c r="M133" s="451"/>
      <c r="N133" s="1597"/>
      <c r="O133" s="1255"/>
      <c r="P133" s="1255"/>
      <c r="Q133" s="1255"/>
      <c r="R133" s="1255"/>
      <c r="S133" s="1255"/>
      <c r="T133" s="1255"/>
      <c r="V133" s="1579"/>
    </row>
    <row r="134" spans="2:22" s="332" customFormat="1" ht="14.5" x14ac:dyDescent="0.35">
      <c r="B134" s="1567"/>
      <c r="C134" s="24"/>
      <c r="D134" s="1548"/>
      <c r="E134" s="447"/>
      <c r="F134" s="446"/>
      <c r="G134" s="446"/>
      <c r="H134" s="1570"/>
      <c r="I134" s="451"/>
      <c r="J134" s="1576"/>
      <c r="K134" s="451"/>
      <c r="L134" s="1576"/>
      <c r="M134" s="451"/>
      <c r="N134" s="1598"/>
      <c r="O134" s="1255"/>
      <c r="P134" s="1274">
        <f>IF(B24=0,0,(P48)/$B$24)</f>
        <v>0</v>
      </c>
      <c r="Q134" s="1255"/>
      <c r="R134" s="1255"/>
      <c r="S134" s="1255"/>
      <c r="T134" s="1255"/>
      <c r="V134" s="1579"/>
    </row>
    <row r="135" spans="2:22" s="332" customFormat="1" ht="8.15" customHeight="1" x14ac:dyDescent="0.35">
      <c r="B135" s="1567"/>
      <c r="C135" s="24"/>
      <c r="D135" s="1548"/>
      <c r="E135" s="447"/>
      <c r="F135" s="446"/>
      <c r="G135" s="446"/>
      <c r="H135" s="1570"/>
      <c r="I135" s="451"/>
      <c r="J135" s="1576"/>
      <c r="K135" s="451"/>
      <c r="L135" s="1576"/>
      <c r="M135" s="451"/>
      <c r="N135" s="1255"/>
      <c r="O135" s="1255"/>
      <c r="P135" s="1255"/>
      <c r="Q135" s="1255"/>
      <c r="R135" s="1255"/>
      <c r="S135" s="1255"/>
      <c r="T135" s="1255"/>
      <c r="V135" s="1579"/>
    </row>
    <row r="136" spans="2:22" s="332" customFormat="1" ht="14.5" x14ac:dyDescent="0.35">
      <c r="B136" s="1567"/>
      <c r="C136" s="24"/>
      <c r="D136" s="1548"/>
      <c r="E136" s="447"/>
      <c r="F136" s="446"/>
      <c r="G136" s="446"/>
      <c r="H136" s="1570"/>
      <c r="I136" s="451"/>
      <c r="J136" s="1576"/>
      <c r="K136" s="451"/>
      <c r="L136" s="1576"/>
      <c r="M136" s="451"/>
      <c r="N136" s="1274">
        <f>IF(B24=0,0,(N50)/B24)</f>
        <v>0</v>
      </c>
      <c r="O136" s="1255"/>
      <c r="P136" s="1255"/>
      <c r="Q136" s="1255"/>
      <c r="R136" s="1255"/>
      <c r="S136" s="1255"/>
      <c r="T136" s="1255"/>
      <c r="V136" s="1579"/>
    </row>
    <row r="137" spans="2:22" s="332" customFormat="1" ht="8.15" customHeight="1" x14ac:dyDescent="0.35">
      <c r="B137" s="1567"/>
      <c r="C137" s="24"/>
      <c r="D137" s="1548"/>
      <c r="E137" s="447"/>
      <c r="F137" s="446"/>
      <c r="G137" s="446"/>
      <c r="H137" s="1570"/>
      <c r="I137" s="451"/>
      <c r="J137" s="1576"/>
      <c r="K137" s="451"/>
      <c r="L137" s="1576"/>
      <c r="M137" s="451"/>
      <c r="N137" s="1255"/>
      <c r="O137" s="1255"/>
      <c r="P137" s="1255"/>
      <c r="Q137" s="1255"/>
      <c r="R137" s="1255"/>
      <c r="S137" s="1255"/>
      <c r="T137" s="1255"/>
      <c r="V137" s="1579"/>
    </row>
    <row r="138" spans="2:22" s="332" customFormat="1" ht="14.5" x14ac:dyDescent="0.35">
      <c r="B138" s="1567"/>
      <c r="C138" s="24"/>
      <c r="D138" s="1548"/>
      <c r="E138" s="447"/>
      <c r="F138" s="446"/>
      <c r="G138" s="446"/>
      <c r="H138" s="1570"/>
      <c r="I138" s="451"/>
      <c r="J138" s="1576"/>
      <c r="K138" s="451"/>
      <c r="L138" s="1577"/>
      <c r="M138" s="451"/>
      <c r="N138" s="1274">
        <f>IF(B24=0,0,(N52)/B24)</f>
        <v>0</v>
      </c>
      <c r="O138" s="1255"/>
      <c r="P138" s="1255"/>
      <c r="Q138" s="1255"/>
      <c r="R138" s="1255"/>
      <c r="S138" s="1255"/>
      <c r="T138" s="1255"/>
      <c r="V138" s="1579"/>
    </row>
    <row r="139" spans="2:22" s="332" customFormat="1" ht="8.15" customHeight="1" x14ac:dyDescent="0.35">
      <c r="B139" s="1567"/>
      <c r="C139" s="24"/>
      <c r="D139" s="1548"/>
      <c r="E139" s="447"/>
      <c r="F139" s="446"/>
      <c r="G139" s="446"/>
      <c r="H139" s="1570"/>
      <c r="I139" s="451"/>
      <c r="J139" s="1576"/>
      <c r="K139" s="451"/>
      <c r="L139" s="453"/>
      <c r="M139" s="451"/>
      <c r="N139" s="451"/>
      <c r="O139" s="451"/>
      <c r="P139" s="451"/>
      <c r="Q139" s="451"/>
      <c r="R139" s="451"/>
      <c r="S139" s="451"/>
      <c r="T139" s="451"/>
      <c r="V139" s="1579"/>
    </row>
    <row r="140" spans="2:22" s="332" customFormat="1" ht="14.5" x14ac:dyDescent="0.35">
      <c r="B140" s="1567"/>
      <c r="C140" s="24"/>
      <c r="D140" s="1548"/>
      <c r="E140" s="447"/>
      <c r="F140" s="446"/>
      <c r="G140" s="446"/>
      <c r="H140" s="1571"/>
      <c r="I140" s="451"/>
      <c r="J140" s="1577"/>
      <c r="K140" s="451"/>
      <c r="L140" s="1247">
        <f>'FW Flows_ALL'!G93</f>
        <v>0</v>
      </c>
      <c r="M140" s="451"/>
      <c r="N140" s="451"/>
      <c r="O140" s="451"/>
      <c r="P140" s="451"/>
      <c r="Q140" s="451"/>
      <c r="R140" s="451"/>
      <c r="S140" s="451"/>
      <c r="T140" s="451"/>
      <c r="V140" s="1579"/>
    </row>
    <row r="141" spans="2:22" s="332" customFormat="1" ht="14.5" x14ac:dyDescent="0.35">
      <c r="B141" s="1567"/>
      <c r="C141" s="24"/>
      <c r="D141" s="446"/>
      <c r="E141" s="446"/>
      <c r="F141" s="446"/>
      <c r="G141" s="446"/>
      <c r="H141" s="453"/>
      <c r="I141" s="455"/>
      <c r="J141" s="451"/>
      <c r="K141" s="451"/>
      <c r="L141" s="453"/>
      <c r="M141" s="451"/>
      <c r="N141" s="451"/>
      <c r="O141" s="451"/>
      <c r="P141" s="451"/>
      <c r="Q141" s="451"/>
      <c r="R141" s="451"/>
      <c r="S141" s="451"/>
      <c r="T141" s="451"/>
      <c r="V141" s="1579"/>
    </row>
    <row r="142" spans="2:22" s="332" customFormat="1" ht="15" customHeight="1" x14ac:dyDescent="0.35">
      <c r="B142" s="1567"/>
      <c r="C142" s="24"/>
      <c r="D142" s="1548" t="s">
        <v>139</v>
      </c>
      <c r="E142" s="445"/>
      <c r="F142" s="1548" t="s">
        <v>130</v>
      </c>
      <c r="G142" s="446"/>
      <c r="H142" s="1569">
        <f>IF(B24=0,0,H56/$B$24)</f>
        <v>0.20847109405826089</v>
      </c>
      <c r="I142" s="451"/>
      <c r="J142" s="1575">
        <f>IF(B24=0,0,J56/$B$24)</f>
        <v>0.20847109405826089</v>
      </c>
      <c r="K142" s="451"/>
      <c r="L142" s="1575">
        <f>IF(B24=0,0,L56/$B$24)</f>
        <v>0.17921461885662357</v>
      </c>
      <c r="M142" s="451"/>
      <c r="N142" s="1575">
        <f>IF(B24=0,0,(N56)/B24)</f>
        <v>0.17639101631788767</v>
      </c>
      <c r="O142" s="451"/>
      <c r="P142" s="1575">
        <f>IF(B24=0,0,(P56)/$B$24)</f>
        <v>0.17639101631788767</v>
      </c>
      <c r="Q142" s="451"/>
      <c r="R142" s="1253">
        <f>IF(B24=0,0,(R56)/$B$24)</f>
        <v>3.5278203263577529E-2</v>
      </c>
      <c r="S142" s="451"/>
      <c r="T142" s="1253">
        <f>IF(B24=0,0,(T56)/$B$24)</f>
        <v>3.5278203263577529E-2</v>
      </c>
      <c r="V142" s="1579"/>
    </row>
    <row r="143" spans="2:22" s="332" customFormat="1" ht="8.15" customHeight="1" x14ac:dyDescent="0.35">
      <c r="B143" s="1567"/>
      <c r="C143" s="24"/>
      <c r="D143" s="1548"/>
      <c r="E143" s="445"/>
      <c r="F143" s="1548"/>
      <c r="G143" s="446"/>
      <c r="H143" s="1570"/>
      <c r="I143" s="451"/>
      <c r="J143" s="1576"/>
      <c r="K143" s="451"/>
      <c r="L143" s="1576"/>
      <c r="M143" s="451"/>
      <c r="N143" s="1576"/>
      <c r="O143" s="451"/>
      <c r="P143" s="1576"/>
      <c r="Q143" s="451"/>
      <c r="R143" s="451"/>
      <c r="S143" s="451"/>
      <c r="T143" s="451"/>
      <c r="V143" s="1579"/>
    </row>
    <row r="144" spans="2:22" s="332" customFormat="1" ht="14.5" x14ac:dyDescent="0.35">
      <c r="B144" s="1567"/>
      <c r="C144" s="24"/>
      <c r="D144" s="1548"/>
      <c r="E144" s="445"/>
      <c r="F144" s="1548"/>
      <c r="G144" s="446"/>
      <c r="H144" s="1570"/>
      <c r="I144" s="451"/>
      <c r="J144" s="1576"/>
      <c r="K144" s="451"/>
      <c r="L144" s="1576"/>
      <c r="M144" s="451"/>
      <c r="N144" s="1577"/>
      <c r="O144" s="451"/>
      <c r="P144" s="1577"/>
      <c r="Q144" s="451"/>
      <c r="R144" s="1247">
        <f>IF(B24=0,0,(R58)/$B$24)</f>
        <v>0.14111281305431012</v>
      </c>
      <c r="S144" s="451"/>
      <c r="T144" s="1247">
        <f>IF(B24=0,0,(T58)/$B$24)</f>
        <v>0.14111281305431012</v>
      </c>
      <c r="V144" s="1579"/>
    </row>
    <row r="145" spans="2:22" s="332" customFormat="1" ht="8.15" customHeight="1" x14ac:dyDescent="0.35">
      <c r="B145" s="1567"/>
      <c r="C145" s="24"/>
      <c r="D145" s="1548"/>
      <c r="E145" s="445"/>
      <c r="F145" s="1548"/>
      <c r="G145" s="446"/>
      <c r="H145" s="1570"/>
      <c r="I145" s="451"/>
      <c r="J145" s="1576"/>
      <c r="K145" s="451"/>
      <c r="L145" s="1576"/>
      <c r="M145" s="451"/>
      <c r="N145" s="451"/>
      <c r="O145" s="451"/>
      <c r="P145" s="451"/>
      <c r="Q145" s="451"/>
      <c r="R145" s="451"/>
      <c r="S145" s="451"/>
      <c r="T145" s="451"/>
      <c r="V145" s="1579"/>
    </row>
    <row r="146" spans="2:22" s="332" customFormat="1" ht="14.5" x14ac:dyDescent="0.35">
      <c r="B146" s="1567"/>
      <c r="C146" s="24"/>
      <c r="D146" s="1548"/>
      <c r="E146" s="445"/>
      <c r="F146" s="1548"/>
      <c r="G146" s="446"/>
      <c r="H146" s="1570"/>
      <c r="I146" s="451"/>
      <c r="J146" s="1576"/>
      <c r="K146" s="451"/>
      <c r="L146" s="1576"/>
      <c r="M146" s="451"/>
      <c r="N146" s="1595">
        <f>IF(B24=0,0,(N60)/B24)</f>
        <v>2.8236025387359167E-3</v>
      </c>
      <c r="O146" s="1255"/>
      <c r="P146" s="1595">
        <f>IF(B24=0,0,(P60)/$B$24)</f>
        <v>0</v>
      </c>
      <c r="Q146" s="1255"/>
      <c r="R146" s="1273">
        <f>IF(B24=0,0,(R60)/$B$24)</f>
        <v>0</v>
      </c>
      <c r="S146" s="1255"/>
      <c r="T146" s="1273">
        <f>IF(B24=0,0,(T60)/$B$24)</f>
        <v>0</v>
      </c>
      <c r="V146" s="1579"/>
    </row>
    <row r="147" spans="2:22" s="332" customFormat="1" ht="8.15" customHeight="1" x14ac:dyDescent="0.35">
      <c r="B147" s="1567"/>
      <c r="C147" s="24"/>
      <c r="D147" s="1548"/>
      <c r="E147" s="445"/>
      <c r="F147" s="1548"/>
      <c r="G147" s="446"/>
      <c r="H147" s="1570"/>
      <c r="I147" s="451"/>
      <c r="J147" s="1576"/>
      <c r="K147" s="451"/>
      <c r="L147" s="1576"/>
      <c r="M147" s="451"/>
      <c r="N147" s="1596"/>
      <c r="O147" s="1255"/>
      <c r="P147" s="1596"/>
      <c r="Q147" s="1255"/>
      <c r="R147" s="1255"/>
      <c r="S147" s="1255"/>
      <c r="T147" s="1255"/>
      <c r="V147" s="1579"/>
    </row>
    <row r="148" spans="2:22" s="332" customFormat="1" ht="14.5" x14ac:dyDescent="0.35">
      <c r="B148" s="1567"/>
      <c r="C148" s="24"/>
      <c r="D148" s="1548"/>
      <c r="E148" s="445"/>
      <c r="F148" s="1548"/>
      <c r="G148" s="446"/>
      <c r="H148" s="1570"/>
      <c r="I148" s="451"/>
      <c r="J148" s="1576"/>
      <c r="K148" s="451"/>
      <c r="L148" s="1576"/>
      <c r="M148" s="451"/>
      <c r="N148" s="1596"/>
      <c r="O148" s="1255"/>
      <c r="P148" s="1598"/>
      <c r="Q148" s="1255"/>
      <c r="R148" s="1274">
        <f>IF(B24=0,0,(R62)/$B$24)</f>
        <v>0</v>
      </c>
      <c r="S148" s="1255"/>
      <c r="T148" s="1274">
        <f>IF(B24=0,0,(T62)/$B$24)</f>
        <v>0</v>
      </c>
      <c r="V148" s="1579"/>
    </row>
    <row r="149" spans="2:22" s="332" customFormat="1" ht="8.15" customHeight="1" x14ac:dyDescent="0.35">
      <c r="B149" s="1567"/>
      <c r="C149" s="24"/>
      <c r="D149" s="1548"/>
      <c r="E149" s="445"/>
      <c r="F149" s="1548"/>
      <c r="G149" s="446"/>
      <c r="H149" s="1570"/>
      <c r="I149" s="451"/>
      <c r="J149" s="1576"/>
      <c r="K149" s="451"/>
      <c r="L149" s="1576"/>
      <c r="M149" s="451"/>
      <c r="N149" s="1596"/>
      <c r="O149" s="1255"/>
      <c r="P149" s="1255"/>
      <c r="Q149" s="1255"/>
      <c r="R149" s="1255"/>
      <c r="S149" s="1255"/>
      <c r="T149" s="1255"/>
      <c r="V149" s="1579"/>
    </row>
    <row r="150" spans="2:22" s="332" customFormat="1" ht="14.5" x14ac:dyDescent="0.35">
      <c r="B150" s="1567"/>
      <c r="C150" s="24"/>
      <c r="D150" s="1548"/>
      <c r="E150" s="445"/>
      <c r="F150" s="1548"/>
      <c r="G150" s="446"/>
      <c r="H150" s="1570"/>
      <c r="I150" s="451"/>
      <c r="J150" s="1576"/>
      <c r="K150" s="451"/>
      <c r="L150" s="1576"/>
      <c r="M150" s="451"/>
      <c r="N150" s="1598"/>
      <c r="O150" s="1255"/>
      <c r="P150" s="1274">
        <f>IF(B24=0,0,P64/$B$24)</f>
        <v>2.8236025387359167E-3</v>
      </c>
      <c r="Q150" s="1255"/>
      <c r="R150" s="1255"/>
      <c r="S150" s="1255"/>
      <c r="T150" s="1255"/>
      <c r="V150" s="1579"/>
    </row>
    <row r="151" spans="2:22" s="332" customFormat="1" ht="8.15" customHeight="1" x14ac:dyDescent="0.35">
      <c r="B151" s="1567"/>
      <c r="C151" s="24"/>
      <c r="D151" s="1548"/>
      <c r="E151" s="445"/>
      <c r="F151" s="1548"/>
      <c r="G151" s="446"/>
      <c r="H151" s="1570"/>
      <c r="I151" s="451"/>
      <c r="J151" s="1576"/>
      <c r="K151" s="451"/>
      <c r="L151" s="1576"/>
      <c r="M151" s="451"/>
      <c r="N151" s="1255"/>
      <c r="O151" s="1255"/>
      <c r="P151" s="1255"/>
      <c r="Q151" s="1255"/>
      <c r="R151" s="1255"/>
      <c r="S151" s="1255"/>
      <c r="T151" s="1255"/>
      <c r="V151" s="1579"/>
    </row>
    <row r="152" spans="2:22" s="332" customFormat="1" ht="14.5" x14ac:dyDescent="0.35">
      <c r="B152" s="1567"/>
      <c r="C152" s="24"/>
      <c r="D152" s="1548"/>
      <c r="E152" s="445"/>
      <c r="F152" s="1548"/>
      <c r="G152" s="446"/>
      <c r="H152" s="1570"/>
      <c r="I152" s="451"/>
      <c r="J152" s="1576"/>
      <c r="K152" s="451"/>
      <c r="L152" s="1576"/>
      <c r="M152" s="451"/>
      <c r="N152" s="1274">
        <f>IF(B24=0,0,(N66)/$B$24)</f>
        <v>0</v>
      </c>
      <c r="O152" s="1255"/>
      <c r="P152" s="1255"/>
      <c r="Q152" s="1255"/>
      <c r="R152" s="1255"/>
      <c r="S152" s="1255"/>
      <c r="T152" s="1255"/>
      <c r="V152" s="1579"/>
    </row>
    <row r="153" spans="2:22" s="332" customFormat="1" ht="8.15" customHeight="1" x14ac:dyDescent="0.35">
      <c r="B153" s="1567"/>
      <c r="C153" s="24"/>
      <c r="D153" s="1548"/>
      <c r="E153" s="445"/>
      <c r="F153" s="1548"/>
      <c r="G153" s="446"/>
      <c r="H153" s="1570"/>
      <c r="I153" s="451"/>
      <c r="J153" s="1576"/>
      <c r="K153" s="451"/>
      <c r="L153" s="1576"/>
      <c r="M153" s="451"/>
      <c r="N153" s="1255"/>
      <c r="O153" s="1255"/>
      <c r="P153" s="1255"/>
      <c r="Q153" s="1255"/>
      <c r="R153" s="1255"/>
      <c r="S153" s="1255"/>
      <c r="T153" s="1255"/>
      <c r="V153" s="1579"/>
    </row>
    <row r="154" spans="2:22" s="332" customFormat="1" ht="14.5" x14ac:dyDescent="0.35">
      <c r="B154" s="1567"/>
      <c r="C154" s="24"/>
      <c r="D154" s="1548"/>
      <c r="E154" s="445"/>
      <c r="F154" s="1548"/>
      <c r="G154" s="446"/>
      <c r="H154" s="1570"/>
      <c r="I154" s="451"/>
      <c r="J154" s="1576"/>
      <c r="K154" s="451"/>
      <c r="L154" s="1577"/>
      <c r="M154" s="451"/>
      <c r="N154" s="1274">
        <f>IF(B24=0,0,(N68)/$B$24)</f>
        <v>0</v>
      </c>
      <c r="O154" s="1255"/>
      <c r="P154" s="1255"/>
      <c r="Q154" s="1255"/>
      <c r="R154" s="1255"/>
      <c r="S154" s="1255"/>
      <c r="T154" s="1255"/>
      <c r="V154" s="1579"/>
    </row>
    <row r="155" spans="2:22" s="332" customFormat="1" ht="8.15" customHeight="1" x14ac:dyDescent="0.35">
      <c r="B155" s="1567"/>
      <c r="C155" s="24"/>
      <c r="D155" s="1548"/>
      <c r="E155" s="445"/>
      <c r="F155" s="1548"/>
      <c r="G155" s="446"/>
      <c r="H155" s="1570"/>
      <c r="I155" s="451"/>
      <c r="J155" s="1576"/>
      <c r="K155" s="451"/>
      <c r="L155" s="453"/>
      <c r="M155" s="451"/>
      <c r="N155" s="451"/>
      <c r="O155" s="451"/>
      <c r="P155" s="451"/>
      <c r="Q155" s="451"/>
      <c r="R155" s="451"/>
      <c r="S155" s="451"/>
      <c r="T155" s="451"/>
      <c r="V155" s="1579"/>
    </row>
    <row r="156" spans="2:22" s="332" customFormat="1" ht="14.5" x14ac:dyDescent="0.35">
      <c r="B156" s="1567"/>
      <c r="C156" s="24"/>
      <c r="D156" s="1548"/>
      <c r="E156" s="445"/>
      <c r="F156" s="1548"/>
      <c r="G156" s="446"/>
      <c r="H156" s="1571"/>
      <c r="I156" s="451"/>
      <c r="J156" s="1577"/>
      <c r="K156" s="451"/>
      <c r="L156" s="1247">
        <f>IF(B24=0,0,L70/B24)</f>
        <v>2.9256475201637301E-2</v>
      </c>
      <c r="M156" s="451"/>
      <c r="N156" s="451"/>
      <c r="O156" s="451"/>
      <c r="P156" s="451"/>
      <c r="Q156" s="451"/>
      <c r="R156" s="451"/>
      <c r="S156" s="451"/>
      <c r="T156" s="451"/>
      <c r="V156" s="1579"/>
    </row>
    <row r="157" spans="2:22" s="332" customFormat="1" ht="14.5" x14ac:dyDescent="0.35">
      <c r="B157" s="1567"/>
      <c r="C157" s="24"/>
      <c r="D157" s="1548"/>
      <c r="E157" s="452"/>
      <c r="F157" s="449"/>
      <c r="G157" s="446"/>
      <c r="H157" s="453"/>
      <c r="I157" s="455"/>
      <c r="J157" s="451"/>
      <c r="K157" s="451"/>
      <c r="L157" s="453"/>
      <c r="M157" s="451"/>
      <c r="N157" s="451"/>
      <c r="O157" s="451"/>
      <c r="P157" s="451"/>
      <c r="Q157" s="451"/>
      <c r="R157" s="451"/>
      <c r="S157" s="451"/>
      <c r="T157" s="451"/>
      <c r="V157" s="1579"/>
    </row>
    <row r="158" spans="2:22" s="332" customFormat="1" ht="14.5" x14ac:dyDescent="0.35">
      <c r="B158" s="1567"/>
      <c r="C158" s="24"/>
      <c r="D158" s="1548"/>
      <c r="E158" s="445"/>
      <c r="F158" s="1548" t="s">
        <v>131</v>
      </c>
      <c r="G158" s="446"/>
      <c r="H158" s="1589">
        <f>IF(B24=0,0,H72/$B$24)</f>
        <v>5.961575230782782E-2</v>
      </c>
      <c r="I158" s="451"/>
      <c r="J158" s="1572">
        <f>IF(B24=0,0,J72/$B$24)</f>
        <v>5.961575230782782E-2</v>
      </c>
      <c r="K158" s="451"/>
      <c r="L158" s="1572">
        <f>IF(B24=0,0,L72/$B$24)</f>
        <v>2.6017531685861864E-2</v>
      </c>
      <c r="M158" s="451"/>
      <c r="N158" s="1595">
        <f>IF(B24=0,0,N72/$B$24)</f>
        <v>1.4071465860045844E-3</v>
      </c>
      <c r="O158" s="1255"/>
      <c r="P158" s="1595">
        <f>IF(B24=0,0,P72/$B$24)</f>
        <v>0</v>
      </c>
      <c r="Q158" s="1255"/>
      <c r="R158" s="1273">
        <f>IF(B24=0,0,R72/$B$24)</f>
        <v>0</v>
      </c>
      <c r="S158" s="1255"/>
      <c r="T158" s="1273">
        <f>IF(B24=0,0,T72/$B$24)</f>
        <v>0</v>
      </c>
      <c r="V158" s="1579"/>
    </row>
    <row r="159" spans="2:22" s="332" customFormat="1" ht="8.15" customHeight="1" x14ac:dyDescent="0.35">
      <c r="B159" s="1567"/>
      <c r="C159" s="24"/>
      <c r="D159" s="1548"/>
      <c r="E159" s="445"/>
      <c r="F159" s="1548"/>
      <c r="G159" s="446"/>
      <c r="H159" s="1590"/>
      <c r="I159" s="451"/>
      <c r="J159" s="1573"/>
      <c r="K159" s="451"/>
      <c r="L159" s="1573"/>
      <c r="M159" s="451"/>
      <c r="N159" s="1596"/>
      <c r="O159" s="1255"/>
      <c r="P159" s="1596"/>
      <c r="Q159" s="1255"/>
      <c r="R159" s="1255"/>
      <c r="S159" s="1255"/>
      <c r="T159" s="1255"/>
      <c r="V159" s="1579"/>
    </row>
    <row r="160" spans="2:22" s="332" customFormat="1" ht="14.5" x14ac:dyDescent="0.35">
      <c r="B160" s="1567"/>
      <c r="C160" s="24"/>
      <c r="D160" s="1548"/>
      <c r="E160" s="445"/>
      <c r="F160" s="1548"/>
      <c r="G160" s="446"/>
      <c r="H160" s="1590"/>
      <c r="I160" s="451"/>
      <c r="J160" s="1573"/>
      <c r="K160" s="451"/>
      <c r="L160" s="1573"/>
      <c r="M160" s="451"/>
      <c r="N160" s="1596"/>
      <c r="O160" s="1255"/>
      <c r="P160" s="1598"/>
      <c r="Q160" s="1255"/>
      <c r="R160" s="1274">
        <f>IF(B24=0,0,R74/$B$24)</f>
        <v>0</v>
      </c>
      <c r="S160" s="1255"/>
      <c r="T160" s="1274">
        <f>IF(B24=0,0,T74/$B$24)</f>
        <v>0</v>
      </c>
      <c r="V160" s="1579"/>
    </row>
    <row r="161" spans="2:24" s="332" customFormat="1" ht="8.15" customHeight="1" x14ac:dyDescent="0.35">
      <c r="B161" s="1567"/>
      <c r="C161" s="24"/>
      <c r="D161" s="1548"/>
      <c r="E161" s="445"/>
      <c r="F161" s="1548"/>
      <c r="G161" s="446"/>
      <c r="H161" s="1590"/>
      <c r="I161" s="451"/>
      <c r="J161" s="1573"/>
      <c r="K161" s="451"/>
      <c r="L161" s="1573"/>
      <c r="M161" s="451"/>
      <c r="N161" s="1596"/>
      <c r="O161" s="1255"/>
      <c r="P161" s="1255"/>
      <c r="Q161" s="1255"/>
      <c r="R161" s="1255"/>
      <c r="S161" s="1255"/>
      <c r="T161" s="1255"/>
      <c r="V161" s="1579"/>
    </row>
    <row r="162" spans="2:24" s="332" customFormat="1" ht="14.5" x14ac:dyDescent="0.35">
      <c r="B162" s="1567"/>
      <c r="C162" s="24"/>
      <c r="D162" s="1548"/>
      <c r="E162" s="445"/>
      <c r="F162" s="1548"/>
      <c r="G162" s="446"/>
      <c r="H162" s="1590"/>
      <c r="I162" s="451"/>
      <c r="J162" s="1573"/>
      <c r="K162" s="451"/>
      <c r="L162" s="1573"/>
      <c r="M162" s="451"/>
      <c r="N162" s="1598"/>
      <c r="O162" s="1255"/>
      <c r="P162" s="1274">
        <f>IF(B24=0,0,P76/$B$24)</f>
        <v>1.4071465860045844E-3</v>
      </c>
      <c r="Q162" s="1255"/>
      <c r="R162" s="1255"/>
      <c r="S162" s="1255"/>
      <c r="T162" s="1255"/>
      <c r="V162" s="1579"/>
    </row>
    <row r="163" spans="2:24" s="332" customFormat="1" ht="8.15" customHeight="1" x14ac:dyDescent="0.35">
      <c r="B163" s="1567"/>
      <c r="C163" s="24"/>
      <c r="D163" s="1548"/>
      <c r="E163" s="445"/>
      <c r="F163" s="1548"/>
      <c r="G163" s="446"/>
      <c r="H163" s="1590"/>
      <c r="I163" s="451"/>
      <c r="J163" s="1573"/>
      <c r="K163" s="451"/>
      <c r="L163" s="1573"/>
      <c r="M163" s="451"/>
      <c r="N163" s="451"/>
      <c r="O163" s="451"/>
      <c r="P163" s="451"/>
      <c r="Q163" s="451"/>
      <c r="R163" s="451"/>
      <c r="S163" s="451"/>
      <c r="T163" s="451"/>
      <c r="V163" s="1579"/>
    </row>
    <row r="164" spans="2:24" s="332" customFormat="1" ht="14.5" x14ac:dyDescent="0.35">
      <c r="B164" s="1567"/>
      <c r="C164" s="24"/>
      <c r="D164" s="1548"/>
      <c r="E164" s="445"/>
      <c r="F164" s="1548"/>
      <c r="G164" s="446"/>
      <c r="H164" s="1590"/>
      <c r="I164" s="451"/>
      <c r="J164" s="1573"/>
      <c r="K164" s="451"/>
      <c r="L164" s="1573"/>
      <c r="M164" s="451"/>
      <c r="N164" s="1247">
        <f>IF(B24=0,0,(N78+N80)/$B$24)</f>
        <v>2.4610385099857281E-2</v>
      </c>
      <c r="O164" s="451"/>
      <c r="P164" s="451"/>
      <c r="Q164" s="451"/>
      <c r="R164" s="451"/>
      <c r="S164" s="451"/>
      <c r="T164" s="451"/>
      <c r="V164" s="1579"/>
    </row>
    <row r="165" spans="2:24" s="332" customFormat="1" ht="8.15" customHeight="1" x14ac:dyDescent="0.35">
      <c r="B165" s="1567"/>
      <c r="C165" s="24"/>
      <c r="D165" s="1548"/>
      <c r="E165" s="445"/>
      <c r="F165" s="1548"/>
      <c r="G165" s="446"/>
      <c r="H165" s="1590"/>
      <c r="I165" s="451"/>
      <c r="J165" s="1573"/>
      <c r="K165" s="451"/>
      <c r="L165" s="1573"/>
      <c r="M165" s="451"/>
      <c r="N165" s="451"/>
      <c r="O165" s="451"/>
      <c r="P165" s="451"/>
      <c r="Q165" s="451"/>
      <c r="R165" s="451"/>
      <c r="S165" s="451"/>
      <c r="T165" s="451"/>
      <c r="V165" s="1579"/>
    </row>
    <row r="166" spans="2:24" s="332" customFormat="1" ht="14.5" x14ac:dyDescent="0.35">
      <c r="B166" s="1567"/>
      <c r="C166" s="24"/>
      <c r="D166" s="1548"/>
      <c r="E166" s="445"/>
      <c r="F166" s="1548"/>
      <c r="G166" s="446"/>
      <c r="H166" s="1590"/>
      <c r="I166" s="451"/>
      <c r="J166" s="1573"/>
      <c r="K166" s="451"/>
      <c r="L166" s="1574"/>
      <c r="M166" s="451"/>
      <c r="N166" s="1247">
        <f>IF(B24=0,0,(N80)/$B$24)</f>
        <v>2.4610385099857281E-2</v>
      </c>
      <c r="O166" s="451"/>
      <c r="P166" s="451"/>
      <c r="Q166" s="451"/>
      <c r="R166" s="451"/>
      <c r="S166" s="451"/>
      <c r="T166" s="451"/>
      <c r="V166" s="1579"/>
    </row>
    <row r="167" spans="2:24" s="332" customFormat="1" ht="8.15" customHeight="1" x14ac:dyDescent="0.35">
      <c r="B167" s="1567"/>
      <c r="C167" s="24"/>
      <c r="D167" s="1548"/>
      <c r="E167" s="445"/>
      <c r="F167" s="1548"/>
      <c r="G167" s="446"/>
      <c r="H167" s="1590"/>
      <c r="I167" s="451"/>
      <c r="J167" s="1573"/>
      <c r="K167" s="451"/>
      <c r="L167" s="453"/>
      <c r="M167" s="451"/>
      <c r="N167" s="451"/>
      <c r="O167" s="451"/>
      <c r="P167" s="451"/>
      <c r="Q167" s="451"/>
      <c r="R167" s="451"/>
      <c r="S167" s="451"/>
      <c r="T167" s="451"/>
      <c r="V167" s="1579"/>
    </row>
    <row r="168" spans="2:24" s="332" customFormat="1" ht="14.5" x14ac:dyDescent="0.35">
      <c r="B168" s="1567"/>
      <c r="C168" s="24"/>
      <c r="D168" s="1548"/>
      <c r="E168" s="445"/>
      <c r="F168" s="1548"/>
      <c r="G168" s="446"/>
      <c r="H168" s="1591"/>
      <c r="I168" s="451"/>
      <c r="J168" s="1574"/>
      <c r="K168" s="451"/>
      <c r="L168" s="1247">
        <f>IF(B24=0,0,L82/B24)</f>
        <v>3.3598220621965949E-2</v>
      </c>
      <c r="M168" s="451"/>
      <c r="N168" s="451"/>
      <c r="O168" s="451"/>
      <c r="P168" s="451"/>
      <c r="Q168" s="451"/>
      <c r="R168" s="451"/>
      <c r="S168" s="451"/>
      <c r="T168" s="451"/>
      <c r="V168" s="1579"/>
    </row>
    <row r="169" spans="2:24" s="332" customFormat="1" ht="15" customHeight="1" x14ac:dyDescent="0.35">
      <c r="B169" s="1567"/>
      <c r="C169" s="24"/>
      <c r="D169" s="446"/>
      <c r="E169" s="446"/>
      <c r="F169" s="446"/>
      <c r="G169" s="446"/>
      <c r="H169" s="453"/>
      <c r="I169" s="455"/>
      <c r="J169" s="451"/>
      <c r="K169" s="451"/>
      <c r="L169" s="451"/>
      <c r="M169" s="451"/>
      <c r="N169" s="451"/>
      <c r="O169" s="451"/>
      <c r="P169" s="451"/>
      <c r="Q169" s="451"/>
      <c r="R169" s="451"/>
      <c r="S169" s="451"/>
      <c r="T169" s="451"/>
      <c r="V169" s="1579"/>
    </row>
    <row r="170" spans="2:24" s="332" customFormat="1" ht="29" x14ac:dyDescent="0.35">
      <c r="B170" s="1568"/>
      <c r="C170" s="450"/>
      <c r="D170" s="1460" t="s">
        <v>132</v>
      </c>
      <c r="E170" s="447"/>
      <c r="F170" s="446"/>
      <c r="G170" s="446"/>
      <c r="H170" s="1248">
        <f>IF(B24=0,0,H84/$B$24)</f>
        <v>5.7360021139423519E-4</v>
      </c>
      <c r="I170" s="455"/>
      <c r="J170" s="1247">
        <f>IF(B24=0,0,J84/$B$24)</f>
        <v>5.7360021139423519E-4</v>
      </c>
      <c r="K170" s="451"/>
      <c r="L170" s="451"/>
      <c r="M170" s="451"/>
      <c r="N170" s="451"/>
      <c r="O170" s="451"/>
      <c r="P170" s="451"/>
      <c r="Q170" s="451"/>
      <c r="R170" s="451"/>
      <c r="S170" s="451"/>
      <c r="T170" s="451"/>
      <c r="V170" s="1580"/>
    </row>
    <row r="171" spans="2:24" ht="15" customHeight="1" x14ac:dyDescent="0.35"/>
    <row r="172" spans="2:24" ht="25" customHeight="1" x14ac:dyDescent="0.35">
      <c r="J172" s="1581">
        <f>IF(B24=0,0,SUM(J92:R92)/B24)</f>
        <v>0.73434973715361096</v>
      </c>
      <c r="K172" s="1582"/>
      <c r="L172" s="1582"/>
      <c r="M172" s="1582"/>
      <c r="N172" s="1582"/>
      <c r="O172" s="1582"/>
      <c r="P172" s="1582"/>
      <c r="Q172" s="1582"/>
      <c r="R172" s="1582"/>
      <c r="S172" s="1582"/>
      <c r="T172" s="1583"/>
    </row>
    <row r="175" spans="2:24" s="331" customFormat="1" ht="28" customHeight="1" x14ac:dyDescent="0.35">
      <c r="C175" s="429"/>
      <c r="D175" s="429"/>
      <c r="E175" s="429"/>
      <c r="F175" s="429"/>
      <c r="G175" s="429"/>
      <c r="H175" s="836" t="s">
        <v>133</v>
      </c>
      <c r="I175" s="840"/>
      <c r="J175" s="820" t="s">
        <v>14</v>
      </c>
      <c r="K175" s="439"/>
      <c r="L175" s="836" t="s">
        <v>16</v>
      </c>
      <c r="M175" s="439"/>
      <c r="N175" s="539" t="s">
        <v>18</v>
      </c>
      <c r="O175" s="439"/>
      <c r="P175" s="539" t="s">
        <v>19</v>
      </c>
      <c r="Q175" s="439"/>
      <c r="R175" s="539" t="s">
        <v>20</v>
      </c>
      <c r="S175" s="439"/>
      <c r="T175" s="836" t="s">
        <v>134</v>
      </c>
      <c r="X175" s="836" t="s">
        <v>12</v>
      </c>
    </row>
    <row r="177" spans="2:30" s="461" customFormat="1" ht="14.5" x14ac:dyDescent="0.35">
      <c r="B177" s="459" t="s">
        <v>136</v>
      </c>
      <c r="C177" s="460"/>
      <c r="D177" s="460"/>
      <c r="E177" s="460"/>
      <c r="F177" s="460"/>
      <c r="G177" s="460"/>
      <c r="H177" s="1213">
        <f>H110+H124+H142+H158+H170</f>
        <v>1</v>
      </c>
      <c r="I177" s="1214"/>
      <c r="J177" s="464">
        <f>ROUND((J110+J124+J142+J158)/0.001,0)*0.001</f>
        <v>0.999</v>
      </c>
      <c r="K177" s="464"/>
      <c r="L177" s="464">
        <f>ROUND((L110+L116+L124+L142+L158)/0.001,0)*0.001</f>
        <v>0.93700000000000006</v>
      </c>
      <c r="M177" s="464"/>
      <c r="N177" s="464">
        <f>ROUND((N110+N116+N124+N142+N146+N158+N130)/0.001,0)*0.001</f>
        <v>0.91200000000000003</v>
      </c>
      <c r="O177" s="464"/>
      <c r="P177" s="464">
        <f>ROUND((P110+P116+P124+P142+P158+P130+P146)/0.001,0)*0.001</f>
        <v>0.83499999999999996</v>
      </c>
      <c r="Q177" s="464"/>
      <c r="R177" s="464">
        <f>ROUND((R110+R116+R124+R142+R146+R158+R130)/0.001,0)*0.001</f>
        <v>0.26600000000000001</v>
      </c>
      <c r="S177" s="464"/>
      <c r="T177" s="464">
        <f>ROUND((T110+T116+T124+T142+T146+T158+T130)/0.001,0)*0.001</f>
        <v>0.26600000000000001</v>
      </c>
      <c r="U177" s="465"/>
      <c r="V177" s="465"/>
      <c r="W177" s="465"/>
      <c r="X177" s="466">
        <f>T177</f>
        <v>0.26600000000000001</v>
      </c>
    </row>
    <row r="178" spans="2:30" x14ac:dyDescent="0.35">
      <c r="H178" s="1215"/>
      <c r="I178" s="1215"/>
      <c r="J178" s="1215"/>
      <c r="K178" s="1215"/>
      <c r="L178" s="1215"/>
      <c r="M178" s="1215"/>
      <c r="N178" s="1215"/>
      <c r="O178" s="1215"/>
      <c r="P178" s="1215"/>
      <c r="Q178" s="1215"/>
      <c r="R178" s="1215"/>
      <c r="S178" s="1215"/>
      <c r="T178" s="1215"/>
    </row>
    <row r="179" spans="2:30" s="463" customFormat="1" ht="14.5" x14ac:dyDescent="0.35">
      <c r="B179" s="462" t="s">
        <v>137</v>
      </c>
      <c r="J179" s="463">
        <f>ROUND((J170)/0.001,0)*0.001</f>
        <v>1E-3</v>
      </c>
      <c r="L179" s="463">
        <f>J177-L177</f>
        <v>6.1999999999999944E-2</v>
      </c>
      <c r="N179" s="463">
        <f>L177-N177</f>
        <v>2.5000000000000022E-2</v>
      </c>
      <c r="P179" s="463">
        <f>N177-P177</f>
        <v>7.7000000000000068E-2</v>
      </c>
      <c r="R179" s="463">
        <f>P177-R177</f>
        <v>0.56899999999999995</v>
      </c>
      <c r="T179" s="463">
        <f>R177-T177</f>
        <v>0</v>
      </c>
      <c r="X179" s="810">
        <f>SUM(J179:R179)</f>
        <v>0.73399999999999999</v>
      </c>
    </row>
    <row r="180" spans="2:30" x14ac:dyDescent="0.35">
      <c r="H180" s="1215"/>
      <c r="I180" s="1215"/>
      <c r="J180" s="1215"/>
      <c r="K180" s="1215"/>
      <c r="L180" s="1215"/>
      <c r="M180" s="1215"/>
      <c r="N180" s="1215"/>
      <c r="O180" s="1215"/>
      <c r="P180" s="1215"/>
      <c r="Q180" s="1215"/>
      <c r="R180" s="1215"/>
      <c r="S180" s="1215"/>
      <c r="T180" s="1215"/>
    </row>
    <row r="181" spans="2:30" ht="14.5" x14ac:dyDescent="0.35">
      <c r="X181" s="451">
        <f>X179+X177</f>
        <v>1</v>
      </c>
      <c r="Y181" s="332" t="str">
        <f>IF(X181=1,"OK","Not OK")</f>
        <v>OK</v>
      </c>
    </row>
    <row r="184" spans="2:30" ht="28" customHeight="1" x14ac:dyDescent="0.35">
      <c r="J184" s="820" t="s">
        <v>14</v>
      </c>
      <c r="K184" s="439"/>
      <c r="L184" s="836" t="s">
        <v>16</v>
      </c>
      <c r="M184" s="439"/>
      <c r="N184" s="539" t="s">
        <v>18</v>
      </c>
      <c r="O184" s="439"/>
      <c r="P184" s="539" t="s">
        <v>19</v>
      </c>
      <c r="Q184" s="439"/>
      <c r="R184" s="539" t="s">
        <v>20</v>
      </c>
      <c r="S184" s="439"/>
      <c r="T184" s="836" t="s">
        <v>134</v>
      </c>
    </row>
    <row r="185" spans="2:30" ht="75" customHeight="1" x14ac:dyDescent="0.35">
      <c r="B185" s="1584" t="s">
        <v>140</v>
      </c>
      <c r="C185" s="1584"/>
      <c r="D185" s="1584"/>
      <c r="E185" s="1584"/>
      <c r="F185" s="1584"/>
      <c r="G185" s="1584"/>
      <c r="H185" s="1584"/>
      <c r="J185" s="1282" t="s">
        <v>132</v>
      </c>
      <c r="L185" s="1282" t="s">
        <v>152</v>
      </c>
      <c r="N185" s="1282" t="s">
        <v>153</v>
      </c>
      <c r="P185" s="1282" t="s">
        <v>159</v>
      </c>
      <c r="R185" s="1282" t="s">
        <v>144</v>
      </c>
      <c r="T185" s="1282"/>
      <c r="X185" s="914"/>
      <c r="Y185" s="327"/>
      <c r="Z185" s="327"/>
      <c r="AA185" s="327"/>
      <c r="AB185" s="327"/>
      <c r="AC185" s="327"/>
      <c r="AD185" s="327"/>
    </row>
    <row r="187" spans="2:30" x14ac:dyDescent="0.35">
      <c r="N187" s="178"/>
    </row>
    <row r="189" spans="2:30" x14ac:dyDescent="0.35">
      <c r="N189" s="178"/>
    </row>
    <row r="191" spans="2:30" x14ac:dyDescent="0.35">
      <c r="N191" s="178"/>
      <c r="P191" s="178"/>
    </row>
    <row r="192" spans="2:30" x14ac:dyDescent="0.35">
      <c r="P192" s="178"/>
    </row>
    <row r="193" spans="8:20" x14ac:dyDescent="0.35">
      <c r="N193" s="178"/>
      <c r="P193" s="178"/>
    </row>
    <row r="194" spans="8:20" x14ac:dyDescent="0.35">
      <c r="N194" s="178"/>
      <c r="P194" s="178"/>
    </row>
    <row r="195" spans="8:20" x14ac:dyDescent="0.35">
      <c r="N195" s="178"/>
      <c r="P195" s="178"/>
    </row>
    <row r="196" spans="8:20" x14ac:dyDescent="0.35">
      <c r="N196" s="178"/>
      <c r="P196" s="178"/>
    </row>
    <row r="197" spans="8:20" x14ac:dyDescent="0.35">
      <c r="N197" s="178"/>
      <c r="P197" s="178"/>
    </row>
    <row r="198" spans="8:20" ht="28" customHeight="1" x14ac:dyDescent="0.35">
      <c r="J198" s="841" t="s">
        <v>14</v>
      </c>
      <c r="K198" s="439"/>
      <c r="L198" s="841" t="s">
        <v>16</v>
      </c>
      <c r="M198" s="439"/>
      <c r="N198" s="841" t="s">
        <v>18</v>
      </c>
      <c r="O198" s="439"/>
      <c r="P198" s="841" t="s">
        <v>19</v>
      </c>
      <c r="Q198" s="439"/>
      <c r="R198" s="841" t="s">
        <v>20</v>
      </c>
      <c r="S198" s="439"/>
      <c r="T198" s="841" t="s">
        <v>134</v>
      </c>
    </row>
    <row r="199" spans="8:20" x14ac:dyDescent="0.35">
      <c r="H199" s="1585" t="s">
        <v>145</v>
      </c>
      <c r="J199" s="160"/>
      <c r="K199" s="822"/>
      <c r="L199" s="1520"/>
      <c r="M199" s="822"/>
      <c r="N199" s="1520"/>
      <c r="O199" s="822"/>
      <c r="P199" s="1520"/>
      <c r="Q199" s="822"/>
      <c r="R199" s="1520"/>
      <c r="S199" s="822"/>
      <c r="T199" s="1520"/>
    </row>
    <row r="200" spans="8:20" ht="30" customHeight="1" x14ac:dyDescent="0.35">
      <c r="H200" s="1586"/>
      <c r="J200" s="160" t="s">
        <v>132</v>
      </c>
      <c r="K200" s="822"/>
      <c r="L200" s="160" t="s">
        <v>146</v>
      </c>
      <c r="M200" s="822"/>
      <c r="N200" s="160" t="s">
        <v>147</v>
      </c>
      <c r="O200" s="822"/>
      <c r="P200" s="837" t="s">
        <v>148</v>
      </c>
      <c r="Q200" s="822"/>
      <c r="R200" s="160" t="s">
        <v>149</v>
      </c>
      <c r="S200" s="822"/>
      <c r="T200" s="160" t="s">
        <v>149</v>
      </c>
    </row>
    <row r="201" spans="8:20" ht="30" customHeight="1" x14ac:dyDescent="0.35">
      <c r="H201" s="1586"/>
      <c r="J201" s="160"/>
      <c r="K201" s="822"/>
      <c r="L201" s="160" t="s">
        <v>141</v>
      </c>
      <c r="M201" s="822"/>
      <c r="N201" s="837" t="s">
        <v>142</v>
      </c>
      <c r="O201" s="822"/>
      <c r="P201" s="837" t="s">
        <v>150</v>
      </c>
      <c r="Q201" s="822"/>
      <c r="R201" s="160" t="s">
        <v>151</v>
      </c>
      <c r="S201" s="822"/>
      <c r="T201" s="160" t="s">
        <v>151</v>
      </c>
    </row>
    <row r="202" spans="8:20" ht="40" customHeight="1" x14ac:dyDescent="0.35">
      <c r="H202" s="1587"/>
      <c r="J202" s="160"/>
      <c r="K202" s="822"/>
      <c r="L202" s="160" t="s">
        <v>152</v>
      </c>
      <c r="M202" s="822"/>
      <c r="N202" s="160" t="s">
        <v>153</v>
      </c>
      <c r="O202" s="822"/>
      <c r="P202" s="837" t="s">
        <v>154</v>
      </c>
      <c r="Q202" s="822"/>
      <c r="R202" s="160" t="s">
        <v>144</v>
      </c>
      <c r="S202" s="822"/>
      <c r="T202" s="160" t="s">
        <v>144</v>
      </c>
    </row>
    <row r="203" spans="8:20" ht="40" customHeight="1" x14ac:dyDescent="0.35">
      <c r="H203" s="1178"/>
      <c r="J203" s="1179"/>
      <c r="K203" s="1179"/>
      <c r="L203" s="1179"/>
      <c r="M203" s="1179"/>
      <c r="N203" s="1179"/>
      <c r="O203" s="1179"/>
      <c r="P203" s="837" t="s">
        <v>155</v>
      </c>
      <c r="Q203" s="1179"/>
      <c r="R203" s="1179"/>
      <c r="S203" s="1179"/>
      <c r="T203" s="1179"/>
    </row>
    <row r="204" spans="8:20" ht="30" customHeight="1" x14ac:dyDescent="0.35">
      <c r="J204" s="444"/>
      <c r="K204" s="444"/>
      <c r="L204" s="444"/>
      <c r="M204" s="444"/>
      <c r="N204" s="444"/>
      <c r="O204" s="444"/>
      <c r="P204" s="837" t="s">
        <v>156</v>
      </c>
      <c r="Q204" s="444"/>
      <c r="R204" s="444"/>
      <c r="S204" s="444"/>
      <c r="T204" s="444"/>
    </row>
    <row r="205" spans="8:20" ht="30" customHeight="1" x14ac:dyDescent="0.35">
      <c r="J205" s="444"/>
      <c r="K205" s="444"/>
      <c r="L205" s="444"/>
      <c r="M205" s="444"/>
      <c r="N205" s="444"/>
      <c r="O205" s="444"/>
      <c r="P205" s="837" t="s">
        <v>143</v>
      </c>
      <c r="Q205" s="444"/>
      <c r="R205" s="444"/>
      <c r="S205" s="444"/>
      <c r="T205" s="444"/>
    </row>
    <row r="206" spans="8:20" ht="40" customHeight="1" x14ac:dyDescent="0.35">
      <c r="J206" s="444"/>
      <c r="K206" s="444"/>
      <c r="L206" s="444"/>
      <c r="M206" s="444"/>
      <c r="N206" s="444"/>
      <c r="O206" s="444"/>
      <c r="P206" s="837" t="s">
        <v>159</v>
      </c>
      <c r="Q206" s="444"/>
      <c r="R206" s="444"/>
      <c r="S206" s="444"/>
      <c r="T206" s="444"/>
    </row>
    <row r="207" spans="8:20" ht="75" customHeight="1" x14ac:dyDescent="0.35">
      <c r="J207" s="444"/>
      <c r="K207" s="444"/>
      <c r="L207" s="444"/>
      <c r="M207" s="444"/>
      <c r="N207" s="444"/>
      <c r="O207" s="444"/>
      <c r="P207" s="837" t="s">
        <v>158</v>
      </c>
      <c r="Q207" s="444"/>
      <c r="R207" s="444"/>
      <c r="S207" s="444"/>
      <c r="T207" s="444"/>
    </row>
    <row r="208" spans="8:20" x14ac:dyDescent="0.35">
      <c r="J208" s="444"/>
      <c r="K208" s="444"/>
      <c r="L208" s="444"/>
      <c r="M208" s="444"/>
      <c r="N208" s="444"/>
      <c r="O208" s="444"/>
      <c r="P208" s="444"/>
      <c r="Q208" s="444"/>
      <c r="R208" s="444"/>
      <c r="S208" s="444"/>
      <c r="T208" s="444"/>
    </row>
    <row r="209" spans="10:20" x14ac:dyDescent="0.35">
      <c r="J209" s="444"/>
      <c r="K209" s="444"/>
      <c r="L209" s="444"/>
      <c r="M209" s="444"/>
      <c r="N209" s="444"/>
      <c r="O209" s="444"/>
      <c r="P209" s="444"/>
      <c r="Q209" s="444"/>
      <c r="R209" s="444"/>
      <c r="S209" s="444"/>
      <c r="T209" s="444"/>
    </row>
    <row r="210" spans="10:20" x14ac:dyDescent="0.35">
      <c r="J210" s="444"/>
      <c r="K210" s="444"/>
      <c r="L210" s="444"/>
      <c r="M210" s="444"/>
      <c r="N210" s="444"/>
      <c r="O210" s="444"/>
      <c r="P210" s="444"/>
      <c r="Q210" s="444"/>
      <c r="R210" s="444"/>
      <c r="S210" s="444"/>
      <c r="T210" s="444"/>
    </row>
    <row r="211" spans="10:20" x14ac:dyDescent="0.35">
      <c r="J211" s="444"/>
      <c r="K211" s="444"/>
      <c r="L211" s="444"/>
      <c r="M211" s="444"/>
      <c r="N211" s="444"/>
      <c r="O211" s="444"/>
      <c r="P211" s="444"/>
      <c r="Q211" s="444"/>
      <c r="R211" s="444"/>
      <c r="S211" s="444"/>
      <c r="T211" s="444"/>
    </row>
    <row r="212" spans="10:20" x14ac:dyDescent="0.35">
      <c r="J212" s="444"/>
      <c r="K212" s="444"/>
      <c r="L212" s="444"/>
      <c r="M212" s="444"/>
      <c r="N212" s="444"/>
      <c r="O212" s="444"/>
      <c r="P212" s="444"/>
      <c r="Q212" s="444"/>
      <c r="R212" s="444"/>
      <c r="S212" s="444"/>
      <c r="T212" s="444"/>
    </row>
    <row r="213" spans="10:20" x14ac:dyDescent="0.35">
      <c r="J213" s="444"/>
      <c r="K213" s="444"/>
      <c r="L213" s="444"/>
      <c r="M213" s="444"/>
      <c r="N213" s="444"/>
      <c r="O213" s="444"/>
      <c r="P213" s="444"/>
      <c r="Q213" s="444"/>
      <c r="R213" s="444"/>
      <c r="S213" s="444"/>
      <c r="T213" s="444"/>
    </row>
  </sheetData>
  <sheetProtection password="C8C1" sheet="1" objects="1" scenarios="1" selectLockedCells="1"/>
  <mergeCells count="75">
    <mergeCell ref="V24:V84"/>
    <mergeCell ref="V110:V170"/>
    <mergeCell ref="L142:L154"/>
    <mergeCell ref="P110:P112"/>
    <mergeCell ref="L158:L166"/>
    <mergeCell ref="N38:N42"/>
    <mergeCell ref="P158:P160"/>
    <mergeCell ref="N158:N162"/>
    <mergeCell ref="N124:N128"/>
    <mergeCell ref="P124:P126"/>
    <mergeCell ref="N110:N114"/>
    <mergeCell ref="P142:P144"/>
    <mergeCell ref="N44:N48"/>
    <mergeCell ref="L116:L122"/>
    <mergeCell ref="N116:N120"/>
    <mergeCell ref="P116:P118"/>
    <mergeCell ref="N24:N28"/>
    <mergeCell ref="L24:L28"/>
    <mergeCell ref="L30:L36"/>
    <mergeCell ref="P24:P26"/>
    <mergeCell ref="P38:P40"/>
    <mergeCell ref="P30:P32"/>
    <mergeCell ref="N30:N34"/>
    <mergeCell ref="B185:H185"/>
    <mergeCell ref="H199:H202"/>
    <mergeCell ref="B110:B170"/>
    <mergeCell ref="D124:D140"/>
    <mergeCell ref="H124:H140"/>
    <mergeCell ref="H158:H168"/>
    <mergeCell ref="D110:D122"/>
    <mergeCell ref="H110:H122"/>
    <mergeCell ref="D108:F108"/>
    <mergeCell ref="J172:T172"/>
    <mergeCell ref="D142:D168"/>
    <mergeCell ref="F142:F156"/>
    <mergeCell ref="H142:H156"/>
    <mergeCell ref="J142:J156"/>
    <mergeCell ref="F158:F168"/>
    <mergeCell ref="L124:L138"/>
    <mergeCell ref="N142:N144"/>
    <mergeCell ref="J158:J168"/>
    <mergeCell ref="L110:L114"/>
    <mergeCell ref="J124:J140"/>
    <mergeCell ref="N130:N134"/>
    <mergeCell ref="P130:P132"/>
    <mergeCell ref="N146:N150"/>
    <mergeCell ref="P146:P148"/>
    <mergeCell ref="B2:J2"/>
    <mergeCell ref="F72:F82"/>
    <mergeCell ref="H72:H82"/>
    <mergeCell ref="J72:J82"/>
    <mergeCell ref="B24:B84"/>
    <mergeCell ref="J56:J70"/>
    <mergeCell ref="J38:J54"/>
    <mergeCell ref="H38:H54"/>
    <mergeCell ref="H56:H70"/>
    <mergeCell ref="D38:D54"/>
    <mergeCell ref="D22:F22"/>
    <mergeCell ref="F56:F70"/>
    <mergeCell ref="D56:D82"/>
    <mergeCell ref="H24:H36"/>
    <mergeCell ref="D24:D36"/>
    <mergeCell ref="J24:J36"/>
    <mergeCell ref="J110:J122"/>
    <mergeCell ref="P44:P46"/>
    <mergeCell ref="J86:T86"/>
    <mergeCell ref="L56:L68"/>
    <mergeCell ref="P56:P58"/>
    <mergeCell ref="N56:N58"/>
    <mergeCell ref="P60:P62"/>
    <mergeCell ref="N60:N64"/>
    <mergeCell ref="P72:P74"/>
    <mergeCell ref="N72:N76"/>
    <mergeCell ref="L38:L52"/>
    <mergeCell ref="L72:L80"/>
  </mergeCells>
  <conditionalFormatting sqref="H96">
    <cfRule type="expression" dxfId="824" priority="407">
      <formula>H95=0</formula>
    </cfRule>
  </conditionalFormatting>
  <conditionalFormatting sqref="J96">
    <cfRule type="expression" dxfId="823" priority="405">
      <formula>J95=0</formula>
    </cfRule>
  </conditionalFormatting>
  <conditionalFormatting sqref="L96">
    <cfRule type="expression" dxfId="822" priority="404">
      <formula>L95=0</formula>
    </cfRule>
  </conditionalFormatting>
  <conditionalFormatting sqref="N96">
    <cfRule type="expression" dxfId="821" priority="403">
      <formula>N95=0</formula>
    </cfRule>
  </conditionalFormatting>
  <conditionalFormatting sqref="P96">
    <cfRule type="expression" dxfId="820" priority="402">
      <formula>P95=0</formula>
    </cfRule>
  </conditionalFormatting>
  <conditionalFormatting sqref="R96">
    <cfRule type="expression" dxfId="819" priority="401">
      <formula>R95=0</formula>
    </cfRule>
  </conditionalFormatting>
  <conditionalFormatting sqref="T96">
    <cfRule type="expression" dxfId="818" priority="400">
      <formula>T95=0</formula>
    </cfRule>
  </conditionalFormatting>
  <conditionalFormatting sqref="J72 L72">
    <cfRule type="expression" dxfId="817" priority="343">
      <formula>J72=0</formula>
    </cfRule>
  </conditionalFormatting>
  <conditionalFormatting sqref="L56:L68">
    <cfRule type="expression" dxfId="816" priority="276">
      <formula>L56=0</formula>
    </cfRule>
  </conditionalFormatting>
  <conditionalFormatting sqref="N56">
    <cfRule type="expression" dxfId="815" priority="275">
      <formula>N56=0</formula>
    </cfRule>
  </conditionalFormatting>
  <conditionalFormatting sqref="N60">
    <cfRule type="expression" dxfId="814" priority="274">
      <formula>N60=0</formula>
    </cfRule>
  </conditionalFormatting>
  <conditionalFormatting sqref="T26">
    <cfRule type="expression" dxfId="813" priority="267">
      <formula>T26=0</formula>
    </cfRule>
  </conditionalFormatting>
  <conditionalFormatting sqref="J38:J54">
    <cfRule type="expression" dxfId="812" priority="279">
      <formula>J38=0</formula>
    </cfRule>
  </conditionalFormatting>
  <conditionalFormatting sqref="J56:J70">
    <cfRule type="expression" dxfId="811" priority="277">
      <formula>J56=0</formula>
    </cfRule>
  </conditionalFormatting>
  <conditionalFormatting sqref="J170">
    <cfRule type="expression" dxfId="810" priority="287">
      <formula>J170=0</formula>
    </cfRule>
  </conditionalFormatting>
  <conditionalFormatting sqref="J24">
    <cfRule type="expression" dxfId="809" priority="283">
      <formula>J24=0</formula>
    </cfRule>
  </conditionalFormatting>
  <conditionalFormatting sqref="P24">
    <cfRule type="expression" dxfId="808" priority="282">
      <formula>P24=0</formula>
    </cfRule>
  </conditionalFormatting>
  <conditionalFormatting sqref="P28:P29 P33 P35:P36">
    <cfRule type="expression" dxfId="807" priority="281">
      <formula>P28=0</formula>
    </cfRule>
  </conditionalFormatting>
  <conditionalFormatting sqref="R24">
    <cfRule type="expression" dxfId="806" priority="280">
      <formula>R24=0</formula>
    </cfRule>
  </conditionalFormatting>
  <conditionalFormatting sqref="L38:L52">
    <cfRule type="expression" dxfId="805" priority="278">
      <formula>L38=0</formula>
    </cfRule>
  </conditionalFormatting>
  <conditionalFormatting sqref="L24">
    <cfRule type="expression" dxfId="804" priority="271">
      <formula>L24=0</formula>
    </cfRule>
  </conditionalFormatting>
  <conditionalFormatting sqref="R26">
    <cfRule type="expression" dxfId="803" priority="269">
      <formula>R26=0</formula>
    </cfRule>
  </conditionalFormatting>
  <conditionalFormatting sqref="T24">
    <cfRule type="expression" dxfId="802" priority="268">
      <formula>T24=0</formula>
    </cfRule>
  </conditionalFormatting>
  <conditionalFormatting sqref="N38">
    <cfRule type="expression" dxfId="801" priority="266">
      <formula>N38=0</formula>
    </cfRule>
  </conditionalFormatting>
  <conditionalFormatting sqref="P38">
    <cfRule type="expression" dxfId="800" priority="265">
      <formula>P38=0</formula>
    </cfRule>
  </conditionalFormatting>
  <conditionalFormatting sqref="P42">
    <cfRule type="expression" dxfId="799" priority="264">
      <formula>P42=0</formula>
    </cfRule>
  </conditionalFormatting>
  <conditionalFormatting sqref="R38">
    <cfRule type="expression" dxfId="798" priority="263">
      <formula>R38=0</formula>
    </cfRule>
  </conditionalFormatting>
  <conditionalFormatting sqref="R40">
    <cfRule type="expression" dxfId="797" priority="262">
      <formula>R40=0</formula>
    </cfRule>
  </conditionalFormatting>
  <conditionalFormatting sqref="T38">
    <cfRule type="expression" dxfId="796" priority="261">
      <formula>T38=0</formula>
    </cfRule>
  </conditionalFormatting>
  <conditionalFormatting sqref="T40">
    <cfRule type="expression" dxfId="795" priority="260">
      <formula>T40=0</formula>
    </cfRule>
  </conditionalFormatting>
  <conditionalFormatting sqref="P44">
    <cfRule type="expression" dxfId="794" priority="259">
      <formula>P44=0</formula>
    </cfRule>
  </conditionalFormatting>
  <conditionalFormatting sqref="N44">
    <cfRule type="expression" dxfId="793" priority="257">
      <formula>N44=0</formula>
    </cfRule>
  </conditionalFormatting>
  <conditionalFormatting sqref="L54">
    <cfRule type="expression" dxfId="792" priority="256">
      <formula>L54=0</formula>
    </cfRule>
  </conditionalFormatting>
  <conditionalFormatting sqref="L70">
    <cfRule type="expression" dxfId="791" priority="255">
      <formula>L70=0</formula>
    </cfRule>
  </conditionalFormatting>
  <conditionalFormatting sqref="P56">
    <cfRule type="expression" dxfId="790" priority="251">
      <formula>P56=0</formula>
    </cfRule>
  </conditionalFormatting>
  <conditionalFormatting sqref="P60">
    <cfRule type="expression" dxfId="789" priority="250">
      <formula>P60=0</formula>
    </cfRule>
  </conditionalFormatting>
  <conditionalFormatting sqref="R56">
    <cfRule type="expression" dxfId="788" priority="249">
      <formula>R56=0</formula>
    </cfRule>
  </conditionalFormatting>
  <conditionalFormatting sqref="R58">
    <cfRule type="expression" dxfId="787" priority="248">
      <formula>R58=0</formula>
    </cfRule>
  </conditionalFormatting>
  <conditionalFormatting sqref="T56">
    <cfRule type="expression" dxfId="786" priority="247">
      <formula>T56=0</formula>
    </cfRule>
  </conditionalFormatting>
  <conditionalFormatting sqref="T58">
    <cfRule type="expression" dxfId="785" priority="246">
      <formula>T58=0</formula>
    </cfRule>
  </conditionalFormatting>
  <conditionalFormatting sqref="T60">
    <cfRule type="expression" dxfId="784" priority="243">
      <formula>T60=0</formula>
    </cfRule>
  </conditionalFormatting>
  <conditionalFormatting sqref="R72">
    <cfRule type="expression" dxfId="783" priority="241">
      <formula>R72=0</formula>
    </cfRule>
  </conditionalFormatting>
  <conditionalFormatting sqref="P72">
    <cfRule type="expression" dxfId="782" priority="235">
      <formula>P72=0</formula>
    </cfRule>
  </conditionalFormatting>
  <conditionalFormatting sqref="L82">
    <cfRule type="expression" dxfId="781" priority="230">
      <formula>L82=0</formula>
    </cfRule>
  </conditionalFormatting>
  <conditionalFormatting sqref="J84">
    <cfRule type="expression" dxfId="780" priority="229">
      <formula>J84=0</formula>
    </cfRule>
  </conditionalFormatting>
  <conditionalFormatting sqref="N72">
    <cfRule type="expression" dxfId="779" priority="227">
      <formula>N72=0</formula>
    </cfRule>
  </conditionalFormatting>
  <conditionalFormatting sqref="R44">
    <cfRule type="expression" dxfId="778" priority="226">
      <formula>R44=0</formula>
    </cfRule>
  </conditionalFormatting>
  <conditionalFormatting sqref="T44">
    <cfRule type="expression" dxfId="777" priority="224">
      <formula>T44=0</formula>
    </cfRule>
  </conditionalFormatting>
  <conditionalFormatting sqref="N24">
    <cfRule type="expression" dxfId="776" priority="210">
      <formula>N24=0</formula>
    </cfRule>
  </conditionalFormatting>
  <conditionalFormatting sqref="R30">
    <cfRule type="expression" dxfId="775" priority="208">
      <formula>R30=0</formula>
    </cfRule>
  </conditionalFormatting>
  <conditionalFormatting sqref="T30">
    <cfRule type="expression" dxfId="774" priority="206">
      <formula>T30=0</formula>
    </cfRule>
  </conditionalFormatting>
  <conditionalFormatting sqref="P30">
    <cfRule type="expression" dxfId="773" priority="204">
      <formula>P30=0</formula>
    </cfRule>
  </conditionalFormatting>
  <conditionalFormatting sqref="N30">
    <cfRule type="expression" dxfId="772" priority="201">
      <formula>N30=0</formula>
    </cfRule>
  </conditionalFormatting>
  <conditionalFormatting sqref="J110">
    <cfRule type="expression" dxfId="771" priority="197">
      <formula>J110=0</formula>
    </cfRule>
  </conditionalFormatting>
  <conditionalFormatting sqref="P115">
    <cfRule type="expression" dxfId="770" priority="195">
      <formula>P115=0</formula>
    </cfRule>
  </conditionalFormatting>
  <conditionalFormatting sqref="R110">
    <cfRule type="expression" dxfId="769" priority="194">
      <formula>R110=0</formula>
    </cfRule>
  </conditionalFormatting>
  <conditionalFormatting sqref="T112">
    <cfRule type="expression" dxfId="768" priority="190">
      <formula>T112=0</formula>
    </cfRule>
  </conditionalFormatting>
  <conditionalFormatting sqref="L110">
    <cfRule type="expression" dxfId="767" priority="171">
      <formula>L110=0</formula>
    </cfRule>
  </conditionalFormatting>
  <conditionalFormatting sqref="N110">
    <cfRule type="expression" dxfId="766" priority="170">
      <formula>N110=0</formula>
    </cfRule>
  </conditionalFormatting>
  <conditionalFormatting sqref="P110">
    <cfRule type="expression" dxfId="765" priority="168">
      <formula>P110=0</formula>
    </cfRule>
  </conditionalFormatting>
  <conditionalFormatting sqref="P114">
    <cfRule type="expression" dxfId="764" priority="166">
      <formula>P114=0</formula>
    </cfRule>
  </conditionalFormatting>
  <conditionalFormatting sqref="R112">
    <cfRule type="expression" dxfId="763" priority="165">
      <formula>R112=0</formula>
    </cfRule>
  </conditionalFormatting>
  <conditionalFormatting sqref="T110">
    <cfRule type="expression" dxfId="762" priority="164">
      <formula>T110=0</formula>
    </cfRule>
  </conditionalFormatting>
  <conditionalFormatting sqref="N36">
    <cfRule type="expression" dxfId="761" priority="114">
      <formula>N36=0</formula>
    </cfRule>
  </conditionalFormatting>
  <conditionalFormatting sqref="P34">
    <cfRule type="expression" dxfId="760" priority="110">
      <formula>P34=0</formula>
    </cfRule>
  </conditionalFormatting>
  <conditionalFormatting sqref="R32">
    <cfRule type="expression" dxfId="759" priority="109">
      <formula>R32=0</formula>
    </cfRule>
  </conditionalFormatting>
  <conditionalFormatting sqref="T32">
    <cfRule type="expression" dxfId="758" priority="108">
      <formula>T32=0</formula>
    </cfRule>
  </conditionalFormatting>
  <conditionalFormatting sqref="L116:L122">
    <cfRule type="expression" dxfId="757" priority="107">
      <formula>L116=0</formula>
    </cfRule>
  </conditionalFormatting>
  <conditionalFormatting sqref="P64">
    <cfRule type="expression" dxfId="756" priority="125">
      <formula>P64=0</formula>
    </cfRule>
  </conditionalFormatting>
  <conditionalFormatting sqref="N66">
    <cfRule type="expression" dxfId="755" priority="124">
      <formula>N66=0</formula>
    </cfRule>
  </conditionalFormatting>
  <conditionalFormatting sqref="N68">
    <cfRule type="expression" dxfId="754" priority="123">
      <formula>N68=0</formula>
    </cfRule>
  </conditionalFormatting>
  <conditionalFormatting sqref="N78">
    <cfRule type="expression" dxfId="753" priority="122">
      <formula>N78=0</formula>
    </cfRule>
  </conditionalFormatting>
  <conditionalFormatting sqref="N80">
    <cfRule type="expression" dxfId="752" priority="121">
      <formula>N80=0</formula>
    </cfRule>
  </conditionalFormatting>
  <conditionalFormatting sqref="P76">
    <cfRule type="expression" dxfId="751" priority="120">
      <formula>P76=0</formula>
    </cfRule>
  </conditionalFormatting>
  <conditionalFormatting sqref="R74">
    <cfRule type="expression" dxfId="750" priority="119">
      <formula>R74=0</formula>
    </cfRule>
  </conditionalFormatting>
  <conditionalFormatting sqref="R46">
    <cfRule type="expression" dxfId="749" priority="132">
      <formula>R46=0</formula>
    </cfRule>
  </conditionalFormatting>
  <conditionalFormatting sqref="T46">
    <cfRule type="expression" dxfId="748" priority="131">
      <formula>T46=0</formula>
    </cfRule>
  </conditionalFormatting>
  <conditionalFormatting sqref="P48">
    <cfRule type="expression" dxfId="747" priority="130">
      <formula>P48=0</formula>
    </cfRule>
  </conditionalFormatting>
  <conditionalFormatting sqref="N50">
    <cfRule type="expression" dxfId="746" priority="129">
      <formula>N50=0</formula>
    </cfRule>
  </conditionalFormatting>
  <conditionalFormatting sqref="N52">
    <cfRule type="expression" dxfId="745" priority="128">
      <formula>N52=0</formula>
    </cfRule>
  </conditionalFormatting>
  <conditionalFormatting sqref="R62">
    <cfRule type="expression" dxfId="744" priority="127">
      <formula>R62=0</formula>
    </cfRule>
  </conditionalFormatting>
  <conditionalFormatting sqref="T62">
    <cfRule type="expression" dxfId="743" priority="126">
      <formula>T62=0</formula>
    </cfRule>
  </conditionalFormatting>
  <conditionalFormatting sqref="T74">
    <cfRule type="expression" dxfId="742" priority="118">
      <formula>T74=0</formula>
    </cfRule>
  </conditionalFormatting>
  <conditionalFormatting sqref="R60">
    <cfRule type="expression" dxfId="741" priority="117">
      <formula>R60=0</formula>
    </cfRule>
  </conditionalFormatting>
  <conditionalFormatting sqref="T72">
    <cfRule type="expression" dxfId="740" priority="116">
      <formula>T72=0</formula>
    </cfRule>
  </conditionalFormatting>
  <conditionalFormatting sqref="P119 P121:P122">
    <cfRule type="expression" dxfId="739" priority="105">
      <formula>P119=0</formula>
    </cfRule>
  </conditionalFormatting>
  <conditionalFormatting sqref="R116">
    <cfRule type="expression" dxfId="738" priority="104">
      <formula>R116=0</formula>
    </cfRule>
  </conditionalFormatting>
  <conditionalFormatting sqref="T116">
    <cfRule type="expression" dxfId="737" priority="103">
      <formula>T116=0</formula>
    </cfRule>
  </conditionalFormatting>
  <conditionalFormatting sqref="P116">
    <cfRule type="expression" dxfId="736" priority="102">
      <formula>P116=0</formula>
    </cfRule>
  </conditionalFormatting>
  <conditionalFormatting sqref="N116">
    <cfRule type="expression" dxfId="735" priority="101">
      <formula>N116=0</formula>
    </cfRule>
  </conditionalFormatting>
  <conditionalFormatting sqref="N122">
    <cfRule type="expression" dxfId="734" priority="100">
      <formula>N122=0</formula>
    </cfRule>
  </conditionalFormatting>
  <conditionalFormatting sqref="P120">
    <cfRule type="expression" dxfId="733" priority="99">
      <formula>P120=0</formula>
    </cfRule>
  </conditionalFormatting>
  <conditionalFormatting sqref="R118">
    <cfRule type="expression" dxfId="732" priority="98">
      <formula>R118=0</formula>
    </cfRule>
  </conditionalFormatting>
  <conditionalFormatting sqref="T118">
    <cfRule type="expression" dxfId="731" priority="97">
      <formula>T118=0</formula>
    </cfRule>
  </conditionalFormatting>
  <conditionalFormatting sqref="J124:J140">
    <cfRule type="expression" dxfId="730" priority="48">
      <formula>J124=0</formula>
    </cfRule>
  </conditionalFormatting>
  <conditionalFormatting sqref="L124:L138">
    <cfRule type="expression" dxfId="729" priority="47">
      <formula>L124=0</formula>
    </cfRule>
  </conditionalFormatting>
  <conditionalFormatting sqref="N124">
    <cfRule type="expression" dxfId="728" priority="46">
      <formula>N124=0</formula>
    </cfRule>
  </conditionalFormatting>
  <conditionalFormatting sqref="P124">
    <cfRule type="expression" dxfId="727" priority="45">
      <formula>P124=0</formula>
    </cfRule>
  </conditionalFormatting>
  <conditionalFormatting sqref="P128">
    <cfRule type="expression" dxfId="726" priority="44">
      <formula>P128=0</formula>
    </cfRule>
  </conditionalFormatting>
  <conditionalFormatting sqref="R124">
    <cfRule type="expression" dxfId="725" priority="43">
      <formula>R124=0</formula>
    </cfRule>
  </conditionalFormatting>
  <conditionalFormatting sqref="R126">
    <cfRule type="expression" dxfId="724" priority="42">
      <formula>R126=0</formula>
    </cfRule>
  </conditionalFormatting>
  <conditionalFormatting sqref="T124">
    <cfRule type="expression" dxfId="723" priority="41">
      <formula>T124=0</formula>
    </cfRule>
  </conditionalFormatting>
  <conditionalFormatting sqref="T126">
    <cfRule type="expression" dxfId="722" priority="40">
      <formula>T126=0</formula>
    </cfRule>
  </conditionalFormatting>
  <conditionalFormatting sqref="P130">
    <cfRule type="expression" dxfId="721" priority="39">
      <formula>P130=0</formula>
    </cfRule>
  </conditionalFormatting>
  <conditionalFormatting sqref="N130">
    <cfRule type="expression" dxfId="720" priority="38">
      <formula>N130=0</formula>
    </cfRule>
  </conditionalFormatting>
  <conditionalFormatting sqref="L140">
    <cfRule type="expression" dxfId="719" priority="37">
      <formula>L140=0</formula>
    </cfRule>
  </conditionalFormatting>
  <conditionalFormatting sqref="R130">
    <cfRule type="expression" dxfId="718" priority="36">
      <formula>R130=0</formula>
    </cfRule>
  </conditionalFormatting>
  <conditionalFormatting sqref="T130">
    <cfRule type="expression" dxfId="717" priority="35">
      <formula>T130=0</formula>
    </cfRule>
  </conditionalFormatting>
  <conditionalFormatting sqref="R132">
    <cfRule type="expression" dxfId="716" priority="34">
      <formula>R132=0</formula>
    </cfRule>
  </conditionalFormatting>
  <conditionalFormatting sqref="T132">
    <cfRule type="expression" dxfId="715" priority="33">
      <formula>T132=0</formula>
    </cfRule>
  </conditionalFormatting>
  <conditionalFormatting sqref="P134">
    <cfRule type="expression" dxfId="714" priority="32">
      <formula>P134=0</formula>
    </cfRule>
  </conditionalFormatting>
  <conditionalFormatting sqref="N136">
    <cfRule type="expression" dxfId="713" priority="31">
      <formula>N136=0</formula>
    </cfRule>
  </conditionalFormatting>
  <conditionalFormatting sqref="N138">
    <cfRule type="expression" dxfId="712" priority="30">
      <formula>N138=0</formula>
    </cfRule>
  </conditionalFormatting>
  <conditionalFormatting sqref="L142:L154">
    <cfRule type="expression" dxfId="711" priority="28">
      <formula>L142=0</formula>
    </cfRule>
  </conditionalFormatting>
  <conditionalFormatting sqref="N142">
    <cfRule type="expression" dxfId="710" priority="27">
      <formula>N142=0</formula>
    </cfRule>
  </conditionalFormatting>
  <conditionalFormatting sqref="N146">
    <cfRule type="expression" dxfId="709" priority="26">
      <formula>N146=0</formula>
    </cfRule>
  </conditionalFormatting>
  <conditionalFormatting sqref="J142:J156">
    <cfRule type="expression" dxfId="708" priority="29">
      <formula>J142=0</formula>
    </cfRule>
  </conditionalFormatting>
  <conditionalFormatting sqref="L156">
    <cfRule type="expression" dxfId="707" priority="25">
      <formula>L156=0</formula>
    </cfRule>
  </conditionalFormatting>
  <conditionalFormatting sqref="P142">
    <cfRule type="expression" dxfId="706" priority="24">
      <formula>P142=0</formula>
    </cfRule>
  </conditionalFormatting>
  <conditionalFormatting sqref="P146">
    <cfRule type="expression" dxfId="705" priority="23">
      <formula>P146=0</formula>
    </cfRule>
  </conditionalFormatting>
  <conditionalFormatting sqref="R142">
    <cfRule type="expression" dxfId="704" priority="22">
      <formula>R142=0</formula>
    </cfRule>
  </conditionalFormatting>
  <conditionalFormatting sqref="R144">
    <cfRule type="expression" dxfId="703" priority="21">
      <formula>R144=0</formula>
    </cfRule>
  </conditionalFormatting>
  <conditionalFormatting sqref="T142">
    <cfRule type="expression" dxfId="702" priority="20">
      <formula>T142=0</formula>
    </cfRule>
  </conditionalFormatting>
  <conditionalFormatting sqref="T144">
    <cfRule type="expression" dxfId="701" priority="19">
      <formula>T144=0</formula>
    </cfRule>
  </conditionalFormatting>
  <conditionalFormatting sqref="T146">
    <cfRule type="expression" dxfId="700" priority="18">
      <formula>T146=0</formula>
    </cfRule>
  </conditionalFormatting>
  <conditionalFormatting sqref="P150">
    <cfRule type="expression" dxfId="699" priority="15">
      <formula>P150=0</formula>
    </cfRule>
  </conditionalFormatting>
  <conditionalFormatting sqref="N152">
    <cfRule type="expression" dxfId="698" priority="14">
      <formula>N152=0</formula>
    </cfRule>
  </conditionalFormatting>
  <conditionalFormatting sqref="N154">
    <cfRule type="expression" dxfId="697" priority="13">
      <formula>N154=0</formula>
    </cfRule>
  </conditionalFormatting>
  <conditionalFormatting sqref="R148">
    <cfRule type="expression" dxfId="696" priority="17">
      <formula>R148=0</formula>
    </cfRule>
  </conditionalFormatting>
  <conditionalFormatting sqref="T148">
    <cfRule type="expression" dxfId="695" priority="16">
      <formula>T148=0</formula>
    </cfRule>
  </conditionalFormatting>
  <conditionalFormatting sqref="R146">
    <cfRule type="expression" dxfId="694" priority="12">
      <formula>R146=0</formula>
    </cfRule>
  </conditionalFormatting>
  <conditionalFormatting sqref="J158 L158">
    <cfRule type="expression" dxfId="693" priority="11">
      <formula>J158=0</formula>
    </cfRule>
  </conditionalFormatting>
  <conditionalFormatting sqref="R158">
    <cfRule type="expression" dxfId="692" priority="10">
      <formula>R158=0</formula>
    </cfRule>
  </conditionalFormatting>
  <conditionalFormatting sqref="P158">
    <cfRule type="expression" dxfId="691" priority="9">
      <formula>P158=0</formula>
    </cfRule>
  </conditionalFormatting>
  <conditionalFormatting sqref="L168">
    <cfRule type="expression" dxfId="690" priority="8">
      <formula>L168=0</formula>
    </cfRule>
  </conditionalFormatting>
  <conditionalFormatting sqref="N158">
    <cfRule type="expression" dxfId="689" priority="7">
      <formula>N158=0</formula>
    </cfRule>
  </conditionalFormatting>
  <conditionalFormatting sqref="N164">
    <cfRule type="expression" dxfId="688" priority="6">
      <formula>N164=0</formula>
    </cfRule>
  </conditionalFormatting>
  <conditionalFormatting sqref="N166">
    <cfRule type="expression" dxfId="687" priority="5">
      <formula>N166=0</formula>
    </cfRule>
  </conditionalFormatting>
  <conditionalFormatting sqref="P162">
    <cfRule type="expression" dxfId="686" priority="4">
      <formula>P162=0</formula>
    </cfRule>
  </conditionalFormatting>
  <conditionalFormatting sqref="R160">
    <cfRule type="expression" dxfId="685" priority="3">
      <formula>R160=0</formula>
    </cfRule>
  </conditionalFormatting>
  <conditionalFormatting sqref="T160">
    <cfRule type="expression" dxfId="684" priority="2">
      <formula>T160=0</formula>
    </cfRule>
  </conditionalFormatting>
  <conditionalFormatting sqref="T158">
    <cfRule type="expression" dxfId="683" priority="1">
      <formula>T158=0</formula>
    </cfRule>
  </conditionalFormatting>
  <dataValidations count="6">
    <dataValidation type="list" allowBlank="1" showInputMessage="1" showErrorMessage="1" sqref="J185">
      <formula1>$J$199:$J$200</formula1>
    </dataValidation>
    <dataValidation type="list" allowBlank="1" showInputMessage="1" showErrorMessage="1" sqref="T185">
      <formula1>$T$199:$T$202</formula1>
    </dataValidation>
    <dataValidation type="list" allowBlank="1" showInputMessage="1" showErrorMessage="1" sqref="R185">
      <formula1>$R$199:$R$202</formula1>
    </dataValidation>
    <dataValidation type="list" allowBlank="1" showInputMessage="1" showErrorMessage="1" sqref="P185">
      <formula1>$P$199:$P$207</formula1>
    </dataValidation>
    <dataValidation type="list" allowBlank="1" showInputMessage="1" showErrorMessage="1" sqref="N185">
      <formula1>$N$199:$N$202</formula1>
    </dataValidation>
    <dataValidation type="list" allowBlank="1" showInputMessage="1" showErrorMessage="1" sqref="L185">
      <formula1>$L$199:$L$202</formula1>
    </dataValidation>
  </dataValidations>
  <pageMargins left="0.70866141732283472" right="0.70866141732283472" top="0.74803149606299213" bottom="0.74803149606299213" header="0.31496062992125984" footer="0.31496062992125984"/>
  <pageSetup paperSize="9" scale="41" fitToHeight="2" orientation="portrait" r:id="rId1"/>
  <ignoredErrors>
    <ignoredError sqref="P10:P11" formula="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sheetPr>
  <dimension ref="A1:AD239"/>
  <sheetViews>
    <sheetView showGridLines="0" showRowColHeaders="0" zoomScale="80" zoomScaleNormal="80" workbookViewId="0">
      <pane ySplit="19" topLeftCell="A20" activePane="bottomLeft" state="frozen"/>
      <selection pane="bottomLeft" activeCell="AA74" sqref="AA74"/>
    </sheetView>
  </sheetViews>
  <sheetFormatPr defaultColWidth="9.1796875" defaultRowHeight="13" x14ac:dyDescent="0.35"/>
  <cols>
    <col min="1" max="1" width="3.26953125" style="68" customWidth="1"/>
    <col min="2" max="2" width="14.7265625" style="68" customWidth="1"/>
    <col min="3" max="3" width="3.26953125" style="148" customWidth="1"/>
    <col min="4" max="4" width="14.7265625" style="148" customWidth="1"/>
    <col min="5" max="5" width="1.7265625" style="148" customWidth="1"/>
    <col min="6" max="6" width="14.7265625" style="148" customWidth="1"/>
    <col min="7" max="7" width="3.26953125" style="148" customWidth="1"/>
    <col min="8" max="8" width="14.7265625" style="148" customWidth="1"/>
    <col min="9" max="9" width="3.26953125" style="148" customWidth="1"/>
    <col min="10" max="10" width="14.7265625" style="148" customWidth="1"/>
    <col min="11" max="11" width="3.26953125" style="148" customWidth="1"/>
    <col min="12" max="12" width="14.7265625" style="148" customWidth="1"/>
    <col min="13" max="13" width="3.26953125" style="148" customWidth="1"/>
    <col min="14" max="14" width="14.7265625" style="148" customWidth="1"/>
    <col min="15" max="15" width="3.26953125" style="148" customWidth="1"/>
    <col min="16" max="16" width="14.7265625" style="148" customWidth="1"/>
    <col min="17" max="17" width="3.26953125" style="148" customWidth="1"/>
    <col min="18" max="18" width="14.7265625" style="148" customWidth="1"/>
    <col min="19" max="19" width="3.26953125" style="148" customWidth="1"/>
    <col min="20" max="20" width="14.7265625" style="148" customWidth="1"/>
    <col min="21" max="21" width="3.26953125" style="68" customWidth="1"/>
    <col min="22" max="22" width="5.26953125" style="68" customWidth="1"/>
    <col min="23" max="23" width="3.26953125" style="68" customWidth="1"/>
    <col min="24" max="24" width="10.26953125" style="68" bestFit="1" customWidth="1"/>
    <col min="25" max="16384" width="9.1796875" style="68"/>
  </cols>
  <sheetData>
    <row r="1" spans="2:20" s="770" customFormat="1" ht="36.75" customHeight="1" x14ac:dyDescent="0.45">
      <c r="B1" s="1243" t="str">
        <f>'User interface_RES'!AJ11</f>
        <v>Any city in , the world</v>
      </c>
      <c r="C1" s="768"/>
      <c r="D1" s="769"/>
      <c r="E1" s="769"/>
      <c r="F1" s="769"/>
      <c r="G1" s="769"/>
      <c r="H1" s="769"/>
      <c r="I1" s="769"/>
      <c r="J1" s="769"/>
      <c r="K1" s="769"/>
      <c r="L1" s="769"/>
      <c r="M1" s="769"/>
      <c r="N1" s="769"/>
      <c r="O1" s="769"/>
      <c r="P1" s="769"/>
      <c r="Q1" s="769"/>
      <c r="R1" s="769"/>
      <c r="S1" s="769"/>
      <c r="T1" s="769"/>
    </row>
    <row r="2" spans="2:20" s="776" customFormat="1" ht="57" customHeight="1" thickBot="1" x14ac:dyDescent="0.4">
      <c r="B2" s="1541" t="s">
        <v>160</v>
      </c>
      <c r="C2" s="1541"/>
      <c r="D2" s="1541"/>
      <c r="E2" s="1541"/>
      <c r="F2" s="1541"/>
      <c r="G2" s="1541"/>
      <c r="H2" s="1541"/>
      <c r="I2" s="1541"/>
      <c r="J2" s="1541"/>
    </row>
    <row r="3" spans="2:20" hidden="1" x14ac:dyDescent="0.35"/>
    <row r="4" spans="2:20" ht="26" hidden="1" x14ac:dyDescent="0.35">
      <c r="J4" s="820" t="s">
        <v>14</v>
      </c>
      <c r="K4" s="444"/>
      <c r="L4" s="820" t="s">
        <v>16</v>
      </c>
      <c r="N4" s="820" t="s">
        <v>111</v>
      </c>
      <c r="P4" s="820" t="s">
        <v>112</v>
      </c>
      <c r="R4" s="820" t="s">
        <v>113</v>
      </c>
    </row>
    <row r="5" spans="2:20" hidden="1" x14ac:dyDescent="0.35">
      <c r="B5" s="831" t="s">
        <v>114</v>
      </c>
      <c r="C5" s="830"/>
      <c r="D5" s="830"/>
      <c r="E5" s="830"/>
      <c r="F5" s="830"/>
      <c r="G5" s="830"/>
      <c r="H5" s="441"/>
      <c r="M5" s="68"/>
      <c r="N5" s="442">
        <f>'FW Flows_SLUDGE'!K12</f>
        <v>147700</v>
      </c>
      <c r="O5" s="821"/>
      <c r="P5" s="442">
        <f>'FW Flows_SLUDGE'!O13</f>
        <v>0</v>
      </c>
      <c r="Q5" s="821"/>
      <c r="R5" s="442">
        <f>'FW Flows_SLUDGE'!S12-R24</f>
        <v>0</v>
      </c>
    </row>
    <row r="6" spans="2:20" hidden="1" x14ac:dyDescent="0.35">
      <c r="B6" s="440" t="s">
        <v>116</v>
      </c>
      <c r="C6" s="830"/>
      <c r="D6" s="830"/>
      <c r="E6" s="830"/>
      <c r="F6" s="830"/>
      <c r="G6" s="830"/>
      <c r="H6" s="441"/>
      <c r="J6" s="343">
        <f>'FS_Capture volumes'!$G$327</f>
        <v>0</v>
      </c>
      <c r="L6" s="343">
        <f>'FS_Containment volumes'!$E$11</f>
        <v>0</v>
      </c>
      <c r="M6" s="68"/>
      <c r="N6" s="1520">
        <f>ROUND(($N$5*L13)/5,0)*5</f>
        <v>0</v>
      </c>
      <c r="O6" s="821"/>
      <c r="P6" s="1520">
        <f>ROUND(($P$5*L13)/5,0)*5</f>
        <v>0</v>
      </c>
      <c r="Q6" s="821"/>
      <c r="R6" s="1520">
        <f>ROUND(($R$5*L13)/5,0)*5</f>
        <v>0</v>
      </c>
    </row>
    <row r="7" spans="2:20" hidden="1" x14ac:dyDescent="0.35">
      <c r="B7" s="440" t="s">
        <v>117</v>
      </c>
      <c r="C7" s="830"/>
      <c r="D7" s="830"/>
      <c r="E7" s="830"/>
      <c r="F7" s="830"/>
      <c r="G7" s="830"/>
      <c r="H7" s="441"/>
      <c r="J7" s="343">
        <f>'FS_Capture volumes'!$G$328</f>
        <v>0</v>
      </c>
      <c r="L7" s="343">
        <f>'FS_Containment volumes'!$E$12</f>
        <v>0</v>
      </c>
      <c r="M7" s="443"/>
      <c r="N7" s="1520">
        <f>ROUND(($N$5*L14)/5,0)*5</f>
        <v>0</v>
      </c>
      <c r="O7" s="821"/>
      <c r="P7" s="1520">
        <f>ROUND(($P$5*L14)/5,0)*5</f>
        <v>0</v>
      </c>
      <c r="Q7" s="821"/>
      <c r="R7" s="1520">
        <f>ROUND(($R$5*L14)/5,0)*5</f>
        <v>0</v>
      </c>
    </row>
    <row r="8" spans="2:20" hidden="1" x14ac:dyDescent="0.35">
      <c r="B8" s="440" t="s">
        <v>118</v>
      </c>
      <c r="C8" s="830"/>
      <c r="D8" s="830"/>
      <c r="E8" s="830"/>
      <c r="F8" s="830"/>
      <c r="G8" s="830"/>
      <c r="H8" s="441"/>
      <c r="J8" s="343">
        <f>'FS_Capture volumes'!$G$329</f>
        <v>0.65738579526508834</v>
      </c>
      <c r="L8" s="343">
        <f>'FS_Containment volumes'!$E$13</f>
        <v>0.66740013540961407</v>
      </c>
      <c r="M8" s="443"/>
      <c r="N8" s="1520">
        <f>ROUND(($N$5*L15)/5,0)*5</f>
        <v>98575</v>
      </c>
      <c r="O8" s="821"/>
      <c r="P8" s="1520">
        <f>ROUND(($P$5*L15)/5,0)*5</f>
        <v>0</v>
      </c>
      <c r="Q8" s="821"/>
      <c r="R8" s="1520">
        <f>ROUND(($R$5*L15)/5,0)*5</f>
        <v>0</v>
      </c>
    </row>
    <row r="9" spans="2:20" hidden="1" x14ac:dyDescent="0.35">
      <c r="B9" s="440" t="s">
        <v>119</v>
      </c>
      <c r="C9" s="830"/>
      <c r="D9" s="830"/>
      <c r="E9" s="830"/>
      <c r="F9" s="830"/>
      <c r="G9" s="830"/>
      <c r="H9" s="441"/>
      <c r="J9" s="343">
        <f>'FS_Capture volumes'!$G$330</f>
        <v>0.34261420473491166</v>
      </c>
      <c r="L9" s="343">
        <f>'FS_Containment volumes'!$E$14</f>
        <v>0.33259986459038593</v>
      </c>
      <c r="M9" s="443"/>
      <c r="N9" s="1520">
        <f>ROUND(($N$5*L16)/5,0)*5</f>
        <v>49125</v>
      </c>
      <c r="O9" s="821"/>
      <c r="P9" s="1520">
        <f>ROUND(($P$5*L16)/5,0)*5</f>
        <v>0</v>
      </c>
      <c r="Q9" s="821"/>
      <c r="R9" s="1520">
        <f>ROUND(($R$5*L16)/5,0)*5</f>
        <v>0</v>
      </c>
    </row>
    <row r="10" spans="2:20" hidden="1" x14ac:dyDescent="0.35">
      <c r="J10" s="343">
        <f>SUM(J7:J9)</f>
        <v>1</v>
      </c>
      <c r="L10" s="343">
        <f>SUM(L6:L9)</f>
        <v>1</v>
      </c>
      <c r="M10" s="443"/>
      <c r="N10" s="1520">
        <f>SUM(N6:N9)</f>
        <v>147700</v>
      </c>
      <c r="O10" s="67"/>
      <c r="P10" s="1520">
        <f>SUM(P6:P9)</f>
        <v>0</v>
      </c>
      <c r="Q10" s="67"/>
      <c r="R10" s="1520">
        <f>SUM(R6:R9)</f>
        <v>0</v>
      </c>
    </row>
    <row r="11" spans="2:20" ht="26" hidden="1" x14ac:dyDescent="0.35">
      <c r="M11" s="443"/>
      <c r="N11" s="820" t="s">
        <v>120</v>
      </c>
      <c r="O11" s="67"/>
      <c r="P11" s="820" t="s">
        <v>121</v>
      </c>
      <c r="Q11" s="67"/>
      <c r="R11" s="820" t="s">
        <v>122</v>
      </c>
    </row>
    <row r="12" spans="2:20" hidden="1" x14ac:dyDescent="0.35">
      <c r="M12" s="443"/>
      <c r="N12" s="325">
        <f>'FW Flows_SLUDGE'!K23</f>
        <v>0</v>
      </c>
      <c r="O12" s="821"/>
      <c r="P12" s="325">
        <f>'FW Flows_SLUDGE'!O23</f>
        <v>147900</v>
      </c>
      <c r="Q12" s="821"/>
      <c r="R12" s="325">
        <f>'FW Flows_SLUDGE'!S23-R26</f>
        <v>0</v>
      </c>
    </row>
    <row r="13" spans="2:20" hidden="1" x14ac:dyDescent="0.35">
      <c r="L13" s="832">
        <f>L6</f>
        <v>0</v>
      </c>
      <c r="M13" s="443"/>
      <c r="N13" s="1520">
        <f>ROUND(($N$12*L13)/10,0)*10</f>
        <v>0</v>
      </c>
      <c r="O13" s="821"/>
      <c r="P13" s="1520">
        <f>ROUND(($P$12*L13)/10,)*10</f>
        <v>0</v>
      </c>
      <c r="Q13" s="821"/>
      <c r="R13" s="1520">
        <f>ROUND(($R$12*L13)/10,0)*10</f>
        <v>0</v>
      </c>
    </row>
    <row r="14" spans="2:20" hidden="1" x14ac:dyDescent="0.35">
      <c r="L14" s="832">
        <f>L7</f>
        <v>0</v>
      </c>
      <c r="M14" s="443"/>
      <c r="N14" s="1520">
        <f>ROUND(($N$12*L14)/10,0)*10</f>
        <v>0</v>
      </c>
      <c r="O14" s="821"/>
      <c r="P14" s="1520">
        <f>ROUND(($P$12*L14)/10,)*10</f>
        <v>0</v>
      </c>
      <c r="Q14" s="821"/>
      <c r="R14" s="1520">
        <f>ROUND(($R$12*L14)/10,0)*10</f>
        <v>0</v>
      </c>
    </row>
    <row r="15" spans="2:20" hidden="1" x14ac:dyDescent="0.35">
      <c r="L15" s="832">
        <f>L8</f>
        <v>0.66740013540961407</v>
      </c>
      <c r="M15" s="443"/>
      <c r="N15" s="1520">
        <f>ROUND(($N$12*L15)/10,0)*10</f>
        <v>0</v>
      </c>
      <c r="O15" s="821"/>
      <c r="P15" s="1520">
        <f>ROUND(($P$12*L15)/10,0)*10</f>
        <v>98710</v>
      </c>
      <c r="Q15" s="821"/>
      <c r="R15" s="1520">
        <f>ROUND(($R$12*L15)/10,0)*10</f>
        <v>0</v>
      </c>
    </row>
    <row r="16" spans="2:20" hidden="1" x14ac:dyDescent="0.35">
      <c r="L16" s="832">
        <f>L9</f>
        <v>0.33259986459038593</v>
      </c>
      <c r="M16" s="443"/>
      <c r="N16" s="1520">
        <f>ROUND(($N$12*L16)/10,0)*10</f>
        <v>0</v>
      </c>
      <c r="O16" s="821"/>
      <c r="P16" s="1520">
        <f>ROUND(($P$12*L16)/10,)*10</f>
        <v>49190</v>
      </c>
      <c r="Q16" s="821"/>
      <c r="R16" s="1520">
        <f>ROUND(($R$12*L16)/10,0)*10</f>
        <v>0</v>
      </c>
    </row>
    <row r="17" spans="1:25" hidden="1" x14ac:dyDescent="0.35">
      <c r="L17" s="343">
        <f>SUM(L13:L16)</f>
        <v>1</v>
      </c>
      <c r="M17" s="443"/>
      <c r="N17" s="67"/>
      <c r="O17" s="67"/>
      <c r="P17" s="67"/>
      <c r="Q17" s="67"/>
    </row>
    <row r="18" spans="1:25" hidden="1" x14ac:dyDescent="0.35">
      <c r="C18" s="68"/>
      <c r="D18" s="68"/>
      <c r="E18" s="68"/>
      <c r="F18" s="68"/>
      <c r="G18" s="68"/>
      <c r="H18" s="68"/>
      <c r="I18" s="68"/>
      <c r="J18" s="68"/>
      <c r="K18" s="68"/>
      <c r="L18" s="68"/>
      <c r="M18" s="443"/>
      <c r="N18" s="67"/>
      <c r="O18" s="67"/>
      <c r="P18" s="67"/>
      <c r="Q18" s="67"/>
    </row>
    <row r="19" spans="1:25" hidden="1" x14ac:dyDescent="0.35">
      <c r="M19" s="443"/>
    </row>
    <row r="20" spans="1:25" ht="35.15" customHeight="1" thickBot="1" x14ac:dyDescent="0.6">
      <c r="A20" s="1281"/>
      <c r="B20" s="861" t="s">
        <v>123</v>
      </c>
      <c r="C20" s="766"/>
      <c r="D20" s="766"/>
      <c r="E20" s="766"/>
      <c r="F20" s="766"/>
      <c r="G20" s="766"/>
      <c r="H20" s="766"/>
      <c r="I20" s="766"/>
      <c r="J20" s="766"/>
      <c r="K20" s="766"/>
      <c r="L20" s="766"/>
      <c r="M20" s="766"/>
      <c r="N20" s="766"/>
      <c r="O20" s="766"/>
      <c r="P20" s="766"/>
      <c r="Q20" s="766"/>
      <c r="R20" s="766"/>
      <c r="S20" s="766"/>
      <c r="T20" s="842"/>
      <c r="U20" s="767"/>
      <c r="V20" s="842" t="s">
        <v>124</v>
      </c>
      <c r="Y20" s="843"/>
    </row>
    <row r="21" spans="1:25" ht="35.25" customHeight="1" x14ac:dyDescent="0.35"/>
    <row r="22" spans="1:25" s="446" customFormat="1" ht="48" customHeight="1" x14ac:dyDescent="0.35">
      <c r="B22" s="765" t="s">
        <v>125</v>
      </c>
      <c r="C22" s="445"/>
      <c r="D22" s="1542" t="s">
        <v>114</v>
      </c>
      <c r="E22" s="1543"/>
      <c r="F22" s="1544"/>
      <c r="G22" s="445"/>
      <c r="H22" s="765" t="s">
        <v>126</v>
      </c>
      <c r="I22" s="445"/>
      <c r="J22" s="765" t="s">
        <v>42</v>
      </c>
      <c r="L22" s="765" t="s">
        <v>43</v>
      </c>
      <c r="N22" s="536" t="s">
        <v>44</v>
      </c>
      <c r="P22" s="536" t="s">
        <v>45</v>
      </c>
      <c r="R22" s="536" t="s">
        <v>46</v>
      </c>
      <c r="T22" s="765" t="s">
        <v>127</v>
      </c>
    </row>
    <row r="23" spans="1:25" s="332" customFormat="1" ht="14.5" x14ac:dyDescent="0.35">
      <c r="C23" s="24"/>
      <c r="D23" s="446"/>
      <c r="E23" s="446"/>
      <c r="F23" s="446"/>
      <c r="G23" s="446"/>
      <c r="H23" s="446"/>
      <c r="I23" s="446"/>
      <c r="J23" s="446"/>
      <c r="K23" s="446"/>
      <c r="L23" s="446"/>
      <c r="M23" s="446"/>
      <c r="N23" s="446"/>
      <c r="O23" s="446"/>
      <c r="P23" s="446"/>
      <c r="Q23" s="446"/>
      <c r="R23" s="446"/>
      <c r="S23" s="446"/>
      <c r="T23" s="446"/>
    </row>
    <row r="24" spans="1:25" s="332" customFormat="1" ht="15" hidden="1" customHeight="1" x14ac:dyDescent="0.35">
      <c r="B24" s="1606">
        <f>Overview_SLUDGE!C6</f>
        <v>206200</v>
      </c>
      <c r="C24" s="24"/>
      <c r="D24" s="1198"/>
      <c r="E24" s="447"/>
      <c r="F24" s="447"/>
      <c r="G24" s="446"/>
      <c r="H24" s="1200"/>
      <c r="I24" s="446"/>
      <c r="J24" s="1202"/>
      <c r="K24" s="472"/>
      <c r="L24" s="1609">
        <f>'FW Flows_SLUDGE'!G19</f>
        <v>36225</v>
      </c>
      <c r="M24" s="472"/>
      <c r="N24" s="1609">
        <f>'FW Flows_SLUDGE'!K19</f>
        <v>36225</v>
      </c>
      <c r="O24" s="472"/>
      <c r="P24" s="1609">
        <f>'FW Flows_SLUDGE'!O19</f>
        <v>32600</v>
      </c>
      <c r="Q24" s="472"/>
      <c r="R24" s="473">
        <f>'FS_Treatment volumes'!G104</f>
        <v>11410</v>
      </c>
      <c r="S24" s="472"/>
      <c r="T24" s="473">
        <f>R24</f>
        <v>11410</v>
      </c>
      <c r="V24" s="1563">
        <f>X105</f>
        <v>11410</v>
      </c>
    </row>
    <row r="25" spans="1:25" s="332" customFormat="1" ht="8.15" hidden="1" customHeight="1" x14ac:dyDescent="0.35">
      <c r="B25" s="1607"/>
      <c r="C25" s="24"/>
      <c r="D25" s="1199"/>
      <c r="E25" s="447"/>
      <c r="F25" s="446"/>
      <c r="G25" s="446"/>
      <c r="H25" s="1201"/>
      <c r="I25" s="446"/>
      <c r="J25" s="1203"/>
      <c r="K25" s="472"/>
      <c r="L25" s="1610"/>
      <c r="M25" s="472"/>
      <c r="N25" s="1610"/>
      <c r="O25" s="472"/>
      <c r="P25" s="1610"/>
      <c r="Q25" s="472"/>
      <c r="R25" s="472"/>
      <c r="S25" s="472"/>
      <c r="T25" s="472"/>
      <c r="V25" s="1564"/>
    </row>
    <row r="26" spans="1:25" s="332" customFormat="1" ht="14.5" hidden="1" x14ac:dyDescent="0.35">
      <c r="B26" s="1607"/>
      <c r="C26" s="24"/>
      <c r="D26" s="1199"/>
      <c r="E26" s="447"/>
      <c r="F26" s="446"/>
      <c r="G26" s="446"/>
      <c r="H26" s="1201"/>
      <c r="I26" s="446"/>
      <c r="J26" s="1203"/>
      <c r="K26" s="472"/>
      <c r="L26" s="1610"/>
      <c r="M26" s="472"/>
      <c r="N26" s="1610"/>
      <c r="O26" s="472"/>
      <c r="P26" s="1611"/>
      <c r="Q26" s="472"/>
      <c r="R26" s="474">
        <f>'FS_Treatment volumes'!H104</f>
        <v>21190</v>
      </c>
      <c r="S26" s="472"/>
      <c r="T26" s="474">
        <v>0</v>
      </c>
      <c r="V26" s="1564"/>
    </row>
    <row r="27" spans="1:25" s="332" customFormat="1" ht="8.15" hidden="1" customHeight="1" x14ac:dyDescent="0.35">
      <c r="B27" s="1607"/>
      <c r="C27" s="24"/>
      <c r="D27" s="1199"/>
      <c r="E27" s="447"/>
      <c r="F27" s="446"/>
      <c r="G27" s="446"/>
      <c r="H27" s="1201"/>
      <c r="I27" s="446"/>
      <c r="J27" s="1203"/>
      <c r="K27" s="472"/>
      <c r="L27" s="1610"/>
      <c r="M27" s="472"/>
      <c r="N27" s="1610"/>
      <c r="O27" s="472"/>
      <c r="P27" s="472"/>
      <c r="Q27" s="472"/>
      <c r="R27" s="472"/>
      <c r="S27" s="472"/>
      <c r="T27" s="472"/>
      <c r="V27" s="1564"/>
    </row>
    <row r="28" spans="1:25" s="332" customFormat="1" ht="14.5" hidden="1" x14ac:dyDescent="0.35">
      <c r="B28" s="1607"/>
      <c r="C28" s="24"/>
      <c r="D28" s="1199"/>
      <c r="E28" s="447"/>
      <c r="F28" s="446"/>
      <c r="G28" s="446"/>
      <c r="H28" s="1201"/>
      <c r="I28" s="446"/>
      <c r="J28" s="1203"/>
      <c r="K28" s="472"/>
      <c r="L28" s="1611"/>
      <c r="M28" s="472"/>
      <c r="N28" s="1611"/>
      <c r="O28" s="472"/>
      <c r="P28" s="474">
        <f>'FW Flows_SLUDGE'!O32</f>
        <v>3625</v>
      </c>
      <c r="Q28" s="472"/>
      <c r="R28" s="472"/>
      <c r="S28" s="472"/>
      <c r="T28" s="472"/>
      <c r="V28" s="1564"/>
    </row>
    <row r="29" spans="1:25" s="332" customFormat="1" ht="8.15" hidden="1" customHeight="1" x14ac:dyDescent="0.35">
      <c r="B29" s="1607"/>
      <c r="C29" s="24"/>
      <c r="D29" s="1198"/>
      <c r="E29" s="447"/>
      <c r="F29" s="446"/>
      <c r="G29" s="446"/>
      <c r="H29" s="1201"/>
      <c r="I29" s="446"/>
      <c r="J29" s="1203"/>
      <c r="K29" s="472"/>
      <c r="L29" s="1166"/>
      <c r="M29" s="1167"/>
      <c r="N29" s="1166"/>
      <c r="O29" s="472"/>
      <c r="P29" s="1166"/>
      <c r="Q29" s="472"/>
      <c r="R29" s="472"/>
      <c r="S29" s="472"/>
      <c r="T29" s="472"/>
      <c r="V29" s="1564"/>
    </row>
    <row r="30" spans="1:25" s="332" customFormat="1" ht="15" customHeight="1" x14ac:dyDescent="0.35">
      <c r="B30" s="1607"/>
      <c r="C30" s="24"/>
      <c r="D30" s="1548" t="s">
        <v>128</v>
      </c>
      <c r="E30" s="447"/>
      <c r="F30" s="446"/>
      <c r="G30" s="446"/>
      <c r="H30" s="1549">
        <f>'FW Flows_SLUDGE'!$C$13</f>
        <v>36225</v>
      </c>
      <c r="I30" s="446"/>
      <c r="J30" s="1556">
        <f>'FW Flows_SLUDGE'!$C$13</f>
        <v>36225</v>
      </c>
      <c r="K30" s="472"/>
      <c r="L30" s="1553">
        <f>'FW Flows_SLUDGE'!G19</f>
        <v>36225</v>
      </c>
      <c r="M30" s="472"/>
      <c r="N30" s="1556">
        <f>'FW Flows_SLUDGE'!K19</f>
        <v>36225</v>
      </c>
      <c r="O30" s="472"/>
      <c r="P30" s="1553">
        <f>'FW Flows_SLUDGE'!O19</f>
        <v>32600</v>
      </c>
      <c r="Q30" s="472"/>
      <c r="R30" s="1252">
        <f>'FS_Treatment volumes'!G104</f>
        <v>11410</v>
      </c>
      <c r="S30" s="472"/>
      <c r="T30" s="1252">
        <f>R30</f>
        <v>11410</v>
      </c>
      <c r="V30" s="1564"/>
    </row>
    <row r="31" spans="1:25" s="332" customFormat="1" ht="8.15" customHeight="1" x14ac:dyDescent="0.35">
      <c r="B31" s="1607"/>
      <c r="C31" s="24"/>
      <c r="D31" s="1548"/>
      <c r="E31" s="447"/>
      <c r="F31" s="446"/>
      <c r="G31" s="446"/>
      <c r="H31" s="1550"/>
      <c r="I31" s="446"/>
      <c r="J31" s="1557"/>
      <c r="K31" s="472"/>
      <c r="L31" s="1554"/>
      <c r="M31" s="472"/>
      <c r="N31" s="1612"/>
      <c r="O31" s="472"/>
      <c r="P31" s="1554"/>
      <c r="Q31" s="472"/>
      <c r="R31" s="472"/>
      <c r="S31" s="472"/>
      <c r="T31" s="472"/>
      <c r="V31" s="1564"/>
    </row>
    <row r="32" spans="1:25" s="332" customFormat="1" ht="15" customHeight="1" x14ac:dyDescent="0.35">
      <c r="B32" s="1607"/>
      <c r="C32" s="24"/>
      <c r="D32" s="1548"/>
      <c r="E32" s="447"/>
      <c r="F32" s="446"/>
      <c r="G32" s="446"/>
      <c r="H32" s="1550"/>
      <c r="I32" s="446"/>
      <c r="J32" s="1557"/>
      <c r="K32" s="472"/>
      <c r="L32" s="1554"/>
      <c r="M32" s="472"/>
      <c r="N32" s="1612"/>
      <c r="O32" s="472"/>
      <c r="P32" s="1555"/>
      <c r="Q32" s="472"/>
      <c r="R32" s="1249">
        <f>'FS_Treatment volumes'!H104</f>
        <v>21190</v>
      </c>
      <c r="S32" s="472"/>
      <c r="T32" s="1249">
        <v>0</v>
      </c>
      <c r="V32" s="1564"/>
    </row>
    <row r="33" spans="2:22" s="332" customFormat="1" ht="8.15" customHeight="1" x14ac:dyDescent="0.35">
      <c r="B33" s="1607"/>
      <c r="C33" s="24"/>
      <c r="D33" s="1548"/>
      <c r="E33" s="447"/>
      <c r="F33" s="446"/>
      <c r="G33" s="446"/>
      <c r="H33" s="1550"/>
      <c r="I33" s="446"/>
      <c r="J33" s="1557"/>
      <c r="K33" s="472"/>
      <c r="L33" s="1554"/>
      <c r="M33" s="472"/>
      <c r="N33" s="1557"/>
      <c r="O33" s="472"/>
      <c r="P33" s="1166"/>
      <c r="Q33" s="472"/>
      <c r="R33" s="472"/>
      <c r="S33" s="472"/>
      <c r="T33" s="472"/>
      <c r="V33" s="1564"/>
    </row>
    <row r="34" spans="2:22" s="332" customFormat="1" ht="15" customHeight="1" x14ac:dyDescent="0.35">
      <c r="B34" s="1607"/>
      <c r="C34" s="24"/>
      <c r="D34" s="1548"/>
      <c r="E34" s="447"/>
      <c r="F34" s="446"/>
      <c r="G34" s="446"/>
      <c r="H34" s="1550"/>
      <c r="I34" s="446"/>
      <c r="J34" s="1557"/>
      <c r="K34" s="472"/>
      <c r="L34" s="1554"/>
      <c r="M34" s="472"/>
      <c r="N34" s="1558"/>
      <c r="O34" s="472"/>
      <c r="P34" s="1249">
        <f>N30-P30</f>
        <v>3625</v>
      </c>
      <c r="Q34" s="472"/>
      <c r="R34" s="472"/>
      <c r="S34" s="472"/>
      <c r="T34" s="472"/>
      <c r="V34" s="1564"/>
    </row>
    <row r="35" spans="2:22" s="332" customFormat="1" ht="8.15" customHeight="1" x14ac:dyDescent="0.35">
      <c r="B35" s="1607"/>
      <c r="C35" s="24"/>
      <c r="D35" s="1548"/>
      <c r="E35" s="447"/>
      <c r="F35" s="446"/>
      <c r="G35" s="446"/>
      <c r="H35" s="1550"/>
      <c r="I35" s="446"/>
      <c r="J35" s="1557"/>
      <c r="K35" s="472"/>
      <c r="L35" s="1166"/>
      <c r="M35" s="472"/>
      <c r="N35" s="1166"/>
      <c r="O35" s="472"/>
      <c r="P35" s="1166"/>
      <c r="Q35" s="472"/>
      <c r="R35" s="472"/>
      <c r="S35" s="472"/>
      <c r="T35" s="472"/>
      <c r="V35" s="1564"/>
    </row>
    <row r="36" spans="2:22" s="332" customFormat="1" ht="15" customHeight="1" x14ac:dyDescent="0.35">
      <c r="B36" s="1607"/>
      <c r="C36" s="24"/>
      <c r="D36" s="1548"/>
      <c r="E36" s="447"/>
      <c r="F36" s="446"/>
      <c r="G36" s="446"/>
      <c r="H36" s="1551"/>
      <c r="I36" s="446"/>
      <c r="J36" s="1562"/>
      <c r="K36" s="472"/>
      <c r="L36" s="1554">
        <f>'FW Flows_SLUDGE'!G13</f>
        <v>0</v>
      </c>
      <c r="M36" s="472"/>
      <c r="N36" s="1553">
        <f>N6</f>
        <v>0</v>
      </c>
      <c r="O36" s="472"/>
      <c r="P36" s="1556">
        <f>P6</f>
        <v>0</v>
      </c>
      <c r="Q36" s="472"/>
      <c r="R36" s="1252">
        <f>R6</f>
        <v>0</v>
      </c>
      <c r="S36" s="472"/>
      <c r="T36" s="1252">
        <f>R36</f>
        <v>0</v>
      </c>
      <c r="V36" s="1564"/>
    </row>
    <row r="37" spans="2:22" s="332" customFormat="1" ht="8.15" customHeight="1" x14ac:dyDescent="0.35">
      <c r="B37" s="1607"/>
      <c r="C37" s="24"/>
      <c r="D37" s="1548"/>
      <c r="E37" s="447"/>
      <c r="F37" s="446"/>
      <c r="G37" s="446"/>
      <c r="H37" s="1551"/>
      <c r="I37" s="446"/>
      <c r="J37" s="1562"/>
      <c r="K37" s="472"/>
      <c r="L37" s="1554"/>
      <c r="M37" s="472"/>
      <c r="N37" s="1554"/>
      <c r="O37" s="472"/>
      <c r="P37" s="1557"/>
      <c r="Q37" s="472"/>
      <c r="R37" s="472"/>
      <c r="S37" s="472"/>
      <c r="T37" s="472"/>
      <c r="V37" s="1564"/>
    </row>
    <row r="38" spans="2:22" s="332" customFormat="1" ht="15" customHeight="1" x14ac:dyDescent="0.35">
      <c r="B38" s="1607"/>
      <c r="C38" s="24"/>
      <c r="D38" s="1548"/>
      <c r="E38" s="447"/>
      <c r="F38" s="446"/>
      <c r="G38" s="446"/>
      <c r="H38" s="1551"/>
      <c r="I38" s="446"/>
      <c r="J38" s="1562"/>
      <c r="K38" s="472"/>
      <c r="L38" s="1554"/>
      <c r="M38" s="472"/>
      <c r="N38" s="1554"/>
      <c r="O38" s="472"/>
      <c r="P38" s="1558"/>
      <c r="Q38" s="472"/>
      <c r="R38" s="1249">
        <f>R13</f>
        <v>0</v>
      </c>
      <c r="S38" s="472"/>
      <c r="T38" s="1249">
        <v>0</v>
      </c>
      <c r="V38" s="1564"/>
    </row>
    <row r="39" spans="2:22" s="332" customFormat="1" ht="8.15" customHeight="1" x14ac:dyDescent="0.35">
      <c r="B39" s="1607"/>
      <c r="C39" s="24"/>
      <c r="D39" s="1548"/>
      <c r="E39" s="447"/>
      <c r="F39" s="446"/>
      <c r="G39" s="446"/>
      <c r="H39" s="1551"/>
      <c r="I39" s="446"/>
      <c r="J39" s="1562"/>
      <c r="K39" s="472"/>
      <c r="L39" s="1554"/>
      <c r="M39" s="472"/>
      <c r="N39" s="1554"/>
      <c r="O39" s="472"/>
      <c r="P39" s="1166"/>
      <c r="Q39" s="472"/>
      <c r="R39" s="472"/>
      <c r="S39" s="472"/>
      <c r="T39" s="472"/>
      <c r="V39" s="1564"/>
    </row>
    <row r="40" spans="2:22" s="332" customFormat="1" ht="15" customHeight="1" x14ac:dyDescent="0.35">
      <c r="B40" s="1607"/>
      <c r="C40" s="24"/>
      <c r="D40" s="1548"/>
      <c r="E40" s="447"/>
      <c r="F40" s="446"/>
      <c r="G40" s="446"/>
      <c r="H40" s="1551"/>
      <c r="I40" s="446"/>
      <c r="J40" s="1562"/>
      <c r="K40" s="472"/>
      <c r="L40" s="1554"/>
      <c r="M40" s="472"/>
      <c r="N40" s="1555"/>
      <c r="O40" s="472"/>
      <c r="P40" s="1249">
        <f>N36-P36</f>
        <v>0</v>
      </c>
      <c r="Q40" s="472"/>
      <c r="R40" s="472"/>
      <c r="S40" s="472"/>
      <c r="T40" s="472"/>
      <c r="V40" s="1564"/>
    </row>
    <row r="41" spans="2:22" s="332" customFormat="1" ht="8.15" customHeight="1" x14ac:dyDescent="0.35">
      <c r="B41" s="1607"/>
      <c r="C41" s="24"/>
      <c r="D41" s="1548"/>
      <c r="E41" s="447"/>
      <c r="F41" s="446"/>
      <c r="G41" s="446"/>
      <c r="H41" s="1551"/>
      <c r="I41" s="446"/>
      <c r="J41" s="1562"/>
      <c r="K41" s="472"/>
      <c r="L41" s="1554"/>
      <c r="M41" s="472"/>
      <c r="N41" s="1166"/>
      <c r="O41" s="472"/>
      <c r="P41" s="1166"/>
      <c r="Q41" s="472"/>
      <c r="R41" s="472"/>
      <c r="S41" s="472"/>
      <c r="T41" s="472"/>
      <c r="V41" s="1564"/>
    </row>
    <row r="42" spans="2:22" s="332" customFormat="1" ht="14.5" x14ac:dyDescent="0.35">
      <c r="B42" s="1607"/>
      <c r="C42" s="24"/>
      <c r="D42" s="1548"/>
      <c r="E42" s="447"/>
      <c r="F42" s="446"/>
      <c r="G42" s="446"/>
      <c r="H42" s="1552"/>
      <c r="I42" s="446"/>
      <c r="J42" s="1558"/>
      <c r="K42" s="472"/>
      <c r="L42" s="1555"/>
      <c r="M42" s="472"/>
      <c r="N42" s="1249">
        <f>L36-N36</f>
        <v>0</v>
      </c>
      <c r="O42" s="472"/>
      <c r="P42" s="1166"/>
      <c r="Q42" s="472"/>
      <c r="R42" s="472"/>
      <c r="S42" s="472"/>
      <c r="T42" s="472"/>
      <c r="V42" s="1564"/>
    </row>
    <row r="43" spans="2:22" s="332" customFormat="1" ht="14.5" x14ac:dyDescent="0.35">
      <c r="B43" s="1607"/>
      <c r="C43" s="24"/>
      <c r="D43" s="446"/>
      <c r="E43" s="446"/>
      <c r="F43" s="446"/>
      <c r="G43" s="446"/>
      <c r="H43" s="448"/>
      <c r="I43" s="446"/>
      <c r="J43" s="472"/>
      <c r="K43" s="472"/>
      <c r="L43" s="475"/>
      <c r="M43" s="472"/>
      <c r="N43" s="472"/>
      <c r="O43" s="472"/>
      <c r="P43" s="472"/>
      <c r="Q43" s="472"/>
      <c r="R43" s="472"/>
      <c r="S43" s="472"/>
      <c r="T43" s="472"/>
      <c r="V43" s="1564"/>
    </row>
    <row r="44" spans="2:22" s="332" customFormat="1" ht="15" hidden="1" customHeight="1" x14ac:dyDescent="0.35">
      <c r="B44" s="1607"/>
      <c r="C44" s="24"/>
      <c r="D44" s="1198"/>
      <c r="E44" s="447"/>
      <c r="F44" s="447"/>
      <c r="G44" s="446"/>
      <c r="H44" s="1200"/>
      <c r="I44" s="446"/>
      <c r="J44" s="1202"/>
      <c r="K44" s="472"/>
      <c r="L44" s="1202"/>
      <c r="M44" s="472"/>
      <c r="N44" s="1609">
        <f>'FW Flows_SLUDGE'!K20</f>
        <v>0</v>
      </c>
      <c r="O44" s="472"/>
      <c r="P44" s="1609">
        <f>'FW Flows_SLUDGE'!K20</f>
        <v>0</v>
      </c>
      <c r="Q44" s="472"/>
      <c r="R44" s="473">
        <v>0</v>
      </c>
      <c r="S44" s="472"/>
      <c r="T44" s="473">
        <v>0</v>
      </c>
      <c r="V44" s="1564"/>
    </row>
    <row r="45" spans="2:22" s="332" customFormat="1" ht="8.15" hidden="1" customHeight="1" x14ac:dyDescent="0.35">
      <c r="B45" s="1607"/>
      <c r="C45" s="24"/>
      <c r="D45" s="1199"/>
      <c r="E45" s="447"/>
      <c r="F45" s="446"/>
      <c r="G45" s="446"/>
      <c r="H45" s="1201"/>
      <c r="I45" s="446"/>
      <c r="J45" s="1203"/>
      <c r="K45" s="472"/>
      <c r="L45" s="1203"/>
      <c r="M45" s="472"/>
      <c r="N45" s="1610"/>
      <c r="O45" s="472"/>
      <c r="P45" s="1610"/>
      <c r="Q45" s="472"/>
      <c r="R45" s="472"/>
      <c r="S45" s="472"/>
      <c r="T45" s="472"/>
      <c r="V45" s="1564"/>
    </row>
    <row r="46" spans="2:22" s="332" customFormat="1" ht="14.5" hidden="1" x14ac:dyDescent="0.35">
      <c r="B46" s="1607"/>
      <c r="C46" s="24"/>
      <c r="D46" s="1199"/>
      <c r="E46" s="447"/>
      <c r="F46" s="446"/>
      <c r="G46" s="446"/>
      <c r="H46" s="1201"/>
      <c r="I46" s="446"/>
      <c r="J46" s="1203"/>
      <c r="K46" s="472"/>
      <c r="L46" s="1203"/>
      <c r="M46" s="472"/>
      <c r="N46" s="1610"/>
      <c r="O46" s="472"/>
      <c r="P46" s="1611"/>
      <c r="Q46" s="472"/>
      <c r="R46" s="474">
        <v>0</v>
      </c>
      <c r="S46" s="472"/>
      <c r="T46" s="474">
        <v>0</v>
      </c>
      <c r="V46" s="1564"/>
    </row>
    <row r="47" spans="2:22" s="332" customFormat="1" ht="8.15" hidden="1" customHeight="1" x14ac:dyDescent="0.35">
      <c r="B47" s="1607"/>
      <c r="C47" s="24"/>
      <c r="D47" s="1199"/>
      <c r="E47" s="447"/>
      <c r="F47" s="446"/>
      <c r="G47" s="446"/>
      <c r="H47" s="1201"/>
      <c r="I47" s="446"/>
      <c r="J47" s="1203"/>
      <c r="K47" s="472"/>
      <c r="L47" s="1203"/>
      <c r="M47" s="472"/>
      <c r="N47" s="1610"/>
      <c r="O47" s="472"/>
      <c r="P47" s="472"/>
      <c r="Q47" s="472"/>
      <c r="R47" s="472"/>
      <c r="S47" s="472"/>
      <c r="T47" s="472"/>
      <c r="V47" s="1564"/>
    </row>
    <row r="48" spans="2:22" s="332" customFormat="1" ht="14.5" hidden="1" x14ac:dyDescent="0.35">
      <c r="B48" s="1607"/>
      <c r="C48" s="24"/>
      <c r="D48" s="1199"/>
      <c r="E48" s="447"/>
      <c r="F48" s="446"/>
      <c r="G48" s="446"/>
      <c r="H48" s="1201"/>
      <c r="I48" s="446"/>
      <c r="J48" s="1203"/>
      <c r="K48" s="472"/>
      <c r="L48" s="1203"/>
      <c r="M48" s="472"/>
      <c r="N48" s="1611"/>
      <c r="O48" s="472"/>
      <c r="P48" s="474">
        <f>'FW Flows_SLUDGE'!O33</f>
        <v>0</v>
      </c>
      <c r="Q48" s="472"/>
      <c r="R48" s="472"/>
      <c r="S48" s="472"/>
      <c r="T48" s="472"/>
      <c r="V48" s="1564"/>
    </row>
    <row r="49" spans="2:22" s="332" customFormat="1" ht="8.15" hidden="1" customHeight="1" x14ac:dyDescent="0.35">
      <c r="B49" s="1607"/>
      <c r="C49" s="24"/>
      <c r="D49" s="1199"/>
      <c r="E49" s="447"/>
      <c r="F49" s="446"/>
      <c r="G49" s="446"/>
      <c r="H49" s="1201"/>
      <c r="I49" s="446"/>
      <c r="J49" s="1203"/>
      <c r="K49" s="472"/>
      <c r="L49" s="1203"/>
      <c r="M49" s="472"/>
      <c r="N49" s="472"/>
      <c r="O49" s="472"/>
      <c r="P49" s="472"/>
      <c r="Q49" s="472"/>
      <c r="R49" s="472"/>
      <c r="S49" s="472"/>
      <c r="T49" s="472"/>
      <c r="V49" s="1564"/>
    </row>
    <row r="50" spans="2:22" s="332" customFormat="1" ht="15" customHeight="1" x14ac:dyDescent="0.35">
      <c r="B50" s="1607"/>
      <c r="C50" s="24"/>
      <c r="D50" s="1548" t="s">
        <v>117</v>
      </c>
      <c r="E50" s="447"/>
      <c r="F50" s="446"/>
      <c r="G50" s="446"/>
      <c r="H50" s="1549">
        <f>'FW Flows_SLUDGE'!$C$14</f>
        <v>0</v>
      </c>
      <c r="I50" s="446"/>
      <c r="J50" s="1556">
        <f>'FW Flows_SLUDGE'!$C$14</f>
        <v>0</v>
      </c>
      <c r="K50" s="472"/>
      <c r="L50" s="1553">
        <f>'FW Flows_SLUDGE'!$G$14</f>
        <v>0</v>
      </c>
      <c r="M50" s="472"/>
      <c r="N50" s="1556">
        <f>N7</f>
        <v>0</v>
      </c>
      <c r="O50" s="472"/>
      <c r="P50" s="1553">
        <f>P7</f>
        <v>0</v>
      </c>
      <c r="Q50" s="472"/>
      <c r="R50" s="1252">
        <f>R7</f>
        <v>0</v>
      </c>
      <c r="S50" s="472"/>
      <c r="T50" s="1252">
        <f>R50</f>
        <v>0</v>
      </c>
      <c r="V50" s="1564"/>
    </row>
    <row r="51" spans="2:22" s="332" customFormat="1" ht="8.15" customHeight="1" x14ac:dyDescent="0.35">
      <c r="B51" s="1607"/>
      <c r="C51" s="24"/>
      <c r="D51" s="1548"/>
      <c r="E51" s="447"/>
      <c r="F51" s="446"/>
      <c r="G51" s="446"/>
      <c r="H51" s="1550"/>
      <c r="I51" s="446"/>
      <c r="J51" s="1557"/>
      <c r="K51" s="472"/>
      <c r="L51" s="1554"/>
      <c r="M51" s="472"/>
      <c r="N51" s="1557"/>
      <c r="O51" s="472"/>
      <c r="P51" s="1554"/>
      <c r="Q51" s="472"/>
      <c r="R51" s="472"/>
      <c r="S51" s="472"/>
      <c r="T51" s="472"/>
      <c r="V51" s="1564"/>
    </row>
    <row r="52" spans="2:22" s="332" customFormat="1" ht="15" customHeight="1" x14ac:dyDescent="0.35">
      <c r="B52" s="1607"/>
      <c r="C52" s="24"/>
      <c r="D52" s="1548"/>
      <c r="E52" s="447"/>
      <c r="F52" s="446"/>
      <c r="G52" s="446"/>
      <c r="H52" s="1550"/>
      <c r="I52" s="446"/>
      <c r="J52" s="1557"/>
      <c r="K52" s="472"/>
      <c r="L52" s="1554"/>
      <c r="M52" s="472"/>
      <c r="N52" s="1562"/>
      <c r="O52" s="472"/>
      <c r="P52" s="1555"/>
      <c r="Q52" s="472"/>
      <c r="R52" s="1249">
        <f>R14</f>
        <v>0</v>
      </c>
      <c r="S52" s="472"/>
      <c r="T52" s="1249">
        <v>0</v>
      </c>
      <c r="V52" s="1564"/>
    </row>
    <row r="53" spans="2:22" s="332" customFormat="1" ht="8.15" customHeight="1" x14ac:dyDescent="0.35">
      <c r="B53" s="1607"/>
      <c r="C53" s="24"/>
      <c r="D53" s="1548"/>
      <c r="E53" s="447"/>
      <c r="F53" s="446"/>
      <c r="G53" s="446"/>
      <c r="H53" s="1550"/>
      <c r="I53" s="446"/>
      <c r="J53" s="1557"/>
      <c r="K53" s="472"/>
      <c r="L53" s="1554"/>
      <c r="M53" s="472"/>
      <c r="N53" s="1562"/>
      <c r="O53" s="472"/>
      <c r="P53" s="472"/>
      <c r="Q53" s="472"/>
      <c r="R53" s="472"/>
      <c r="S53" s="472"/>
      <c r="T53" s="472"/>
      <c r="V53" s="1564"/>
    </row>
    <row r="54" spans="2:22" s="332" customFormat="1" ht="14.5" x14ac:dyDescent="0.35">
      <c r="B54" s="1607"/>
      <c r="C54" s="24"/>
      <c r="D54" s="1548"/>
      <c r="E54" s="447"/>
      <c r="F54" s="446"/>
      <c r="G54" s="446"/>
      <c r="H54" s="1550"/>
      <c r="I54" s="446"/>
      <c r="J54" s="1557"/>
      <c r="K54" s="472"/>
      <c r="L54" s="1554"/>
      <c r="M54" s="472"/>
      <c r="N54" s="1558"/>
      <c r="O54" s="472"/>
      <c r="P54" s="1249">
        <f>P14</f>
        <v>0</v>
      </c>
      <c r="Q54" s="472"/>
      <c r="R54" s="833"/>
      <c r="S54" s="834"/>
      <c r="T54" s="833"/>
      <c r="V54" s="1564"/>
    </row>
    <row r="55" spans="2:22" s="332" customFormat="1" ht="8.15" customHeight="1" x14ac:dyDescent="0.35">
      <c r="B55" s="1607"/>
      <c r="C55" s="24"/>
      <c r="D55" s="1548"/>
      <c r="E55" s="447"/>
      <c r="F55" s="446"/>
      <c r="G55" s="446"/>
      <c r="H55" s="1550"/>
      <c r="I55" s="446"/>
      <c r="J55" s="1557"/>
      <c r="K55" s="472"/>
      <c r="L55" s="1554"/>
      <c r="M55" s="472"/>
      <c r="N55" s="472"/>
      <c r="O55" s="472"/>
      <c r="P55" s="472"/>
      <c r="Q55" s="472"/>
      <c r="R55" s="472"/>
      <c r="S55" s="472"/>
      <c r="T55" s="472"/>
      <c r="V55" s="1564"/>
    </row>
    <row r="56" spans="2:22" s="332" customFormat="1" ht="14.5" x14ac:dyDescent="0.35">
      <c r="B56" s="1607"/>
      <c r="C56" s="24"/>
      <c r="D56" s="1548"/>
      <c r="E56" s="447"/>
      <c r="F56" s="446"/>
      <c r="G56" s="446"/>
      <c r="H56" s="1550"/>
      <c r="I56" s="446"/>
      <c r="J56" s="1557"/>
      <c r="K56" s="472"/>
      <c r="L56" s="1554"/>
      <c r="M56" s="472"/>
      <c r="N56" s="1249">
        <f>N14</f>
        <v>0</v>
      </c>
      <c r="O56" s="472"/>
      <c r="P56" s="472"/>
      <c r="Q56" s="472"/>
      <c r="R56" s="472"/>
      <c r="S56" s="472"/>
      <c r="T56" s="472"/>
      <c r="V56" s="1564"/>
    </row>
    <row r="57" spans="2:22" s="332" customFormat="1" ht="8.15" customHeight="1" x14ac:dyDescent="0.35">
      <c r="B57" s="1607"/>
      <c r="C57" s="24"/>
      <c r="D57" s="1548"/>
      <c r="E57" s="447"/>
      <c r="F57" s="446"/>
      <c r="G57" s="446"/>
      <c r="H57" s="1550"/>
      <c r="I57" s="446"/>
      <c r="J57" s="1557"/>
      <c r="K57" s="472"/>
      <c r="L57" s="1554"/>
      <c r="M57" s="472"/>
      <c r="N57" s="472"/>
      <c r="O57" s="472"/>
      <c r="P57" s="472"/>
      <c r="Q57" s="472"/>
      <c r="R57" s="472"/>
      <c r="S57" s="472"/>
      <c r="T57" s="472"/>
      <c r="V57" s="1564"/>
    </row>
    <row r="58" spans="2:22" s="332" customFormat="1" ht="14.5" x14ac:dyDescent="0.35">
      <c r="B58" s="1607"/>
      <c r="C58" s="24"/>
      <c r="D58" s="1548"/>
      <c r="E58" s="447"/>
      <c r="F58" s="446"/>
      <c r="G58" s="446"/>
      <c r="H58" s="1550"/>
      <c r="I58" s="446"/>
      <c r="J58" s="1557"/>
      <c r="K58" s="472"/>
      <c r="L58" s="1555"/>
      <c r="M58" s="472"/>
      <c r="N58" s="1249">
        <f>L44-N44-N50-N56</f>
        <v>0</v>
      </c>
      <c r="O58" s="472"/>
      <c r="P58" s="472"/>
      <c r="Q58" s="472"/>
      <c r="R58" s="472"/>
      <c r="S58" s="472"/>
      <c r="T58" s="472"/>
      <c r="V58" s="1564"/>
    </row>
    <row r="59" spans="2:22" s="332" customFormat="1" ht="8.15" customHeight="1" x14ac:dyDescent="0.35">
      <c r="B59" s="1607"/>
      <c r="C59" s="24"/>
      <c r="D59" s="1548"/>
      <c r="E59" s="447"/>
      <c r="F59" s="446"/>
      <c r="G59" s="446"/>
      <c r="H59" s="1550"/>
      <c r="I59" s="446"/>
      <c r="J59" s="1557"/>
      <c r="K59" s="472"/>
      <c r="L59" s="475"/>
      <c r="M59" s="472"/>
      <c r="N59" s="472"/>
      <c r="O59" s="472"/>
      <c r="P59" s="472"/>
      <c r="Q59" s="472"/>
      <c r="R59" s="472"/>
      <c r="S59" s="472"/>
      <c r="T59" s="472"/>
      <c r="V59" s="1564"/>
    </row>
    <row r="60" spans="2:22" s="332" customFormat="1" ht="14.5" x14ac:dyDescent="0.35">
      <c r="B60" s="1607"/>
      <c r="C60" s="24"/>
      <c r="D60" s="1548"/>
      <c r="E60" s="447"/>
      <c r="F60" s="446"/>
      <c r="G60" s="446"/>
      <c r="H60" s="1552"/>
      <c r="I60" s="446"/>
      <c r="J60" s="1558"/>
      <c r="K60" s="472"/>
      <c r="L60" s="1249">
        <f>'FW Flows_SLUDGE'!G24</f>
        <v>0</v>
      </c>
      <c r="M60" s="472"/>
      <c r="N60" s="472"/>
      <c r="O60" s="472"/>
      <c r="P60" s="472"/>
      <c r="Q60" s="472"/>
      <c r="R60" s="472"/>
      <c r="S60" s="472"/>
      <c r="T60" s="472"/>
      <c r="V60" s="1564"/>
    </row>
    <row r="61" spans="2:22" s="332" customFormat="1" ht="14.5" x14ac:dyDescent="0.35">
      <c r="B61" s="1607"/>
      <c r="C61" s="24"/>
      <c r="D61" s="446"/>
      <c r="E61" s="446"/>
      <c r="F61" s="446"/>
      <c r="G61" s="446"/>
      <c r="H61" s="448"/>
      <c r="I61" s="446"/>
      <c r="J61" s="472"/>
      <c r="K61" s="472"/>
      <c r="L61" s="475"/>
      <c r="M61" s="472"/>
      <c r="N61" s="472"/>
      <c r="O61" s="472"/>
      <c r="P61" s="472"/>
      <c r="Q61" s="472"/>
      <c r="R61" s="472"/>
      <c r="S61" s="472"/>
      <c r="T61" s="472"/>
      <c r="V61" s="1564"/>
    </row>
    <row r="62" spans="2:22" s="332" customFormat="1" ht="15" hidden="1" customHeight="1" x14ac:dyDescent="0.35">
      <c r="B62" s="1607"/>
      <c r="C62" s="24"/>
      <c r="D62" s="1198"/>
      <c r="E62" s="445"/>
      <c r="F62" s="1198"/>
      <c r="G62" s="446"/>
      <c r="H62" s="1200"/>
      <c r="I62" s="446"/>
      <c r="J62" s="1202"/>
      <c r="K62" s="472"/>
      <c r="L62" s="1202"/>
      <c r="M62" s="472"/>
      <c r="N62" s="1609">
        <f>'FW Flows_SLUDGE'!K21</f>
        <v>0</v>
      </c>
      <c r="O62" s="472"/>
      <c r="P62" s="1609">
        <f>'FW Flows_SLUDGE'!O21</f>
        <v>0</v>
      </c>
      <c r="Q62" s="472"/>
      <c r="R62" s="473">
        <v>0</v>
      </c>
      <c r="S62" s="472"/>
      <c r="T62" s="473">
        <v>0</v>
      </c>
      <c r="V62" s="1564"/>
    </row>
    <row r="63" spans="2:22" s="332" customFormat="1" ht="8.15" hidden="1" customHeight="1" x14ac:dyDescent="0.35">
      <c r="B63" s="1607"/>
      <c r="C63" s="24"/>
      <c r="D63" s="1199"/>
      <c r="E63" s="445"/>
      <c r="F63" s="1199"/>
      <c r="G63" s="446"/>
      <c r="H63" s="1201"/>
      <c r="I63" s="446"/>
      <c r="J63" s="1203"/>
      <c r="K63" s="472"/>
      <c r="L63" s="1203"/>
      <c r="M63" s="472"/>
      <c r="N63" s="1610"/>
      <c r="O63" s="472"/>
      <c r="P63" s="1610"/>
      <c r="Q63" s="472"/>
      <c r="R63" s="472"/>
      <c r="S63" s="472"/>
      <c r="T63" s="472"/>
      <c r="V63" s="1564"/>
    </row>
    <row r="64" spans="2:22" s="332" customFormat="1" ht="14.5" hidden="1" x14ac:dyDescent="0.35">
      <c r="B64" s="1607"/>
      <c r="C64" s="24"/>
      <c r="D64" s="1199"/>
      <c r="E64" s="445"/>
      <c r="F64" s="1199"/>
      <c r="G64" s="446"/>
      <c r="H64" s="1201"/>
      <c r="I64" s="446"/>
      <c r="J64" s="1203"/>
      <c r="K64" s="472"/>
      <c r="L64" s="1203"/>
      <c r="M64" s="472"/>
      <c r="N64" s="1611"/>
      <c r="O64" s="472"/>
      <c r="P64" s="1611"/>
      <c r="Q64" s="472"/>
      <c r="R64" s="474">
        <v>0</v>
      </c>
      <c r="S64" s="472"/>
      <c r="T64" s="474">
        <v>0</v>
      </c>
      <c r="V64" s="1564"/>
    </row>
    <row r="65" spans="2:26" s="332" customFormat="1" ht="8.15" hidden="1" customHeight="1" x14ac:dyDescent="0.35">
      <c r="B65" s="1607"/>
      <c r="C65" s="24"/>
      <c r="D65" s="1199"/>
      <c r="E65" s="445"/>
      <c r="F65" s="1199"/>
      <c r="G65" s="446"/>
      <c r="H65" s="1201"/>
      <c r="I65" s="446"/>
      <c r="J65" s="1203"/>
      <c r="K65" s="472"/>
      <c r="L65" s="1203"/>
      <c r="M65" s="472"/>
      <c r="N65" s="472"/>
      <c r="O65" s="472"/>
      <c r="P65" s="472"/>
      <c r="Q65" s="472"/>
      <c r="R65" s="472"/>
      <c r="S65" s="472"/>
      <c r="T65" s="472"/>
      <c r="V65" s="1564"/>
    </row>
    <row r="66" spans="2:26" s="332" customFormat="1" ht="30" customHeight="1" x14ac:dyDescent="0.35">
      <c r="B66" s="1607"/>
      <c r="C66" s="24"/>
      <c r="D66" s="1559" t="s">
        <v>161</v>
      </c>
      <c r="E66" s="445"/>
      <c r="F66" s="1548" t="s">
        <v>130</v>
      </c>
      <c r="G66" s="446"/>
      <c r="H66" s="1549">
        <f>'FW Flows_SLUDGE'!$C$15</f>
        <v>98575</v>
      </c>
      <c r="I66" s="446"/>
      <c r="J66" s="1553">
        <f>'FW Flows_SLUDGE'!$C$15</f>
        <v>98575</v>
      </c>
      <c r="K66" s="472"/>
      <c r="L66" s="1553">
        <f>'FW Flows_SLUDGE'!$G$15</f>
        <v>98575</v>
      </c>
      <c r="M66" s="472"/>
      <c r="N66" s="1556">
        <f>N8</f>
        <v>98575</v>
      </c>
      <c r="O66" s="472"/>
      <c r="P66" s="1556">
        <f>P8</f>
        <v>0</v>
      </c>
      <c r="Q66" s="472"/>
      <c r="R66" s="1252">
        <f>R8</f>
        <v>0</v>
      </c>
      <c r="S66" s="472"/>
      <c r="T66" s="1252">
        <f>R66</f>
        <v>0</v>
      </c>
      <c r="V66" s="1564"/>
      <c r="Z66" s="458"/>
    </row>
    <row r="67" spans="2:26" s="332" customFormat="1" ht="8.15" customHeight="1" x14ac:dyDescent="0.35">
      <c r="B67" s="1607"/>
      <c r="C67" s="24"/>
      <c r="D67" s="1560"/>
      <c r="E67" s="445"/>
      <c r="F67" s="1548"/>
      <c r="G67" s="446"/>
      <c r="H67" s="1550"/>
      <c r="I67" s="446"/>
      <c r="J67" s="1554"/>
      <c r="K67" s="472"/>
      <c r="L67" s="1554"/>
      <c r="M67" s="472"/>
      <c r="N67" s="1557"/>
      <c r="O67" s="472"/>
      <c r="P67" s="1557"/>
      <c r="Q67" s="472"/>
      <c r="R67" s="472"/>
      <c r="S67" s="472"/>
      <c r="T67" s="472"/>
      <c r="V67" s="1564"/>
    </row>
    <row r="68" spans="2:26" s="332" customFormat="1" ht="14.5" x14ac:dyDescent="0.35">
      <c r="B68" s="1607"/>
      <c r="C68" s="24"/>
      <c r="D68" s="1560"/>
      <c r="E68" s="445"/>
      <c r="F68" s="1548"/>
      <c r="G68" s="446"/>
      <c r="H68" s="1550"/>
      <c r="I68" s="446"/>
      <c r="J68" s="1554"/>
      <c r="K68" s="472"/>
      <c r="L68" s="1554"/>
      <c r="M68" s="472"/>
      <c r="N68" s="1557"/>
      <c r="O68" s="472"/>
      <c r="P68" s="1558"/>
      <c r="Q68" s="472"/>
      <c r="R68" s="1249">
        <f>R15</f>
        <v>0</v>
      </c>
      <c r="S68" s="472"/>
      <c r="T68" s="1249">
        <v>0</v>
      </c>
      <c r="V68" s="1564"/>
    </row>
    <row r="69" spans="2:26" s="332" customFormat="1" ht="8.15" customHeight="1" x14ac:dyDescent="0.35">
      <c r="B69" s="1607"/>
      <c r="C69" s="24"/>
      <c r="D69" s="1560"/>
      <c r="E69" s="445"/>
      <c r="F69" s="1548"/>
      <c r="G69" s="446"/>
      <c r="H69" s="1550"/>
      <c r="I69" s="446"/>
      <c r="J69" s="1554"/>
      <c r="K69" s="472"/>
      <c r="L69" s="1554"/>
      <c r="M69" s="472"/>
      <c r="N69" s="1557"/>
      <c r="O69" s="472"/>
      <c r="P69" s="472"/>
      <c r="Q69" s="472"/>
      <c r="R69" s="472"/>
      <c r="S69" s="472"/>
      <c r="T69" s="472"/>
      <c r="V69" s="1564"/>
    </row>
    <row r="70" spans="2:26" s="332" customFormat="1" ht="14.5" x14ac:dyDescent="0.35">
      <c r="B70" s="1607"/>
      <c r="C70" s="24"/>
      <c r="D70" s="1560"/>
      <c r="E70" s="445"/>
      <c r="F70" s="1548"/>
      <c r="G70" s="446"/>
      <c r="H70" s="1550"/>
      <c r="I70" s="446"/>
      <c r="J70" s="1554"/>
      <c r="K70" s="472"/>
      <c r="L70" s="1554"/>
      <c r="M70" s="472"/>
      <c r="N70" s="1558"/>
      <c r="O70" s="472"/>
      <c r="P70" s="1249">
        <f>N66-P66</f>
        <v>98575</v>
      </c>
      <c r="Q70" s="472"/>
      <c r="R70" s="472"/>
      <c r="S70" s="472"/>
      <c r="T70" s="472"/>
      <c r="V70" s="1564"/>
    </row>
    <row r="71" spans="2:26" s="332" customFormat="1" ht="8.15" customHeight="1" x14ac:dyDescent="0.35">
      <c r="B71" s="1607"/>
      <c r="C71" s="24"/>
      <c r="D71" s="1560"/>
      <c r="E71" s="445"/>
      <c r="F71" s="1548"/>
      <c r="G71" s="446"/>
      <c r="H71" s="1550"/>
      <c r="I71" s="446"/>
      <c r="J71" s="1554"/>
      <c r="K71" s="472"/>
      <c r="L71" s="1554"/>
      <c r="M71" s="472"/>
      <c r="N71" s="472"/>
      <c r="O71" s="472"/>
      <c r="P71" s="472"/>
      <c r="Q71" s="472"/>
      <c r="R71" s="472"/>
      <c r="S71" s="472"/>
      <c r="T71" s="472"/>
      <c r="V71" s="1564"/>
    </row>
    <row r="72" spans="2:26" s="332" customFormat="1" ht="14.5" x14ac:dyDescent="0.35">
      <c r="B72" s="1607"/>
      <c r="C72" s="24"/>
      <c r="D72" s="1560"/>
      <c r="E72" s="445"/>
      <c r="F72" s="1548"/>
      <c r="G72" s="446"/>
      <c r="H72" s="1550"/>
      <c r="I72" s="446"/>
      <c r="J72" s="1554"/>
      <c r="K72" s="472"/>
      <c r="L72" s="1554"/>
      <c r="M72" s="472"/>
      <c r="N72" s="1249">
        <f>N15</f>
        <v>0</v>
      </c>
      <c r="O72" s="472"/>
      <c r="P72" s="472"/>
      <c r="Q72" s="472"/>
      <c r="R72" s="472"/>
      <c r="S72" s="472"/>
      <c r="T72" s="472"/>
      <c r="V72" s="1564"/>
    </row>
    <row r="73" spans="2:26" s="332" customFormat="1" ht="8.15" customHeight="1" x14ac:dyDescent="0.35">
      <c r="B73" s="1607"/>
      <c r="C73" s="24"/>
      <c r="D73" s="1560"/>
      <c r="E73" s="445"/>
      <c r="F73" s="1548"/>
      <c r="G73" s="446"/>
      <c r="H73" s="1550"/>
      <c r="I73" s="446"/>
      <c r="J73" s="1554"/>
      <c r="K73" s="472"/>
      <c r="L73" s="1554"/>
      <c r="M73" s="472"/>
      <c r="N73" s="472"/>
      <c r="O73" s="472"/>
      <c r="P73" s="472"/>
      <c r="Q73" s="472"/>
      <c r="R73" s="472"/>
      <c r="S73" s="472"/>
      <c r="T73" s="472"/>
      <c r="V73" s="1564"/>
    </row>
    <row r="74" spans="2:26" s="332" customFormat="1" ht="14.5" x14ac:dyDescent="0.35">
      <c r="B74" s="1607"/>
      <c r="C74" s="24"/>
      <c r="D74" s="1560"/>
      <c r="E74" s="445"/>
      <c r="F74" s="1548"/>
      <c r="G74" s="446"/>
      <c r="H74" s="1550"/>
      <c r="I74" s="446"/>
      <c r="J74" s="1554"/>
      <c r="K74" s="472"/>
      <c r="L74" s="1555"/>
      <c r="M74" s="472"/>
      <c r="N74" s="1249">
        <f>L66-N62-N66-N72</f>
        <v>0</v>
      </c>
      <c r="O74" s="472"/>
      <c r="P74" s="472"/>
      <c r="Q74" s="472"/>
      <c r="R74" s="472"/>
      <c r="S74" s="472"/>
      <c r="T74" s="472"/>
      <c r="V74" s="1564"/>
    </row>
    <row r="75" spans="2:26" s="332" customFormat="1" ht="8.15" customHeight="1" x14ac:dyDescent="0.35">
      <c r="B75" s="1607"/>
      <c r="C75" s="24"/>
      <c r="D75" s="1560"/>
      <c r="E75" s="445"/>
      <c r="F75" s="1548"/>
      <c r="G75" s="446"/>
      <c r="H75" s="1550"/>
      <c r="I75" s="446"/>
      <c r="J75" s="1554"/>
      <c r="K75" s="472"/>
      <c r="L75" s="475"/>
      <c r="M75" s="472"/>
      <c r="N75" s="472"/>
      <c r="O75" s="472"/>
      <c r="P75" s="472"/>
      <c r="Q75" s="472"/>
      <c r="R75" s="472"/>
      <c r="S75" s="472"/>
      <c r="T75" s="472"/>
      <c r="V75" s="1564"/>
    </row>
    <row r="76" spans="2:26" s="332" customFormat="1" ht="14.5" x14ac:dyDescent="0.35">
      <c r="B76" s="1607"/>
      <c r="C76" s="24"/>
      <c r="D76" s="1560"/>
      <c r="E76" s="445"/>
      <c r="F76" s="1548"/>
      <c r="G76" s="446"/>
      <c r="H76" s="1552"/>
      <c r="I76" s="446"/>
      <c r="J76" s="1555"/>
      <c r="K76" s="472"/>
      <c r="L76" s="1249">
        <f>'FW Flows_SLUDGE'!G25</f>
        <v>0</v>
      </c>
      <c r="M76" s="472"/>
      <c r="N76" s="472"/>
      <c r="O76" s="472"/>
      <c r="P76" s="472"/>
      <c r="Q76" s="472"/>
      <c r="R76" s="472"/>
      <c r="S76" s="472"/>
      <c r="T76" s="472"/>
      <c r="V76" s="1564"/>
    </row>
    <row r="77" spans="2:26" s="332" customFormat="1" ht="14.5" x14ac:dyDescent="0.35">
      <c r="B77" s="1607"/>
      <c r="C77" s="24"/>
      <c r="D77" s="1560"/>
      <c r="E77" s="452"/>
      <c r="F77" s="449"/>
      <c r="G77" s="446"/>
      <c r="H77" s="448"/>
      <c r="I77" s="446"/>
      <c r="J77" s="472"/>
      <c r="K77" s="472"/>
      <c r="L77" s="475"/>
      <c r="M77" s="472"/>
      <c r="N77" s="472"/>
      <c r="O77" s="472"/>
      <c r="P77" s="472"/>
      <c r="Q77" s="472"/>
      <c r="R77" s="472"/>
      <c r="S77" s="472"/>
      <c r="T77" s="472"/>
      <c r="V77" s="1564"/>
    </row>
    <row r="78" spans="2:26" s="332" customFormat="1" ht="14.5" x14ac:dyDescent="0.35">
      <c r="B78" s="1607"/>
      <c r="C78" s="24"/>
      <c r="D78" s="1560"/>
      <c r="E78" s="445"/>
      <c r="F78" s="1559" t="s">
        <v>131</v>
      </c>
      <c r="G78" s="446"/>
      <c r="H78" s="1545">
        <f>'FW Flows_SLUDGE'!$C$16</f>
        <v>51375</v>
      </c>
      <c r="I78" s="446"/>
      <c r="J78" s="1553">
        <f>'FW Flows_SLUDGE'!$C$16</f>
        <v>51375</v>
      </c>
      <c r="K78" s="472"/>
      <c r="L78" s="1553">
        <f>'FW Flows_SLUDGE'!$G$16</f>
        <v>49125</v>
      </c>
      <c r="M78" s="472"/>
      <c r="N78" s="1556">
        <f>N9</f>
        <v>49125</v>
      </c>
      <c r="O78" s="472"/>
      <c r="P78" s="1556">
        <f>P9</f>
        <v>0</v>
      </c>
      <c r="Q78" s="472"/>
      <c r="R78" s="1252">
        <f>R9</f>
        <v>0</v>
      </c>
      <c r="S78" s="472"/>
      <c r="T78" s="1252">
        <f>R78</f>
        <v>0</v>
      </c>
      <c r="V78" s="1564"/>
    </row>
    <row r="79" spans="2:26" s="332" customFormat="1" ht="8.15" customHeight="1" x14ac:dyDescent="0.35">
      <c r="B79" s="1607"/>
      <c r="C79" s="24"/>
      <c r="D79" s="1560"/>
      <c r="E79" s="445"/>
      <c r="F79" s="1560"/>
      <c r="G79" s="446"/>
      <c r="H79" s="1546"/>
      <c r="I79" s="446"/>
      <c r="J79" s="1554"/>
      <c r="K79" s="472"/>
      <c r="L79" s="1554"/>
      <c r="M79" s="472"/>
      <c r="N79" s="1557"/>
      <c r="O79" s="472"/>
      <c r="P79" s="1557"/>
      <c r="Q79" s="472"/>
      <c r="R79" s="472"/>
      <c r="S79" s="472"/>
      <c r="T79" s="472"/>
      <c r="V79" s="1564"/>
    </row>
    <row r="80" spans="2:26" s="332" customFormat="1" ht="14.5" x14ac:dyDescent="0.35">
      <c r="B80" s="1607"/>
      <c r="C80" s="24"/>
      <c r="D80" s="1560"/>
      <c r="E80" s="445"/>
      <c r="F80" s="1560"/>
      <c r="G80" s="446"/>
      <c r="H80" s="1546"/>
      <c r="I80" s="446"/>
      <c r="J80" s="1554"/>
      <c r="K80" s="472"/>
      <c r="L80" s="1554"/>
      <c r="M80" s="472"/>
      <c r="N80" s="1557"/>
      <c r="O80" s="472"/>
      <c r="P80" s="1558"/>
      <c r="Q80" s="472"/>
      <c r="R80" s="1249">
        <f>R16</f>
        <v>0</v>
      </c>
      <c r="S80" s="472"/>
      <c r="T80" s="1249">
        <f>R80</f>
        <v>0</v>
      </c>
      <c r="V80" s="1564"/>
    </row>
    <row r="81" spans="2:24" s="332" customFormat="1" ht="8.15" customHeight="1" x14ac:dyDescent="0.35">
      <c r="B81" s="1607"/>
      <c r="C81" s="24"/>
      <c r="D81" s="1560"/>
      <c r="E81" s="445"/>
      <c r="F81" s="1560"/>
      <c r="G81" s="446"/>
      <c r="H81" s="1546"/>
      <c r="I81" s="446"/>
      <c r="J81" s="1554"/>
      <c r="K81" s="472"/>
      <c r="L81" s="1554"/>
      <c r="M81" s="472"/>
      <c r="N81" s="1557"/>
      <c r="O81" s="472"/>
      <c r="P81" s="472"/>
      <c r="Q81" s="472"/>
      <c r="R81" s="472"/>
      <c r="S81" s="472"/>
      <c r="T81" s="472"/>
      <c r="V81" s="1564"/>
    </row>
    <row r="82" spans="2:24" s="332" customFormat="1" ht="14.5" x14ac:dyDescent="0.35">
      <c r="B82" s="1607"/>
      <c r="C82" s="24"/>
      <c r="D82" s="1560"/>
      <c r="E82" s="445"/>
      <c r="F82" s="1560"/>
      <c r="G82" s="446"/>
      <c r="H82" s="1546"/>
      <c r="I82" s="446"/>
      <c r="J82" s="1554"/>
      <c r="K82" s="472"/>
      <c r="L82" s="1554"/>
      <c r="M82" s="472"/>
      <c r="N82" s="1558"/>
      <c r="O82" s="472"/>
      <c r="P82" s="1249">
        <f>N78-P78</f>
        <v>49125</v>
      </c>
      <c r="Q82" s="472"/>
      <c r="R82" s="472"/>
      <c r="S82" s="472"/>
      <c r="T82" s="472"/>
      <c r="V82" s="1564"/>
    </row>
    <row r="83" spans="2:24" s="332" customFormat="1" ht="8.15" customHeight="1" x14ac:dyDescent="0.35">
      <c r="B83" s="1607"/>
      <c r="C83" s="24"/>
      <c r="D83" s="1560"/>
      <c r="E83" s="445"/>
      <c r="F83" s="1560"/>
      <c r="G83" s="446"/>
      <c r="H83" s="1546"/>
      <c r="I83" s="446"/>
      <c r="J83" s="1554"/>
      <c r="K83" s="472"/>
      <c r="L83" s="1554"/>
      <c r="M83" s="472"/>
      <c r="N83" s="472"/>
      <c r="O83" s="472"/>
      <c r="P83" s="472"/>
      <c r="Q83" s="472"/>
      <c r="R83" s="472"/>
      <c r="S83" s="472"/>
      <c r="T83" s="472"/>
      <c r="V83" s="1564"/>
    </row>
    <row r="84" spans="2:24" s="332" customFormat="1" ht="14.5" x14ac:dyDescent="0.35">
      <c r="B84" s="1607"/>
      <c r="C84" s="24"/>
      <c r="D84" s="1560"/>
      <c r="E84" s="445"/>
      <c r="F84" s="1560"/>
      <c r="G84" s="446"/>
      <c r="H84" s="1546"/>
      <c r="I84" s="446"/>
      <c r="J84" s="1554"/>
      <c r="K84" s="472"/>
      <c r="L84" s="1554"/>
      <c r="M84" s="472"/>
      <c r="N84" s="1249">
        <f>N16</f>
        <v>0</v>
      </c>
      <c r="O84" s="472"/>
      <c r="P84" s="472"/>
      <c r="Q84" s="472"/>
      <c r="R84" s="472"/>
      <c r="S84" s="472"/>
      <c r="T84" s="472"/>
      <c r="V84" s="1564"/>
    </row>
    <row r="85" spans="2:24" s="332" customFormat="1" ht="8.15" customHeight="1" x14ac:dyDescent="0.35">
      <c r="B85" s="1607"/>
      <c r="C85" s="24"/>
      <c r="D85" s="1560"/>
      <c r="E85" s="445"/>
      <c r="F85" s="1560"/>
      <c r="G85" s="446"/>
      <c r="H85" s="1546"/>
      <c r="I85" s="446"/>
      <c r="J85" s="1554"/>
      <c r="K85" s="472"/>
      <c r="L85" s="1554"/>
      <c r="M85" s="472"/>
      <c r="N85" s="472"/>
      <c r="O85" s="472"/>
      <c r="P85" s="472"/>
      <c r="Q85" s="472"/>
      <c r="R85" s="472"/>
      <c r="S85" s="472"/>
      <c r="T85" s="472"/>
      <c r="V85" s="1564"/>
    </row>
    <row r="86" spans="2:24" s="332" customFormat="1" ht="14.5" x14ac:dyDescent="0.35">
      <c r="B86" s="1607"/>
      <c r="C86" s="24"/>
      <c r="D86" s="1560"/>
      <c r="E86" s="445"/>
      <c r="F86" s="1560"/>
      <c r="G86" s="446"/>
      <c r="H86" s="1546"/>
      <c r="I86" s="446"/>
      <c r="J86" s="1554"/>
      <c r="K86" s="472"/>
      <c r="L86" s="1555"/>
      <c r="M86" s="472"/>
      <c r="N86" s="1249">
        <f>L78-N78-N84</f>
        <v>0</v>
      </c>
      <c r="O86" s="472"/>
      <c r="P86" s="472"/>
      <c r="Q86" s="472"/>
      <c r="R86" s="472"/>
      <c r="S86" s="472"/>
      <c r="T86" s="472"/>
      <c r="V86" s="1564"/>
    </row>
    <row r="87" spans="2:24" s="332" customFormat="1" ht="8.15" customHeight="1" x14ac:dyDescent="0.35">
      <c r="B87" s="1607"/>
      <c r="C87" s="24"/>
      <c r="D87" s="1560"/>
      <c r="E87" s="445"/>
      <c r="F87" s="1560"/>
      <c r="G87" s="446"/>
      <c r="H87" s="1546"/>
      <c r="I87" s="446"/>
      <c r="J87" s="1554"/>
      <c r="K87" s="472"/>
      <c r="L87" s="475"/>
      <c r="M87" s="472"/>
      <c r="N87" s="472"/>
      <c r="O87" s="472"/>
      <c r="P87" s="472"/>
      <c r="Q87" s="472"/>
      <c r="R87" s="472"/>
      <c r="S87" s="472"/>
      <c r="T87" s="472"/>
      <c r="V87" s="1564"/>
    </row>
    <row r="88" spans="2:24" s="332" customFormat="1" ht="14.5" x14ac:dyDescent="0.35">
      <c r="B88" s="1607"/>
      <c r="C88" s="24"/>
      <c r="D88" s="1561"/>
      <c r="E88" s="445"/>
      <c r="F88" s="1561"/>
      <c r="G88" s="446"/>
      <c r="H88" s="1547"/>
      <c r="I88" s="446"/>
      <c r="J88" s="1555"/>
      <c r="K88" s="472"/>
      <c r="L88" s="1249">
        <f>'FW Flows_SLUDGE'!G26</f>
        <v>2250</v>
      </c>
      <c r="M88" s="472"/>
      <c r="N88" s="472"/>
      <c r="O88" s="472"/>
      <c r="P88" s="472"/>
      <c r="Q88" s="472"/>
      <c r="R88" s="472"/>
      <c r="S88" s="472"/>
      <c r="T88" s="472"/>
      <c r="V88" s="1564"/>
    </row>
    <row r="89" spans="2:24" s="332" customFormat="1" ht="14.5" x14ac:dyDescent="0.35">
      <c r="B89" s="1607"/>
      <c r="C89" s="24"/>
      <c r="D89" s="446"/>
      <c r="E89" s="446"/>
      <c r="F89" s="446"/>
      <c r="G89" s="446"/>
      <c r="H89" s="446"/>
      <c r="I89" s="446"/>
      <c r="J89" s="472"/>
      <c r="K89" s="472"/>
      <c r="L89" s="472"/>
      <c r="M89" s="472"/>
      <c r="N89" s="472"/>
      <c r="O89" s="472"/>
      <c r="P89" s="472"/>
      <c r="Q89" s="472"/>
      <c r="R89" s="472"/>
      <c r="S89" s="472"/>
      <c r="T89" s="472"/>
      <c r="V89" s="1564"/>
    </row>
    <row r="90" spans="2:24" s="332" customFormat="1" ht="29" x14ac:dyDescent="0.35">
      <c r="B90" s="1608"/>
      <c r="C90" s="450"/>
      <c r="D90" s="1460" t="s">
        <v>132</v>
      </c>
      <c r="E90" s="447"/>
      <c r="F90" s="446"/>
      <c r="G90" s="446"/>
      <c r="H90" s="1250">
        <f>'FW Flows_SLUDGE'!C24</f>
        <v>20025</v>
      </c>
      <c r="I90" s="446"/>
      <c r="J90" s="1249">
        <f>'FW Flows_SLUDGE'!C24</f>
        <v>20025</v>
      </c>
      <c r="K90" s="472"/>
      <c r="L90" s="472"/>
      <c r="M90" s="472"/>
      <c r="N90" s="472"/>
      <c r="O90" s="472"/>
      <c r="P90" s="472"/>
      <c r="Q90" s="472"/>
      <c r="R90" s="472"/>
      <c r="S90" s="472"/>
      <c r="T90" s="472"/>
      <c r="V90" s="1565"/>
    </row>
    <row r="91" spans="2:24" s="331" customFormat="1" ht="15" customHeight="1" x14ac:dyDescent="0.35">
      <c r="C91" s="429"/>
      <c r="D91" s="429"/>
      <c r="E91" s="429"/>
      <c r="F91" s="429"/>
      <c r="G91" s="429"/>
      <c r="H91" s="429"/>
      <c r="I91" s="429"/>
      <c r="J91" s="439"/>
      <c r="K91" s="429"/>
      <c r="L91" s="429"/>
      <c r="M91" s="429"/>
      <c r="N91" s="429"/>
      <c r="O91" s="429"/>
      <c r="P91" s="429"/>
      <c r="Q91" s="429"/>
      <c r="R91" s="429"/>
      <c r="S91" s="429"/>
      <c r="T91" s="429"/>
    </row>
    <row r="92" spans="2:24" s="331" customFormat="1" ht="25" customHeight="1" x14ac:dyDescent="0.35">
      <c r="C92" s="429"/>
      <c r="D92" s="429"/>
      <c r="E92" s="429"/>
      <c r="F92" s="429"/>
      <c r="G92" s="429"/>
      <c r="H92" s="429"/>
      <c r="I92" s="429"/>
      <c r="J92" s="1592">
        <f>X107</f>
        <v>194790</v>
      </c>
      <c r="K92" s="1593"/>
      <c r="L92" s="1593"/>
      <c r="M92" s="1593"/>
      <c r="N92" s="1593"/>
      <c r="O92" s="1593"/>
      <c r="P92" s="1593"/>
      <c r="Q92" s="1593"/>
      <c r="R92" s="1593"/>
      <c r="S92" s="1593"/>
      <c r="T92" s="1594"/>
    </row>
    <row r="93" spans="2:24" s="331" customFormat="1" x14ac:dyDescent="0.35">
      <c r="C93" s="429"/>
      <c r="D93" s="429"/>
      <c r="E93" s="429"/>
      <c r="F93" s="429"/>
      <c r="G93" s="429"/>
      <c r="H93" s="429"/>
      <c r="I93" s="429"/>
      <c r="J93" s="439"/>
      <c r="K93" s="429"/>
      <c r="L93" s="429"/>
      <c r="M93" s="429"/>
      <c r="N93" s="429"/>
      <c r="O93" s="429"/>
      <c r="P93" s="429"/>
      <c r="Q93" s="429"/>
      <c r="R93" s="429"/>
      <c r="S93" s="429"/>
      <c r="T93" s="429"/>
    </row>
    <row r="94" spans="2:24" s="331" customFormat="1" x14ac:dyDescent="0.35">
      <c r="C94" s="429"/>
      <c r="D94" s="429"/>
      <c r="E94" s="429"/>
      <c r="F94" s="429"/>
      <c r="G94" s="429"/>
      <c r="H94" s="429"/>
      <c r="I94" s="429"/>
      <c r="J94" s="439"/>
      <c r="K94" s="429"/>
      <c r="L94" s="429"/>
      <c r="M94" s="429"/>
      <c r="N94" s="429"/>
      <c r="O94" s="429"/>
      <c r="P94" s="429"/>
      <c r="Q94" s="429"/>
      <c r="R94" s="429"/>
      <c r="S94" s="429"/>
      <c r="T94" s="429"/>
    </row>
    <row r="95" spans="2:24" s="331" customFormat="1" ht="28" customHeight="1" x14ac:dyDescent="0.35">
      <c r="C95" s="429"/>
      <c r="D95" s="429"/>
      <c r="E95" s="429"/>
      <c r="F95" s="429"/>
      <c r="G95" s="429"/>
      <c r="H95" s="836" t="s">
        <v>133</v>
      </c>
      <c r="I95" s="840"/>
      <c r="J95" s="820" t="s">
        <v>14</v>
      </c>
      <c r="K95" s="439"/>
      <c r="L95" s="836" t="s">
        <v>16</v>
      </c>
      <c r="M95" s="439"/>
      <c r="N95" s="539" t="s">
        <v>18</v>
      </c>
      <c r="O95" s="439"/>
      <c r="P95" s="539" t="s">
        <v>19</v>
      </c>
      <c r="Q95" s="439"/>
      <c r="R95" s="539" t="s">
        <v>20</v>
      </c>
      <c r="S95" s="439"/>
      <c r="T95" s="836" t="s">
        <v>134</v>
      </c>
      <c r="X95" s="836" t="s">
        <v>12</v>
      </c>
    </row>
    <row r="96" spans="2:24" s="331" customFormat="1" x14ac:dyDescent="0.35">
      <c r="C96" s="429"/>
      <c r="D96" s="429"/>
      <c r="E96" s="429"/>
      <c r="F96" s="429"/>
      <c r="G96" s="429"/>
      <c r="H96" s="429"/>
      <c r="I96" s="429"/>
      <c r="J96" s="439"/>
      <c r="K96" s="429"/>
      <c r="L96" s="429"/>
      <c r="M96" s="429"/>
      <c r="N96" s="429"/>
      <c r="O96" s="429"/>
      <c r="P96" s="429"/>
      <c r="Q96" s="429"/>
      <c r="R96" s="429"/>
      <c r="S96" s="429"/>
      <c r="T96" s="429"/>
    </row>
    <row r="97" spans="2:26" s="331" customFormat="1" ht="15" customHeight="1" x14ac:dyDescent="0.35">
      <c r="C97" s="429"/>
      <c r="D97" s="429"/>
      <c r="E97" s="429"/>
      <c r="F97" s="429"/>
      <c r="G97" s="429"/>
      <c r="H97" s="429"/>
      <c r="I97" s="429"/>
      <c r="J97" s="1261">
        <f>J30+J50+J66+J78</f>
        <v>186175</v>
      </c>
      <c r="K97" s="429"/>
      <c r="L97" s="1261">
        <f>L30+L36+L50+L66+L78</f>
        <v>183925</v>
      </c>
      <c r="M97" s="429"/>
      <c r="N97" s="1261">
        <f>N30+N36+N50+N66+N78</f>
        <v>183925</v>
      </c>
      <c r="O97" s="429"/>
      <c r="P97" s="1261">
        <f>P30+P36+P50+P66+P78</f>
        <v>32600</v>
      </c>
      <c r="Q97" s="429"/>
      <c r="R97" s="1261">
        <f>R30+R36+R50+R66+R78</f>
        <v>11410</v>
      </c>
      <c r="S97" s="429"/>
      <c r="T97" s="1261">
        <f>T30+T36+T50+T66+T78</f>
        <v>11410</v>
      </c>
    </row>
    <row r="98" spans="2:26" s="331" customFormat="1" ht="15" customHeight="1" x14ac:dyDescent="0.35">
      <c r="C98" s="429"/>
      <c r="D98" s="429"/>
      <c r="E98" s="429"/>
      <c r="F98" s="429"/>
      <c r="G98" s="429"/>
      <c r="H98" s="429"/>
      <c r="I98" s="429"/>
      <c r="J98" s="1260">
        <f>J90</f>
        <v>20025</v>
      </c>
      <c r="K98" s="429"/>
      <c r="L98" s="1260">
        <f>L60+L76+L88</f>
        <v>2250</v>
      </c>
      <c r="M98" s="429"/>
      <c r="N98" s="1260">
        <f>N42+N56+N58+N72+N74+N84+N86</f>
        <v>0</v>
      </c>
      <c r="O98" s="429"/>
      <c r="P98" s="1260">
        <f>P34+P40+P54+P70+P82</f>
        <v>151325</v>
      </c>
      <c r="Q98" s="429"/>
      <c r="R98" s="1260">
        <f>R32+R38+R52+R68+R80</f>
        <v>21190</v>
      </c>
      <c r="S98" s="429"/>
      <c r="T98" s="1260">
        <f>T32+T38+T52+T68+T80</f>
        <v>0</v>
      </c>
    </row>
    <row r="99" spans="2:26" s="331" customFormat="1" x14ac:dyDescent="0.35">
      <c r="C99" s="429"/>
      <c r="D99" s="429"/>
      <c r="E99" s="429"/>
      <c r="F99" s="429"/>
      <c r="G99" s="429"/>
      <c r="H99" s="429"/>
      <c r="I99" s="429"/>
      <c r="J99" s="439"/>
      <c r="K99" s="429"/>
      <c r="L99" s="429"/>
      <c r="M99" s="429"/>
      <c r="N99" s="429"/>
      <c r="O99" s="429"/>
      <c r="P99" s="429"/>
      <c r="Q99" s="429"/>
      <c r="R99" s="429"/>
      <c r="S99" s="429"/>
      <c r="T99" s="429"/>
    </row>
    <row r="100" spans="2:26" ht="15" customHeight="1" x14ac:dyDescent="0.35">
      <c r="B100" s="53">
        <f>SUM(B24:B90)</f>
        <v>206200</v>
      </c>
      <c r="H100" s="53">
        <f>H30+H50+H66+H78+H90</f>
        <v>206200</v>
      </c>
      <c r="J100" s="205">
        <f>SUM(J97:J98)</f>
        <v>206200</v>
      </c>
      <c r="L100" s="205">
        <f>SUM(L97:L98)</f>
        <v>186175</v>
      </c>
      <c r="N100" s="205">
        <f>SUM(N97:N98)</f>
        <v>183925</v>
      </c>
      <c r="P100" s="205">
        <f>SUM(P97:P98)</f>
        <v>183925</v>
      </c>
      <c r="R100" s="205">
        <f>SUM(R97:R98)</f>
        <v>32600</v>
      </c>
      <c r="T100" s="205">
        <f>SUM(T97:T98)</f>
        <v>11410</v>
      </c>
    </row>
    <row r="101" spans="2:26" ht="15" customHeight="1" x14ac:dyDescent="0.35">
      <c r="B101" s="54"/>
      <c r="H101" s="53">
        <f>H100-B100</f>
        <v>0</v>
      </c>
      <c r="J101" s="205">
        <f>J100-H100</f>
        <v>0</v>
      </c>
      <c r="L101" s="205">
        <f>L100-J97</f>
        <v>0</v>
      </c>
      <c r="N101" s="205">
        <f>N100-L97</f>
        <v>0</v>
      </c>
      <c r="P101" s="205">
        <f>P100-N97</f>
        <v>0</v>
      </c>
      <c r="R101" s="205">
        <f>R100-P97</f>
        <v>0</v>
      </c>
      <c r="T101" s="205">
        <f>T100-R97</f>
        <v>0</v>
      </c>
    </row>
    <row r="102" spans="2:26" ht="15" customHeight="1" x14ac:dyDescent="0.35">
      <c r="B102" s="148"/>
      <c r="H102" s="438" t="str">
        <f>IF(H101=0,"OK","Not OK")</f>
        <v>OK</v>
      </c>
      <c r="J102" s="438" t="str">
        <f>IF(J101=0,"OK","Not OK")</f>
        <v>OK</v>
      </c>
      <c r="L102" s="438" t="str">
        <f>IF(L101=0,"OK","Not OK")</f>
        <v>OK</v>
      </c>
      <c r="N102" s="438" t="str">
        <f>IF(N101=0,"OK","Not OK")</f>
        <v>OK</v>
      </c>
      <c r="P102" s="438" t="str">
        <f>IF(P101=0,"OK","Not OK")</f>
        <v>OK</v>
      </c>
      <c r="R102" s="438" t="str">
        <f>IF(R101=0,"OK","Not OK")</f>
        <v>OK</v>
      </c>
      <c r="T102" s="438" t="str">
        <f>IF(T101=0,"OK","Not OK")</f>
        <v>OK</v>
      </c>
    </row>
    <row r="105" spans="2:26" s="461" customFormat="1" ht="14.5" x14ac:dyDescent="0.35">
      <c r="B105" s="1267" t="s">
        <v>136</v>
      </c>
      <c r="C105" s="1263"/>
      <c r="D105" s="1263"/>
      <c r="E105" s="1263"/>
      <c r="F105" s="1263"/>
      <c r="G105" s="1263"/>
      <c r="H105" s="1264">
        <f>H100</f>
        <v>206200</v>
      </c>
      <c r="I105" s="1263"/>
      <c r="J105" s="1264">
        <f>J97</f>
        <v>186175</v>
      </c>
      <c r="K105" s="1264"/>
      <c r="L105" s="1264">
        <f>L97</f>
        <v>183925</v>
      </c>
      <c r="M105" s="1264"/>
      <c r="N105" s="1264">
        <f>N97</f>
        <v>183925</v>
      </c>
      <c r="O105" s="1264"/>
      <c r="P105" s="1264">
        <f>P97</f>
        <v>32600</v>
      </c>
      <c r="Q105" s="1264"/>
      <c r="R105" s="1264">
        <f>R97</f>
        <v>11410</v>
      </c>
      <c r="S105" s="1264"/>
      <c r="T105" s="1264">
        <f>T97</f>
        <v>11410</v>
      </c>
      <c r="U105" s="1265"/>
      <c r="V105" s="1265"/>
      <c r="W105" s="1265"/>
      <c r="X105" s="1266">
        <f>T105</f>
        <v>11410</v>
      </c>
    </row>
    <row r="106" spans="2:26" x14ac:dyDescent="0.35">
      <c r="X106" s="148"/>
    </row>
    <row r="107" spans="2:26" s="463" customFormat="1" ht="14.5" x14ac:dyDescent="0.35">
      <c r="B107" s="1268" t="s">
        <v>137</v>
      </c>
      <c r="C107" s="1269"/>
      <c r="D107" s="1269"/>
      <c r="E107" s="1269"/>
      <c r="F107" s="1269"/>
      <c r="G107" s="1269"/>
      <c r="H107" s="1269"/>
      <c r="I107" s="1269"/>
      <c r="J107" s="1270">
        <f>J98</f>
        <v>20025</v>
      </c>
      <c r="K107" s="1270"/>
      <c r="L107" s="1270">
        <f>L98</f>
        <v>2250</v>
      </c>
      <c r="M107" s="1270"/>
      <c r="N107" s="1270">
        <f>N98</f>
        <v>0</v>
      </c>
      <c r="O107" s="1270"/>
      <c r="P107" s="1270">
        <f>P98</f>
        <v>151325</v>
      </c>
      <c r="Q107" s="1270"/>
      <c r="R107" s="1270">
        <f>R98</f>
        <v>21190</v>
      </c>
      <c r="S107" s="1270"/>
      <c r="T107" s="1270">
        <f>T98</f>
        <v>0</v>
      </c>
      <c r="U107" s="1270"/>
      <c r="V107" s="1270"/>
      <c r="W107" s="1270"/>
      <c r="X107" s="1270">
        <f>SUM(J107:T107)</f>
        <v>194790</v>
      </c>
      <c r="Z107" s="471"/>
    </row>
    <row r="108" spans="2:26" ht="12.75" customHeight="1" x14ac:dyDescent="0.35">
      <c r="X108" s="148"/>
    </row>
    <row r="109" spans="2:26" ht="14.5" x14ac:dyDescent="0.35">
      <c r="X109" s="446">
        <f>SUM(X105:X107)</f>
        <v>206200</v>
      </c>
      <c r="Y109" s="835" t="str">
        <f>IF(X109=H105,"OK","Not OK")</f>
        <v>OK</v>
      </c>
    </row>
    <row r="111" spans="2:26" ht="40" customHeight="1" thickBot="1" x14ac:dyDescent="0.6">
      <c r="B111" s="915" t="s">
        <v>138</v>
      </c>
      <c r="C111" s="766"/>
      <c r="D111" s="766"/>
      <c r="E111" s="766"/>
      <c r="F111" s="766"/>
      <c r="G111" s="766"/>
      <c r="H111" s="766"/>
      <c r="I111" s="766"/>
      <c r="J111" s="766"/>
      <c r="K111" s="766"/>
      <c r="L111" s="766"/>
      <c r="M111" s="766"/>
      <c r="N111" s="766"/>
      <c r="O111" s="766"/>
      <c r="P111" s="766"/>
      <c r="Q111" s="766"/>
      <c r="R111" s="766"/>
      <c r="S111" s="766"/>
      <c r="T111" s="766"/>
      <c r="U111" s="767"/>
      <c r="V111" s="767"/>
      <c r="W111" s="771"/>
      <c r="X111" s="771"/>
    </row>
    <row r="112" spans="2:26" ht="17.25" customHeight="1" x14ac:dyDescent="0.35">
      <c r="W112" s="771"/>
      <c r="X112" s="771"/>
    </row>
    <row r="113" spans="2:22" ht="18.75" customHeight="1" x14ac:dyDescent="0.35"/>
    <row r="114" spans="2:22" s="446" customFormat="1" ht="48" customHeight="1" x14ac:dyDescent="0.35">
      <c r="B114" s="765" t="s">
        <v>125</v>
      </c>
      <c r="C114" s="445"/>
      <c r="D114" s="1542" t="s">
        <v>114</v>
      </c>
      <c r="E114" s="1543"/>
      <c r="F114" s="1544"/>
      <c r="G114" s="445"/>
      <c r="H114" s="765" t="s">
        <v>126</v>
      </c>
      <c r="I114" s="445"/>
      <c r="J114" s="765" t="s">
        <v>42</v>
      </c>
      <c r="L114" s="765" t="s">
        <v>43</v>
      </c>
      <c r="N114" s="536" t="s">
        <v>44</v>
      </c>
      <c r="P114" s="536" t="s">
        <v>45</v>
      </c>
      <c r="R114" s="536" t="s">
        <v>46</v>
      </c>
      <c r="T114" s="765" t="s">
        <v>127</v>
      </c>
    </row>
    <row r="115" spans="2:22" s="332" customFormat="1" ht="14.5" x14ac:dyDescent="0.35">
      <c r="C115" s="24"/>
      <c r="D115" s="446"/>
      <c r="E115" s="446"/>
      <c r="F115" s="446"/>
      <c r="G115" s="446"/>
      <c r="H115" s="446"/>
      <c r="I115" s="446"/>
      <c r="J115" s="446"/>
      <c r="K115" s="446"/>
      <c r="L115" s="446"/>
      <c r="M115" s="446"/>
      <c r="N115" s="446"/>
      <c r="O115" s="446"/>
      <c r="P115" s="446"/>
      <c r="Q115" s="446"/>
      <c r="R115" s="446"/>
      <c r="S115" s="446"/>
      <c r="T115" s="446"/>
    </row>
    <row r="116" spans="2:22" s="332" customFormat="1" ht="15" hidden="1" customHeight="1" x14ac:dyDescent="0.35">
      <c r="B116" s="1566">
        <f>IF(B24=0,0,B24/B24)</f>
        <v>1</v>
      </c>
      <c r="C116" s="24"/>
      <c r="D116" s="1198"/>
      <c r="E116" s="447"/>
      <c r="F116" s="447"/>
      <c r="G116" s="446"/>
      <c r="H116" s="1204"/>
      <c r="I116" s="455"/>
      <c r="J116" s="1206"/>
      <c r="K116" s="451"/>
      <c r="L116" s="1603">
        <f>IF($B$24=0,0,L24/$B$24)</f>
        <v>0.17567895247332688</v>
      </c>
      <c r="M116" s="451"/>
      <c r="N116" s="1603">
        <f>IF(B24=0,0,N24/$B$24)</f>
        <v>0.17567895247332688</v>
      </c>
      <c r="O116" s="451"/>
      <c r="P116" s="1603">
        <f>IF(B24=0,0,P24/$B$24)</f>
        <v>0.15809893307468478</v>
      </c>
      <c r="Q116" s="451"/>
      <c r="R116" s="457">
        <f>IF(B24=0,0,R24/$B$24)</f>
        <v>5.5334626576139669E-2</v>
      </c>
      <c r="S116" s="451"/>
      <c r="T116" s="457">
        <f>IF($B$24=0,0,T24/$B$24)</f>
        <v>5.5334626576139669E-2</v>
      </c>
      <c r="V116" s="1578">
        <f>X183</f>
        <v>5.5E-2</v>
      </c>
    </row>
    <row r="117" spans="2:22" s="332" customFormat="1" ht="8.15" hidden="1" customHeight="1" x14ac:dyDescent="0.35">
      <c r="B117" s="1567"/>
      <c r="C117" s="24"/>
      <c r="D117" s="1199"/>
      <c r="E117" s="447"/>
      <c r="F117" s="446"/>
      <c r="G117" s="446"/>
      <c r="H117" s="1205"/>
      <c r="I117" s="455"/>
      <c r="J117" s="1207"/>
      <c r="K117" s="451"/>
      <c r="L117" s="1604"/>
      <c r="M117" s="451"/>
      <c r="N117" s="1604"/>
      <c r="O117" s="451"/>
      <c r="P117" s="1604"/>
      <c r="Q117" s="451"/>
      <c r="R117" s="451"/>
      <c r="S117" s="451"/>
      <c r="T117" s="451"/>
      <c r="V117" s="1579"/>
    </row>
    <row r="118" spans="2:22" s="332" customFormat="1" ht="14.5" hidden="1" x14ac:dyDescent="0.35">
      <c r="B118" s="1567"/>
      <c r="C118" s="24"/>
      <c r="D118" s="1199"/>
      <c r="E118" s="447"/>
      <c r="F118" s="446"/>
      <c r="G118" s="446"/>
      <c r="H118" s="1205"/>
      <c r="I118" s="455"/>
      <c r="J118" s="1207"/>
      <c r="K118" s="451"/>
      <c r="L118" s="1604"/>
      <c r="M118" s="451"/>
      <c r="N118" s="1604"/>
      <c r="O118" s="451"/>
      <c r="P118" s="1605"/>
      <c r="Q118" s="451"/>
      <c r="R118" s="456">
        <f>IF(B24=0,0,R26/$B$24)</f>
        <v>0.10276430649854511</v>
      </c>
      <c r="S118" s="451"/>
      <c r="T118" s="456">
        <f>IF(B24=0,0,T26/$B$24)</f>
        <v>0</v>
      </c>
      <c r="V118" s="1579"/>
    </row>
    <row r="119" spans="2:22" s="332" customFormat="1" ht="8.15" hidden="1" customHeight="1" x14ac:dyDescent="0.35">
      <c r="B119" s="1567"/>
      <c r="C119" s="24"/>
      <c r="D119" s="1199"/>
      <c r="E119" s="447"/>
      <c r="F119" s="446"/>
      <c r="G119" s="446"/>
      <c r="H119" s="1205"/>
      <c r="I119" s="455"/>
      <c r="J119" s="1207"/>
      <c r="K119" s="451"/>
      <c r="L119" s="1604"/>
      <c r="M119" s="451"/>
      <c r="N119" s="1604"/>
      <c r="O119" s="451"/>
      <c r="P119" s="451"/>
      <c r="Q119" s="451"/>
      <c r="R119" s="451"/>
      <c r="S119" s="451"/>
      <c r="T119" s="451"/>
      <c r="V119" s="1579"/>
    </row>
    <row r="120" spans="2:22" s="332" customFormat="1" ht="14.5" hidden="1" x14ac:dyDescent="0.35">
      <c r="B120" s="1567"/>
      <c r="C120" s="24"/>
      <c r="D120" s="1199"/>
      <c r="E120" s="447"/>
      <c r="F120" s="446"/>
      <c r="G120" s="446"/>
      <c r="H120" s="1205"/>
      <c r="I120" s="455"/>
      <c r="J120" s="1207"/>
      <c r="K120" s="451"/>
      <c r="L120" s="1605"/>
      <c r="M120" s="451"/>
      <c r="N120" s="1605"/>
      <c r="O120" s="451"/>
      <c r="P120" s="456">
        <f>IF(B24=0,0,P28/$B$24)</f>
        <v>1.7580019398642094E-2</v>
      </c>
      <c r="Q120" s="451"/>
      <c r="R120" s="451"/>
      <c r="S120" s="451"/>
      <c r="T120" s="451"/>
      <c r="V120" s="1579"/>
    </row>
    <row r="121" spans="2:22" s="332" customFormat="1" ht="8.15" hidden="1" customHeight="1" x14ac:dyDescent="0.35">
      <c r="B121" s="1567"/>
      <c r="C121" s="24"/>
      <c r="D121" s="1199"/>
      <c r="E121" s="447"/>
      <c r="F121" s="446"/>
      <c r="G121" s="446"/>
      <c r="H121" s="1205"/>
      <c r="I121" s="455"/>
      <c r="J121" s="1207"/>
      <c r="K121" s="451"/>
      <c r="L121" s="1169"/>
      <c r="M121" s="1170"/>
      <c r="N121" s="1169"/>
      <c r="O121" s="451"/>
      <c r="P121" s="1168"/>
      <c r="Q121" s="451"/>
      <c r="R121" s="451"/>
      <c r="S121" s="451"/>
      <c r="T121" s="451"/>
      <c r="V121" s="1579"/>
    </row>
    <row r="122" spans="2:22" s="332" customFormat="1" ht="30" customHeight="1" x14ac:dyDescent="0.35">
      <c r="B122" s="1567"/>
      <c r="C122" s="24"/>
      <c r="D122" s="1548" t="s">
        <v>128</v>
      </c>
      <c r="E122" s="447"/>
      <c r="F122" s="446"/>
      <c r="G122" s="446"/>
      <c r="H122" s="1569">
        <f>IF($B$24=0,0,$H$30/$B$24)</f>
        <v>0.17567895247332688</v>
      </c>
      <c r="I122" s="455"/>
      <c r="J122" s="1572">
        <f>IF(B24=0,0,J30/$B$24)</f>
        <v>0.17567895247332688</v>
      </c>
      <c r="K122" s="451"/>
      <c r="L122" s="1572">
        <f>IF($B$24=0,0,(L30+L36)/$B$24)</f>
        <v>0.17567895247332688</v>
      </c>
      <c r="M122" s="451"/>
      <c r="N122" s="1572">
        <f>IF(B24=0,0,(N30+N36)/$B$24)</f>
        <v>0.17567895247332688</v>
      </c>
      <c r="O122" s="451"/>
      <c r="P122" s="1572">
        <f>IF(B24=0,0,(P30+P36)/$B$24)</f>
        <v>0.15809893307468478</v>
      </c>
      <c r="Q122" s="472"/>
      <c r="R122" s="1253">
        <f>IF($B$24=0,0,(R30+R36)/$B$24)</f>
        <v>5.5334626576139669E-2</v>
      </c>
      <c r="S122" s="472"/>
      <c r="T122" s="1253">
        <f>IF($B$24=0,0,(T30+T36)/$B$24)</f>
        <v>5.5334626576139669E-2</v>
      </c>
      <c r="V122" s="1579"/>
    </row>
    <row r="123" spans="2:22" s="332" customFormat="1" ht="8.15" customHeight="1" x14ac:dyDescent="0.35">
      <c r="B123" s="1567"/>
      <c r="C123" s="24"/>
      <c r="D123" s="1548"/>
      <c r="E123" s="447"/>
      <c r="F123" s="446"/>
      <c r="G123" s="446"/>
      <c r="H123" s="1570"/>
      <c r="I123" s="455"/>
      <c r="J123" s="1573"/>
      <c r="K123" s="451"/>
      <c r="L123" s="1573"/>
      <c r="M123" s="451"/>
      <c r="N123" s="1573"/>
      <c r="O123" s="451"/>
      <c r="P123" s="1573"/>
      <c r="Q123" s="472"/>
      <c r="R123" s="472"/>
      <c r="S123" s="472"/>
      <c r="T123" s="472"/>
      <c r="V123" s="1579"/>
    </row>
    <row r="124" spans="2:22" s="332" customFormat="1" ht="14.5" x14ac:dyDescent="0.35">
      <c r="B124" s="1567"/>
      <c r="C124" s="24"/>
      <c r="D124" s="1548"/>
      <c r="E124" s="447"/>
      <c r="F124" s="446"/>
      <c r="G124" s="446"/>
      <c r="H124" s="1570"/>
      <c r="I124" s="455"/>
      <c r="J124" s="1573"/>
      <c r="K124" s="451"/>
      <c r="L124" s="1573"/>
      <c r="M124" s="451"/>
      <c r="N124" s="1573"/>
      <c r="O124" s="451"/>
      <c r="P124" s="1574"/>
      <c r="Q124" s="472"/>
      <c r="R124" s="1247">
        <f>IF($B$24=0,0,(R32+R38)/$B$24)</f>
        <v>0.10276430649854511</v>
      </c>
      <c r="S124" s="472"/>
      <c r="T124" s="1247">
        <f>IF($B$24=0,0,(T32+T38)/$B$24)</f>
        <v>0</v>
      </c>
      <c r="V124" s="1579"/>
    </row>
    <row r="125" spans="2:22" s="332" customFormat="1" ht="8.15" customHeight="1" x14ac:dyDescent="0.35">
      <c r="B125" s="1567"/>
      <c r="C125" s="24"/>
      <c r="D125" s="1548"/>
      <c r="E125" s="447"/>
      <c r="F125" s="446"/>
      <c r="G125" s="446"/>
      <c r="H125" s="1570"/>
      <c r="I125" s="455"/>
      <c r="J125" s="1573"/>
      <c r="K125" s="451"/>
      <c r="L125" s="1573"/>
      <c r="M125" s="451"/>
      <c r="N125" s="1573"/>
      <c r="O125" s="451"/>
      <c r="P125" s="1166"/>
      <c r="Q125" s="472"/>
      <c r="R125" s="472"/>
      <c r="S125" s="472"/>
      <c r="T125" s="472"/>
      <c r="V125" s="1579"/>
    </row>
    <row r="126" spans="2:22" s="332" customFormat="1" ht="14.5" x14ac:dyDescent="0.35">
      <c r="B126" s="1567"/>
      <c r="C126" s="24"/>
      <c r="D126" s="1548"/>
      <c r="E126" s="447"/>
      <c r="F126" s="446"/>
      <c r="G126" s="446"/>
      <c r="H126" s="1570"/>
      <c r="I126" s="455"/>
      <c r="J126" s="1573"/>
      <c r="K126" s="451"/>
      <c r="L126" s="1573"/>
      <c r="M126" s="451"/>
      <c r="N126" s="1574"/>
      <c r="O126" s="451"/>
      <c r="P126" s="1247">
        <f>IF(B24=0,0,(P34+P40)/$B$24)</f>
        <v>1.7580019398642094E-2</v>
      </c>
      <c r="Q126" s="472"/>
      <c r="R126" s="472"/>
      <c r="S126" s="472"/>
      <c r="T126" s="472"/>
      <c r="V126" s="1579"/>
    </row>
    <row r="127" spans="2:22" s="332" customFormat="1" ht="8.15" customHeight="1" x14ac:dyDescent="0.35">
      <c r="B127" s="1567"/>
      <c r="C127" s="24"/>
      <c r="D127" s="1548"/>
      <c r="E127" s="447"/>
      <c r="F127" s="446"/>
      <c r="G127" s="446"/>
      <c r="H127" s="1570"/>
      <c r="I127" s="455"/>
      <c r="J127" s="1573"/>
      <c r="K127" s="451"/>
      <c r="L127" s="1573"/>
      <c r="M127" s="451"/>
      <c r="N127" s="1169"/>
      <c r="O127" s="451"/>
      <c r="P127" s="1168"/>
      <c r="Q127" s="451"/>
      <c r="R127" s="451"/>
      <c r="S127" s="451"/>
      <c r="T127" s="451"/>
      <c r="V127" s="1579"/>
    </row>
    <row r="128" spans="2:22" s="332" customFormat="1" ht="14.5" x14ac:dyDescent="0.35">
      <c r="B128" s="1567"/>
      <c r="C128" s="24"/>
      <c r="D128" s="1548"/>
      <c r="E128" s="447"/>
      <c r="F128" s="446"/>
      <c r="G128" s="446"/>
      <c r="H128" s="1571"/>
      <c r="I128" s="455"/>
      <c r="J128" s="1574"/>
      <c r="K128" s="451"/>
      <c r="L128" s="1574"/>
      <c r="M128" s="451"/>
      <c r="N128" s="1247">
        <f>IF(B24=0,0,N42/$B$24)</f>
        <v>0</v>
      </c>
      <c r="O128" s="451"/>
      <c r="P128" s="1168"/>
      <c r="Q128" s="451"/>
      <c r="R128" s="451"/>
      <c r="S128" s="451"/>
      <c r="T128" s="451"/>
      <c r="V128" s="1579"/>
    </row>
    <row r="129" spans="2:22" s="332" customFormat="1" ht="14.5" x14ac:dyDescent="0.35">
      <c r="B129" s="1567"/>
      <c r="C129" s="24"/>
      <c r="D129" s="446"/>
      <c r="E129" s="446"/>
      <c r="F129" s="446"/>
      <c r="G129" s="446"/>
      <c r="H129" s="453"/>
      <c r="I129" s="455"/>
      <c r="J129" s="451"/>
      <c r="K129" s="451"/>
      <c r="L129" s="453"/>
      <c r="M129" s="451"/>
      <c r="N129" s="451"/>
      <c r="O129" s="451"/>
      <c r="P129" s="451"/>
      <c r="Q129" s="451"/>
      <c r="R129" s="451"/>
      <c r="S129" s="451"/>
      <c r="T129" s="451"/>
      <c r="V129" s="1579"/>
    </row>
    <row r="130" spans="2:22" s="332" customFormat="1" ht="15" hidden="1" customHeight="1" x14ac:dyDescent="0.35">
      <c r="B130" s="1567"/>
      <c r="C130" s="24"/>
      <c r="D130" s="1198"/>
      <c r="E130" s="447"/>
      <c r="F130" s="447"/>
      <c r="G130" s="446"/>
      <c r="H130" s="1208"/>
      <c r="I130" s="455"/>
      <c r="J130" s="1206"/>
      <c r="K130" s="451"/>
      <c r="L130" s="1206"/>
      <c r="M130" s="451"/>
      <c r="N130" s="1603">
        <f>IF(B24=0,0,N44/$B$24)</f>
        <v>0</v>
      </c>
      <c r="O130" s="451"/>
      <c r="P130" s="1603">
        <f>IF(B24=0,0,P44/$B$24)</f>
        <v>0</v>
      </c>
      <c r="Q130" s="451"/>
      <c r="R130" s="457">
        <f>IF(B24=0,0,R44/$B$24)</f>
        <v>0</v>
      </c>
      <c r="S130" s="451"/>
      <c r="T130" s="457">
        <f>IF(B24=0,0,T44/$B$24)</f>
        <v>0</v>
      </c>
      <c r="V130" s="1579"/>
    </row>
    <row r="131" spans="2:22" s="332" customFormat="1" ht="8.15" hidden="1" customHeight="1" x14ac:dyDescent="0.35">
      <c r="B131" s="1567"/>
      <c r="C131" s="24"/>
      <c r="D131" s="1199"/>
      <c r="E131" s="447"/>
      <c r="F131" s="446"/>
      <c r="G131" s="446"/>
      <c r="H131" s="1209"/>
      <c r="I131" s="455"/>
      <c r="J131" s="1207"/>
      <c r="K131" s="451"/>
      <c r="L131" s="1207"/>
      <c r="M131" s="451"/>
      <c r="N131" s="1604"/>
      <c r="O131" s="451"/>
      <c r="P131" s="1604"/>
      <c r="Q131" s="451"/>
      <c r="R131" s="451"/>
      <c r="S131" s="451"/>
      <c r="T131" s="451"/>
      <c r="V131" s="1579"/>
    </row>
    <row r="132" spans="2:22" s="332" customFormat="1" ht="14.5" hidden="1" x14ac:dyDescent="0.35">
      <c r="B132" s="1567"/>
      <c r="C132" s="24"/>
      <c r="D132" s="1199"/>
      <c r="E132" s="447"/>
      <c r="F132" s="446"/>
      <c r="G132" s="446"/>
      <c r="H132" s="1209"/>
      <c r="I132" s="455"/>
      <c r="J132" s="1207"/>
      <c r="K132" s="451"/>
      <c r="L132" s="1207"/>
      <c r="M132" s="451"/>
      <c r="N132" s="1604"/>
      <c r="O132" s="451"/>
      <c r="P132" s="1605"/>
      <c r="Q132" s="451"/>
      <c r="R132" s="456">
        <f>IF(B24=0,0,R46/$B$24)</f>
        <v>0</v>
      </c>
      <c r="S132" s="451"/>
      <c r="T132" s="456">
        <f>IF(B24=0,0,T46/$B$24)</f>
        <v>0</v>
      </c>
      <c r="V132" s="1579"/>
    </row>
    <row r="133" spans="2:22" s="332" customFormat="1" ht="8.15" hidden="1" customHeight="1" x14ac:dyDescent="0.35">
      <c r="B133" s="1567"/>
      <c r="C133" s="24"/>
      <c r="D133" s="1199"/>
      <c r="E133" s="447"/>
      <c r="F133" s="446"/>
      <c r="G133" s="446"/>
      <c r="H133" s="1209"/>
      <c r="I133" s="455"/>
      <c r="J133" s="1207"/>
      <c r="K133" s="451"/>
      <c r="L133" s="1207"/>
      <c r="M133" s="451"/>
      <c r="N133" s="1604"/>
      <c r="O133" s="451"/>
      <c r="P133" s="451"/>
      <c r="Q133" s="451"/>
      <c r="R133" s="451"/>
      <c r="S133" s="451"/>
      <c r="T133" s="451"/>
      <c r="V133" s="1579"/>
    </row>
    <row r="134" spans="2:22" s="332" customFormat="1" ht="14.5" hidden="1" x14ac:dyDescent="0.35">
      <c r="B134" s="1567"/>
      <c r="C134" s="24"/>
      <c r="D134" s="1199"/>
      <c r="E134" s="447"/>
      <c r="F134" s="446"/>
      <c r="G134" s="446"/>
      <c r="H134" s="1209"/>
      <c r="I134" s="455"/>
      <c r="J134" s="1207"/>
      <c r="K134" s="451"/>
      <c r="L134" s="1207"/>
      <c r="M134" s="451"/>
      <c r="N134" s="1605"/>
      <c r="O134" s="451"/>
      <c r="P134" s="456">
        <f>IF(B24=0,0,P48/$B$24)</f>
        <v>0</v>
      </c>
      <c r="Q134" s="451"/>
      <c r="R134" s="451"/>
      <c r="S134" s="451"/>
      <c r="T134" s="451"/>
      <c r="V134" s="1579"/>
    </row>
    <row r="135" spans="2:22" s="332" customFormat="1" ht="8.15" hidden="1" customHeight="1" x14ac:dyDescent="0.35">
      <c r="B135" s="1567"/>
      <c r="C135" s="24"/>
      <c r="D135" s="1199"/>
      <c r="E135" s="447"/>
      <c r="F135" s="446"/>
      <c r="G135" s="446"/>
      <c r="H135" s="1209"/>
      <c r="I135" s="455"/>
      <c r="J135" s="1207"/>
      <c r="K135" s="451"/>
      <c r="L135" s="1207"/>
      <c r="M135" s="451"/>
      <c r="N135" s="451"/>
      <c r="O135" s="451"/>
      <c r="P135" s="451"/>
      <c r="Q135" s="451"/>
      <c r="R135" s="451"/>
      <c r="S135" s="451"/>
      <c r="T135" s="451"/>
      <c r="V135" s="1579"/>
    </row>
    <row r="136" spans="2:22" s="332" customFormat="1" ht="15" customHeight="1" x14ac:dyDescent="0.35">
      <c r="B136" s="1567"/>
      <c r="C136" s="24"/>
      <c r="D136" s="1548" t="s">
        <v>117</v>
      </c>
      <c r="E136" s="447"/>
      <c r="F136" s="446"/>
      <c r="G136" s="446"/>
      <c r="H136" s="1569">
        <f>IF($B$24=0,0,H50/$B$24)</f>
        <v>0</v>
      </c>
      <c r="I136" s="455"/>
      <c r="J136" s="1572">
        <f>IF($B$24=0,0,J50/$B$24)</f>
        <v>0</v>
      </c>
      <c r="K136" s="451"/>
      <c r="L136" s="1572">
        <f>IF($B$24=0,0,L50/$B$24)</f>
        <v>0</v>
      </c>
      <c r="M136" s="451"/>
      <c r="N136" s="1575">
        <f>IF(B24=0,0,N50/$B$24)</f>
        <v>0</v>
      </c>
      <c r="O136" s="451"/>
      <c r="P136" s="1572">
        <f>IF(B24=0,0,P50/$B$24)</f>
        <v>0</v>
      </c>
      <c r="Q136" s="451"/>
      <c r="R136" s="1253">
        <f>IF(B24=0,0,R50/$B$24)</f>
        <v>0</v>
      </c>
      <c r="S136" s="451"/>
      <c r="T136" s="1253">
        <f>IF(B24=0,0,T50/$B$24)</f>
        <v>0</v>
      </c>
      <c r="V136" s="1579"/>
    </row>
    <row r="137" spans="2:22" s="332" customFormat="1" ht="8.15" customHeight="1" x14ac:dyDescent="0.35">
      <c r="B137" s="1567"/>
      <c r="C137" s="24"/>
      <c r="D137" s="1548"/>
      <c r="E137" s="447"/>
      <c r="F137" s="446"/>
      <c r="G137" s="446"/>
      <c r="H137" s="1570"/>
      <c r="I137" s="455"/>
      <c r="J137" s="1573"/>
      <c r="K137" s="451"/>
      <c r="L137" s="1573"/>
      <c r="M137" s="451"/>
      <c r="N137" s="1576"/>
      <c r="O137" s="451"/>
      <c r="P137" s="1573"/>
      <c r="Q137" s="451"/>
      <c r="R137" s="451"/>
      <c r="S137" s="451"/>
      <c r="T137" s="451"/>
      <c r="V137" s="1579"/>
    </row>
    <row r="138" spans="2:22" s="332" customFormat="1" ht="15" customHeight="1" x14ac:dyDescent="0.35">
      <c r="B138" s="1567"/>
      <c r="C138" s="24"/>
      <c r="D138" s="1548"/>
      <c r="E138" s="447"/>
      <c r="F138" s="446"/>
      <c r="G138" s="446"/>
      <c r="H138" s="1570"/>
      <c r="I138" s="455"/>
      <c r="J138" s="1573"/>
      <c r="K138" s="451"/>
      <c r="L138" s="1573"/>
      <c r="M138" s="451"/>
      <c r="N138" s="1588"/>
      <c r="O138" s="451"/>
      <c r="P138" s="1574"/>
      <c r="Q138" s="451"/>
      <c r="R138" s="1247">
        <f>IF(B24=0,0,R52/$B$24)</f>
        <v>0</v>
      </c>
      <c r="S138" s="451"/>
      <c r="T138" s="1247">
        <f>IF(B24=0,0,T52/$B$24)</f>
        <v>0</v>
      </c>
      <c r="V138" s="1579"/>
    </row>
    <row r="139" spans="2:22" s="332" customFormat="1" ht="8.15" customHeight="1" x14ac:dyDescent="0.35">
      <c r="B139" s="1567"/>
      <c r="C139" s="24"/>
      <c r="D139" s="1548"/>
      <c r="E139" s="447"/>
      <c r="F139" s="446"/>
      <c r="G139" s="446"/>
      <c r="H139" s="1570"/>
      <c r="I139" s="455"/>
      <c r="J139" s="1573"/>
      <c r="K139" s="451"/>
      <c r="L139" s="1573"/>
      <c r="M139" s="451"/>
      <c r="N139" s="1588"/>
      <c r="O139" s="451"/>
      <c r="P139" s="451"/>
      <c r="Q139" s="451"/>
      <c r="R139" s="451"/>
      <c r="S139" s="451"/>
      <c r="T139" s="451"/>
      <c r="V139" s="1579"/>
    </row>
    <row r="140" spans="2:22" s="332" customFormat="1" ht="14.5" x14ac:dyDescent="0.35">
      <c r="B140" s="1567"/>
      <c r="C140" s="24"/>
      <c r="D140" s="1548"/>
      <c r="E140" s="447"/>
      <c r="F140" s="446"/>
      <c r="G140" s="446"/>
      <c r="H140" s="1570"/>
      <c r="I140" s="455"/>
      <c r="J140" s="1573"/>
      <c r="K140" s="451"/>
      <c r="L140" s="1573"/>
      <c r="M140" s="451"/>
      <c r="N140" s="1577"/>
      <c r="O140" s="451"/>
      <c r="P140" s="1247">
        <f>IF(B24=0,0,P54/$B$24)</f>
        <v>0</v>
      </c>
      <c r="Q140" s="451"/>
      <c r="R140" s="451"/>
      <c r="S140" s="451"/>
      <c r="T140" s="451"/>
      <c r="V140" s="1579"/>
    </row>
    <row r="141" spans="2:22" s="332" customFormat="1" ht="8.15" customHeight="1" x14ac:dyDescent="0.35">
      <c r="B141" s="1567"/>
      <c r="C141" s="24"/>
      <c r="D141" s="1548"/>
      <c r="E141" s="447"/>
      <c r="F141" s="446"/>
      <c r="G141" s="446"/>
      <c r="H141" s="1570"/>
      <c r="I141" s="455"/>
      <c r="J141" s="1573"/>
      <c r="K141" s="451"/>
      <c r="L141" s="1573"/>
      <c r="M141" s="451"/>
      <c r="N141" s="451"/>
      <c r="O141" s="451"/>
      <c r="P141" s="451"/>
      <c r="Q141" s="451"/>
      <c r="R141" s="451"/>
      <c r="S141" s="451"/>
      <c r="T141" s="451"/>
      <c r="V141" s="1579"/>
    </row>
    <row r="142" spans="2:22" s="332" customFormat="1" ht="14.5" x14ac:dyDescent="0.35">
      <c r="B142" s="1567"/>
      <c r="C142" s="24"/>
      <c r="D142" s="1548"/>
      <c r="E142" s="447"/>
      <c r="F142" s="446"/>
      <c r="G142" s="446"/>
      <c r="H142" s="1570"/>
      <c r="I142" s="455"/>
      <c r="J142" s="1573"/>
      <c r="K142" s="451"/>
      <c r="L142" s="1573"/>
      <c r="M142" s="451"/>
      <c r="N142" s="1247">
        <f>IF(B24=0,0,N56/B24)</f>
        <v>0</v>
      </c>
      <c r="O142" s="451"/>
      <c r="P142" s="451"/>
      <c r="Q142" s="451"/>
      <c r="R142" s="451"/>
      <c r="S142" s="451"/>
      <c r="T142" s="451"/>
      <c r="V142" s="1579"/>
    </row>
    <row r="143" spans="2:22" s="332" customFormat="1" ht="8.15" customHeight="1" x14ac:dyDescent="0.35">
      <c r="B143" s="1567"/>
      <c r="C143" s="24"/>
      <c r="D143" s="1548"/>
      <c r="E143" s="447"/>
      <c r="F143" s="446"/>
      <c r="G143" s="446"/>
      <c r="H143" s="1570"/>
      <c r="I143" s="455"/>
      <c r="J143" s="1573"/>
      <c r="K143" s="451"/>
      <c r="L143" s="1573"/>
      <c r="M143" s="451"/>
      <c r="N143" s="451"/>
      <c r="O143" s="451"/>
      <c r="P143" s="451"/>
      <c r="Q143" s="451"/>
      <c r="R143" s="451"/>
      <c r="S143" s="451"/>
      <c r="T143" s="451"/>
      <c r="V143" s="1579"/>
    </row>
    <row r="144" spans="2:22" s="332" customFormat="1" ht="14.5" x14ac:dyDescent="0.35">
      <c r="B144" s="1567"/>
      <c r="C144" s="24"/>
      <c r="D144" s="1548"/>
      <c r="E144" s="447"/>
      <c r="F144" s="446"/>
      <c r="G144" s="446"/>
      <c r="H144" s="1570"/>
      <c r="I144" s="455"/>
      <c r="J144" s="1573"/>
      <c r="K144" s="451"/>
      <c r="L144" s="1574"/>
      <c r="M144" s="451"/>
      <c r="N144" s="1247">
        <f>IF(B24=0,0,N58/B24)</f>
        <v>0</v>
      </c>
      <c r="O144" s="451"/>
      <c r="P144" s="451"/>
      <c r="Q144" s="451"/>
      <c r="R144" s="451"/>
      <c r="S144" s="451"/>
      <c r="T144" s="451"/>
      <c r="V144" s="1579"/>
    </row>
    <row r="145" spans="2:22" s="332" customFormat="1" ht="8.15" customHeight="1" x14ac:dyDescent="0.35">
      <c r="B145" s="1567"/>
      <c r="C145" s="24"/>
      <c r="D145" s="1548"/>
      <c r="E145" s="447"/>
      <c r="F145" s="446"/>
      <c r="G145" s="446"/>
      <c r="H145" s="1570"/>
      <c r="I145" s="455"/>
      <c r="J145" s="1573"/>
      <c r="K145" s="451"/>
      <c r="L145" s="453"/>
      <c r="M145" s="451"/>
      <c r="N145" s="451"/>
      <c r="O145" s="451"/>
      <c r="P145" s="451"/>
      <c r="Q145" s="451"/>
      <c r="R145" s="451"/>
      <c r="S145" s="451"/>
      <c r="T145" s="451"/>
      <c r="V145" s="1579"/>
    </row>
    <row r="146" spans="2:22" s="332" customFormat="1" ht="14.5" x14ac:dyDescent="0.35">
      <c r="B146" s="1567"/>
      <c r="C146" s="24"/>
      <c r="D146" s="1548"/>
      <c r="E146" s="447"/>
      <c r="F146" s="446"/>
      <c r="G146" s="446"/>
      <c r="H146" s="1571"/>
      <c r="I146" s="455"/>
      <c r="J146" s="1574"/>
      <c r="K146" s="451"/>
      <c r="L146" s="1247">
        <f>'FW Flows_ALL'!G93</f>
        <v>0</v>
      </c>
      <c r="M146" s="451"/>
      <c r="N146" s="451"/>
      <c r="O146" s="451"/>
      <c r="P146" s="451"/>
      <c r="Q146" s="451"/>
      <c r="R146" s="451"/>
      <c r="S146" s="451"/>
      <c r="T146" s="451"/>
      <c r="V146" s="1579"/>
    </row>
    <row r="147" spans="2:22" s="332" customFormat="1" ht="14.5" x14ac:dyDescent="0.35">
      <c r="B147" s="1567"/>
      <c r="C147" s="24"/>
      <c r="D147" s="446"/>
      <c r="E147" s="446"/>
      <c r="F147" s="446"/>
      <c r="G147" s="446"/>
      <c r="H147" s="453"/>
      <c r="I147" s="455"/>
      <c r="J147" s="451"/>
      <c r="K147" s="451"/>
      <c r="L147" s="453"/>
      <c r="M147" s="451"/>
      <c r="N147" s="451"/>
      <c r="O147" s="451"/>
      <c r="P147" s="451"/>
      <c r="Q147" s="451"/>
      <c r="R147" s="451"/>
      <c r="S147" s="451"/>
      <c r="T147" s="451"/>
      <c r="V147" s="1579"/>
    </row>
    <row r="148" spans="2:22" s="332" customFormat="1" ht="15" hidden="1" customHeight="1" x14ac:dyDescent="0.35">
      <c r="B148" s="1567"/>
      <c r="C148" s="24"/>
      <c r="D148" s="1198"/>
      <c r="E148" s="445"/>
      <c r="F148" s="1198"/>
      <c r="G148" s="446"/>
      <c r="H148" s="1208"/>
      <c r="I148" s="455"/>
      <c r="J148" s="1206"/>
      <c r="K148" s="451"/>
      <c r="L148" s="1206"/>
      <c r="M148" s="451"/>
      <c r="N148" s="1603">
        <f>IF(B24=0,0,N62/B24)</f>
        <v>0</v>
      </c>
      <c r="O148" s="451"/>
      <c r="P148" s="1603">
        <f>IF(B24=0,0,P62/$B$24)</f>
        <v>0</v>
      </c>
      <c r="Q148" s="451"/>
      <c r="R148" s="457">
        <f>IF(B24=0,0,R62/$B$24)</f>
        <v>0</v>
      </c>
      <c r="S148" s="451"/>
      <c r="T148" s="457">
        <f>IF(B24=0,0,T62/$B$24)</f>
        <v>0</v>
      </c>
      <c r="V148" s="1579"/>
    </row>
    <row r="149" spans="2:22" s="332" customFormat="1" ht="8.15" hidden="1" customHeight="1" x14ac:dyDescent="0.35">
      <c r="B149" s="1567"/>
      <c r="C149" s="24"/>
      <c r="D149" s="1199"/>
      <c r="E149" s="445"/>
      <c r="F149" s="1199"/>
      <c r="G149" s="446"/>
      <c r="H149" s="1209"/>
      <c r="I149" s="455"/>
      <c r="J149" s="1207"/>
      <c r="K149" s="451"/>
      <c r="L149" s="1207"/>
      <c r="M149" s="451"/>
      <c r="N149" s="1604"/>
      <c r="O149" s="451"/>
      <c r="P149" s="1604"/>
      <c r="Q149" s="451"/>
      <c r="R149" s="451"/>
      <c r="S149" s="451"/>
      <c r="T149" s="451"/>
      <c r="V149" s="1579"/>
    </row>
    <row r="150" spans="2:22" s="332" customFormat="1" ht="14.5" hidden="1" x14ac:dyDescent="0.35">
      <c r="B150" s="1567"/>
      <c r="C150" s="24"/>
      <c r="D150" s="1199"/>
      <c r="E150" s="445"/>
      <c r="F150" s="1199"/>
      <c r="G150" s="446"/>
      <c r="H150" s="1209"/>
      <c r="I150" s="455"/>
      <c r="J150" s="1207"/>
      <c r="K150" s="451"/>
      <c r="L150" s="1207"/>
      <c r="M150" s="451"/>
      <c r="N150" s="1605"/>
      <c r="O150" s="451"/>
      <c r="P150" s="1605"/>
      <c r="Q150" s="451"/>
      <c r="R150" s="456">
        <f>IF(B24=0,0,R64/$B$24)</f>
        <v>0</v>
      </c>
      <c r="S150" s="451"/>
      <c r="T150" s="456">
        <f>IF(B24=0,0,T64/$B$24)</f>
        <v>0</v>
      </c>
      <c r="V150" s="1579"/>
    </row>
    <row r="151" spans="2:22" s="332" customFormat="1" ht="8.15" hidden="1" customHeight="1" x14ac:dyDescent="0.35">
      <c r="B151" s="1567"/>
      <c r="C151" s="24"/>
      <c r="D151" s="1199"/>
      <c r="E151" s="445"/>
      <c r="F151" s="1199"/>
      <c r="G151" s="446"/>
      <c r="H151" s="1209"/>
      <c r="I151" s="455"/>
      <c r="J151" s="1207"/>
      <c r="K151" s="451"/>
      <c r="L151" s="1207"/>
      <c r="M151" s="451"/>
      <c r="N151" s="451"/>
      <c r="O151" s="451"/>
      <c r="P151" s="451"/>
      <c r="Q151" s="451"/>
      <c r="R151" s="451"/>
      <c r="S151" s="451"/>
      <c r="T151" s="451"/>
      <c r="V151" s="1579"/>
    </row>
    <row r="152" spans="2:22" s="332" customFormat="1" ht="30" customHeight="1" x14ac:dyDescent="0.35">
      <c r="B152" s="1567"/>
      <c r="C152" s="24"/>
      <c r="D152" s="1548" t="s">
        <v>139</v>
      </c>
      <c r="E152" s="445"/>
      <c r="F152" s="1548" t="s">
        <v>130</v>
      </c>
      <c r="G152" s="446"/>
      <c r="H152" s="1569">
        <f>IF($B$24=0,0,H66/$B$24)</f>
        <v>0.47805528612997089</v>
      </c>
      <c r="I152" s="455"/>
      <c r="J152" s="1572">
        <f>IF($B$24=0,0,J66/$B$24)</f>
        <v>0.47805528612997089</v>
      </c>
      <c r="K152" s="451"/>
      <c r="L152" s="1572">
        <f>IF($B$24=0,0,L66/$B$24)</f>
        <v>0.47805528612997089</v>
      </c>
      <c r="M152" s="451"/>
      <c r="N152" s="1575">
        <f>IF(B24=0,0,N66/$B$24)</f>
        <v>0.47805528612997089</v>
      </c>
      <c r="O152" s="451"/>
      <c r="P152" s="1575">
        <f>IF(B24=0,0,P66/$B$24)</f>
        <v>0</v>
      </c>
      <c r="Q152" s="451"/>
      <c r="R152" s="1253">
        <f>IF(B24=0,0,R66/$B$24)</f>
        <v>0</v>
      </c>
      <c r="S152" s="451"/>
      <c r="T152" s="1253">
        <f>IF(B24=0,0,T66/$B$24)</f>
        <v>0</v>
      </c>
      <c r="V152" s="1579"/>
    </row>
    <row r="153" spans="2:22" s="332" customFormat="1" ht="8.15" customHeight="1" x14ac:dyDescent="0.35">
      <c r="B153" s="1567"/>
      <c r="C153" s="24"/>
      <c r="D153" s="1548"/>
      <c r="E153" s="445"/>
      <c r="F153" s="1548"/>
      <c r="G153" s="446"/>
      <c r="H153" s="1570"/>
      <c r="I153" s="455"/>
      <c r="J153" s="1573"/>
      <c r="K153" s="451"/>
      <c r="L153" s="1573"/>
      <c r="M153" s="451"/>
      <c r="N153" s="1576"/>
      <c r="O153" s="451"/>
      <c r="P153" s="1576"/>
      <c r="Q153" s="451"/>
      <c r="R153" s="451"/>
      <c r="S153" s="451"/>
      <c r="T153" s="451"/>
      <c r="V153" s="1579"/>
    </row>
    <row r="154" spans="2:22" s="332" customFormat="1" ht="14.5" x14ac:dyDescent="0.35">
      <c r="B154" s="1567"/>
      <c r="C154" s="24"/>
      <c r="D154" s="1548"/>
      <c r="E154" s="445"/>
      <c r="F154" s="1548"/>
      <c r="G154" s="446"/>
      <c r="H154" s="1570"/>
      <c r="I154" s="455"/>
      <c r="J154" s="1573"/>
      <c r="K154" s="451"/>
      <c r="L154" s="1573"/>
      <c r="M154" s="451"/>
      <c r="N154" s="1576"/>
      <c r="O154" s="451"/>
      <c r="P154" s="1577"/>
      <c r="Q154" s="451"/>
      <c r="R154" s="1247">
        <f>IF(B24=0,0,R68/$B$24)</f>
        <v>0</v>
      </c>
      <c r="S154" s="451"/>
      <c r="T154" s="1247">
        <f>IF(B24=0,0,T68/$B$24)</f>
        <v>0</v>
      </c>
      <c r="V154" s="1579"/>
    </row>
    <row r="155" spans="2:22" s="332" customFormat="1" ht="8.15" customHeight="1" x14ac:dyDescent="0.35">
      <c r="B155" s="1567"/>
      <c r="C155" s="24"/>
      <c r="D155" s="1548"/>
      <c r="E155" s="445"/>
      <c r="F155" s="1548"/>
      <c r="G155" s="446"/>
      <c r="H155" s="1570"/>
      <c r="I155" s="455"/>
      <c r="J155" s="1573"/>
      <c r="K155" s="451"/>
      <c r="L155" s="1573"/>
      <c r="M155" s="451"/>
      <c r="N155" s="1576"/>
      <c r="O155" s="451"/>
      <c r="P155" s="451"/>
      <c r="Q155" s="451"/>
      <c r="R155" s="451"/>
      <c r="S155" s="451"/>
      <c r="T155" s="451"/>
      <c r="V155" s="1579"/>
    </row>
    <row r="156" spans="2:22" s="332" customFormat="1" ht="14.5" x14ac:dyDescent="0.35">
      <c r="B156" s="1567"/>
      <c r="C156" s="24"/>
      <c r="D156" s="1548"/>
      <c r="E156" s="445"/>
      <c r="F156" s="1548"/>
      <c r="G156" s="446"/>
      <c r="H156" s="1570"/>
      <c r="I156" s="455"/>
      <c r="J156" s="1573"/>
      <c r="K156" s="451"/>
      <c r="L156" s="1573"/>
      <c r="M156" s="451"/>
      <c r="N156" s="1577"/>
      <c r="O156" s="451"/>
      <c r="P156" s="1247">
        <f>IF(B24=0,0,P70/$B$24)</f>
        <v>0.47805528612997089</v>
      </c>
      <c r="Q156" s="451"/>
      <c r="R156" s="451"/>
      <c r="S156" s="451"/>
      <c r="T156" s="451"/>
      <c r="V156" s="1579"/>
    </row>
    <row r="157" spans="2:22" s="332" customFormat="1" ht="8.15" customHeight="1" x14ac:dyDescent="0.35">
      <c r="B157" s="1567"/>
      <c r="C157" s="24"/>
      <c r="D157" s="1548"/>
      <c r="E157" s="445"/>
      <c r="F157" s="1548"/>
      <c r="G157" s="446"/>
      <c r="H157" s="1570"/>
      <c r="I157" s="455"/>
      <c r="J157" s="1573"/>
      <c r="K157" s="451"/>
      <c r="L157" s="1573"/>
      <c r="M157" s="451"/>
      <c r="N157" s="451"/>
      <c r="O157" s="451"/>
      <c r="P157" s="451"/>
      <c r="Q157" s="451"/>
      <c r="R157" s="451"/>
      <c r="S157" s="451"/>
      <c r="T157" s="451"/>
      <c r="V157" s="1579"/>
    </row>
    <row r="158" spans="2:22" s="332" customFormat="1" ht="14.5" x14ac:dyDescent="0.35">
      <c r="B158" s="1567"/>
      <c r="C158" s="24"/>
      <c r="D158" s="1548"/>
      <c r="E158" s="445"/>
      <c r="F158" s="1548"/>
      <c r="G158" s="446"/>
      <c r="H158" s="1570"/>
      <c r="I158" s="455"/>
      <c r="J158" s="1573"/>
      <c r="K158" s="451"/>
      <c r="L158" s="1573"/>
      <c r="M158" s="451"/>
      <c r="N158" s="1247">
        <f>IF(B24=0,0,N72/$B$24)</f>
        <v>0</v>
      </c>
      <c r="O158" s="451"/>
      <c r="P158" s="451"/>
      <c r="Q158" s="451"/>
      <c r="R158" s="451"/>
      <c r="S158" s="451"/>
      <c r="T158" s="451"/>
      <c r="V158" s="1579"/>
    </row>
    <row r="159" spans="2:22" s="332" customFormat="1" ht="8.15" customHeight="1" x14ac:dyDescent="0.35">
      <c r="B159" s="1567"/>
      <c r="C159" s="24"/>
      <c r="D159" s="1548"/>
      <c r="E159" s="445"/>
      <c r="F159" s="1548"/>
      <c r="G159" s="446"/>
      <c r="H159" s="1570"/>
      <c r="I159" s="455"/>
      <c r="J159" s="1573"/>
      <c r="K159" s="451"/>
      <c r="L159" s="1573"/>
      <c r="M159" s="451"/>
      <c r="N159" s="451"/>
      <c r="O159" s="451"/>
      <c r="P159" s="451"/>
      <c r="Q159" s="451"/>
      <c r="R159" s="451"/>
      <c r="S159" s="451"/>
      <c r="T159" s="451"/>
      <c r="V159" s="1579"/>
    </row>
    <row r="160" spans="2:22" s="332" customFormat="1" ht="14.5" x14ac:dyDescent="0.35">
      <c r="B160" s="1567"/>
      <c r="C160" s="24"/>
      <c r="D160" s="1548"/>
      <c r="E160" s="445"/>
      <c r="F160" s="1548"/>
      <c r="G160" s="446"/>
      <c r="H160" s="1570"/>
      <c r="I160" s="455"/>
      <c r="J160" s="1573"/>
      <c r="K160" s="451"/>
      <c r="L160" s="1574"/>
      <c r="M160" s="451"/>
      <c r="N160" s="1247">
        <f>IF(B24=0,0,N74/$B$24)</f>
        <v>0</v>
      </c>
      <c r="O160" s="451"/>
      <c r="P160" s="451"/>
      <c r="Q160" s="451"/>
      <c r="R160" s="451"/>
      <c r="S160" s="451"/>
      <c r="T160" s="451"/>
      <c r="V160" s="1579"/>
    </row>
    <row r="161" spans="2:22" s="332" customFormat="1" ht="8.15" customHeight="1" x14ac:dyDescent="0.35">
      <c r="B161" s="1567"/>
      <c r="C161" s="24"/>
      <c r="D161" s="1548"/>
      <c r="E161" s="445"/>
      <c r="F161" s="1548"/>
      <c r="G161" s="446"/>
      <c r="H161" s="1570"/>
      <c r="I161" s="455"/>
      <c r="J161" s="1573"/>
      <c r="K161" s="451"/>
      <c r="L161" s="453"/>
      <c r="M161" s="451"/>
      <c r="N161" s="451"/>
      <c r="O161" s="451"/>
      <c r="P161" s="451"/>
      <c r="Q161" s="451"/>
      <c r="R161" s="451"/>
      <c r="S161" s="451"/>
      <c r="T161" s="451"/>
      <c r="V161" s="1579"/>
    </row>
    <row r="162" spans="2:22" s="332" customFormat="1" ht="14.5" x14ac:dyDescent="0.35">
      <c r="B162" s="1567"/>
      <c r="C162" s="24"/>
      <c r="D162" s="1548"/>
      <c r="E162" s="445"/>
      <c r="F162" s="1548"/>
      <c r="G162" s="446"/>
      <c r="H162" s="1571"/>
      <c r="I162" s="455"/>
      <c r="J162" s="1574"/>
      <c r="K162" s="451"/>
      <c r="L162" s="1247">
        <f>IF(B24=0,0,L76/B24)</f>
        <v>0</v>
      </c>
      <c r="M162" s="451"/>
      <c r="N162" s="451"/>
      <c r="O162" s="451"/>
      <c r="P162" s="451"/>
      <c r="Q162" s="451"/>
      <c r="R162" s="451"/>
      <c r="S162" s="451"/>
      <c r="T162" s="451"/>
      <c r="V162" s="1579"/>
    </row>
    <row r="163" spans="2:22" s="332" customFormat="1" ht="14.5" x14ac:dyDescent="0.35">
      <c r="B163" s="1567"/>
      <c r="C163" s="24"/>
      <c r="D163" s="1548"/>
      <c r="E163" s="452"/>
      <c r="F163" s="449"/>
      <c r="G163" s="446"/>
      <c r="H163" s="453"/>
      <c r="I163" s="455"/>
      <c r="J163" s="451"/>
      <c r="K163" s="451"/>
      <c r="L163" s="453"/>
      <c r="M163" s="451"/>
      <c r="N163" s="451"/>
      <c r="O163" s="451"/>
      <c r="P163" s="451"/>
      <c r="Q163" s="451"/>
      <c r="R163" s="451"/>
      <c r="S163" s="451"/>
      <c r="T163" s="451"/>
      <c r="V163" s="1579"/>
    </row>
    <row r="164" spans="2:22" s="332" customFormat="1" ht="14.5" x14ac:dyDescent="0.35">
      <c r="B164" s="1567"/>
      <c r="C164" s="24"/>
      <c r="D164" s="1548"/>
      <c r="E164" s="445"/>
      <c r="F164" s="1548" t="s">
        <v>131</v>
      </c>
      <c r="G164" s="446"/>
      <c r="H164" s="1589">
        <f>IF(B24=0,0,H78/$B$24)</f>
        <v>0.2491513094083414</v>
      </c>
      <c r="I164" s="455"/>
      <c r="J164" s="1572">
        <f>IF(B24=0,0,J78/$B$24)</f>
        <v>0.2491513094083414</v>
      </c>
      <c r="K164" s="451"/>
      <c r="L164" s="1572">
        <f>IF(B24=0,0,L78/$B$24)</f>
        <v>0.23823957322987391</v>
      </c>
      <c r="M164" s="451"/>
      <c r="N164" s="1575">
        <f>IF(B24=0,0,N78/$B$24)</f>
        <v>0.23823957322987391</v>
      </c>
      <c r="O164" s="451"/>
      <c r="P164" s="1575">
        <f>IF(B24=0,0,P78/$B$24)</f>
        <v>0</v>
      </c>
      <c r="Q164" s="451"/>
      <c r="R164" s="1253">
        <f>IF(B24=0,0,R78/$B$24)</f>
        <v>0</v>
      </c>
      <c r="S164" s="451"/>
      <c r="T164" s="1253">
        <f>IF(B24=0,0,T78/$B$24)</f>
        <v>0</v>
      </c>
      <c r="V164" s="1579"/>
    </row>
    <row r="165" spans="2:22" s="332" customFormat="1" ht="8.15" customHeight="1" x14ac:dyDescent="0.35">
      <c r="B165" s="1567"/>
      <c r="C165" s="24"/>
      <c r="D165" s="1548"/>
      <c r="E165" s="445"/>
      <c r="F165" s="1548"/>
      <c r="G165" s="446"/>
      <c r="H165" s="1590"/>
      <c r="I165" s="455"/>
      <c r="J165" s="1573"/>
      <c r="K165" s="451"/>
      <c r="L165" s="1573"/>
      <c r="M165" s="451"/>
      <c r="N165" s="1576"/>
      <c r="O165" s="451"/>
      <c r="P165" s="1576"/>
      <c r="Q165" s="451"/>
      <c r="R165" s="451"/>
      <c r="S165" s="451"/>
      <c r="T165" s="451"/>
      <c r="V165" s="1579"/>
    </row>
    <row r="166" spans="2:22" s="332" customFormat="1" ht="14.5" x14ac:dyDescent="0.35">
      <c r="B166" s="1567"/>
      <c r="C166" s="24"/>
      <c r="D166" s="1548"/>
      <c r="E166" s="445"/>
      <c r="F166" s="1548"/>
      <c r="G166" s="446"/>
      <c r="H166" s="1590"/>
      <c r="I166" s="455"/>
      <c r="J166" s="1573"/>
      <c r="K166" s="451"/>
      <c r="L166" s="1573"/>
      <c r="M166" s="451"/>
      <c r="N166" s="1576"/>
      <c r="O166" s="451"/>
      <c r="P166" s="1577"/>
      <c r="Q166" s="451"/>
      <c r="R166" s="1247">
        <f>IF(B24=0,0,R80/$B$24)</f>
        <v>0</v>
      </c>
      <c r="S166" s="451"/>
      <c r="T166" s="1247">
        <f>IF(B24=0,0,T80/$B$24)</f>
        <v>0</v>
      </c>
      <c r="V166" s="1579"/>
    </row>
    <row r="167" spans="2:22" s="332" customFormat="1" ht="8.15" customHeight="1" x14ac:dyDescent="0.35">
      <c r="B167" s="1567"/>
      <c r="C167" s="24"/>
      <c r="D167" s="1548"/>
      <c r="E167" s="445"/>
      <c r="F167" s="1548"/>
      <c r="G167" s="446"/>
      <c r="H167" s="1590"/>
      <c r="I167" s="455"/>
      <c r="J167" s="1573"/>
      <c r="K167" s="451"/>
      <c r="L167" s="1573"/>
      <c r="M167" s="451"/>
      <c r="N167" s="1576"/>
      <c r="O167" s="451"/>
      <c r="P167" s="451"/>
      <c r="Q167" s="451"/>
      <c r="R167" s="451"/>
      <c r="S167" s="451"/>
      <c r="T167" s="451"/>
      <c r="V167" s="1579"/>
    </row>
    <row r="168" spans="2:22" s="332" customFormat="1" ht="14.5" x14ac:dyDescent="0.35">
      <c r="B168" s="1567"/>
      <c r="C168" s="24"/>
      <c r="D168" s="1548"/>
      <c r="E168" s="445"/>
      <c r="F168" s="1548"/>
      <c r="G168" s="446"/>
      <c r="H168" s="1590"/>
      <c r="I168" s="455"/>
      <c r="J168" s="1573"/>
      <c r="K168" s="451"/>
      <c r="L168" s="1573"/>
      <c r="M168" s="451"/>
      <c r="N168" s="1577"/>
      <c r="O168" s="451"/>
      <c r="P168" s="1247">
        <f>IF(B24=0,0,P82/$B$24)</f>
        <v>0.23823957322987391</v>
      </c>
      <c r="Q168" s="451"/>
      <c r="R168" s="451"/>
      <c r="S168" s="451"/>
      <c r="T168" s="451"/>
      <c r="V168" s="1579"/>
    </row>
    <row r="169" spans="2:22" s="332" customFormat="1" ht="8.15" customHeight="1" x14ac:dyDescent="0.35">
      <c r="B169" s="1567"/>
      <c r="C169" s="24"/>
      <c r="D169" s="1548"/>
      <c r="E169" s="445"/>
      <c r="F169" s="1548"/>
      <c r="G169" s="446"/>
      <c r="H169" s="1590"/>
      <c r="I169" s="455"/>
      <c r="J169" s="1573"/>
      <c r="K169" s="451"/>
      <c r="L169" s="1573"/>
      <c r="M169" s="451"/>
      <c r="N169" s="451"/>
      <c r="O169" s="451"/>
      <c r="P169" s="451"/>
      <c r="Q169" s="451"/>
      <c r="R169" s="451"/>
      <c r="S169" s="451"/>
      <c r="T169" s="451"/>
      <c r="V169" s="1579"/>
    </row>
    <row r="170" spans="2:22" s="332" customFormat="1" ht="14.5" x14ac:dyDescent="0.35">
      <c r="B170" s="1567"/>
      <c r="C170" s="24"/>
      <c r="D170" s="1548"/>
      <c r="E170" s="445"/>
      <c r="F170" s="1548"/>
      <c r="G170" s="446"/>
      <c r="H170" s="1590"/>
      <c r="I170" s="455"/>
      <c r="J170" s="1573"/>
      <c r="K170" s="451"/>
      <c r="L170" s="1573"/>
      <c r="M170" s="451"/>
      <c r="N170" s="1247">
        <f>IF(B24=0,0,N84/$B$24)</f>
        <v>0</v>
      </c>
      <c r="O170" s="451"/>
      <c r="P170" s="451"/>
      <c r="Q170" s="451"/>
      <c r="R170" s="451"/>
      <c r="S170" s="451"/>
      <c r="T170" s="451"/>
      <c r="V170" s="1579"/>
    </row>
    <row r="171" spans="2:22" s="332" customFormat="1" ht="8.15" customHeight="1" x14ac:dyDescent="0.35">
      <c r="B171" s="1567"/>
      <c r="C171" s="24"/>
      <c r="D171" s="1548"/>
      <c r="E171" s="445"/>
      <c r="F171" s="1548"/>
      <c r="G171" s="446"/>
      <c r="H171" s="1590"/>
      <c r="I171" s="455"/>
      <c r="J171" s="1573"/>
      <c r="K171" s="451"/>
      <c r="L171" s="1573"/>
      <c r="M171" s="451"/>
      <c r="N171" s="451"/>
      <c r="O171" s="451"/>
      <c r="P171" s="451"/>
      <c r="Q171" s="451"/>
      <c r="R171" s="451"/>
      <c r="S171" s="451"/>
      <c r="T171" s="451"/>
      <c r="V171" s="1579"/>
    </row>
    <row r="172" spans="2:22" s="332" customFormat="1" ht="14.5" x14ac:dyDescent="0.35">
      <c r="B172" s="1567"/>
      <c r="C172" s="24"/>
      <c r="D172" s="1548"/>
      <c r="E172" s="445"/>
      <c r="F172" s="1548"/>
      <c r="G172" s="446"/>
      <c r="H172" s="1590"/>
      <c r="I172" s="455"/>
      <c r="J172" s="1573"/>
      <c r="K172" s="451"/>
      <c r="L172" s="1574"/>
      <c r="M172" s="451"/>
      <c r="N172" s="1247">
        <f>IF(B24=0,0,N86/$B$24)</f>
        <v>0</v>
      </c>
      <c r="O172" s="451"/>
      <c r="P172" s="451"/>
      <c r="Q172" s="451"/>
      <c r="R172" s="451"/>
      <c r="S172" s="451"/>
      <c r="T172" s="451"/>
      <c r="V172" s="1579"/>
    </row>
    <row r="173" spans="2:22" s="332" customFormat="1" ht="8.15" customHeight="1" x14ac:dyDescent="0.35">
      <c r="B173" s="1567"/>
      <c r="C173" s="24"/>
      <c r="D173" s="1548"/>
      <c r="E173" s="445"/>
      <c r="F173" s="1548"/>
      <c r="G173" s="446"/>
      <c r="H173" s="1590"/>
      <c r="I173" s="455"/>
      <c r="J173" s="1573"/>
      <c r="K173" s="451"/>
      <c r="L173" s="453"/>
      <c r="M173" s="451"/>
      <c r="N173" s="451"/>
      <c r="O173" s="451"/>
      <c r="P173" s="451"/>
      <c r="Q173" s="451"/>
      <c r="R173" s="451"/>
      <c r="S173" s="451"/>
      <c r="T173" s="451"/>
      <c r="V173" s="1579"/>
    </row>
    <row r="174" spans="2:22" s="332" customFormat="1" ht="14.5" x14ac:dyDescent="0.35">
      <c r="B174" s="1567"/>
      <c r="C174" s="24"/>
      <c r="D174" s="1548"/>
      <c r="E174" s="445"/>
      <c r="F174" s="1548"/>
      <c r="G174" s="446"/>
      <c r="H174" s="1591"/>
      <c r="I174" s="455"/>
      <c r="J174" s="1574"/>
      <c r="K174" s="451"/>
      <c r="L174" s="1247">
        <f>IF(B24=0,0,L88/B24)</f>
        <v>1.0911736178467508E-2</v>
      </c>
      <c r="M174" s="451"/>
      <c r="N174" s="451"/>
      <c r="O174" s="451"/>
      <c r="P174" s="451"/>
      <c r="Q174" s="451"/>
      <c r="R174" s="451"/>
      <c r="S174" s="451"/>
      <c r="T174" s="451"/>
      <c r="V174" s="1579"/>
    </row>
    <row r="175" spans="2:22" s="332" customFormat="1" ht="14.5" x14ac:dyDescent="0.35">
      <c r="B175" s="1567"/>
      <c r="C175" s="24"/>
      <c r="D175" s="446"/>
      <c r="E175" s="446"/>
      <c r="F175" s="446"/>
      <c r="G175" s="446"/>
      <c r="H175" s="453"/>
      <c r="I175" s="455"/>
      <c r="J175" s="451"/>
      <c r="K175" s="451"/>
      <c r="L175" s="451"/>
      <c r="M175" s="451"/>
      <c r="N175" s="451"/>
      <c r="O175" s="451"/>
      <c r="P175" s="451"/>
      <c r="Q175" s="451"/>
      <c r="R175" s="451"/>
      <c r="S175" s="451"/>
      <c r="T175" s="451"/>
      <c r="V175" s="1579"/>
    </row>
    <row r="176" spans="2:22" s="332" customFormat="1" ht="29" x14ac:dyDescent="0.35">
      <c r="B176" s="1568"/>
      <c r="C176" s="450"/>
      <c r="D176" s="1460" t="s">
        <v>132</v>
      </c>
      <c r="E176" s="447"/>
      <c r="F176" s="446"/>
      <c r="G176" s="446"/>
      <c r="H176" s="1248">
        <f>IF(B24=0,0,H90/$B$24)</f>
        <v>9.7114451988360814E-2</v>
      </c>
      <c r="I176" s="455"/>
      <c r="J176" s="1247">
        <f>IF(B24=0,0,J90/$B$24)</f>
        <v>9.7114451988360814E-2</v>
      </c>
      <c r="K176" s="451"/>
      <c r="L176" s="451"/>
      <c r="M176" s="451"/>
      <c r="N176" s="451"/>
      <c r="O176" s="451"/>
      <c r="P176" s="451"/>
      <c r="Q176" s="451"/>
      <c r="R176" s="451"/>
      <c r="S176" s="451"/>
      <c r="T176" s="451"/>
      <c r="V176" s="1580"/>
    </row>
    <row r="177" spans="2:30" ht="15" customHeight="1" x14ac:dyDescent="0.35"/>
    <row r="178" spans="2:30" ht="25" customHeight="1" x14ac:dyDescent="0.35">
      <c r="J178" s="1581">
        <f>X185</f>
        <v>0.94499999999999995</v>
      </c>
      <c r="K178" s="1582"/>
      <c r="L178" s="1582"/>
      <c r="M178" s="1582"/>
      <c r="N178" s="1582"/>
      <c r="O178" s="1582"/>
      <c r="P178" s="1582"/>
      <c r="Q178" s="1582"/>
      <c r="R178" s="1582"/>
      <c r="S178" s="1582"/>
      <c r="T178" s="1583"/>
    </row>
    <row r="181" spans="2:30" s="331" customFormat="1" ht="28" customHeight="1" x14ac:dyDescent="0.35">
      <c r="C181" s="429"/>
      <c r="D181" s="429"/>
      <c r="E181" s="429"/>
      <c r="F181" s="429"/>
      <c r="G181" s="429"/>
      <c r="H181" s="836" t="s">
        <v>133</v>
      </c>
      <c r="I181" s="840"/>
      <c r="J181" s="820" t="s">
        <v>14</v>
      </c>
      <c r="K181" s="439"/>
      <c r="L181" s="836" t="s">
        <v>16</v>
      </c>
      <c r="M181" s="439"/>
      <c r="N181" s="539" t="s">
        <v>18</v>
      </c>
      <c r="O181" s="439"/>
      <c r="P181" s="539" t="s">
        <v>19</v>
      </c>
      <c r="Q181" s="439"/>
      <c r="R181" s="539" t="s">
        <v>20</v>
      </c>
      <c r="S181" s="439"/>
      <c r="T181" s="836" t="s">
        <v>134</v>
      </c>
      <c r="X181" s="836" t="s">
        <v>12</v>
      </c>
    </row>
    <row r="183" spans="2:30" s="461" customFormat="1" ht="14.5" x14ac:dyDescent="0.35">
      <c r="B183" s="1267" t="s">
        <v>136</v>
      </c>
      <c r="C183" s="1263"/>
      <c r="D183" s="1263"/>
      <c r="E183" s="1263"/>
      <c r="F183" s="1263"/>
      <c r="G183" s="1263"/>
      <c r="H183" s="1275">
        <f>H122+H136+H152+H164+H176</f>
        <v>1</v>
      </c>
      <c r="I183" s="1263"/>
      <c r="J183" s="1276">
        <f>ROUND((J122+J136+J152+J164)/0.001,0)*0.001</f>
        <v>0.90300000000000002</v>
      </c>
      <c r="K183" s="1275"/>
      <c r="L183" s="1276">
        <f>ROUND((L122+L136+L152+L164)/0.001,0)*0.001</f>
        <v>0.89200000000000002</v>
      </c>
      <c r="M183" s="1276"/>
      <c r="N183" s="1276">
        <f>ROUND((N122+N136+N152+N164)/0.001,0)*0.001</f>
        <v>0.89200000000000002</v>
      </c>
      <c r="O183" s="1276"/>
      <c r="P183" s="1276">
        <f>ROUND((P122+P136+P152+P164)/0.001,0)*0.001</f>
        <v>0.158</v>
      </c>
      <c r="Q183" s="1276"/>
      <c r="R183" s="1276">
        <f>ROUND((R122+R136+R152+R164)/0.001,0)*0.001</f>
        <v>5.5E-2</v>
      </c>
      <c r="S183" s="1276"/>
      <c r="T183" s="1276">
        <f>ROUND((T122+T136+T152+T164)/0.001,0)*0.001</f>
        <v>5.5E-2</v>
      </c>
      <c r="U183" s="1277"/>
      <c r="V183" s="1277"/>
      <c r="W183" s="1277"/>
      <c r="X183" s="1278">
        <f>T183</f>
        <v>5.5E-2</v>
      </c>
    </row>
    <row r="185" spans="2:30" s="463" customFormat="1" ht="14.5" x14ac:dyDescent="0.35">
      <c r="B185" s="1268" t="s">
        <v>137</v>
      </c>
      <c r="C185" s="1269"/>
      <c r="D185" s="1269"/>
      <c r="E185" s="1269"/>
      <c r="F185" s="1269"/>
      <c r="G185" s="1269"/>
      <c r="H185" s="1269"/>
      <c r="I185" s="1269"/>
      <c r="J185" s="1269">
        <f>ROUND((J176)/0.001,0)*0.001</f>
        <v>9.7000000000000003E-2</v>
      </c>
      <c r="K185" s="1269"/>
      <c r="L185" s="1269">
        <f>J183-L183</f>
        <v>1.100000000000001E-2</v>
      </c>
      <c r="M185" s="1269"/>
      <c r="N185" s="1269">
        <f>L183-N183</f>
        <v>0</v>
      </c>
      <c r="O185" s="1269"/>
      <c r="P185" s="1269">
        <f>N183-P183</f>
        <v>0.73399999999999999</v>
      </c>
      <c r="Q185" s="1269"/>
      <c r="R185" s="1269">
        <f>P183-R183</f>
        <v>0.10300000000000001</v>
      </c>
      <c r="S185" s="1269"/>
      <c r="T185" s="1269">
        <f>R183-T183</f>
        <v>0</v>
      </c>
      <c r="U185" s="1269"/>
      <c r="V185" s="1269"/>
      <c r="W185" s="1269"/>
      <c r="X185" s="1279">
        <f>SUM(J185:R185)</f>
        <v>0.94499999999999995</v>
      </c>
    </row>
    <row r="187" spans="2:30" ht="14.5" x14ac:dyDescent="0.35">
      <c r="X187" s="451">
        <f>X185+X183</f>
        <v>1</v>
      </c>
      <c r="Y187" s="332" t="str">
        <f>IF(X187=1,"OK","Not OK")</f>
        <v>OK</v>
      </c>
    </row>
    <row r="190" spans="2:30" ht="28" customHeight="1" x14ac:dyDescent="0.35">
      <c r="J190" s="820" t="s">
        <v>14</v>
      </c>
      <c r="K190" s="439"/>
      <c r="L190" s="836" t="s">
        <v>16</v>
      </c>
      <c r="M190" s="439"/>
      <c r="N190" s="539" t="s">
        <v>18</v>
      </c>
      <c r="O190" s="439"/>
      <c r="P190" s="539" t="s">
        <v>19</v>
      </c>
      <c r="Q190" s="439"/>
      <c r="R190" s="539" t="s">
        <v>20</v>
      </c>
      <c r="S190" s="439"/>
      <c r="T190" s="836" t="s">
        <v>134</v>
      </c>
    </row>
    <row r="191" spans="2:30" ht="70" customHeight="1" x14ac:dyDescent="0.35">
      <c r="B191" s="1584" t="s">
        <v>140</v>
      </c>
      <c r="C191" s="1584"/>
      <c r="D191" s="1584"/>
      <c r="E191" s="1584"/>
      <c r="F191" s="1584"/>
      <c r="G191" s="1584"/>
      <c r="H191" s="1584"/>
      <c r="J191" s="1282" t="s">
        <v>132</v>
      </c>
      <c r="L191" s="1282" t="s">
        <v>152</v>
      </c>
      <c r="N191" s="1282" t="s">
        <v>142</v>
      </c>
      <c r="P191" s="1282" t="s">
        <v>150</v>
      </c>
      <c r="R191" s="1282"/>
      <c r="T191" s="1282"/>
      <c r="X191" s="914"/>
      <c r="Y191" s="327"/>
      <c r="Z191" s="327"/>
      <c r="AA191" s="327"/>
      <c r="AB191" s="327"/>
      <c r="AC191" s="327"/>
      <c r="AD191" s="327"/>
    </row>
    <row r="193" spans="8:20" x14ac:dyDescent="0.35">
      <c r="N193" s="178"/>
    </row>
    <row r="195" spans="8:20" x14ac:dyDescent="0.35">
      <c r="N195" s="178"/>
    </row>
    <row r="197" spans="8:20" x14ac:dyDescent="0.35">
      <c r="N197" s="178"/>
      <c r="P197" s="178"/>
    </row>
    <row r="198" spans="8:20" x14ac:dyDescent="0.35">
      <c r="P198" s="178"/>
    </row>
    <row r="199" spans="8:20" x14ac:dyDescent="0.35">
      <c r="N199" s="178"/>
      <c r="P199" s="178"/>
    </row>
    <row r="200" spans="8:20" x14ac:dyDescent="0.35">
      <c r="N200" s="178"/>
      <c r="P200" s="178"/>
    </row>
    <row r="201" spans="8:20" x14ac:dyDescent="0.35">
      <c r="N201" s="178"/>
      <c r="P201" s="178"/>
    </row>
    <row r="202" spans="8:20" x14ac:dyDescent="0.35">
      <c r="N202" s="178"/>
      <c r="P202" s="178"/>
    </row>
    <row r="203" spans="8:20" x14ac:dyDescent="0.35">
      <c r="N203" s="178"/>
      <c r="P203" s="178"/>
    </row>
    <row r="204" spans="8:20" x14ac:dyDescent="0.35">
      <c r="N204" s="178"/>
      <c r="P204" s="178"/>
    </row>
    <row r="205" spans="8:20" x14ac:dyDescent="0.35">
      <c r="H205" s="1585" t="s">
        <v>145</v>
      </c>
      <c r="J205" s="160"/>
      <c r="K205" s="822"/>
      <c r="L205" s="1520"/>
      <c r="M205" s="822"/>
      <c r="N205" s="1520"/>
      <c r="O205" s="822"/>
      <c r="P205" s="1520"/>
      <c r="Q205" s="822"/>
      <c r="R205" s="1520"/>
      <c r="S205" s="822"/>
      <c r="T205" s="1520"/>
    </row>
    <row r="206" spans="8:20" ht="30" customHeight="1" x14ac:dyDescent="0.35">
      <c r="H206" s="1586"/>
      <c r="J206" s="160" t="s">
        <v>132</v>
      </c>
      <c r="K206" s="822"/>
      <c r="L206" s="160" t="s">
        <v>146</v>
      </c>
      <c r="M206" s="822"/>
      <c r="N206" s="160" t="s">
        <v>147</v>
      </c>
      <c r="O206" s="822"/>
      <c r="P206" s="837" t="s">
        <v>148</v>
      </c>
      <c r="Q206" s="822"/>
      <c r="R206" s="160" t="s">
        <v>149</v>
      </c>
      <c r="S206" s="822"/>
      <c r="T206" s="160" t="s">
        <v>149</v>
      </c>
    </row>
    <row r="207" spans="8:20" ht="30" customHeight="1" x14ac:dyDescent="0.35">
      <c r="H207" s="1586"/>
      <c r="J207" s="160"/>
      <c r="K207" s="822"/>
      <c r="L207" s="160" t="s">
        <v>141</v>
      </c>
      <c r="M207" s="822"/>
      <c r="N207" s="837" t="s">
        <v>142</v>
      </c>
      <c r="O207" s="822"/>
      <c r="P207" s="837" t="s">
        <v>150</v>
      </c>
      <c r="Q207" s="822"/>
      <c r="R207" s="160" t="s">
        <v>151</v>
      </c>
      <c r="S207" s="822"/>
      <c r="T207" s="160" t="s">
        <v>151</v>
      </c>
    </row>
    <row r="208" spans="8:20" ht="40" customHeight="1" x14ac:dyDescent="0.35">
      <c r="H208" s="1587"/>
      <c r="J208" s="160"/>
      <c r="K208" s="822"/>
      <c r="L208" s="160" t="s">
        <v>152</v>
      </c>
      <c r="M208" s="822"/>
      <c r="N208" s="160" t="s">
        <v>153</v>
      </c>
      <c r="O208" s="822"/>
      <c r="P208" s="837" t="s">
        <v>162</v>
      </c>
      <c r="Q208" s="822"/>
      <c r="R208" s="160" t="s">
        <v>144</v>
      </c>
      <c r="S208" s="822"/>
      <c r="T208" s="160" t="s">
        <v>144</v>
      </c>
    </row>
    <row r="209" spans="10:20" ht="26" x14ac:dyDescent="0.35">
      <c r="J209" s="444"/>
      <c r="K209" s="444"/>
      <c r="L209" s="444"/>
      <c r="M209" s="444"/>
      <c r="N209" s="444"/>
      <c r="O209" s="444"/>
      <c r="P209" s="837" t="s">
        <v>163</v>
      </c>
      <c r="Q209" s="444"/>
      <c r="R209" s="444"/>
      <c r="S209" s="444"/>
      <c r="T209" s="444"/>
    </row>
    <row r="210" spans="10:20" x14ac:dyDescent="0.35">
      <c r="J210" s="444"/>
      <c r="K210" s="444"/>
      <c r="L210" s="444"/>
      <c r="M210" s="444"/>
      <c r="N210" s="444"/>
      <c r="O210" s="444"/>
      <c r="P210" s="444"/>
      <c r="Q210" s="444"/>
      <c r="R210" s="444"/>
      <c r="S210" s="444"/>
      <c r="T210" s="444"/>
    </row>
    <row r="211" spans="10:20" x14ac:dyDescent="0.35">
      <c r="J211" s="444"/>
      <c r="K211" s="444"/>
      <c r="L211" s="444"/>
      <c r="M211" s="444"/>
      <c r="N211" s="444"/>
      <c r="O211" s="444"/>
      <c r="P211" s="444"/>
      <c r="Q211" s="444"/>
      <c r="R211" s="444"/>
      <c r="S211" s="444"/>
      <c r="T211" s="444"/>
    </row>
    <row r="212" spans="10:20" x14ac:dyDescent="0.35">
      <c r="J212" s="444"/>
      <c r="K212" s="444"/>
      <c r="L212" s="444"/>
      <c r="M212" s="444"/>
      <c r="N212" s="444"/>
      <c r="O212" s="444"/>
      <c r="P212" s="444"/>
      <c r="Q212" s="444"/>
      <c r="R212" s="444"/>
      <c r="S212" s="444"/>
      <c r="T212" s="444"/>
    </row>
    <row r="213" spans="10:20" x14ac:dyDescent="0.35">
      <c r="J213" s="444"/>
      <c r="K213" s="444"/>
      <c r="L213" s="444"/>
      <c r="M213" s="444"/>
      <c r="N213" s="444"/>
      <c r="O213" s="444"/>
      <c r="P213" s="444"/>
      <c r="Q213" s="444"/>
      <c r="R213" s="444"/>
      <c r="S213" s="444"/>
      <c r="T213" s="444"/>
    </row>
    <row r="214" spans="10:20" x14ac:dyDescent="0.35">
      <c r="J214" s="444"/>
      <c r="K214" s="444"/>
      <c r="L214" s="444"/>
      <c r="M214" s="444"/>
      <c r="N214" s="444"/>
      <c r="O214" s="444"/>
      <c r="P214" s="444"/>
      <c r="Q214" s="444"/>
      <c r="R214" s="444"/>
      <c r="S214" s="444"/>
      <c r="T214" s="444"/>
    </row>
    <row r="215" spans="10:20" x14ac:dyDescent="0.35">
      <c r="J215" s="444"/>
      <c r="K215" s="444"/>
      <c r="L215" s="444"/>
      <c r="M215" s="444"/>
      <c r="N215" s="444"/>
      <c r="O215" s="444"/>
      <c r="P215" s="444"/>
      <c r="Q215" s="444"/>
      <c r="R215" s="444"/>
      <c r="S215" s="444"/>
      <c r="T215" s="444"/>
    </row>
    <row r="216" spans="10:20" x14ac:dyDescent="0.35">
      <c r="J216" s="444"/>
      <c r="K216" s="444"/>
      <c r="L216" s="444"/>
      <c r="M216" s="444"/>
      <c r="N216" s="444"/>
      <c r="O216" s="444"/>
      <c r="P216" s="444"/>
      <c r="Q216" s="444"/>
      <c r="R216" s="444"/>
      <c r="S216" s="444"/>
      <c r="T216" s="444"/>
    </row>
    <row r="217" spans="10:20" x14ac:dyDescent="0.35">
      <c r="J217" s="444"/>
      <c r="K217" s="444"/>
      <c r="L217" s="444"/>
      <c r="M217" s="444"/>
      <c r="N217" s="444"/>
      <c r="O217" s="444"/>
      <c r="P217" s="444"/>
      <c r="Q217" s="444"/>
      <c r="R217" s="444"/>
      <c r="S217" s="444"/>
      <c r="T217" s="444"/>
    </row>
    <row r="218" spans="10:20" x14ac:dyDescent="0.35">
      <c r="J218" s="444"/>
      <c r="K218" s="444"/>
      <c r="L218" s="444"/>
      <c r="M218" s="444"/>
      <c r="N218" s="444"/>
      <c r="O218" s="444"/>
      <c r="P218" s="444"/>
      <c r="Q218" s="444"/>
      <c r="R218" s="444"/>
      <c r="S218" s="444"/>
      <c r="T218" s="444"/>
    </row>
    <row r="219" spans="10:20" x14ac:dyDescent="0.35">
      <c r="J219" s="444"/>
      <c r="K219" s="444"/>
      <c r="L219" s="444"/>
      <c r="M219" s="444"/>
      <c r="N219" s="444"/>
      <c r="O219" s="444"/>
      <c r="P219" s="444"/>
      <c r="Q219" s="444"/>
      <c r="R219" s="444"/>
      <c r="S219" s="444"/>
      <c r="T219" s="444"/>
    </row>
    <row r="220" spans="10:20" x14ac:dyDescent="0.35">
      <c r="J220" s="444"/>
      <c r="K220" s="444"/>
      <c r="L220" s="444"/>
      <c r="M220" s="444"/>
      <c r="N220" s="444"/>
      <c r="O220" s="444"/>
      <c r="P220" s="444"/>
      <c r="Q220" s="444"/>
      <c r="R220" s="444"/>
      <c r="S220" s="444"/>
      <c r="T220" s="444"/>
    </row>
    <row r="221" spans="10:20" x14ac:dyDescent="0.35">
      <c r="J221" s="444"/>
      <c r="K221" s="444"/>
      <c r="L221" s="444"/>
      <c r="M221" s="444"/>
      <c r="N221" s="444"/>
      <c r="O221" s="444"/>
      <c r="P221" s="444"/>
      <c r="Q221" s="444"/>
      <c r="R221" s="444"/>
      <c r="S221" s="444"/>
      <c r="T221" s="444"/>
    </row>
    <row r="222" spans="10:20" x14ac:dyDescent="0.35">
      <c r="J222" s="444"/>
      <c r="K222" s="444"/>
      <c r="L222" s="444"/>
      <c r="M222" s="444"/>
      <c r="N222" s="444"/>
      <c r="O222" s="444"/>
      <c r="P222" s="444"/>
      <c r="Q222" s="444"/>
      <c r="R222" s="444"/>
      <c r="S222" s="444"/>
      <c r="T222" s="444"/>
    </row>
    <row r="223" spans="10:20" x14ac:dyDescent="0.35">
      <c r="J223" s="444"/>
      <c r="K223" s="444"/>
      <c r="L223" s="444"/>
      <c r="M223" s="444"/>
      <c r="N223" s="444"/>
      <c r="O223" s="444"/>
      <c r="P223" s="444"/>
      <c r="Q223" s="444"/>
      <c r="R223" s="444"/>
      <c r="S223" s="444"/>
      <c r="T223" s="444"/>
    </row>
    <row r="224" spans="10:20" x14ac:dyDescent="0.35">
      <c r="J224" s="444"/>
      <c r="K224" s="444"/>
      <c r="L224" s="444"/>
      <c r="M224" s="444"/>
      <c r="N224" s="444"/>
      <c r="O224" s="444"/>
      <c r="P224" s="444"/>
      <c r="Q224" s="444"/>
      <c r="R224" s="444"/>
      <c r="S224" s="444"/>
      <c r="T224" s="444"/>
    </row>
    <row r="225" spans="10:20" x14ac:dyDescent="0.35">
      <c r="J225" s="444"/>
      <c r="K225" s="444"/>
      <c r="L225" s="444"/>
      <c r="M225" s="444"/>
      <c r="N225" s="444"/>
      <c r="O225" s="444"/>
      <c r="P225" s="444"/>
      <c r="Q225" s="444"/>
      <c r="R225" s="444"/>
      <c r="S225" s="444"/>
      <c r="T225" s="444"/>
    </row>
    <row r="226" spans="10:20" x14ac:dyDescent="0.35">
      <c r="J226" s="444"/>
      <c r="K226" s="444"/>
      <c r="L226" s="444"/>
      <c r="M226" s="444"/>
      <c r="N226" s="444"/>
      <c r="O226" s="444"/>
      <c r="P226" s="444"/>
      <c r="Q226" s="444"/>
      <c r="R226" s="444"/>
      <c r="S226" s="444"/>
      <c r="T226" s="444"/>
    </row>
    <row r="227" spans="10:20" x14ac:dyDescent="0.35">
      <c r="J227" s="444"/>
      <c r="K227" s="444"/>
      <c r="L227" s="444"/>
      <c r="M227" s="444"/>
      <c r="N227" s="444"/>
      <c r="O227" s="444"/>
      <c r="P227" s="444"/>
      <c r="Q227" s="444"/>
      <c r="R227" s="444"/>
      <c r="S227" s="444"/>
      <c r="T227" s="444"/>
    </row>
    <row r="228" spans="10:20" x14ac:dyDescent="0.35">
      <c r="J228" s="444"/>
      <c r="K228" s="444"/>
      <c r="L228" s="444"/>
      <c r="M228" s="444"/>
      <c r="N228" s="444"/>
      <c r="O228" s="444"/>
      <c r="P228" s="444"/>
      <c r="Q228" s="444"/>
      <c r="R228" s="444"/>
      <c r="S228" s="444"/>
      <c r="T228" s="444"/>
    </row>
    <row r="229" spans="10:20" x14ac:dyDescent="0.35">
      <c r="J229" s="444"/>
      <c r="K229" s="444"/>
      <c r="L229" s="444"/>
      <c r="M229" s="444"/>
      <c r="N229" s="444"/>
      <c r="O229" s="444"/>
      <c r="P229" s="444"/>
      <c r="Q229" s="444"/>
      <c r="R229" s="444"/>
      <c r="S229" s="444"/>
      <c r="T229" s="444"/>
    </row>
    <row r="230" spans="10:20" x14ac:dyDescent="0.35">
      <c r="J230" s="444"/>
      <c r="K230" s="444"/>
      <c r="L230" s="444"/>
      <c r="M230" s="444"/>
      <c r="N230" s="444"/>
      <c r="O230" s="444"/>
      <c r="P230" s="444"/>
      <c r="Q230" s="444"/>
      <c r="R230" s="444"/>
      <c r="S230" s="444"/>
      <c r="T230" s="444"/>
    </row>
    <row r="231" spans="10:20" x14ac:dyDescent="0.35">
      <c r="J231" s="444"/>
      <c r="K231" s="444"/>
      <c r="L231" s="444"/>
      <c r="M231" s="444"/>
      <c r="N231" s="444"/>
      <c r="O231" s="444"/>
      <c r="P231" s="444"/>
      <c r="Q231" s="444"/>
      <c r="R231" s="444"/>
      <c r="S231" s="444"/>
      <c r="T231" s="444"/>
    </row>
    <row r="232" spans="10:20" x14ac:dyDescent="0.35">
      <c r="J232" s="444"/>
      <c r="K232" s="444"/>
      <c r="L232" s="444"/>
      <c r="M232" s="444"/>
      <c r="N232" s="444"/>
      <c r="O232" s="444"/>
      <c r="P232" s="444"/>
      <c r="Q232" s="444"/>
      <c r="R232" s="444"/>
      <c r="S232" s="444"/>
      <c r="T232" s="444"/>
    </row>
    <row r="233" spans="10:20" x14ac:dyDescent="0.35">
      <c r="J233" s="444"/>
      <c r="K233" s="444"/>
      <c r="L233" s="444"/>
      <c r="M233" s="444"/>
      <c r="N233" s="444"/>
      <c r="O233" s="444"/>
      <c r="P233" s="444"/>
      <c r="Q233" s="444"/>
      <c r="R233" s="444"/>
      <c r="S233" s="444"/>
      <c r="T233" s="444"/>
    </row>
    <row r="234" spans="10:20" x14ac:dyDescent="0.35">
      <c r="J234" s="444"/>
      <c r="K234" s="444"/>
      <c r="L234" s="444"/>
      <c r="M234" s="444"/>
      <c r="N234" s="444"/>
      <c r="O234" s="444"/>
      <c r="P234" s="444"/>
      <c r="Q234" s="444"/>
      <c r="R234" s="444"/>
      <c r="S234" s="444"/>
      <c r="T234" s="444"/>
    </row>
    <row r="235" spans="10:20" x14ac:dyDescent="0.35">
      <c r="J235" s="444"/>
      <c r="K235" s="444"/>
      <c r="L235" s="444"/>
      <c r="M235" s="444"/>
      <c r="N235" s="444"/>
      <c r="O235" s="444"/>
      <c r="P235" s="444"/>
      <c r="Q235" s="444"/>
      <c r="R235" s="444"/>
      <c r="S235" s="444"/>
      <c r="T235" s="444"/>
    </row>
    <row r="236" spans="10:20" x14ac:dyDescent="0.35">
      <c r="J236" s="444"/>
      <c r="K236" s="444"/>
      <c r="L236" s="444"/>
      <c r="M236" s="444"/>
      <c r="N236" s="444"/>
      <c r="O236" s="444"/>
      <c r="P236" s="444"/>
      <c r="Q236" s="444"/>
      <c r="R236" s="444"/>
      <c r="S236" s="444"/>
      <c r="T236" s="444"/>
    </row>
    <row r="237" spans="10:20" x14ac:dyDescent="0.35">
      <c r="J237" s="444"/>
      <c r="K237" s="444"/>
      <c r="L237" s="444"/>
      <c r="M237" s="444"/>
      <c r="N237" s="444"/>
      <c r="O237" s="444"/>
      <c r="P237" s="444"/>
      <c r="Q237" s="444"/>
      <c r="R237" s="444"/>
      <c r="S237" s="444"/>
      <c r="T237" s="444"/>
    </row>
    <row r="238" spans="10:20" x14ac:dyDescent="0.35">
      <c r="J238" s="444"/>
      <c r="K238" s="444"/>
      <c r="L238" s="444"/>
      <c r="M238" s="444"/>
      <c r="N238" s="444"/>
      <c r="O238" s="444"/>
      <c r="P238" s="444"/>
      <c r="Q238" s="444"/>
      <c r="R238" s="444"/>
      <c r="S238" s="444"/>
      <c r="T238" s="444"/>
    </row>
    <row r="239" spans="10:20" x14ac:dyDescent="0.35">
      <c r="J239" s="444"/>
      <c r="K239" s="444"/>
      <c r="L239" s="444"/>
      <c r="M239" s="444"/>
      <c r="N239" s="444"/>
      <c r="O239" s="444"/>
      <c r="P239" s="444"/>
      <c r="Q239" s="444"/>
      <c r="R239" s="444"/>
      <c r="S239" s="444"/>
      <c r="T239" s="444"/>
    </row>
  </sheetData>
  <sheetProtection selectLockedCells="1"/>
  <mergeCells count="78">
    <mergeCell ref="D122:D128"/>
    <mergeCell ref="H122:H128"/>
    <mergeCell ref="J122:J128"/>
    <mergeCell ref="D66:D88"/>
    <mergeCell ref="F66:F76"/>
    <mergeCell ref="J92:T92"/>
    <mergeCell ref="L78:L86"/>
    <mergeCell ref="H66:H76"/>
    <mergeCell ref="J66:J76"/>
    <mergeCell ref="P122:P124"/>
    <mergeCell ref="L66:L74"/>
    <mergeCell ref="L122:L128"/>
    <mergeCell ref="N116:N120"/>
    <mergeCell ref="N122:N126"/>
    <mergeCell ref="N164:N168"/>
    <mergeCell ref="N130:N134"/>
    <mergeCell ref="V24:V90"/>
    <mergeCell ref="J178:T178"/>
    <mergeCell ref="P116:P118"/>
    <mergeCell ref="V116:V176"/>
    <mergeCell ref="P130:P132"/>
    <mergeCell ref="P62:P64"/>
    <mergeCell ref="N62:N64"/>
    <mergeCell ref="P66:P68"/>
    <mergeCell ref="N66:N70"/>
    <mergeCell ref="P78:P80"/>
    <mergeCell ref="N78:N82"/>
    <mergeCell ref="P148:P150"/>
    <mergeCell ref="P152:P154"/>
    <mergeCell ref="P164:P166"/>
    <mergeCell ref="F152:F162"/>
    <mergeCell ref="H152:H162"/>
    <mergeCell ref="N136:N140"/>
    <mergeCell ref="N148:N150"/>
    <mergeCell ref="N152:N156"/>
    <mergeCell ref="J152:J162"/>
    <mergeCell ref="L152:L160"/>
    <mergeCell ref="P24:P26"/>
    <mergeCell ref="N44:N48"/>
    <mergeCell ref="P44:P46"/>
    <mergeCell ref="L24:L28"/>
    <mergeCell ref="N50:N54"/>
    <mergeCell ref="N30:N34"/>
    <mergeCell ref="P30:P32"/>
    <mergeCell ref="L50:L58"/>
    <mergeCell ref="N24:N28"/>
    <mergeCell ref="N36:N40"/>
    <mergeCell ref="P36:P38"/>
    <mergeCell ref="L30:L34"/>
    <mergeCell ref="L36:L42"/>
    <mergeCell ref="D30:D42"/>
    <mergeCell ref="B2:J2"/>
    <mergeCell ref="F78:F88"/>
    <mergeCell ref="H78:H88"/>
    <mergeCell ref="J78:J88"/>
    <mergeCell ref="D22:F22"/>
    <mergeCell ref="B24:B90"/>
    <mergeCell ref="H30:H42"/>
    <mergeCell ref="J30:J42"/>
    <mergeCell ref="D50:D60"/>
    <mergeCell ref="H50:H60"/>
    <mergeCell ref="J50:J60"/>
    <mergeCell ref="B191:H191"/>
    <mergeCell ref="H205:H208"/>
    <mergeCell ref="P50:P52"/>
    <mergeCell ref="P136:P138"/>
    <mergeCell ref="H164:H174"/>
    <mergeCell ref="J164:J174"/>
    <mergeCell ref="L164:L172"/>
    <mergeCell ref="D114:F114"/>
    <mergeCell ref="B116:B176"/>
    <mergeCell ref="L116:L120"/>
    <mergeCell ref="F164:F174"/>
    <mergeCell ref="D136:D146"/>
    <mergeCell ref="H136:H146"/>
    <mergeCell ref="J136:J146"/>
    <mergeCell ref="L136:L144"/>
    <mergeCell ref="D152:D174"/>
  </mergeCells>
  <conditionalFormatting sqref="H102">
    <cfRule type="expression" dxfId="682" priority="281">
      <formula>H101=0</formula>
    </cfRule>
  </conditionalFormatting>
  <conditionalFormatting sqref="J102">
    <cfRule type="expression" dxfId="681" priority="280">
      <formula>J101=0</formula>
    </cfRule>
  </conditionalFormatting>
  <conditionalFormatting sqref="L102">
    <cfRule type="expression" dxfId="680" priority="279">
      <formula>L101=0</formula>
    </cfRule>
  </conditionalFormatting>
  <conditionalFormatting sqref="N102">
    <cfRule type="expression" dxfId="679" priority="278">
      <formula>N101=0</formula>
    </cfRule>
  </conditionalFormatting>
  <conditionalFormatting sqref="P102">
    <cfRule type="expression" dxfId="678" priority="277">
      <formula>P101=0</formula>
    </cfRule>
  </conditionalFormatting>
  <conditionalFormatting sqref="R102">
    <cfRule type="expression" dxfId="677" priority="276">
      <formula>R101=0</formula>
    </cfRule>
  </conditionalFormatting>
  <conditionalFormatting sqref="T102">
    <cfRule type="expression" dxfId="676" priority="275">
      <formula>T101=0</formula>
    </cfRule>
  </conditionalFormatting>
  <conditionalFormatting sqref="J116 J78 L78 J164 L164 J66 L66">
    <cfRule type="expression" dxfId="675" priority="163">
      <formula>J66=0</formula>
    </cfRule>
  </conditionalFormatting>
  <conditionalFormatting sqref="P116">
    <cfRule type="expression" dxfId="674" priority="162">
      <formula>P116=0</formula>
    </cfRule>
  </conditionalFormatting>
  <conditionalFormatting sqref="P120:P121 P127:P128">
    <cfRule type="expression" dxfId="673" priority="161">
      <formula>P120=0</formula>
    </cfRule>
  </conditionalFormatting>
  <conditionalFormatting sqref="R116">
    <cfRule type="expression" dxfId="672" priority="160">
      <formula>R116=0</formula>
    </cfRule>
  </conditionalFormatting>
  <conditionalFormatting sqref="J130:J136">
    <cfRule type="expression" dxfId="671" priority="159">
      <formula>J130=0</formula>
    </cfRule>
  </conditionalFormatting>
  <conditionalFormatting sqref="L130:L136">
    <cfRule type="expression" dxfId="670" priority="158">
      <formula>L130=0</formula>
    </cfRule>
  </conditionalFormatting>
  <conditionalFormatting sqref="J148:J152">
    <cfRule type="expression" dxfId="669" priority="157">
      <formula>J148=0</formula>
    </cfRule>
  </conditionalFormatting>
  <conditionalFormatting sqref="L148:L152">
    <cfRule type="expression" dxfId="668" priority="156">
      <formula>L148=0</formula>
    </cfRule>
  </conditionalFormatting>
  <conditionalFormatting sqref="N148">
    <cfRule type="expression" dxfId="667" priority="155">
      <formula>N148=0</formula>
    </cfRule>
  </conditionalFormatting>
  <conditionalFormatting sqref="N152">
    <cfRule type="expression" dxfId="666" priority="154">
      <formula>N152=0</formula>
    </cfRule>
  </conditionalFormatting>
  <conditionalFormatting sqref="L116">
    <cfRule type="expression" dxfId="665" priority="151">
      <formula>L116=0</formula>
    </cfRule>
  </conditionalFormatting>
  <conditionalFormatting sqref="N116">
    <cfRule type="expression" dxfId="664" priority="150">
      <formula>N116=0</formula>
    </cfRule>
  </conditionalFormatting>
  <conditionalFormatting sqref="R118">
    <cfRule type="expression" dxfId="663" priority="149">
      <formula>R118=0</formula>
    </cfRule>
  </conditionalFormatting>
  <conditionalFormatting sqref="T118">
    <cfRule type="expression" dxfId="662" priority="147">
      <formula>T118=0</formula>
    </cfRule>
  </conditionalFormatting>
  <conditionalFormatting sqref="N130">
    <cfRule type="expression" dxfId="661" priority="146">
      <formula>N130=0</formula>
    </cfRule>
  </conditionalFormatting>
  <conditionalFormatting sqref="P130">
    <cfRule type="expression" dxfId="660" priority="145">
      <formula>P130=0</formula>
    </cfRule>
  </conditionalFormatting>
  <conditionalFormatting sqref="P134">
    <cfRule type="expression" dxfId="659" priority="144">
      <formula>P134=0</formula>
    </cfRule>
  </conditionalFormatting>
  <conditionalFormatting sqref="R130">
    <cfRule type="expression" dxfId="658" priority="143">
      <formula>R130=0</formula>
    </cfRule>
  </conditionalFormatting>
  <conditionalFormatting sqref="R132">
    <cfRule type="expression" dxfId="657" priority="142">
      <formula>R132=0</formula>
    </cfRule>
  </conditionalFormatting>
  <conditionalFormatting sqref="T130">
    <cfRule type="expression" dxfId="656" priority="141">
      <formula>T130=0</formula>
    </cfRule>
  </conditionalFormatting>
  <conditionalFormatting sqref="T132">
    <cfRule type="expression" dxfId="655" priority="140">
      <formula>T132=0</formula>
    </cfRule>
  </conditionalFormatting>
  <conditionalFormatting sqref="P136">
    <cfRule type="expression" dxfId="654" priority="139">
      <formula>P136=0</formula>
    </cfRule>
  </conditionalFormatting>
  <conditionalFormatting sqref="P140">
    <cfRule type="expression" dxfId="653" priority="138">
      <formula>P140=0</formula>
    </cfRule>
  </conditionalFormatting>
  <conditionalFormatting sqref="N136">
    <cfRule type="expression" dxfId="652" priority="137">
      <formula>N136=0</formula>
    </cfRule>
  </conditionalFormatting>
  <conditionalFormatting sqref="L146">
    <cfRule type="expression" dxfId="651" priority="136">
      <formula>L146=0</formula>
    </cfRule>
  </conditionalFormatting>
  <conditionalFormatting sqref="L162">
    <cfRule type="expression" dxfId="650" priority="135">
      <formula>L162=0</formula>
    </cfRule>
  </conditionalFormatting>
  <conditionalFormatting sqref="N142">
    <cfRule type="expression" dxfId="649" priority="134">
      <formula>N142=0</formula>
    </cfRule>
  </conditionalFormatting>
  <conditionalFormatting sqref="N160">
    <cfRule type="expression" dxfId="648" priority="133">
      <formula>N160=0</formula>
    </cfRule>
  </conditionalFormatting>
  <conditionalFormatting sqref="N158">
    <cfRule type="expression" dxfId="647" priority="132">
      <formula>N158=0</formula>
    </cfRule>
  </conditionalFormatting>
  <conditionalFormatting sqref="P148">
    <cfRule type="expression" dxfId="646" priority="131">
      <formula>P148=0</formula>
    </cfRule>
  </conditionalFormatting>
  <conditionalFormatting sqref="P152">
    <cfRule type="expression" dxfId="645" priority="130">
      <formula>P152=0</formula>
    </cfRule>
  </conditionalFormatting>
  <conditionalFormatting sqref="R148">
    <cfRule type="expression" dxfId="644" priority="129">
      <formula>R148=0</formula>
    </cfRule>
  </conditionalFormatting>
  <conditionalFormatting sqref="R150">
    <cfRule type="expression" dxfId="643" priority="128">
      <formula>R150=0</formula>
    </cfRule>
  </conditionalFormatting>
  <conditionalFormatting sqref="T148">
    <cfRule type="expression" dxfId="642" priority="127">
      <formula>T148=0</formula>
    </cfRule>
  </conditionalFormatting>
  <conditionalFormatting sqref="T150">
    <cfRule type="expression" dxfId="641" priority="126">
      <formula>T150=0</formula>
    </cfRule>
  </conditionalFormatting>
  <conditionalFormatting sqref="R152">
    <cfRule type="expression" dxfId="640" priority="125">
      <formula>R152=0</formula>
    </cfRule>
  </conditionalFormatting>
  <conditionalFormatting sqref="R154">
    <cfRule type="expression" dxfId="639" priority="124">
      <formula>R154=0</formula>
    </cfRule>
  </conditionalFormatting>
  <conditionalFormatting sqref="T152">
    <cfRule type="expression" dxfId="638" priority="123">
      <formula>T152=0</formula>
    </cfRule>
  </conditionalFormatting>
  <conditionalFormatting sqref="T154">
    <cfRule type="expression" dxfId="637" priority="122">
      <formula>T154=0</formula>
    </cfRule>
  </conditionalFormatting>
  <conditionalFormatting sqref="R164">
    <cfRule type="expression" dxfId="636" priority="121">
      <formula>R164=0</formula>
    </cfRule>
  </conditionalFormatting>
  <conditionalFormatting sqref="R166">
    <cfRule type="expression" dxfId="635" priority="120">
      <formula>R166=0</formula>
    </cfRule>
  </conditionalFormatting>
  <conditionalFormatting sqref="T164">
    <cfRule type="expression" dxfId="634" priority="119">
      <formula>T164=0</formula>
    </cfRule>
  </conditionalFormatting>
  <conditionalFormatting sqref="T166">
    <cfRule type="expression" dxfId="633" priority="118">
      <formula>T166=0</formula>
    </cfRule>
  </conditionalFormatting>
  <conditionalFormatting sqref="P164">
    <cfRule type="expression" dxfId="632" priority="115">
      <formula>P164=0</formula>
    </cfRule>
  </conditionalFormatting>
  <conditionalFormatting sqref="P156">
    <cfRule type="expression" dxfId="631" priority="114">
      <formula>P156=0</formula>
    </cfRule>
  </conditionalFormatting>
  <conditionalFormatting sqref="P168">
    <cfRule type="expression" dxfId="630" priority="113">
      <formula>P168=0</formula>
    </cfRule>
  </conditionalFormatting>
  <conditionalFormatting sqref="N172">
    <cfRule type="expression" dxfId="629" priority="112">
      <formula>N172=0</formula>
    </cfRule>
  </conditionalFormatting>
  <conditionalFormatting sqref="N170">
    <cfRule type="expression" dxfId="628" priority="111">
      <formula>N170=0</formula>
    </cfRule>
  </conditionalFormatting>
  <conditionalFormatting sqref="L174">
    <cfRule type="expression" dxfId="627" priority="110">
      <formula>L174=0</formula>
    </cfRule>
  </conditionalFormatting>
  <conditionalFormatting sqref="J176">
    <cfRule type="expression" dxfId="626" priority="109">
      <formula>J176=0</formula>
    </cfRule>
  </conditionalFormatting>
  <conditionalFormatting sqref="N144">
    <cfRule type="expression" dxfId="625" priority="108">
      <formula>N144=0</formula>
    </cfRule>
  </conditionalFormatting>
  <conditionalFormatting sqref="N164">
    <cfRule type="expression" dxfId="624" priority="107">
      <formula>N164=0</formula>
    </cfRule>
  </conditionalFormatting>
  <conditionalFormatting sqref="J24">
    <cfRule type="expression" dxfId="623" priority="106">
      <formula>J24=0</formula>
    </cfRule>
  </conditionalFormatting>
  <conditionalFormatting sqref="P24">
    <cfRule type="expression" dxfId="622" priority="105">
      <formula>P24=0</formula>
    </cfRule>
  </conditionalFormatting>
  <conditionalFormatting sqref="P28">
    <cfRule type="expression" dxfId="621" priority="104">
      <formula>P28=0</formula>
    </cfRule>
  </conditionalFormatting>
  <conditionalFormatting sqref="R24">
    <cfRule type="expression" dxfId="620" priority="103">
      <formula>R24=0</formula>
    </cfRule>
  </conditionalFormatting>
  <conditionalFormatting sqref="J44:J50">
    <cfRule type="expression" dxfId="619" priority="102">
      <formula>J44=0</formula>
    </cfRule>
  </conditionalFormatting>
  <conditionalFormatting sqref="L44:L50">
    <cfRule type="expression" dxfId="618" priority="101">
      <formula>L44=0</formula>
    </cfRule>
  </conditionalFormatting>
  <conditionalFormatting sqref="J62:J65">
    <cfRule type="expression" dxfId="617" priority="100">
      <formula>J62=0</formula>
    </cfRule>
  </conditionalFormatting>
  <conditionalFormatting sqref="L62:L65">
    <cfRule type="expression" dxfId="616" priority="99">
      <formula>L62=0</formula>
    </cfRule>
  </conditionalFormatting>
  <conditionalFormatting sqref="N62">
    <cfRule type="expression" dxfId="615" priority="98">
      <formula>N62=0</formula>
    </cfRule>
  </conditionalFormatting>
  <conditionalFormatting sqref="N66">
    <cfRule type="expression" dxfId="614" priority="97">
      <formula>N66=0</formula>
    </cfRule>
  </conditionalFormatting>
  <conditionalFormatting sqref="L24">
    <cfRule type="expression" dxfId="613" priority="94">
      <formula>L24=0</formula>
    </cfRule>
  </conditionalFormatting>
  <conditionalFormatting sqref="N24">
    <cfRule type="expression" dxfId="612" priority="93">
      <formula>N24=0</formula>
    </cfRule>
  </conditionalFormatting>
  <conditionalFormatting sqref="R26">
    <cfRule type="expression" dxfId="611" priority="92">
      <formula>R26=0</formula>
    </cfRule>
  </conditionalFormatting>
  <conditionalFormatting sqref="T24">
    <cfRule type="expression" dxfId="610" priority="91">
      <formula>T24=0</formula>
    </cfRule>
  </conditionalFormatting>
  <conditionalFormatting sqref="T26">
    <cfRule type="expression" dxfId="609" priority="90">
      <formula>T26=0</formula>
    </cfRule>
  </conditionalFormatting>
  <conditionalFormatting sqref="N44">
    <cfRule type="expression" dxfId="608" priority="89">
      <formula>N44=0</formula>
    </cfRule>
  </conditionalFormatting>
  <conditionalFormatting sqref="P44">
    <cfRule type="expression" dxfId="607" priority="88">
      <formula>P44=0</formula>
    </cfRule>
  </conditionalFormatting>
  <conditionalFormatting sqref="P48">
    <cfRule type="expression" dxfId="606" priority="87">
      <formula>P48=0</formula>
    </cfRule>
  </conditionalFormatting>
  <conditionalFormatting sqref="R44">
    <cfRule type="expression" dxfId="605" priority="86">
      <formula>R44=0</formula>
    </cfRule>
  </conditionalFormatting>
  <conditionalFormatting sqref="R46">
    <cfRule type="expression" dxfId="604" priority="85">
      <formula>R46=0</formula>
    </cfRule>
  </conditionalFormatting>
  <conditionalFormatting sqref="T44">
    <cfRule type="expression" dxfId="603" priority="84">
      <formula>T44=0</formula>
    </cfRule>
  </conditionalFormatting>
  <conditionalFormatting sqref="T46">
    <cfRule type="expression" dxfId="602" priority="83">
      <formula>T46=0</formula>
    </cfRule>
  </conditionalFormatting>
  <conditionalFormatting sqref="P50">
    <cfRule type="expression" dxfId="601" priority="82">
      <formula>P50=0</formula>
    </cfRule>
  </conditionalFormatting>
  <conditionalFormatting sqref="P54">
    <cfRule type="expression" dxfId="600" priority="81">
      <formula>P54=0</formula>
    </cfRule>
  </conditionalFormatting>
  <conditionalFormatting sqref="N50">
    <cfRule type="expression" dxfId="599" priority="80">
      <formula>N50=0</formula>
    </cfRule>
  </conditionalFormatting>
  <conditionalFormatting sqref="L60">
    <cfRule type="expression" dxfId="598" priority="79">
      <formula>L60=0</formula>
    </cfRule>
  </conditionalFormatting>
  <conditionalFormatting sqref="L76">
    <cfRule type="expression" dxfId="597" priority="78">
      <formula>L76=0</formula>
    </cfRule>
  </conditionalFormatting>
  <conditionalFormatting sqref="N56">
    <cfRule type="expression" dxfId="596" priority="77">
      <formula>N56=0</formula>
    </cfRule>
  </conditionalFormatting>
  <conditionalFormatting sqref="N74">
    <cfRule type="expression" dxfId="595" priority="76">
      <formula>N74=0</formula>
    </cfRule>
  </conditionalFormatting>
  <conditionalFormatting sqref="N72">
    <cfRule type="expression" dxfId="594" priority="75">
      <formula>N72=0</formula>
    </cfRule>
  </conditionalFormatting>
  <conditionalFormatting sqref="P62">
    <cfRule type="expression" dxfId="593" priority="74">
      <formula>P62=0</formula>
    </cfRule>
  </conditionalFormatting>
  <conditionalFormatting sqref="P66">
    <cfRule type="expression" dxfId="592" priority="73">
      <formula>P66=0</formula>
    </cfRule>
  </conditionalFormatting>
  <conditionalFormatting sqref="R62">
    <cfRule type="expression" dxfId="591" priority="72">
      <formula>R62=0</formula>
    </cfRule>
  </conditionalFormatting>
  <conditionalFormatting sqref="R64">
    <cfRule type="expression" dxfId="590" priority="71">
      <formula>R64=0</formula>
    </cfRule>
  </conditionalFormatting>
  <conditionalFormatting sqref="T62">
    <cfRule type="expression" dxfId="589" priority="70">
      <formula>T62=0</formula>
    </cfRule>
  </conditionalFormatting>
  <conditionalFormatting sqref="T64">
    <cfRule type="expression" dxfId="588" priority="69">
      <formula>T64=0</formula>
    </cfRule>
  </conditionalFormatting>
  <conditionalFormatting sqref="R66">
    <cfRule type="expression" dxfId="587" priority="68">
      <formula>R66=0</formula>
    </cfRule>
  </conditionalFormatting>
  <conditionalFormatting sqref="R68">
    <cfRule type="expression" dxfId="586" priority="67">
      <formula>R68=0</formula>
    </cfRule>
  </conditionalFormatting>
  <conditionalFormatting sqref="T66">
    <cfRule type="expression" dxfId="585" priority="66">
      <formula>T66=0</formula>
    </cfRule>
  </conditionalFormatting>
  <conditionalFormatting sqref="T68">
    <cfRule type="expression" dxfId="584" priority="65">
      <formula>T68=0</formula>
    </cfRule>
  </conditionalFormatting>
  <conditionalFormatting sqref="R78">
    <cfRule type="expression" dxfId="583" priority="64">
      <formula>R78=0</formula>
    </cfRule>
  </conditionalFormatting>
  <conditionalFormatting sqref="R80">
    <cfRule type="expression" dxfId="582" priority="63">
      <formula>R80=0</formula>
    </cfRule>
  </conditionalFormatting>
  <conditionalFormatting sqref="T78">
    <cfRule type="expression" dxfId="581" priority="62">
      <formula>T78=0</formula>
    </cfRule>
  </conditionalFormatting>
  <conditionalFormatting sqref="T80">
    <cfRule type="expression" dxfId="580" priority="61">
      <formula>T80=0</formula>
    </cfRule>
  </conditionalFormatting>
  <conditionalFormatting sqref="P78">
    <cfRule type="expression" dxfId="579" priority="58">
      <formula>P78=0</formula>
    </cfRule>
  </conditionalFormatting>
  <conditionalFormatting sqref="P70">
    <cfRule type="expression" dxfId="578" priority="57">
      <formula>P70=0</formula>
    </cfRule>
  </conditionalFormatting>
  <conditionalFormatting sqref="P82">
    <cfRule type="expression" dxfId="577" priority="56">
      <formula>P82=0</formula>
    </cfRule>
  </conditionalFormatting>
  <conditionalFormatting sqref="N86">
    <cfRule type="expression" dxfId="576" priority="55">
      <formula>N86=0</formula>
    </cfRule>
  </conditionalFormatting>
  <conditionalFormatting sqref="N84">
    <cfRule type="expression" dxfId="575" priority="54">
      <formula>N84=0</formula>
    </cfRule>
  </conditionalFormatting>
  <conditionalFormatting sqref="L88">
    <cfRule type="expression" dxfId="574" priority="53">
      <formula>L88=0</formula>
    </cfRule>
  </conditionalFormatting>
  <conditionalFormatting sqref="J90">
    <cfRule type="expression" dxfId="573" priority="52">
      <formula>J90=0</formula>
    </cfRule>
  </conditionalFormatting>
  <conditionalFormatting sqref="N58">
    <cfRule type="expression" dxfId="572" priority="51">
      <formula>N58=0</formula>
    </cfRule>
  </conditionalFormatting>
  <conditionalFormatting sqref="N78">
    <cfRule type="expression" dxfId="571" priority="50">
      <formula>N78=0</formula>
    </cfRule>
  </conditionalFormatting>
  <conditionalFormatting sqref="R50">
    <cfRule type="expression" dxfId="570" priority="49">
      <formula>R50=0</formula>
    </cfRule>
  </conditionalFormatting>
  <conditionalFormatting sqref="R54">
    <cfRule type="expression" dxfId="569" priority="48">
      <formula>R54=0</formula>
    </cfRule>
  </conditionalFormatting>
  <conditionalFormatting sqref="T50">
    <cfRule type="expression" dxfId="568" priority="47">
      <formula>T50=0</formula>
    </cfRule>
  </conditionalFormatting>
  <conditionalFormatting sqref="T54">
    <cfRule type="expression" dxfId="567" priority="46">
      <formula>T54=0</formula>
    </cfRule>
  </conditionalFormatting>
  <conditionalFormatting sqref="R52">
    <cfRule type="expression" dxfId="566" priority="45">
      <formula>R52=0</formula>
    </cfRule>
  </conditionalFormatting>
  <conditionalFormatting sqref="T52">
    <cfRule type="expression" dxfId="565" priority="44">
      <formula>T52=0</formula>
    </cfRule>
  </conditionalFormatting>
  <conditionalFormatting sqref="R136">
    <cfRule type="expression" dxfId="564" priority="39">
      <formula>R136=0</formula>
    </cfRule>
  </conditionalFormatting>
  <conditionalFormatting sqref="R138">
    <cfRule type="expression" dxfId="563" priority="38">
      <formula>R138=0</formula>
    </cfRule>
  </conditionalFormatting>
  <conditionalFormatting sqref="T136">
    <cfRule type="expression" dxfId="562" priority="37">
      <formula>T136=0</formula>
    </cfRule>
  </conditionalFormatting>
  <conditionalFormatting sqref="T138">
    <cfRule type="expression" dxfId="561" priority="36">
      <formula>T138=0</formula>
    </cfRule>
  </conditionalFormatting>
  <conditionalFormatting sqref="T116">
    <cfRule type="expression" dxfId="560" priority="35">
      <formula>T116=0</formula>
    </cfRule>
  </conditionalFormatting>
  <conditionalFormatting sqref="P34">
    <cfRule type="expression" dxfId="559" priority="32">
      <formula>P34=0</formula>
    </cfRule>
  </conditionalFormatting>
  <conditionalFormatting sqref="T30">
    <cfRule type="expression" dxfId="558" priority="29">
      <formula>T30=0</formula>
    </cfRule>
  </conditionalFormatting>
  <conditionalFormatting sqref="T32">
    <cfRule type="expression" dxfId="557" priority="28">
      <formula>T32=0</formula>
    </cfRule>
  </conditionalFormatting>
  <conditionalFormatting sqref="P126">
    <cfRule type="expression" dxfId="556" priority="27">
      <formula>P126=0</formula>
    </cfRule>
  </conditionalFormatting>
  <conditionalFormatting sqref="R122">
    <cfRule type="expression" dxfId="555" priority="22">
      <formula>R122=0</formula>
    </cfRule>
  </conditionalFormatting>
  <conditionalFormatting sqref="R124">
    <cfRule type="expression" dxfId="554" priority="21">
      <formula>R124=0</formula>
    </cfRule>
  </conditionalFormatting>
  <conditionalFormatting sqref="T122">
    <cfRule type="expression" dxfId="553" priority="20">
      <formula>T122=0</formula>
    </cfRule>
  </conditionalFormatting>
  <conditionalFormatting sqref="T124">
    <cfRule type="expression" dxfId="552" priority="19">
      <formula>T124=0</formula>
    </cfRule>
  </conditionalFormatting>
  <conditionalFormatting sqref="J30">
    <cfRule type="expression" dxfId="551" priority="18">
      <formula>J30=0</formula>
    </cfRule>
  </conditionalFormatting>
  <conditionalFormatting sqref="J122">
    <cfRule type="expression" dxfId="550" priority="17">
      <formula>J122=0</formula>
    </cfRule>
  </conditionalFormatting>
  <conditionalFormatting sqref="P36">
    <cfRule type="expression" dxfId="549" priority="10">
      <formula>P36=0</formula>
    </cfRule>
  </conditionalFormatting>
  <conditionalFormatting sqref="P40">
    <cfRule type="expression" dxfId="548" priority="9">
      <formula>P40=0</formula>
    </cfRule>
  </conditionalFormatting>
  <conditionalFormatting sqref="N42">
    <cfRule type="expression" dxfId="547" priority="8">
      <formula>N42=0</formula>
    </cfRule>
  </conditionalFormatting>
  <conditionalFormatting sqref="R36">
    <cfRule type="expression" dxfId="546" priority="7">
      <formula>R36=0</formula>
    </cfRule>
  </conditionalFormatting>
  <conditionalFormatting sqref="T36">
    <cfRule type="expression" dxfId="545" priority="6">
      <formula>T36=0</formula>
    </cfRule>
  </conditionalFormatting>
  <conditionalFormatting sqref="R38">
    <cfRule type="expression" dxfId="544" priority="5">
      <formula>R38=0</formula>
    </cfRule>
  </conditionalFormatting>
  <conditionalFormatting sqref="T38">
    <cfRule type="expression" dxfId="543" priority="4">
      <formula>T38=0</formula>
    </cfRule>
  </conditionalFormatting>
  <conditionalFormatting sqref="R32">
    <cfRule type="expression" dxfId="542" priority="2">
      <formula>R32=0</formula>
    </cfRule>
  </conditionalFormatting>
  <conditionalFormatting sqref="R30">
    <cfRule type="expression" dxfId="541" priority="1">
      <formula>R30=0</formula>
    </cfRule>
  </conditionalFormatting>
  <dataValidations count="6">
    <dataValidation type="list" allowBlank="1" showInputMessage="1" showErrorMessage="1" sqref="L191">
      <formula1>$L$205:$L$208</formula1>
    </dataValidation>
    <dataValidation type="list" allowBlank="1" showInputMessage="1" showErrorMessage="1" sqref="N191">
      <formula1>$N$205:$N$208</formula1>
    </dataValidation>
    <dataValidation type="list" allowBlank="1" showInputMessage="1" showErrorMessage="1" sqref="P191">
      <formula1>$P$205:$P$209</formula1>
    </dataValidation>
    <dataValidation type="list" allowBlank="1" showInputMessage="1" showErrorMessage="1" sqref="R191">
      <formula1>$R$205:$R$208</formula1>
    </dataValidation>
    <dataValidation type="list" allowBlank="1" showInputMessage="1" showErrorMessage="1" sqref="T191">
      <formula1>$T$205:$T$208</formula1>
    </dataValidation>
    <dataValidation type="list" allowBlank="1" showInputMessage="1" showErrorMessage="1" sqref="J191">
      <formula1>$J$205:$J$206</formula1>
    </dataValidation>
  </dataValidations>
  <pageMargins left="0.7" right="0.7" top="0.75" bottom="0.75" header="0.3" footer="0.3"/>
  <pageSetup paperSize="9" orientation="portrait" r:id="rId1"/>
  <ignoredErrors>
    <ignoredError sqref="P12 P15" formula="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3"/>
  </sheetPr>
  <dimension ref="A1:S72"/>
  <sheetViews>
    <sheetView showGridLines="0" showRowColHeaders="0" topLeftCell="A2" zoomScale="80" zoomScaleNormal="80" workbookViewId="0">
      <pane ySplit="3" topLeftCell="A5" activePane="bottomLeft" state="frozen"/>
      <selection activeCell="A2" sqref="A2"/>
      <selection pane="bottomLeft" activeCell="A5" sqref="A5"/>
    </sheetView>
  </sheetViews>
  <sheetFormatPr defaultColWidth="9.1796875" defaultRowHeight="14.5" x14ac:dyDescent="0.35"/>
  <cols>
    <col min="1" max="1" width="3.26953125" style="11" customWidth="1"/>
    <col min="2" max="2" width="45" style="11" customWidth="1"/>
    <col min="3" max="3" width="2.7265625" style="80" customWidth="1"/>
    <col min="4" max="4" width="12.7265625" style="134" customWidth="1"/>
    <col min="5" max="5" width="2.7265625" style="363" customWidth="1"/>
    <col min="6" max="6" width="12.7265625" style="134" customWidth="1"/>
    <col min="7" max="7" width="2.7265625" style="363" customWidth="1"/>
    <col min="8" max="8" width="12.7265625" style="134" customWidth="1"/>
    <col min="9" max="9" width="2.7265625" style="363" customWidth="1"/>
    <col min="10" max="10" width="12.7265625" style="134" customWidth="1"/>
    <col min="11" max="11" width="2.7265625" style="363" customWidth="1"/>
    <col min="12" max="12" width="12.7265625" style="134" customWidth="1"/>
    <col min="13" max="13" width="2.7265625" style="363" customWidth="1"/>
    <col min="14" max="14" width="12.7265625" style="134" customWidth="1"/>
    <col min="15" max="15" width="2.7265625" style="363" customWidth="1"/>
    <col min="16" max="16" width="12.7265625" style="134" customWidth="1"/>
    <col min="17" max="17" width="2.7265625" style="363" customWidth="1"/>
    <col min="18" max="18" width="12.7265625" style="134" customWidth="1"/>
    <col min="19" max="19" width="3.26953125" style="11" customWidth="1"/>
    <col min="20" max="16384" width="9.1796875" style="11"/>
  </cols>
  <sheetData>
    <row r="1" spans="1:18" ht="18.5" hidden="1" x14ac:dyDescent="0.35">
      <c r="B1" s="13" t="e">
        <f>Overview_SLUDGE!#REF!</f>
        <v>#REF!</v>
      </c>
    </row>
    <row r="2" spans="1:18" s="691" customFormat="1" ht="36.75" customHeight="1" x14ac:dyDescent="0.45">
      <c r="B2" s="824" t="str">
        <f>Overview_SLUDGE!B1</f>
        <v>Any city in , the world</v>
      </c>
      <c r="C2" s="777"/>
      <c r="D2" s="778"/>
      <c r="E2" s="779"/>
      <c r="F2" s="778"/>
      <c r="G2" s="779"/>
      <c r="H2" s="778"/>
      <c r="I2" s="779"/>
      <c r="J2" s="778"/>
      <c r="K2" s="779"/>
      <c r="L2" s="778"/>
      <c r="M2" s="779"/>
      <c r="N2" s="778"/>
      <c r="O2" s="779"/>
      <c r="P2" s="778"/>
      <c r="Q2" s="779"/>
      <c r="R2" s="778"/>
    </row>
    <row r="3" spans="1:18" s="780" customFormat="1" ht="10.5" hidden="1" x14ac:dyDescent="0.25">
      <c r="C3" s="781"/>
      <c r="D3" s="782"/>
      <c r="E3" s="783"/>
      <c r="F3" s="782"/>
      <c r="G3" s="783"/>
      <c r="H3" s="782"/>
      <c r="I3" s="783"/>
      <c r="J3" s="782"/>
      <c r="K3" s="783"/>
      <c r="L3" s="782"/>
      <c r="M3" s="783"/>
      <c r="N3" s="782"/>
      <c r="O3" s="783"/>
      <c r="P3" s="782"/>
      <c r="Q3" s="783"/>
      <c r="R3" s="782"/>
    </row>
    <row r="4" spans="1:18" s="796" customFormat="1" ht="57" customHeight="1" thickBot="1" x14ac:dyDescent="0.4">
      <c r="B4" s="825" t="s">
        <v>164</v>
      </c>
      <c r="D4" s="797"/>
      <c r="E4" s="797"/>
      <c r="F4" s="797"/>
      <c r="G4" s="797"/>
      <c r="H4" s="797"/>
      <c r="I4" s="797"/>
      <c r="J4" s="797"/>
      <c r="K4" s="797"/>
      <c r="L4" s="797"/>
      <c r="M4" s="797"/>
      <c r="N4" s="797"/>
      <c r="O4" s="797"/>
      <c r="P4" s="797"/>
      <c r="Q4" s="797"/>
      <c r="R4" s="797"/>
    </row>
    <row r="5" spans="1:18" s="47" customFormat="1" ht="18" customHeight="1" x14ac:dyDescent="0.35">
      <c r="A5" s="1283"/>
      <c r="C5" s="116"/>
      <c r="D5" s="55"/>
      <c r="E5" s="114"/>
      <c r="F5" s="55"/>
      <c r="G5" s="114"/>
      <c r="H5" s="55"/>
      <c r="I5" s="114"/>
      <c r="J5" s="55"/>
      <c r="K5" s="114"/>
      <c r="L5" s="55"/>
      <c r="M5" s="114"/>
      <c r="N5" s="55"/>
      <c r="O5" s="114"/>
      <c r="P5" s="55"/>
      <c r="Q5" s="114"/>
      <c r="R5" s="55"/>
    </row>
    <row r="6" spans="1:18" s="47" customFormat="1" ht="18" customHeight="1" x14ac:dyDescent="0.35">
      <c r="C6" s="116"/>
      <c r="D6" s="1614" t="s">
        <v>165</v>
      </c>
      <c r="E6" s="1614"/>
      <c r="F6" s="1614"/>
      <c r="G6" s="1614"/>
      <c r="H6" s="1614"/>
      <c r="I6" s="1614"/>
      <c r="J6" s="1614"/>
      <c r="K6" s="1614"/>
      <c r="L6" s="1614"/>
      <c r="M6" s="1614"/>
      <c r="N6" s="1614"/>
      <c r="O6" s="1614"/>
      <c r="P6" s="1614"/>
      <c r="Q6" s="1614"/>
      <c r="R6" s="1614"/>
    </row>
    <row r="7" spans="1:18" s="47" customFormat="1" ht="18" customHeight="1" x14ac:dyDescent="0.35">
      <c r="C7" s="116"/>
      <c r="D7" s="55"/>
      <c r="E7" s="114"/>
      <c r="F7" s="55"/>
      <c r="G7" s="114"/>
      <c r="H7" s="55"/>
      <c r="I7" s="114"/>
      <c r="J7" s="55"/>
      <c r="K7" s="114"/>
      <c r="L7" s="55"/>
      <c r="M7" s="114"/>
      <c r="N7" s="55"/>
      <c r="O7" s="114"/>
      <c r="P7" s="55"/>
      <c r="Q7" s="114"/>
      <c r="R7" s="55"/>
    </row>
    <row r="8" spans="1:18" s="55" customFormat="1" ht="18" customHeight="1" x14ac:dyDescent="0.35">
      <c r="C8" s="114"/>
      <c r="D8" s="848" t="s">
        <v>31</v>
      </c>
      <c r="E8" s="363"/>
      <c r="F8" s="848" t="s">
        <v>14</v>
      </c>
      <c r="G8" s="849"/>
      <c r="H8" s="848" t="s">
        <v>16</v>
      </c>
      <c r="I8" s="849"/>
      <c r="J8" s="848" t="s">
        <v>18</v>
      </c>
      <c r="K8" s="849"/>
      <c r="L8" s="848" t="s">
        <v>19</v>
      </c>
      <c r="M8" s="849"/>
      <c r="N8" s="848" t="s">
        <v>20</v>
      </c>
      <c r="O8" s="849"/>
      <c r="P8" s="848" t="s">
        <v>21</v>
      </c>
      <c r="Q8" s="849"/>
      <c r="R8" s="848" t="s">
        <v>22</v>
      </c>
    </row>
    <row r="9" spans="1:18" s="47" customFormat="1" ht="18" customHeight="1" x14ac:dyDescent="0.35">
      <c r="C9" s="116"/>
      <c r="D9" s="55"/>
      <c r="E9" s="114"/>
      <c r="F9" s="55"/>
      <c r="G9" s="114"/>
      <c r="H9" s="55"/>
      <c r="I9" s="114"/>
      <c r="J9" s="55"/>
      <c r="K9" s="114"/>
      <c r="L9" s="55"/>
      <c r="M9" s="114"/>
      <c r="N9" s="55"/>
      <c r="O9" s="114"/>
      <c r="P9" s="55"/>
      <c r="Q9" s="114"/>
      <c r="R9" s="55"/>
    </row>
    <row r="10" spans="1:18" ht="18" customHeight="1" x14ac:dyDescent="0.35">
      <c r="B10" s="784" t="s">
        <v>32</v>
      </c>
      <c r="C10" s="362"/>
      <c r="D10" s="862">
        <f>AVERAGE(D11:D12)</f>
        <v>0.5</v>
      </c>
      <c r="E10" s="364"/>
      <c r="F10" s="786"/>
      <c r="G10" s="364"/>
      <c r="H10" s="786"/>
      <c r="I10" s="364"/>
      <c r="J10" s="786"/>
      <c r="K10" s="364"/>
      <c r="L10" s="786"/>
      <c r="M10" s="364"/>
      <c r="N10" s="786"/>
      <c r="O10" s="364"/>
      <c r="P10" s="786"/>
      <c r="Q10" s="364"/>
      <c r="R10" s="786"/>
    </row>
    <row r="11" spans="1:18" s="47" customFormat="1" ht="18" customHeight="1" x14ac:dyDescent="0.35">
      <c r="B11" s="785" t="s">
        <v>166</v>
      </c>
      <c r="C11" s="361"/>
      <c r="D11" s="1467">
        <f>'Government &amp; city wide SC'!H18</f>
        <v>0.5</v>
      </c>
      <c r="E11" s="365"/>
      <c r="F11" s="1461"/>
      <c r="G11" s="365"/>
      <c r="H11" s="1461"/>
      <c r="I11" s="365"/>
      <c r="J11" s="1461"/>
      <c r="K11" s="365"/>
      <c r="L11" s="1461"/>
      <c r="M11" s="365"/>
      <c r="N11" s="1461"/>
      <c r="O11" s="365"/>
      <c r="P11" s="1461"/>
      <c r="Q11" s="365"/>
      <c r="R11" s="1461"/>
    </row>
    <row r="12" spans="1:18" s="47" customFormat="1" ht="18" customHeight="1" x14ac:dyDescent="0.35">
      <c r="B12" s="785" t="s">
        <v>167</v>
      </c>
      <c r="C12" s="361"/>
      <c r="D12" s="1467">
        <f>'Government &amp; city wide SC'!H33</f>
        <v>0.5</v>
      </c>
      <c r="E12" s="365"/>
      <c r="F12" s="1461"/>
      <c r="G12" s="365"/>
      <c r="H12" s="1461"/>
      <c r="I12" s="365"/>
      <c r="J12" s="1461"/>
      <c r="K12" s="365"/>
      <c r="L12" s="1461"/>
      <c r="M12" s="365"/>
      <c r="N12" s="1461"/>
      <c r="O12" s="365"/>
      <c r="P12" s="1461"/>
      <c r="Q12" s="365"/>
      <c r="R12" s="1461"/>
    </row>
    <row r="13" spans="1:18" s="47" customFormat="1" ht="18" customHeight="1" x14ac:dyDescent="0.35">
      <c r="C13" s="116"/>
      <c r="D13" s="55"/>
      <c r="E13" s="114"/>
      <c r="F13" s="55"/>
      <c r="G13" s="114"/>
      <c r="H13" s="55"/>
      <c r="I13" s="114"/>
      <c r="J13" s="55"/>
      <c r="K13" s="114"/>
      <c r="L13" s="55"/>
      <c r="M13" s="114"/>
      <c r="N13" s="55"/>
      <c r="O13" s="114"/>
      <c r="P13" s="55"/>
      <c r="Q13" s="114"/>
      <c r="R13" s="55"/>
    </row>
    <row r="14" spans="1:18" ht="18" customHeight="1" x14ac:dyDescent="0.35">
      <c r="B14" s="784" t="s">
        <v>33</v>
      </c>
      <c r="C14" s="362"/>
      <c r="D14" s="787">
        <f>D48</f>
        <v>0</v>
      </c>
      <c r="E14" s="364"/>
      <c r="F14" s="1621" t="str">
        <f>F48</f>
        <v>NA</v>
      </c>
      <c r="G14" s="1621"/>
      <c r="H14" s="1621"/>
      <c r="I14" s="364"/>
      <c r="J14" s="787" t="str">
        <f>J48</f>
        <v>NA</v>
      </c>
      <c r="K14" s="364"/>
      <c r="L14" s="787" t="str">
        <f>L48</f>
        <v>NA</v>
      </c>
      <c r="M14" s="364"/>
      <c r="N14" s="787" t="str">
        <f>N48</f>
        <v>NA</v>
      </c>
      <c r="O14" s="364"/>
      <c r="P14" s="787" t="str">
        <f>P48</f>
        <v>NA</v>
      </c>
      <c r="Q14" s="364"/>
      <c r="R14" s="787" t="str">
        <f>R48</f>
        <v>NA</v>
      </c>
    </row>
    <row r="15" spans="1:18" s="47" customFormat="1" ht="18" customHeight="1" x14ac:dyDescent="0.35">
      <c r="B15" s="785" t="s">
        <v>168</v>
      </c>
      <c r="C15" s="361"/>
      <c r="D15" s="1467">
        <f>'Government &amp; city wide SC'!H60</f>
        <v>0</v>
      </c>
      <c r="E15" s="365"/>
      <c r="F15" s="1619"/>
      <c r="G15" s="1619"/>
      <c r="H15" s="1619"/>
      <c r="I15" s="365"/>
      <c r="J15" s="1461"/>
      <c r="K15" s="365"/>
      <c r="L15" s="1461"/>
      <c r="M15" s="365"/>
      <c r="N15" s="1461"/>
      <c r="O15" s="365"/>
      <c r="P15" s="1461"/>
      <c r="Q15" s="365"/>
      <c r="R15" s="1461"/>
    </row>
    <row r="16" spans="1:18" s="47" customFormat="1" ht="18" customHeight="1" x14ac:dyDescent="0.35">
      <c r="B16" s="785" t="s">
        <v>169</v>
      </c>
      <c r="C16" s="361"/>
      <c r="D16" s="1467">
        <f>'Government &amp; city wide SC'!H78</f>
        <v>0</v>
      </c>
      <c r="E16" s="365"/>
      <c r="F16" s="1619"/>
      <c r="G16" s="1619"/>
      <c r="H16" s="1619"/>
      <c r="I16" s="365"/>
      <c r="J16" s="1461"/>
      <c r="K16" s="365"/>
      <c r="L16" s="1461"/>
      <c r="M16" s="365"/>
      <c r="N16" s="1461"/>
      <c r="O16" s="365"/>
      <c r="P16" s="1461"/>
      <c r="Q16" s="365"/>
      <c r="R16" s="1461"/>
    </row>
    <row r="17" spans="2:18" s="47" customFormat="1" ht="18" customHeight="1" x14ac:dyDescent="0.35">
      <c r="B17" s="785" t="s">
        <v>170</v>
      </c>
      <c r="C17" s="361"/>
      <c r="D17" s="1461"/>
      <c r="E17" s="365"/>
      <c r="F17" s="1620" t="str">
        <f>'Capture Containment SC'!H50</f>
        <v/>
      </c>
      <c r="G17" s="1620"/>
      <c r="H17" s="1620"/>
      <c r="I17" s="365"/>
      <c r="J17" s="1467" t="str">
        <f>'Emptying SC'!H86</f>
        <v/>
      </c>
      <c r="K17" s="365"/>
      <c r="L17" s="1467" t="str">
        <f>'Transport SC'!H68</f>
        <v/>
      </c>
      <c r="M17" s="365"/>
      <c r="N17" s="1467" t="str">
        <f>'Treatment SC'!H69</f>
        <v/>
      </c>
      <c r="O17" s="365"/>
      <c r="P17" s="1467" t="str">
        <f>'Disposal SC'!H79</f>
        <v/>
      </c>
      <c r="Q17" s="365"/>
      <c r="R17" s="1467" t="str">
        <f>'Disposal SC'!H115</f>
        <v/>
      </c>
    </row>
    <row r="18" spans="2:18" s="47" customFormat="1" ht="18" customHeight="1" x14ac:dyDescent="0.35">
      <c r="B18" s="785" t="s">
        <v>171</v>
      </c>
      <c r="C18" s="361"/>
      <c r="D18" s="1461"/>
      <c r="E18" s="365"/>
      <c r="F18" s="1620" t="str">
        <f>'Capture Containment SC'!H68</f>
        <v/>
      </c>
      <c r="G18" s="1620"/>
      <c r="H18" s="1620"/>
      <c r="I18" s="365"/>
      <c r="J18" s="1467" t="str">
        <f>'Emptying SC'!H104</f>
        <v/>
      </c>
      <c r="K18" s="365"/>
      <c r="L18" s="1467" t="str">
        <f>'Transport SC'!H86</f>
        <v/>
      </c>
      <c r="M18" s="365"/>
      <c r="N18" s="1467" t="str">
        <f>'Treatment SC'!H87</f>
        <v/>
      </c>
      <c r="O18" s="365"/>
      <c r="P18" s="1467" t="str">
        <f>'Disposal SC'!H97</f>
        <v/>
      </c>
      <c r="Q18" s="365"/>
      <c r="R18" s="1467" t="str">
        <f>'Disposal SC'!H133</f>
        <v/>
      </c>
    </row>
    <row r="19" spans="2:18" s="47" customFormat="1" ht="18" customHeight="1" x14ac:dyDescent="0.35">
      <c r="C19" s="116"/>
      <c r="D19" s="55"/>
      <c r="E19" s="114"/>
      <c r="F19" s="55"/>
      <c r="G19" s="114"/>
      <c r="H19" s="55"/>
      <c r="I19" s="114"/>
      <c r="J19" s="55"/>
      <c r="K19" s="114"/>
      <c r="L19" s="55"/>
      <c r="M19" s="114"/>
      <c r="N19" s="55"/>
      <c r="O19" s="114"/>
      <c r="P19" s="55"/>
      <c r="Q19" s="114"/>
      <c r="R19" s="55"/>
    </row>
    <row r="20" spans="2:18" ht="18" customHeight="1" x14ac:dyDescent="0.35">
      <c r="B20" s="784" t="s">
        <v>172</v>
      </c>
      <c r="C20" s="362"/>
      <c r="D20" s="786"/>
      <c r="E20" s="364"/>
      <c r="F20" s="1621">
        <f>AVERAGE(F21:F29)</f>
        <v>0.28888888888888892</v>
      </c>
      <c r="G20" s="1621"/>
      <c r="H20" s="1621"/>
      <c r="I20" s="364"/>
      <c r="J20" s="1462">
        <f>AVERAGE(J21:J26)</f>
        <v>0</v>
      </c>
      <c r="K20" s="364"/>
      <c r="L20" s="1462">
        <f>AVERAGE(L21:L26)</f>
        <v>0</v>
      </c>
      <c r="M20" s="364"/>
      <c r="N20" s="1462">
        <f>N58</f>
        <v>0.1</v>
      </c>
      <c r="O20" s="364"/>
      <c r="P20" s="1462">
        <f>AVERAGE(P21:P26)</f>
        <v>0.2</v>
      </c>
      <c r="Q20" s="364"/>
      <c r="R20" s="1462">
        <f>AVERAGE(R21:R26)</f>
        <v>0.2</v>
      </c>
    </row>
    <row r="21" spans="2:18" s="47" customFormat="1" ht="18" customHeight="1" x14ac:dyDescent="0.35">
      <c r="B21" s="785" t="s">
        <v>173</v>
      </c>
      <c r="C21" s="361"/>
      <c r="D21" s="1461"/>
      <c r="E21" s="365"/>
      <c r="F21" s="1620">
        <f>'Capture Containment SC'!H18</f>
        <v>0.2</v>
      </c>
      <c r="G21" s="1620"/>
      <c r="H21" s="1620"/>
      <c r="I21" s="365"/>
      <c r="J21" s="1467" t="str">
        <f>'Emptying SC'!H86</f>
        <v/>
      </c>
      <c r="K21" s="365"/>
      <c r="L21" s="1461"/>
      <c r="M21" s="365"/>
      <c r="N21" s="1461"/>
      <c r="O21" s="365"/>
      <c r="P21" s="1461"/>
      <c r="Q21" s="365"/>
      <c r="R21" s="1461"/>
    </row>
    <row r="22" spans="2:18" s="47" customFormat="1" ht="18" customHeight="1" x14ac:dyDescent="0.35">
      <c r="B22" s="785" t="s">
        <v>174</v>
      </c>
      <c r="C22" s="116"/>
      <c r="D22" s="846"/>
      <c r="E22" s="416"/>
      <c r="F22" s="1619"/>
      <c r="G22" s="1619"/>
      <c r="H22" s="1619"/>
      <c r="I22" s="416"/>
      <c r="J22" s="454">
        <f>'Emptying SC'!H18</f>
        <v>0</v>
      </c>
      <c r="K22" s="365"/>
      <c r="L22" s="1467">
        <f>'Transport SC'!H18</f>
        <v>0</v>
      </c>
      <c r="M22" s="365"/>
      <c r="N22" s="1461"/>
      <c r="O22" s="365"/>
      <c r="P22" s="1461"/>
      <c r="Q22" s="365"/>
      <c r="R22" s="1461"/>
    </row>
    <row r="23" spans="2:18" s="47" customFormat="1" ht="18" customHeight="1" x14ac:dyDescent="0.35">
      <c r="B23" s="785" t="s">
        <v>175</v>
      </c>
      <c r="C23" s="361"/>
      <c r="D23" s="1461"/>
      <c r="E23" s="365"/>
      <c r="F23" s="1618"/>
      <c r="G23" s="1618"/>
      <c r="H23" s="1618"/>
      <c r="I23" s="365"/>
      <c r="J23" s="847"/>
      <c r="K23" s="365"/>
      <c r="L23" s="847"/>
      <c r="M23" s="365"/>
      <c r="N23" s="1467">
        <f>'Treatment SC'!H19</f>
        <v>0.2</v>
      </c>
      <c r="O23" s="365"/>
      <c r="P23" s="1461"/>
      <c r="Q23" s="365"/>
      <c r="R23" s="1461"/>
    </row>
    <row r="24" spans="2:18" s="47" customFormat="1" ht="18" customHeight="1" x14ac:dyDescent="0.35">
      <c r="B24" s="785" t="s">
        <v>176</v>
      </c>
      <c r="C24" s="361"/>
      <c r="D24" s="1461"/>
      <c r="E24" s="365"/>
      <c r="F24" s="1619"/>
      <c r="G24" s="1619"/>
      <c r="H24" s="1619"/>
      <c r="I24" s="365"/>
      <c r="J24" s="1461"/>
      <c r="K24" s="365"/>
      <c r="L24" s="1461"/>
      <c r="M24" s="365"/>
      <c r="N24" s="1467">
        <f>'Treatment SC'!H36</f>
        <v>0</v>
      </c>
      <c r="O24" s="365"/>
      <c r="P24" s="1461"/>
      <c r="Q24" s="365"/>
      <c r="R24" s="1461"/>
    </row>
    <row r="25" spans="2:18" s="47" customFormat="1" ht="18" customHeight="1" x14ac:dyDescent="0.35">
      <c r="B25" s="785" t="s">
        <v>177</v>
      </c>
      <c r="C25" s="361"/>
      <c r="D25" s="1461"/>
      <c r="E25" s="365"/>
      <c r="F25" s="1618"/>
      <c r="G25" s="1618"/>
      <c r="H25" s="1618"/>
      <c r="I25" s="365"/>
      <c r="J25" s="1464"/>
      <c r="K25" s="365"/>
      <c r="L25" s="1464"/>
      <c r="M25" s="365"/>
      <c r="N25" s="1461"/>
      <c r="O25" s="365"/>
      <c r="P25" s="1467">
        <f>'Disposal SC'!H18</f>
        <v>0.2</v>
      </c>
      <c r="Q25" s="365"/>
      <c r="R25" s="1467">
        <f>'Disposal SC'!H18</f>
        <v>0.2</v>
      </c>
    </row>
    <row r="26" spans="2:18" s="47" customFormat="1" ht="18" customHeight="1" x14ac:dyDescent="0.35">
      <c r="B26" s="785" t="s">
        <v>178</v>
      </c>
      <c r="C26" s="361"/>
      <c r="D26" s="1461"/>
      <c r="E26" s="365"/>
      <c r="F26" s="1618"/>
      <c r="G26" s="1618"/>
      <c r="H26" s="1618"/>
      <c r="I26" s="365"/>
      <c r="J26" s="1464"/>
      <c r="K26" s="365"/>
      <c r="L26" s="1464"/>
      <c r="M26" s="365"/>
      <c r="N26" s="1461"/>
      <c r="O26" s="365"/>
      <c r="P26" s="1461"/>
      <c r="Q26" s="365"/>
      <c r="R26" s="1467">
        <f>'Disposal SC'!H33</f>
        <v>0.2</v>
      </c>
    </row>
    <row r="27" spans="2:18" s="47" customFormat="1" ht="18" customHeight="1" x14ac:dyDescent="0.35">
      <c r="C27" s="116"/>
      <c r="D27" s="55"/>
      <c r="E27" s="114"/>
      <c r="F27" s="55"/>
      <c r="G27" s="114"/>
      <c r="H27" s="55"/>
      <c r="I27" s="114"/>
      <c r="J27" s="55"/>
      <c r="K27" s="114"/>
      <c r="L27" s="55"/>
      <c r="M27" s="114"/>
      <c r="N27" s="55"/>
      <c r="O27" s="114"/>
      <c r="P27" s="55"/>
      <c r="Q27" s="114"/>
      <c r="R27" s="55"/>
    </row>
    <row r="28" spans="2:18" ht="18" customHeight="1" x14ac:dyDescent="0.35">
      <c r="B28" s="784" t="s">
        <v>35</v>
      </c>
      <c r="C28" s="362"/>
      <c r="D28" s="786"/>
      <c r="E28" s="364"/>
      <c r="F28" s="1621">
        <f>F29</f>
        <v>0.33333333333333331</v>
      </c>
      <c r="G28" s="1621"/>
      <c r="H28" s="1621"/>
      <c r="I28" s="364"/>
      <c r="J28" s="1462">
        <f>J30</f>
        <v>0</v>
      </c>
      <c r="K28" s="364"/>
      <c r="L28" s="1462">
        <f>L30</f>
        <v>0</v>
      </c>
      <c r="M28" s="364"/>
      <c r="N28" s="1462">
        <f>N29</f>
        <v>0.66666666666666663</v>
      </c>
      <c r="O28" s="364"/>
      <c r="P28" s="1462">
        <f>P29</f>
        <v>0.66666666666666663</v>
      </c>
      <c r="Q28" s="364"/>
      <c r="R28" s="1462">
        <f>R29</f>
        <v>0.66666666666666663</v>
      </c>
    </row>
    <row r="29" spans="2:18" s="47" customFormat="1" ht="18" customHeight="1" x14ac:dyDescent="0.35">
      <c r="B29" s="785" t="s">
        <v>179</v>
      </c>
      <c r="C29" s="361"/>
      <c r="D29" s="1461"/>
      <c r="E29" s="365"/>
      <c r="F29" s="1620">
        <f>'Capture Containment SC'!H32</f>
        <v>0.33333333333333331</v>
      </c>
      <c r="G29" s="1620"/>
      <c r="H29" s="1620"/>
      <c r="I29" s="365"/>
      <c r="J29" s="1467" t="str">
        <f>'Emptying SC'!H104</f>
        <v/>
      </c>
      <c r="K29" s="365"/>
      <c r="L29" s="1461"/>
      <c r="M29" s="365"/>
      <c r="N29" s="1467">
        <f>'Treatment SC'!H50</f>
        <v>0.66666666666666663</v>
      </c>
      <c r="O29" s="365"/>
      <c r="P29" s="1467">
        <f>'Disposal SC'!H47</f>
        <v>0.66666666666666663</v>
      </c>
      <c r="Q29" s="365"/>
      <c r="R29" s="1467">
        <f>'Disposal SC'!H61</f>
        <v>0.66666666666666663</v>
      </c>
    </row>
    <row r="30" spans="2:18" s="47" customFormat="1" ht="18" customHeight="1" x14ac:dyDescent="0.35">
      <c r="B30" s="785" t="s">
        <v>180</v>
      </c>
      <c r="C30" s="361"/>
      <c r="D30" s="1461"/>
      <c r="E30" s="365"/>
      <c r="F30" s="1619"/>
      <c r="G30" s="1619"/>
      <c r="H30" s="1619"/>
      <c r="I30" s="365"/>
      <c r="J30" s="1467">
        <f>'Emptying SC'!H68</f>
        <v>0</v>
      </c>
      <c r="K30" s="365"/>
      <c r="L30" s="1467">
        <f>'Transport SC'!H50</f>
        <v>0</v>
      </c>
      <c r="M30" s="365"/>
      <c r="N30" s="1461"/>
      <c r="O30" s="365"/>
      <c r="P30" s="1461"/>
      <c r="Q30" s="365"/>
      <c r="R30" s="1461"/>
    </row>
    <row r="31" spans="2:18" s="47" customFormat="1" ht="18" customHeight="1" x14ac:dyDescent="0.35">
      <c r="C31" s="116"/>
      <c r="D31" s="55"/>
      <c r="E31" s="114"/>
      <c r="F31" s="55"/>
      <c r="G31" s="114"/>
      <c r="H31" s="55"/>
      <c r="I31" s="114"/>
      <c r="J31" s="55"/>
      <c r="K31" s="114"/>
      <c r="L31" s="55"/>
      <c r="M31" s="114"/>
      <c r="N31" s="55"/>
      <c r="O31" s="114"/>
      <c r="P31" s="55"/>
      <c r="Q31" s="114"/>
      <c r="R31" s="55"/>
    </row>
    <row r="32" spans="2:18" ht="18" customHeight="1" x14ac:dyDescent="0.35">
      <c r="B32" s="784" t="s">
        <v>36</v>
      </c>
      <c r="C32" s="362"/>
      <c r="D32" s="786"/>
      <c r="E32" s="364"/>
      <c r="F32" s="1621"/>
      <c r="G32" s="1621"/>
      <c r="H32" s="1621"/>
      <c r="I32" s="364"/>
      <c r="J32" s="1462">
        <f>AVERAGE(J34:J35)</f>
        <v>0</v>
      </c>
      <c r="K32" s="364"/>
      <c r="L32" s="1462">
        <f>AVERAGE(L34:L35)</f>
        <v>0.2857142857142857</v>
      </c>
      <c r="M32" s="364"/>
      <c r="N32" s="786"/>
      <c r="O32" s="364"/>
      <c r="P32" s="786"/>
      <c r="Q32" s="364"/>
      <c r="R32" s="786"/>
    </row>
    <row r="33" spans="2:18" s="47" customFormat="1" ht="18" customHeight="1" x14ac:dyDescent="0.35">
      <c r="B33" s="785" t="s">
        <v>181</v>
      </c>
      <c r="C33" s="116"/>
      <c r="D33" s="846"/>
      <c r="E33" s="416"/>
      <c r="F33" s="1619"/>
      <c r="G33" s="1619"/>
      <c r="H33" s="1619"/>
      <c r="I33" s="416"/>
      <c r="J33" s="454" t="str">
        <f>'Emptying SC'!H36</f>
        <v/>
      </c>
      <c r="K33" s="416"/>
      <c r="L33" s="846"/>
      <c r="M33" s="416"/>
      <c r="N33" s="846"/>
      <c r="O33" s="416"/>
      <c r="P33" s="846"/>
      <c r="Q33" s="416"/>
      <c r="R33" s="846"/>
    </row>
    <row r="34" spans="2:18" s="47" customFormat="1" ht="18" customHeight="1" x14ac:dyDescent="0.35">
      <c r="B34" s="785" t="s">
        <v>182</v>
      </c>
      <c r="C34" s="116"/>
      <c r="D34" s="846"/>
      <c r="E34" s="416"/>
      <c r="F34" s="1619"/>
      <c r="G34" s="1619"/>
      <c r="H34" s="1619"/>
      <c r="I34" s="416"/>
      <c r="J34" s="454">
        <f>'Emptying SC'!H54</f>
        <v>0</v>
      </c>
      <c r="K34" s="416"/>
      <c r="L34" s="454">
        <f>'Transport SC'!H36</f>
        <v>0.2857142857142857</v>
      </c>
      <c r="M34" s="416"/>
      <c r="N34" s="846"/>
      <c r="O34" s="416"/>
      <c r="P34" s="846"/>
      <c r="Q34" s="416"/>
      <c r="R34" s="846"/>
    </row>
    <row r="36" spans="2:18" s="47" customFormat="1" ht="13" x14ac:dyDescent="0.35">
      <c r="C36" s="116"/>
      <c r="D36" s="55"/>
      <c r="E36" s="114"/>
      <c r="F36" s="55"/>
      <c r="G36" s="114"/>
      <c r="H36" s="55"/>
      <c r="I36" s="114"/>
      <c r="J36" s="55"/>
      <c r="K36" s="114"/>
      <c r="L36" s="55"/>
      <c r="M36" s="114"/>
      <c r="N36" s="55"/>
      <c r="O36" s="114"/>
      <c r="P36" s="55"/>
      <c r="Q36" s="114"/>
      <c r="R36" s="55"/>
    </row>
    <row r="37" spans="2:18" s="47" customFormat="1" ht="13" x14ac:dyDescent="0.35">
      <c r="C37" s="116"/>
      <c r="D37" s="55"/>
      <c r="E37" s="114"/>
      <c r="F37" s="55"/>
      <c r="G37" s="114"/>
      <c r="H37" s="55"/>
      <c r="I37" s="114"/>
      <c r="J37" s="55"/>
      <c r="K37" s="114"/>
      <c r="L37" s="55"/>
      <c r="M37" s="114"/>
      <c r="N37" s="55"/>
      <c r="O37" s="114"/>
      <c r="P37" s="55"/>
      <c r="Q37" s="114"/>
      <c r="R37" s="55"/>
    </row>
    <row r="38" spans="2:18" s="47" customFormat="1" ht="13" x14ac:dyDescent="0.35">
      <c r="C38" s="116"/>
      <c r="D38" s="55"/>
      <c r="E38" s="114"/>
      <c r="F38" s="55"/>
      <c r="G38" s="114"/>
      <c r="H38" s="55"/>
      <c r="I38" s="114"/>
      <c r="J38" s="55"/>
      <c r="K38" s="114"/>
      <c r="L38" s="55"/>
      <c r="M38" s="114"/>
      <c r="N38" s="55"/>
      <c r="O38" s="114"/>
      <c r="P38" s="55"/>
      <c r="Q38" s="114"/>
      <c r="R38" s="55"/>
    </row>
    <row r="39" spans="2:18" s="47" customFormat="1" ht="13" x14ac:dyDescent="0.35">
      <c r="C39" s="116"/>
      <c r="D39" s="55"/>
      <c r="E39" s="114"/>
      <c r="F39" s="55"/>
      <c r="G39" s="114"/>
      <c r="H39" s="55"/>
      <c r="I39" s="114"/>
      <c r="J39" s="55"/>
      <c r="K39" s="114"/>
      <c r="L39" s="55"/>
      <c r="M39" s="114"/>
      <c r="N39" s="55"/>
      <c r="O39" s="114"/>
      <c r="P39" s="55"/>
      <c r="Q39" s="114"/>
      <c r="R39" s="55"/>
    </row>
    <row r="40" spans="2:18" s="47" customFormat="1" ht="13" x14ac:dyDescent="0.35">
      <c r="C40" s="116"/>
      <c r="D40" s="55"/>
      <c r="E40" s="114"/>
      <c r="F40" s="55"/>
      <c r="G40" s="114"/>
      <c r="H40" s="55"/>
      <c r="I40" s="114"/>
      <c r="J40" s="55"/>
      <c r="K40" s="114"/>
      <c r="L40" s="55"/>
      <c r="M40" s="114"/>
      <c r="N40" s="55"/>
      <c r="O40" s="114"/>
      <c r="P40" s="55"/>
      <c r="Q40" s="114"/>
      <c r="R40" s="55"/>
    </row>
    <row r="41" spans="2:18" s="47" customFormat="1" ht="13" x14ac:dyDescent="0.35">
      <c r="C41" s="116"/>
      <c r="D41" s="55"/>
      <c r="E41" s="114"/>
      <c r="F41" s="55"/>
      <c r="G41" s="114"/>
      <c r="H41" s="55"/>
      <c r="I41" s="114"/>
      <c r="J41" s="55"/>
      <c r="K41" s="114"/>
      <c r="L41" s="55"/>
      <c r="M41" s="114"/>
      <c r="N41" s="55"/>
      <c r="O41" s="114"/>
      <c r="P41" s="55"/>
      <c r="Q41" s="114"/>
      <c r="R41" s="55"/>
    </row>
    <row r="42" spans="2:18" s="47" customFormat="1" ht="13" x14ac:dyDescent="0.35">
      <c r="C42" s="116"/>
      <c r="D42" s="55"/>
      <c r="E42" s="114"/>
      <c r="F42" s="55"/>
      <c r="G42" s="114"/>
      <c r="H42" s="55"/>
      <c r="I42" s="114"/>
      <c r="J42" s="55"/>
      <c r="K42" s="114"/>
      <c r="L42" s="55"/>
      <c r="M42" s="114"/>
      <c r="N42" s="55"/>
      <c r="O42" s="114"/>
      <c r="P42" s="55"/>
      <c r="Q42" s="114"/>
      <c r="R42" s="55"/>
    </row>
    <row r="43" spans="2:18" s="47" customFormat="1" ht="13" x14ac:dyDescent="0.35">
      <c r="C43" s="116"/>
      <c r="D43" s="55"/>
      <c r="E43" s="114"/>
      <c r="F43" s="55"/>
      <c r="G43" s="114"/>
      <c r="H43" s="55"/>
      <c r="I43" s="114"/>
      <c r="J43" s="55"/>
      <c r="K43" s="114"/>
      <c r="L43" s="55"/>
      <c r="M43" s="114"/>
      <c r="N43" s="55"/>
      <c r="O43" s="114"/>
      <c r="P43" s="55"/>
      <c r="Q43" s="114"/>
      <c r="R43" s="55"/>
    </row>
    <row r="44" spans="2:18" s="47" customFormat="1" ht="13" x14ac:dyDescent="0.35">
      <c r="C44" s="788"/>
      <c r="D44" s="55"/>
      <c r="E44" s="114"/>
      <c r="F44" s="55"/>
      <c r="G44" s="114"/>
      <c r="H44" s="55"/>
      <c r="I44" s="114"/>
      <c r="J44" s="55"/>
      <c r="K44" s="114"/>
      <c r="L44" s="55"/>
      <c r="M44" s="114"/>
      <c r="N44" s="55"/>
      <c r="O44" s="114"/>
      <c r="P44" s="55"/>
      <c r="Q44" s="114"/>
      <c r="R44" s="55"/>
    </row>
    <row r="45" spans="2:18" s="47" customFormat="1" ht="13" x14ac:dyDescent="0.35">
      <c r="C45" s="788"/>
      <c r="D45" s="55"/>
      <c r="E45" s="114"/>
      <c r="F45" s="55"/>
      <c r="G45" s="114"/>
      <c r="H45" s="55"/>
      <c r="I45" s="114"/>
      <c r="J45" s="55"/>
      <c r="K45" s="114"/>
      <c r="L45" s="55"/>
      <c r="M45" s="114"/>
      <c r="N45" s="55"/>
      <c r="O45" s="114"/>
      <c r="P45" s="55"/>
      <c r="Q45" s="114"/>
      <c r="R45" s="55"/>
    </row>
    <row r="46" spans="2:18" s="47" customFormat="1" ht="13" x14ac:dyDescent="0.35">
      <c r="C46" s="788"/>
      <c r="D46" s="55"/>
      <c r="E46" s="790"/>
      <c r="F46" s="55"/>
      <c r="G46" s="114"/>
      <c r="H46" s="55"/>
      <c r="I46" s="114"/>
      <c r="J46" s="55"/>
      <c r="K46" s="114"/>
      <c r="L46" s="55"/>
      <c r="M46" s="114"/>
      <c r="N46" s="55"/>
      <c r="O46" s="97"/>
      <c r="P46" s="55"/>
      <c r="Q46" s="97"/>
      <c r="R46" s="55"/>
    </row>
    <row r="47" spans="2:18" s="47" customFormat="1" ht="13" x14ac:dyDescent="0.35">
      <c r="C47" s="788"/>
      <c r="D47" s="55"/>
      <c r="E47" s="790"/>
      <c r="F47" s="55"/>
      <c r="G47" s="114"/>
      <c r="H47" s="55"/>
      <c r="I47" s="114"/>
      <c r="J47" s="55"/>
      <c r="K47" s="97"/>
      <c r="L47" s="55"/>
      <c r="M47" s="97"/>
      <c r="N47" s="55"/>
      <c r="O47" s="97"/>
      <c r="P47" s="55"/>
      <c r="Q47" s="97"/>
      <c r="R47" s="55"/>
    </row>
    <row r="48" spans="2:18" s="47" customFormat="1" ht="15" customHeight="1" x14ac:dyDescent="0.35">
      <c r="B48" s="793" t="s">
        <v>33</v>
      </c>
      <c r="C48" s="788"/>
      <c r="D48" s="1465">
        <f>IF(AND(D54="N/A",D55="N/A"),"N/A",IF(AND(D54="N/A",D55&gt;=0),D55,IF(AND(D54&gt;0,D55="N/A"),D54,AVERAGE(D54:D55))))</f>
        <v>0</v>
      </c>
      <c r="E48" s="790"/>
      <c r="F48" s="1613" t="str">
        <f>IF(AND(F54="N/A",F55="N/A"),"NA",IF(AND(F54="N/A",F55&gt;=0),F55,IF(AND(F54&gt;0,F55="N/A"),F54,AVERAGE(F54:F55))))</f>
        <v>NA</v>
      </c>
      <c r="G48" s="1613"/>
      <c r="H48" s="1613"/>
      <c r="I48" s="97"/>
      <c r="J48" s="1465" t="str">
        <f>IF(AND(J54="N/A",J55="N/A"),"NA",IF(AND(J54="N/A",J55&gt;=0),J55,IF(AND(J54&gt;0,J55="N/A"),J54,AVERAGE(J54:J55))))</f>
        <v>NA</v>
      </c>
      <c r="K48" s="97"/>
      <c r="L48" s="1465" t="str">
        <f>IF(AND(L54="N/A",L55="N/A"),"NA",IF(AND(L54="N/A",L55&gt;=0),L55,IF(AND(L54&gt;0,L55="N/A"),L54,AVERAGE(L54:L55))))</f>
        <v>NA</v>
      </c>
      <c r="M48" s="97"/>
      <c r="N48" s="1465" t="str">
        <f>IF(AND(N54="N/A",N55="N/A"),"NA",IF(AND(N54="N/A",N55&gt;=0),N55,IF(AND(N54&gt;0,N55="N/A"),N54,AVERAGE(N54:N55))))</f>
        <v>NA</v>
      </c>
      <c r="O48" s="97"/>
      <c r="P48" s="1465" t="str">
        <f>IF(AND(P54="N/A",P55="N/A"),"NA",IF(AND(P54="N/A",P55&gt;=0),P55,IF(AND(P54&gt;0,P55="N/A"),P54,AVERAGE(P54:P55))))</f>
        <v>NA</v>
      </c>
      <c r="Q48" s="97"/>
      <c r="R48" s="1465" t="str">
        <f>IF(AND(R54="N/A",R55="N/A"),"NA",IF(AND(R54="N/A",R55&gt;=0),R55,IF(AND(R54&gt;0,R55="N/A"),R54,AVERAGE(R54:R55))))</f>
        <v>NA</v>
      </c>
    </row>
    <row r="49" spans="2:19" s="47" customFormat="1" ht="15" customHeight="1" x14ac:dyDescent="0.35">
      <c r="B49" s="794" t="s">
        <v>183</v>
      </c>
      <c r="C49" s="788"/>
      <c r="D49" s="278">
        <f>D15</f>
        <v>0</v>
      </c>
      <c r="E49" s="97"/>
      <c r="F49" s="1615"/>
      <c r="G49" s="1615"/>
      <c r="H49" s="1615"/>
      <c r="I49" s="97"/>
      <c r="J49" s="1463"/>
      <c r="K49" s="97"/>
      <c r="L49" s="1463"/>
      <c r="M49" s="97"/>
      <c r="N49" s="1463"/>
      <c r="O49" s="97"/>
      <c r="P49" s="1463"/>
      <c r="Q49" s="97"/>
      <c r="R49" s="1463"/>
      <c r="S49" s="117"/>
    </row>
    <row r="50" spans="2:19" s="47" customFormat="1" ht="15" customHeight="1" x14ac:dyDescent="0.35">
      <c r="B50" s="794" t="s">
        <v>184</v>
      </c>
      <c r="C50" s="788"/>
      <c r="D50" s="278">
        <f>D16</f>
        <v>0</v>
      </c>
      <c r="E50" s="97"/>
      <c r="F50" s="1615"/>
      <c r="G50" s="1615"/>
      <c r="H50" s="1615"/>
      <c r="I50" s="97"/>
      <c r="J50" s="1463"/>
      <c r="K50" s="97"/>
      <c r="L50" s="1463"/>
      <c r="M50" s="97"/>
      <c r="N50" s="1463"/>
      <c r="O50" s="97"/>
      <c r="P50" s="1463"/>
      <c r="Q50" s="97"/>
      <c r="R50" s="1463"/>
      <c r="S50" s="117"/>
    </row>
    <row r="51" spans="2:19" s="47" customFormat="1" ht="15" customHeight="1" x14ac:dyDescent="0.35">
      <c r="B51" s="794" t="s">
        <v>185</v>
      </c>
      <c r="C51" s="788"/>
      <c r="D51" s="1463"/>
      <c r="E51" s="97"/>
      <c r="F51" s="1622" t="str">
        <f>F17</f>
        <v/>
      </c>
      <c r="G51" s="1622"/>
      <c r="H51" s="1622"/>
      <c r="I51" s="97"/>
      <c r="J51" s="1468" t="str">
        <f>J17</f>
        <v/>
      </c>
      <c r="K51" s="97"/>
      <c r="L51" s="1468" t="str">
        <f>L17</f>
        <v/>
      </c>
      <c r="M51" s="97"/>
      <c r="N51" s="1468" t="str">
        <f>N17</f>
        <v/>
      </c>
      <c r="O51" s="97"/>
      <c r="P51" s="1468" t="str">
        <f>P17</f>
        <v/>
      </c>
      <c r="Q51" s="97"/>
      <c r="R51" s="1468" t="str">
        <f>R17</f>
        <v/>
      </c>
      <c r="S51" s="117"/>
    </row>
    <row r="52" spans="2:19" s="47" customFormat="1" ht="15" customHeight="1" x14ac:dyDescent="0.35">
      <c r="B52" s="794" t="s">
        <v>186</v>
      </c>
      <c r="C52" s="788"/>
      <c r="D52" s="1463"/>
      <c r="E52" s="97"/>
      <c r="F52" s="1622" t="str">
        <f>F18</f>
        <v/>
      </c>
      <c r="G52" s="1622"/>
      <c r="H52" s="1622"/>
      <c r="I52" s="97"/>
      <c r="J52" s="1468" t="str">
        <f>J18</f>
        <v/>
      </c>
      <c r="K52" s="97"/>
      <c r="L52" s="1468" t="str">
        <f>L18</f>
        <v/>
      </c>
      <c r="M52" s="97"/>
      <c r="N52" s="1468" t="str">
        <f>N18</f>
        <v/>
      </c>
      <c r="O52" s="97"/>
      <c r="P52" s="1468" t="str">
        <f>P18</f>
        <v/>
      </c>
      <c r="Q52" s="97"/>
      <c r="R52" s="1468" t="str">
        <f>R18</f>
        <v/>
      </c>
      <c r="S52" s="117"/>
    </row>
    <row r="53" spans="2:19" s="47" customFormat="1" ht="15" customHeight="1" x14ac:dyDescent="0.35">
      <c r="B53" s="117"/>
      <c r="C53" s="788"/>
      <c r="D53" s="55"/>
      <c r="E53" s="790"/>
      <c r="F53" s="414"/>
      <c r="G53" s="114"/>
      <c r="H53" s="414"/>
      <c r="I53" s="114"/>
      <c r="J53" s="414"/>
      <c r="K53" s="114"/>
      <c r="L53" s="414"/>
      <c r="M53" s="114"/>
      <c r="N53" s="414"/>
      <c r="O53" s="114"/>
      <c r="P53" s="414"/>
      <c r="Q53" s="114"/>
      <c r="R53" s="414"/>
    </row>
    <row r="54" spans="2:19" ht="15" customHeight="1" x14ac:dyDescent="0.35">
      <c r="B54" s="794" t="s">
        <v>185</v>
      </c>
      <c r="C54" s="789"/>
      <c r="D54" s="1469">
        <f>IF(D49="","N/A",D49)</f>
        <v>0</v>
      </c>
      <c r="E54" s="791"/>
      <c r="F54" s="1623" t="str">
        <f>IF(F51="","N/A",F51)</f>
        <v>N/A</v>
      </c>
      <c r="G54" s="1623"/>
      <c r="H54" s="1623"/>
      <c r="J54" s="1469" t="str">
        <f>IF(J51="","N/A",J51)</f>
        <v>N/A</v>
      </c>
      <c r="L54" s="1469" t="str">
        <f>IF(L51="","N/A",L51)</f>
        <v>N/A</v>
      </c>
      <c r="N54" s="1469" t="str">
        <f>IF(N51="","N/A",N51)</f>
        <v>N/A</v>
      </c>
      <c r="P54" s="1469" t="str">
        <f>IF(P51="","N/A",P51)</f>
        <v>N/A</v>
      </c>
      <c r="R54" s="1469" t="str">
        <f>IF(R51="","N/A",R51)</f>
        <v>N/A</v>
      </c>
    </row>
    <row r="55" spans="2:19" ht="15" customHeight="1" x14ac:dyDescent="0.35">
      <c r="B55" s="794" t="s">
        <v>186</v>
      </c>
      <c r="C55" s="1616"/>
      <c r="D55" s="1469">
        <f>IF(D50="","N/A",D50)</f>
        <v>0</v>
      </c>
      <c r="E55" s="1616"/>
      <c r="F55" s="1623" t="str">
        <f>IF(F52="","N/A",F52)</f>
        <v>N/A</v>
      </c>
      <c r="G55" s="1623"/>
      <c r="H55" s="1623"/>
      <c r="I55" s="1617"/>
      <c r="J55" s="1469" t="str">
        <f>IF(J52="","N/A",J52)</f>
        <v>N/A</v>
      </c>
      <c r="K55" s="1617"/>
      <c r="L55" s="1469" t="str">
        <f>IF(L52="","N/A",L52)</f>
        <v>N/A</v>
      </c>
      <c r="M55" s="1617"/>
      <c r="N55" s="1469" t="str">
        <f>IF(N52="","N/A",N52)</f>
        <v>N/A</v>
      </c>
      <c r="O55" s="1617"/>
      <c r="P55" s="1469" t="str">
        <f>IF(P52="","N/A",P52)</f>
        <v>N/A</v>
      </c>
      <c r="Q55" s="1617"/>
      <c r="R55" s="1469" t="str">
        <f>IF(R52="","N/A",R52)</f>
        <v>N/A</v>
      </c>
    </row>
    <row r="56" spans="2:19" ht="15" customHeight="1" x14ac:dyDescent="0.35">
      <c r="C56" s="1616"/>
      <c r="E56" s="1616"/>
      <c r="G56" s="415"/>
      <c r="I56" s="1617"/>
      <c r="K56" s="1617"/>
      <c r="M56" s="1617"/>
      <c r="O56" s="1617"/>
      <c r="Q56" s="1617"/>
    </row>
    <row r="57" spans="2:19" ht="15" customHeight="1" x14ac:dyDescent="0.35">
      <c r="C57" s="789"/>
      <c r="E57" s="791"/>
    </row>
    <row r="58" spans="2:19" s="47" customFormat="1" ht="15" customHeight="1" x14ac:dyDescent="0.35">
      <c r="B58" s="793" t="s">
        <v>172</v>
      </c>
      <c r="C58" s="788"/>
      <c r="D58" s="1465"/>
      <c r="E58" s="790"/>
      <c r="F58" s="1613"/>
      <c r="G58" s="1613"/>
      <c r="H58" s="1613"/>
      <c r="I58" s="795"/>
      <c r="J58" s="1465"/>
      <c r="K58" s="795"/>
      <c r="L58" s="1465"/>
      <c r="M58" s="795"/>
      <c r="N58" s="1465">
        <f>IF(AND(N63="N/A",N64="N/A"),"N/A",IF(AND(N63="N/A",N64&gt;=0),N64,IF(AND(N63&gt;0,N64="N/A"),N63,AVERAGE(N63:N64))))</f>
        <v>0.1</v>
      </c>
      <c r="O58" s="795"/>
      <c r="P58" s="1465"/>
      <c r="Q58" s="795"/>
      <c r="R58" s="1465"/>
    </row>
    <row r="59" spans="2:19" s="47" customFormat="1" ht="15" customHeight="1" x14ac:dyDescent="0.35">
      <c r="B59" s="794" t="s">
        <v>187</v>
      </c>
      <c r="C59" s="788"/>
      <c r="D59" s="1463"/>
      <c r="E59" s="790"/>
      <c r="F59" s="1615"/>
      <c r="G59" s="1615"/>
      <c r="H59" s="1615"/>
      <c r="I59" s="114"/>
      <c r="J59" s="1463"/>
      <c r="K59" s="114"/>
      <c r="L59" s="1463"/>
      <c r="M59" s="114"/>
      <c r="N59" s="1463"/>
      <c r="O59" s="114"/>
      <c r="P59" s="1463"/>
      <c r="Q59" s="114"/>
      <c r="R59" s="1463"/>
    </row>
    <row r="60" spans="2:19" s="47" customFormat="1" ht="15" customHeight="1" x14ac:dyDescent="0.35">
      <c r="B60" s="794" t="s">
        <v>188</v>
      </c>
      <c r="C60" s="788"/>
      <c r="D60" s="1463"/>
      <c r="E60" s="790"/>
      <c r="F60" s="1615"/>
      <c r="G60" s="1615"/>
      <c r="H60" s="1615"/>
      <c r="I60" s="97"/>
      <c r="J60" s="1463"/>
      <c r="K60" s="97"/>
      <c r="L60" s="1463"/>
      <c r="M60" s="97"/>
      <c r="N60" s="1468">
        <f>N23</f>
        <v>0.2</v>
      </c>
      <c r="O60" s="97"/>
      <c r="P60" s="1463"/>
      <c r="Q60" s="97"/>
      <c r="R60" s="1463"/>
    </row>
    <row r="61" spans="2:19" s="47" customFormat="1" ht="15" customHeight="1" x14ac:dyDescent="0.35">
      <c r="B61" s="794" t="s">
        <v>189</v>
      </c>
      <c r="C61" s="788"/>
      <c r="D61" s="1463"/>
      <c r="E61" s="790"/>
      <c r="F61" s="1615"/>
      <c r="G61" s="1615"/>
      <c r="H61" s="1615"/>
      <c r="I61" s="97"/>
      <c r="J61" s="1463"/>
      <c r="K61" s="97"/>
      <c r="L61" s="1463"/>
      <c r="M61" s="97"/>
      <c r="N61" s="1468">
        <f>N24</f>
        <v>0</v>
      </c>
      <c r="O61" s="97"/>
      <c r="P61" s="1463"/>
      <c r="Q61" s="97"/>
      <c r="R61" s="1463"/>
    </row>
    <row r="62" spans="2:19" s="47" customFormat="1" ht="15" customHeight="1" x14ac:dyDescent="0.35">
      <c r="C62" s="788"/>
      <c r="D62" s="792"/>
      <c r="E62" s="790"/>
      <c r="F62" s="55"/>
      <c r="G62" s="114"/>
      <c r="H62" s="55"/>
      <c r="I62" s="114"/>
      <c r="J62" s="55"/>
      <c r="K62" s="114"/>
      <c r="L62" s="55"/>
      <c r="M62" s="114"/>
      <c r="N62" s="55"/>
      <c r="O62" s="114"/>
      <c r="P62" s="55"/>
      <c r="Q62" s="114"/>
      <c r="R62" s="55"/>
    </row>
    <row r="63" spans="2:19" s="117" customFormat="1" ht="15" customHeight="1" x14ac:dyDescent="0.35">
      <c r="B63" s="794" t="s">
        <v>188</v>
      </c>
      <c r="C63" s="788"/>
      <c r="D63" s="1463"/>
      <c r="E63" s="790"/>
      <c r="F63" s="1615"/>
      <c r="G63" s="1615"/>
      <c r="H63" s="1615"/>
      <c r="I63" s="97"/>
      <c r="J63" s="1463"/>
      <c r="K63" s="97"/>
      <c r="L63" s="1463"/>
      <c r="M63" s="97"/>
      <c r="N63" s="454">
        <f>IF(N60="","N/A",N60)</f>
        <v>0.2</v>
      </c>
      <c r="O63" s="97"/>
      <c r="P63" s="1463"/>
      <c r="Q63" s="97"/>
      <c r="R63" s="1463"/>
    </row>
    <row r="64" spans="2:19" s="117" customFormat="1" ht="15" customHeight="1" x14ac:dyDescent="0.35">
      <c r="B64" s="794" t="s">
        <v>189</v>
      </c>
      <c r="C64" s="788"/>
      <c r="D64" s="1463"/>
      <c r="E64" s="790"/>
      <c r="F64" s="1615"/>
      <c r="G64" s="1615"/>
      <c r="H64" s="1615"/>
      <c r="I64" s="97"/>
      <c r="J64" s="1463"/>
      <c r="K64" s="97"/>
      <c r="L64" s="1463"/>
      <c r="M64" s="97"/>
      <c r="N64" s="454">
        <f>IF(N61="","N/A",N61)</f>
        <v>0</v>
      </c>
      <c r="O64" s="97"/>
      <c r="P64" s="1463"/>
      <c r="Q64" s="97"/>
      <c r="R64" s="1463"/>
    </row>
    <row r="65" spans="2:18" s="47" customFormat="1" ht="15" customHeight="1" x14ac:dyDescent="0.35">
      <c r="C65" s="788"/>
      <c r="D65" s="792"/>
      <c r="E65" s="790"/>
      <c r="F65" s="55"/>
      <c r="G65" s="114"/>
      <c r="H65" s="55"/>
      <c r="I65" s="114"/>
      <c r="J65" s="55"/>
      <c r="K65" s="114"/>
      <c r="L65" s="55"/>
      <c r="M65" s="114"/>
      <c r="N65" s="55"/>
      <c r="O65" s="114"/>
      <c r="P65" s="55"/>
      <c r="Q65" s="114"/>
      <c r="R65" s="55"/>
    </row>
    <row r="66" spans="2:18" s="47" customFormat="1" ht="15" customHeight="1" x14ac:dyDescent="0.35">
      <c r="C66" s="116"/>
      <c r="D66" s="55"/>
      <c r="E66" s="114"/>
      <c r="F66" s="55"/>
      <c r="G66" s="114"/>
      <c r="H66" s="55"/>
      <c r="I66" s="114"/>
      <c r="J66" s="55"/>
      <c r="K66" s="114"/>
      <c r="L66" s="55"/>
      <c r="M66" s="114"/>
      <c r="N66" s="55"/>
      <c r="O66" s="114"/>
      <c r="P66" s="55"/>
      <c r="Q66" s="114"/>
      <c r="R66" s="55"/>
    </row>
    <row r="67" spans="2:18" s="47" customFormat="1" ht="15" customHeight="1" x14ac:dyDescent="0.35">
      <c r="B67" s="793" t="s">
        <v>36</v>
      </c>
      <c r="C67" s="122"/>
      <c r="D67" s="1465"/>
      <c r="E67" s="97"/>
      <c r="F67" s="1613"/>
      <c r="G67" s="1613"/>
      <c r="H67" s="1613"/>
      <c r="I67" s="97"/>
      <c r="J67" s="1465">
        <f>IF(AND(J72="N/A",J71="N/A"),"NA",IF(AND(J72="N/A",J71&gt;=0),J72,IF(AND(J71&gt;0,J75="N/A"),J71,AVERAGE(J72:J73))))</f>
        <v>0</v>
      </c>
      <c r="K67" s="795"/>
      <c r="L67" s="1465">
        <f>IF(AND(L72="N/A",L71="N/A"),"NA",IF(AND(L72="N/A",L71&gt;=0),L72,IF(AND(L71&gt;0,L75="N/A"),L71,AVERAGE(L72:L73))))</f>
        <v>0.2857142857142857</v>
      </c>
      <c r="M67" s="795"/>
      <c r="N67" s="1465"/>
      <c r="O67" s="795"/>
      <c r="P67" s="1465"/>
      <c r="Q67" s="795"/>
      <c r="R67" s="1465"/>
    </row>
    <row r="68" spans="2:18" s="47" customFormat="1" ht="15" customHeight="1" x14ac:dyDescent="0.35">
      <c r="B68" s="794" t="s">
        <v>190</v>
      </c>
      <c r="C68" s="122"/>
      <c r="D68" s="1463"/>
      <c r="E68" s="97"/>
      <c r="F68" s="1615"/>
      <c r="G68" s="1615"/>
      <c r="H68" s="1615"/>
      <c r="I68" s="97"/>
      <c r="J68" s="1468" t="str">
        <f>J33</f>
        <v/>
      </c>
      <c r="K68" s="97"/>
      <c r="L68" s="1468">
        <f>L33</f>
        <v>0</v>
      </c>
      <c r="M68" s="97"/>
      <c r="N68" s="1463"/>
      <c r="O68" s="97"/>
      <c r="P68" s="1463"/>
      <c r="Q68" s="97"/>
      <c r="R68" s="1463"/>
    </row>
    <row r="69" spans="2:18" s="47" customFormat="1" ht="15" customHeight="1" x14ac:dyDescent="0.35">
      <c r="B69" s="794" t="s">
        <v>191</v>
      </c>
      <c r="C69" s="122"/>
      <c r="D69" s="1463"/>
      <c r="E69" s="97"/>
      <c r="F69" s="1615"/>
      <c r="G69" s="1615"/>
      <c r="H69" s="1615"/>
      <c r="I69" s="97"/>
      <c r="J69" s="1468">
        <f>J34</f>
        <v>0</v>
      </c>
      <c r="K69" s="97"/>
      <c r="L69" s="1468">
        <f>L34</f>
        <v>0.2857142857142857</v>
      </c>
      <c r="M69" s="97"/>
      <c r="N69" s="1463"/>
      <c r="O69" s="97"/>
      <c r="P69" s="1463"/>
      <c r="Q69" s="97"/>
      <c r="R69" s="1463"/>
    </row>
    <row r="70" spans="2:18" s="47" customFormat="1" ht="15" customHeight="1" x14ac:dyDescent="0.35">
      <c r="C70" s="116"/>
      <c r="D70" s="55"/>
      <c r="E70" s="114"/>
      <c r="F70" s="55"/>
      <c r="G70" s="114"/>
      <c r="H70" s="55"/>
      <c r="I70" s="114"/>
      <c r="J70" s="55"/>
      <c r="K70" s="114"/>
      <c r="L70" s="55"/>
      <c r="M70" s="114"/>
      <c r="N70" s="55"/>
      <c r="O70" s="114"/>
      <c r="P70" s="55"/>
      <c r="Q70" s="114"/>
      <c r="R70" s="55"/>
    </row>
    <row r="71" spans="2:18" s="117" customFormat="1" ht="15" customHeight="1" x14ac:dyDescent="0.35">
      <c r="B71" s="794" t="s">
        <v>190</v>
      </c>
      <c r="C71" s="122"/>
      <c r="D71" s="1463"/>
      <c r="E71" s="97"/>
      <c r="F71" s="1615"/>
      <c r="G71" s="1615"/>
      <c r="H71" s="1615"/>
      <c r="I71" s="97"/>
      <c r="J71" s="454" t="str">
        <f>IF(J68="","N/A",J68)</f>
        <v>N/A</v>
      </c>
      <c r="K71" s="97"/>
      <c r="L71" s="454">
        <f>IF(L68="","N/A",L68)</f>
        <v>0</v>
      </c>
      <c r="M71" s="97"/>
      <c r="N71" s="1463"/>
      <c r="O71" s="97"/>
      <c r="P71" s="1463"/>
      <c r="Q71" s="97"/>
      <c r="R71" s="1463"/>
    </row>
    <row r="72" spans="2:18" s="117" customFormat="1" ht="15" customHeight="1" x14ac:dyDescent="0.35">
      <c r="B72" s="794" t="s">
        <v>191</v>
      </c>
      <c r="C72" s="122"/>
      <c r="D72" s="1463"/>
      <c r="E72" s="97"/>
      <c r="F72" s="1615"/>
      <c r="G72" s="1615"/>
      <c r="H72" s="1615"/>
      <c r="I72" s="97"/>
      <c r="J72" s="454">
        <f>IF(J69="","N/A",J69)</f>
        <v>0</v>
      </c>
      <c r="K72" s="97"/>
      <c r="L72" s="454">
        <f>IF(L69="","N/A",L69)</f>
        <v>0.2857142857142857</v>
      </c>
      <c r="M72" s="97"/>
      <c r="N72" s="1463"/>
      <c r="O72" s="97"/>
      <c r="P72" s="1463"/>
      <c r="Q72" s="97"/>
      <c r="R72" s="1463"/>
    </row>
  </sheetData>
  <sheetProtection password="C8C1" sheet="1" objects="1" scenarios="1" selectLockedCells="1"/>
  <mergeCells count="44">
    <mergeCell ref="F22:H22"/>
    <mergeCell ref="F34:H34"/>
    <mergeCell ref="F33:H33"/>
    <mergeCell ref="F32:H32"/>
    <mergeCell ref="F64:H64"/>
    <mergeCell ref="F25:H25"/>
    <mergeCell ref="F26:H26"/>
    <mergeCell ref="F61:H61"/>
    <mergeCell ref="F58:H58"/>
    <mergeCell ref="F59:H59"/>
    <mergeCell ref="F30:H30"/>
    <mergeCell ref="F60:H60"/>
    <mergeCell ref="M55:M56"/>
    <mergeCell ref="O55:O56"/>
    <mergeCell ref="Q55:Q56"/>
    <mergeCell ref="F63:H63"/>
    <mergeCell ref="F14:H14"/>
    <mergeCell ref="F15:H15"/>
    <mergeCell ref="F16:H16"/>
    <mergeCell ref="F17:H17"/>
    <mergeCell ref="F18:H18"/>
    <mergeCell ref="F50:H50"/>
    <mergeCell ref="F51:H51"/>
    <mergeCell ref="F52:H52"/>
    <mergeCell ref="F54:H54"/>
    <mergeCell ref="F55:H55"/>
    <mergeCell ref="F20:H20"/>
    <mergeCell ref="F21:H21"/>
    <mergeCell ref="F67:H67"/>
    <mergeCell ref="D6:R6"/>
    <mergeCell ref="F72:H72"/>
    <mergeCell ref="F71:H71"/>
    <mergeCell ref="C55:C56"/>
    <mergeCell ref="E55:E56"/>
    <mergeCell ref="F68:H68"/>
    <mergeCell ref="I55:I56"/>
    <mergeCell ref="K55:K56"/>
    <mergeCell ref="F69:H69"/>
    <mergeCell ref="F23:H23"/>
    <mergeCell ref="F24:H24"/>
    <mergeCell ref="F29:H29"/>
    <mergeCell ref="F48:H48"/>
    <mergeCell ref="F49:H49"/>
    <mergeCell ref="F28:H28"/>
  </mergeCells>
  <pageMargins left="0.7" right="0.7" top="0.75" bottom="0.75" header="0.3" footer="0.3"/>
  <pageSetup paperSize="9" orientation="portrait" horizontalDpi="4294967294"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3"/>
    <pageSetUpPr fitToPage="1"/>
  </sheetPr>
  <dimension ref="A1:AE38"/>
  <sheetViews>
    <sheetView showGridLines="0" showRowColHeaders="0" topLeftCell="A2" zoomScale="80" zoomScaleNormal="80" workbookViewId="0">
      <pane ySplit="3" topLeftCell="A5" activePane="bottomLeft" state="frozen"/>
      <selection activeCell="A2" sqref="A2"/>
      <selection pane="bottomLeft" activeCell="A5" sqref="A5"/>
    </sheetView>
  </sheetViews>
  <sheetFormatPr defaultColWidth="9.1796875" defaultRowHeight="14.5" x14ac:dyDescent="0.35"/>
  <cols>
    <col min="1" max="1" width="3.26953125" style="11" customWidth="1"/>
    <col min="2" max="2" width="40.7265625" style="11" customWidth="1"/>
    <col min="3" max="3" width="15.7265625" style="11" customWidth="1"/>
    <col min="4" max="5" width="15.7265625" style="134" customWidth="1"/>
    <col min="6" max="6" width="2.7265625" style="363" customWidth="1"/>
    <col min="7" max="9" width="15.7265625" style="134" customWidth="1"/>
    <col min="10" max="10" width="2.7265625" style="11" customWidth="1"/>
    <col min="11" max="12" width="15.7265625" style="11" customWidth="1"/>
    <col min="13" max="23" width="9.1796875" style="11"/>
    <col min="24" max="24" width="14.26953125" style="11" customWidth="1"/>
    <col min="25" max="30" width="9.1796875" style="11"/>
    <col min="31" max="31" width="14.26953125" style="11" customWidth="1"/>
    <col min="32" max="16384" width="9.1796875" style="11"/>
  </cols>
  <sheetData>
    <row r="1" spans="1:31" ht="18.5" hidden="1" x14ac:dyDescent="0.35">
      <c r="B1" s="13" t="e">
        <f>Overview_SLUDGE!#REF!</f>
        <v>#REF!</v>
      </c>
      <c r="C1" s="13"/>
    </row>
    <row r="2" spans="1:31" s="691" customFormat="1" ht="36.75" customHeight="1" x14ac:dyDescent="0.45">
      <c r="B2" s="824" t="str">
        <f>Overview_SLUDGE!B1</f>
        <v>Any city in , the world</v>
      </c>
      <c r="C2" s="824"/>
      <c r="D2" s="778"/>
      <c r="E2" s="778"/>
      <c r="F2" s="779"/>
      <c r="G2" s="778"/>
      <c r="H2" s="778"/>
      <c r="I2" s="778"/>
      <c r="J2" s="778"/>
      <c r="K2" s="778"/>
      <c r="L2" s="778"/>
    </row>
    <row r="3" spans="1:31" s="780" customFormat="1" ht="10.5" hidden="1" x14ac:dyDescent="0.25">
      <c r="D3" s="782"/>
      <c r="E3" s="782"/>
      <c r="F3" s="783"/>
      <c r="G3" s="782"/>
      <c r="H3" s="782"/>
      <c r="I3" s="782"/>
      <c r="J3" s="782"/>
      <c r="K3" s="782"/>
      <c r="L3" s="782"/>
    </row>
    <row r="4" spans="1:31" s="796" customFormat="1" ht="57" customHeight="1" thickBot="1" x14ac:dyDescent="0.4">
      <c r="B4" s="1631" t="s">
        <v>192</v>
      </c>
      <c r="C4" s="1631"/>
      <c r="D4" s="1631"/>
      <c r="E4" s="1631"/>
      <c r="F4" s="1631"/>
      <c r="G4" s="1631"/>
      <c r="H4" s="797"/>
      <c r="I4" s="797"/>
      <c r="J4" s="797"/>
      <c r="K4" s="797"/>
      <c r="L4" s="797"/>
    </row>
    <row r="5" spans="1:31" s="47" customFormat="1" ht="18" customHeight="1" x14ac:dyDescent="0.35">
      <c r="A5" s="1283"/>
      <c r="D5" s="55"/>
      <c r="E5" s="55"/>
      <c r="F5" s="114"/>
      <c r="G5" s="55"/>
      <c r="H5" s="55"/>
      <c r="I5" s="55"/>
    </row>
    <row r="6" spans="1:31" s="47" customFormat="1" ht="18" customHeight="1" x14ac:dyDescent="0.35">
      <c r="D6" s="1162"/>
      <c r="E6" s="1162"/>
      <c r="F6" s="1163"/>
      <c r="G6" s="1162"/>
      <c r="H6" s="1162"/>
      <c r="I6" s="1162"/>
    </row>
    <row r="7" spans="1:31" s="47" customFormat="1" ht="18" customHeight="1" x14ac:dyDescent="0.35">
      <c r="C7" s="1624" t="s">
        <v>193</v>
      </c>
      <c r="D7" s="1624"/>
      <c r="E7" s="1624"/>
      <c r="F7" s="1624"/>
      <c r="G7" s="1624"/>
      <c r="H7" s="1624"/>
      <c r="I7" s="1624"/>
      <c r="J7" s="1624"/>
      <c r="K7" s="1624"/>
      <c r="L7" s="1624"/>
    </row>
    <row r="8" spans="1:31" s="47" customFormat="1" ht="5.15" customHeight="1" x14ac:dyDescent="0.35">
      <c r="D8" s="1162"/>
      <c r="E8" s="1162"/>
      <c r="F8" s="1163"/>
      <c r="G8" s="1162"/>
      <c r="H8" s="1162"/>
      <c r="I8" s="1162"/>
    </row>
    <row r="9" spans="1:31" s="47" customFormat="1" ht="20.149999999999999" customHeight="1" x14ac:dyDescent="0.35">
      <c r="C9" s="1636" t="s">
        <v>194</v>
      </c>
      <c r="D9" s="1636"/>
      <c r="E9" s="1636"/>
      <c r="F9" s="114"/>
      <c r="G9" s="1632" t="str">
        <f>AA9&amp;AB9&amp;AC9</f>
        <v>IN FUTURE | After 25 years</v>
      </c>
      <c r="H9" s="1632"/>
      <c r="I9" s="1632"/>
      <c r="K9" s="1632" t="s">
        <v>195</v>
      </c>
      <c r="L9" s="1632"/>
      <c r="W9" s="114"/>
      <c r="X9" s="1356"/>
      <c r="AA9" s="48" t="s">
        <v>196</v>
      </c>
      <c r="AB9" s="1355">
        <f>'User interface_RES'!G16</f>
        <v>25</v>
      </c>
      <c r="AC9" s="47" t="s">
        <v>197</v>
      </c>
      <c r="AE9" s="1356"/>
    </row>
    <row r="10" spans="1:31" s="47" customFormat="1" ht="8.15" customHeight="1" x14ac:dyDescent="0.35">
      <c r="D10" s="55"/>
      <c r="E10" s="55"/>
      <c r="F10" s="114"/>
      <c r="G10" s="55"/>
      <c r="H10" s="55"/>
      <c r="I10" s="55"/>
    </row>
    <row r="11" spans="1:31" ht="20.149999999999999" customHeight="1" x14ac:dyDescent="0.35">
      <c r="B11" s="1153" t="s">
        <v>198</v>
      </c>
      <c r="C11" s="1158" t="s">
        <v>199</v>
      </c>
      <c r="D11" s="1158" t="s">
        <v>200</v>
      </c>
      <c r="E11" s="1158" t="s">
        <v>201</v>
      </c>
      <c r="F11" s="1155"/>
      <c r="G11" s="1158" t="s">
        <v>199</v>
      </c>
      <c r="H11" s="1158" t="s">
        <v>200</v>
      </c>
      <c r="I11" s="1158" t="s">
        <v>201</v>
      </c>
      <c r="K11" s="1160" t="s">
        <v>202</v>
      </c>
      <c r="L11" s="1160" t="s">
        <v>201</v>
      </c>
    </row>
    <row r="12" spans="1:31" s="47" customFormat="1" ht="20.149999999999999" customHeight="1" x14ac:dyDescent="0.35">
      <c r="B12" s="1156" t="s">
        <v>203</v>
      </c>
      <c r="C12" s="1326">
        <f>D12*'User interface_RES'!$C$19</f>
        <v>759700</v>
      </c>
      <c r="D12" s="1326">
        <f>'Containment volumes'!B98</f>
        <v>151940</v>
      </c>
      <c r="E12" s="1327">
        <f>IF($D$17=0,0,D12/$D$17)</f>
        <v>0.44899527186761229</v>
      </c>
      <c r="F12" s="1154"/>
      <c r="G12" s="1326">
        <f>'Containment volumes'!G98</f>
        <v>3176450</v>
      </c>
      <c r="H12" s="1326">
        <f>G12/5</f>
        <v>635290</v>
      </c>
      <c r="I12" s="1327">
        <f>IF($H$17=0,0,H12/$H$17)</f>
        <v>0.85</v>
      </c>
      <c r="J12" s="331"/>
      <c r="K12" s="1326">
        <f>G12-C12</f>
        <v>2416750</v>
      </c>
      <c r="L12" s="1353">
        <f>IF(C12=0,0,K12/C12)</f>
        <v>3.1811899433987101</v>
      </c>
    </row>
    <row r="13" spans="1:31" s="47" customFormat="1" ht="20.149999999999999" customHeight="1" x14ac:dyDescent="0.35">
      <c r="B13" s="1156" t="s">
        <v>204</v>
      </c>
      <c r="C13" s="1326">
        <f>D13*'User interface_RES'!$C$19</f>
        <v>0</v>
      </c>
      <c r="D13" s="1326">
        <f>'Containment volumes'!B99</f>
        <v>0</v>
      </c>
      <c r="E13" s="1327">
        <f>IF($D$17=0,0,D13/$D$17)</f>
        <v>0</v>
      </c>
      <c r="F13" s="1154"/>
      <c r="G13" s="1326">
        <f>'Containment volumes'!G99</f>
        <v>0</v>
      </c>
      <c r="H13" s="1326">
        <f t="shared" ref="H13:H16" si="0">G13/5</f>
        <v>0</v>
      </c>
      <c r="I13" s="1327">
        <f t="shared" ref="I13:I17" si="1">IF($H$17=0,0,H13/$H$17)</f>
        <v>0</v>
      </c>
      <c r="K13" s="1326">
        <f t="shared" ref="K13:K16" si="2">G13-C13</f>
        <v>0</v>
      </c>
      <c r="L13" s="1353">
        <f t="shared" ref="L13:L17" si="3">IF(C13=0,0,K13/C13)</f>
        <v>0</v>
      </c>
    </row>
    <row r="14" spans="1:31" s="47" customFormat="1" ht="20.149999999999999" customHeight="1" x14ac:dyDescent="0.35">
      <c r="B14" s="1156" t="s">
        <v>205</v>
      </c>
      <c r="C14" s="1326">
        <f>D14*'User interface_RES'!$C$19</f>
        <v>766950</v>
      </c>
      <c r="D14" s="1326">
        <f>'Containment volumes'!B100+'Containment volumes'!B101</f>
        <v>153390</v>
      </c>
      <c r="E14" s="1327">
        <f>IF($D$17=0,0,D14/$D$17)</f>
        <v>0.45328014184397164</v>
      </c>
      <c r="F14" s="114"/>
      <c r="G14" s="1326">
        <f>'Containment volumes'!G100+'Containment volumes'!G101</f>
        <v>560550</v>
      </c>
      <c r="H14" s="1326">
        <f t="shared" si="0"/>
        <v>112110</v>
      </c>
      <c r="I14" s="1327">
        <f t="shared" si="1"/>
        <v>0.15</v>
      </c>
      <c r="K14" s="1326">
        <f t="shared" si="2"/>
        <v>-206400</v>
      </c>
      <c r="L14" s="1353">
        <f t="shared" si="3"/>
        <v>-0.26911793467631528</v>
      </c>
      <c r="T14" s="1329"/>
    </row>
    <row r="15" spans="1:31" ht="20.149999999999999" customHeight="1" x14ac:dyDescent="0.35">
      <c r="B15" s="1156" t="s">
        <v>206</v>
      </c>
      <c r="C15" s="1326">
        <f>D15*'User interface_RES'!$C$19</f>
        <v>6800</v>
      </c>
      <c r="D15" s="1326">
        <f>'Containment volumes'!B102+'Containment volumes'!B103+'Containment volumes'!B104</f>
        <v>1360</v>
      </c>
      <c r="E15" s="1327">
        <f>IF($D$17=0,0,D15/$D$17)</f>
        <v>4.0189125295508272E-3</v>
      </c>
      <c r="F15" s="1155"/>
      <c r="G15" s="1326">
        <f>'Containment volumes'!G102+'Containment volumes'!G103+'Containment volumes'!G104</f>
        <v>0</v>
      </c>
      <c r="H15" s="1326">
        <f t="shared" si="0"/>
        <v>0</v>
      </c>
      <c r="I15" s="1327">
        <f t="shared" si="1"/>
        <v>0</v>
      </c>
      <c r="K15" s="1326">
        <f t="shared" si="2"/>
        <v>-6800</v>
      </c>
      <c r="L15" s="1353">
        <f t="shared" si="3"/>
        <v>-1</v>
      </c>
    </row>
    <row r="16" spans="1:31" s="47" customFormat="1" ht="20.149999999999999" customHeight="1" x14ac:dyDescent="0.35">
      <c r="B16" s="1156" t="s">
        <v>207</v>
      </c>
      <c r="C16" s="1326">
        <f>D16*'User interface_RES'!$C$19</f>
        <v>158550</v>
      </c>
      <c r="D16" s="1326">
        <f>'Containment volumes'!B107</f>
        <v>31710</v>
      </c>
      <c r="E16" s="1327">
        <f>IF($D$17=0,0,D16/$D$17)</f>
        <v>9.3705673758865252E-2</v>
      </c>
      <c r="F16" s="1154"/>
      <c r="G16" s="1326">
        <f>'Containment volumes'!G107</f>
        <v>0</v>
      </c>
      <c r="H16" s="1326">
        <f t="shared" si="0"/>
        <v>0</v>
      </c>
      <c r="I16" s="1327">
        <f t="shared" si="1"/>
        <v>0</v>
      </c>
      <c r="K16" s="1326">
        <f t="shared" si="2"/>
        <v>-158550</v>
      </c>
      <c r="L16" s="1353">
        <f t="shared" si="3"/>
        <v>-1</v>
      </c>
    </row>
    <row r="17" spans="2:29" s="47" customFormat="1" ht="20.149999999999999" customHeight="1" x14ac:dyDescent="0.35">
      <c r="B17" s="1157" t="s">
        <v>208</v>
      </c>
      <c r="C17" s="1159">
        <f>SUM(C12:C16)</f>
        <v>1692000</v>
      </c>
      <c r="D17" s="1159">
        <f>SUM(D12:D16)</f>
        <v>338400</v>
      </c>
      <c r="E17" s="1164">
        <f>SUM(E12:E16)</f>
        <v>1</v>
      </c>
      <c r="F17" s="1154"/>
      <c r="G17" s="1159">
        <f>SUM(G12:G16)</f>
        <v>3737000</v>
      </c>
      <c r="H17" s="1159">
        <f>SUM(H12:H16)</f>
        <v>747400</v>
      </c>
      <c r="I17" s="1164">
        <f t="shared" si="1"/>
        <v>1</v>
      </c>
      <c r="K17" s="1159">
        <f>SUM(K12:K16)</f>
        <v>2045000</v>
      </c>
      <c r="L17" s="1354">
        <f t="shared" si="3"/>
        <v>1.208628841607565</v>
      </c>
    </row>
    <row r="18" spans="2:29" ht="20.149999999999999" customHeight="1" x14ac:dyDescent="0.35"/>
    <row r="19" spans="2:29" ht="20.149999999999999" customHeight="1" x14ac:dyDescent="0.35">
      <c r="C19" s="1624" t="s">
        <v>209</v>
      </c>
      <c r="D19" s="1624"/>
      <c r="E19" s="1624"/>
      <c r="F19" s="1624"/>
      <c r="G19" s="1624"/>
      <c r="H19" s="1624"/>
      <c r="I19" s="1624"/>
      <c r="J19" s="1624"/>
      <c r="K19" s="1624"/>
      <c r="L19" s="1624"/>
    </row>
    <row r="20" spans="2:29" ht="5.15" customHeight="1" x14ac:dyDescent="0.35"/>
    <row r="21" spans="2:29" ht="20.149999999999999" customHeight="1" x14ac:dyDescent="0.35">
      <c r="B21" s="47"/>
      <c r="C21" s="1632" t="s">
        <v>194</v>
      </c>
      <c r="D21" s="1632"/>
      <c r="E21" s="1632"/>
      <c r="F21" s="114"/>
      <c r="G21" s="1633" t="str">
        <f>AA21&amp;AB21&amp;AC21</f>
        <v>IN FUTURE | After 25 years</v>
      </c>
      <c r="H21" s="1634"/>
      <c r="I21" s="1635"/>
      <c r="K21" s="1632" t="s">
        <v>195</v>
      </c>
      <c r="L21" s="1632"/>
      <c r="AA21" s="1340" t="s">
        <v>196</v>
      </c>
      <c r="AB21" s="1355">
        <f>AB9</f>
        <v>25</v>
      </c>
      <c r="AC21" s="47" t="s">
        <v>197</v>
      </c>
    </row>
    <row r="22" spans="2:29" ht="8.15" customHeight="1" x14ac:dyDescent="0.35">
      <c r="B22" s="47"/>
      <c r="C22" s="47"/>
      <c r="D22" s="55"/>
      <c r="E22" s="55"/>
      <c r="F22" s="114"/>
      <c r="G22" s="55"/>
      <c r="H22" s="55"/>
      <c r="I22" s="55"/>
      <c r="K22" s="47"/>
      <c r="L22" s="47"/>
    </row>
    <row r="23" spans="2:29" ht="20.149999999999999" customHeight="1" x14ac:dyDescent="0.35">
      <c r="B23" s="1211" t="s">
        <v>198</v>
      </c>
      <c r="C23" s="1639" t="s">
        <v>199</v>
      </c>
      <c r="D23" s="1640"/>
      <c r="E23" s="1158" t="s">
        <v>201</v>
      </c>
      <c r="F23" s="1155"/>
      <c r="G23" s="1639" t="s">
        <v>199</v>
      </c>
      <c r="H23" s="1640"/>
      <c r="I23" s="1158" t="s">
        <v>201</v>
      </c>
      <c r="J23" s="331"/>
      <c r="K23" s="1160" t="s">
        <v>202</v>
      </c>
      <c r="L23" s="1160" t="s">
        <v>201</v>
      </c>
    </row>
    <row r="24" spans="2:29" ht="20.149999999999999" customHeight="1" x14ac:dyDescent="0.35">
      <c r="B24" s="1212" t="s">
        <v>203</v>
      </c>
      <c r="C24" s="1637" t="str">
        <f>W24&amp;X24&amp;Y24&amp;Z24</f>
        <v>1000 tourists and 84700 temporary residents (workers, students and others) per day</v>
      </c>
      <c r="D24" s="1638"/>
      <c r="E24" s="1357">
        <f>'User interface_Non-RES'!C33</f>
        <v>0.05</v>
      </c>
      <c r="F24" s="1358"/>
      <c r="G24" s="1641" t="str">
        <f>W25&amp;X25&amp;Y25&amp;Z25</f>
        <v>2100 tourists and 187100 temporary residents (workers, students and others) per day</v>
      </c>
      <c r="H24" s="1642"/>
      <c r="I24" s="1327">
        <f>'User interface_Non-RES'!C50</f>
        <v>0.2</v>
      </c>
      <c r="J24" s="1359"/>
      <c r="K24" s="1625" t="str">
        <f>W26&amp;X26&amp;Y26&amp;Z26</f>
        <v>1100 tourists and 102400 temporary residents</v>
      </c>
      <c r="L24" s="1628"/>
      <c r="T24" s="1254"/>
      <c r="V24" s="11" t="s">
        <v>9</v>
      </c>
      <c r="W24" s="29">
        <f>'Capture volumes'!G158</f>
        <v>1000</v>
      </c>
      <c r="X24" s="11" t="s">
        <v>210</v>
      </c>
      <c r="Y24" s="29">
        <f>'Capture volumes'!G159</f>
        <v>84700</v>
      </c>
      <c r="Z24" s="11" t="s">
        <v>211</v>
      </c>
    </row>
    <row r="25" spans="2:29" ht="20.149999999999999" customHeight="1" x14ac:dyDescent="0.35">
      <c r="B25" s="1156" t="s">
        <v>204</v>
      </c>
      <c r="C25" s="1637"/>
      <c r="D25" s="1638"/>
      <c r="E25" s="1357">
        <f>'User interface_Non-RES'!C34</f>
        <v>0</v>
      </c>
      <c r="F25" s="1358"/>
      <c r="G25" s="1643"/>
      <c r="H25" s="1644"/>
      <c r="I25" s="1327">
        <f>'User interface_Non-RES'!C51</f>
        <v>0</v>
      </c>
      <c r="J25" s="2"/>
      <c r="K25" s="1626"/>
      <c r="L25" s="1629"/>
      <c r="V25" s="11" t="s">
        <v>212</v>
      </c>
      <c r="W25" s="29">
        <f>'Capture volumes'!H158</f>
        <v>2100</v>
      </c>
      <c r="X25" s="11" t="s">
        <v>210</v>
      </c>
      <c r="Y25" s="29">
        <f>'Capture volumes'!H159</f>
        <v>187100</v>
      </c>
      <c r="Z25" s="11" t="s">
        <v>211</v>
      </c>
    </row>
    <row r="26" spans="2:29" ht="20.149999999999999" customHeight="1" x14ac:dyDescent="0.35">
      <c r="B26" s="1156" t="s">
        <v>205</v>
      </c>
      <c r="C26" s="1637"/>
      <c r="D26" s="1638"/>
      <c r="E26" s="1357">
        <f>'User interface_Non-RES'!C35</f>
        <v>0.5</v>
      </c>
      <c r="F26" s="1163"/>
      <c r="G26" s="1643"/>
      <c r="H26" s="1644"/>
      <c r="I26" s="1327">
        <f>'User interface_Non-RES'!C52</f>
        <v>0.6</v>
      </c>
      <c r="J26" s="2"/>
      <c r="K26" s="1626"/>
      <c r="L26" s="1629"/>
      <c r="T26" s="1254"/>
      <c r="V26" s="11" t="s">
        <v>213</v>
      </c>
      <c r="W26" s="29">
        <f>W25-W24</f>
        <v>1100</v>
      </c>
      <c r="X26" s="11" t="s">
        <v>210</v>
      </c>
      <c r="Y26" s="29">
        <f>Y25-Y24</f>
        <v>102400</v>
      </c>
      <c r="Z26" s="11" t="s">
        <v>214</v>
      </c>
    </row>
    <row r="27" spans="2:29" ht="20.149999999999999" customHeight="1" x14ac:dyDescent="0.35">
      <c r="B27" s="1156" t="s">
        <v>206</v>
      </c>
      <c r="C27" s="1637"/>
      <c r="D27" s="1638"/>
      <c r="E27" s="1357">
        <f>'User interface_Non-RES'!C38</f>
        <v>0.25</v>
      </c>
      <c r="F27" s="1358"/>
      <c r="G27" s="1643"/>
      <c r="H27" s="1644"/>
      <c r="I27" s="1327">
        <f>'User interface_Non-RES'!C55</f>
        <v>0.2</v>
      </c>
      <c r="J27" s="2"/>
      <c r="K27" s="1626"/>
      <c r="L27" s="1629"/>
    </row>
    <row r="28" spans="2:29" ht="20.149999999999999" customHeight="1" x14ac:dyDescent="0.35">
      <c r="B28" s="1156" t="s">
        <v>207</v>
      </c>
      <c r="C28" s="1637"/>
      <c r="D28" s="1638"/>
      <c r="E28" s="1357">
        <f>'User interface_Non-RES'!C42</f>
        <v>0.2</v>
      </c>
      <c r="F28" s="1358"/>
      <c r="G28" s="1645"/>
      <c r="H28" s="1646"/>
      <c r="I28" s="1327">
        <f>'User interface_Non-RES'!C59</f>
        <v>0</v>
      </c>
      <c r="J28" s="2"/>
      <c r="K28" s="1627"/>
      <c r="L28" s="1630"/>
    </row>
    <row r="29" spans="2:29" ht="20.149999999999999" customHeight="1" x14ac:dyDescent="0.35">
      <c r="B29" s="1157" t="s">
        <v>208</v>
      </c>
      <c r="C29" s="1360">
        <f>W24+Y24</f>
        <v>85700</v>
      </c>
      <c r="D29" s="1175" t="s">
        <v>37</v>
      </c>
      <c r="E29" s="1164">
        <f>SUM(E24:E28)</f>
        <v>1</v>
      </c>
      <c r="F29" s="1358"/>
      <c r="G29" s="1159">
        <f>W25+Y25</f>
        <v>189200</v>
      </c>
      <c r="H29" s="1159" t="s">
        <v>37</v>
      </c>
      <c r="I29" s="1164">
        <f>SUM(I24:I28)</f>
        <v>1</v>
      </c>
      <c r="J29" s="1359"/>
      <c r="K29" s="1159">
        <f>W26+Y26</f>
        <v>103500</v>
      </c>
      <c r="L29" s="1354">
        <f t="shared" ref="L29:L31" si="4">IF(C29=0,0,K29/C29)</f>
        <v>1.2077012835472578</v>
      </c>
    </row>
    <row r="30" spans="2:29" ht="20.149999999999999" customHeight="1" x14ac:dyDescent="0.35">
      <c r="B30" s="80"/>
      <c r="C30" s="80"/>
      <c r="D30" s="363"/>
      <c r="E30" s="363"/>
    </row>
    <row r="31" spans="2:29" ht="20.149999999999999" customHeight="1" x14ac:dyDescent="0.35">
      <c r="B31" s="1174" t="s">
        <v>215</v>
      </c>
      <c r="C31" s="1360">
        <f>C29+C17</f>
        <v>1777700</v>
      </c>
      <c r="D31" s="11"/>
      <c r="E31" s="11"/>
      <c r="G31" s="1360">
        <f>G29+G17</f>
        <v>3926200</v>
      </c>
      <c r="H31" s="11"/>
      <c r="I31" s="11"/>
      <c r="K31" s="1159">
        <f>K17+K29</f>
        <v>2148500</v>
      </c>
      <c r="L31" s="1354">
        <f t="shared" si="4"/>
        <v>1.208584125555493</v>
      </c>
    </row>
    <row r="33" spans="4:9" x14ac:dyDescent="0.35">
      <c r="D33" s="11"/>
      <c r="E33" s="11"/>
      <c r="F33" s="11"/>
      <c r="G33" s="11"/>
      <c r="H33" s="11"/>
      <c r="I33" s="11"/>
    </row>
    <row r="34" spans="4:9" x14ac:dyDescent="0.35">
      <c r="D34" s="11"/>
      <c r="E34" s="11"/>
      <c r="F34" s="11"/>
      <c r="G34" s="11"/>
      <c r="H34" s="11"/>
      <c r="I34" s="11"/>
    </row>
    <row r="35" spans="4:9" x14ac:dyDescent="0.35">
      <c r="D35" s="11"/>
      <c r="E35" s="11"/>
      <c r="F35" s="11"/>
      <c r="G35" s="11"/>
      <c r="H35" s="11"/>
      <c r="I35" s="11"/>
    </row>
    <row r="36" spans="4:9" x14ac:dyDescent="0.35">
      <c r="D36" s="11"/>
      <c r="E36" s="11"/>
      <c r="F36" s="11"/>
      <c r="G36" s="11"/>
      <c r="H36" s="11"/>
      <c r="I36" s="11"/>
    </row>
    <row r="37" spans="4:9" x14ac:dyDescent="0.35">
      <c r="D37" s="11"/>
      <c r="E37" s="11"/>
      <c r="F37" s="11"/>
      <c r="G37" s="11"/>
      <c r="H37" s="11"/>
      <c r="I37" s="11"/>
    </row>
    <row r="38" spans="4:9" x14ac:dyDescent="0.35">
      <c r="D38" s="11"/>
      <c r="E38" s="11"/>
      <c r="F38" s="11"/>
      <c r="G38" s="11"/>
      <c r="H38" s="11"/>
      <c r="I38" s="11"/>
    </row>
  </sheetData>
  <sheetProtection password="C8C1" sheet="1" objects="1" scenarios="1" selectLockedCells="1"/>
  <mergeCells count="15">
    <mergeCell ref="C7:L7"/>
    <mergeCell ref="C19:L19"/>
    <mergeCell ref="K24:K28"/>
    <mergeCell ref="L24:L28"/>
    <mergeCell ref="B4:G4"/>
    <mergeCell ref="G9:I9"/>
    <mergeCell ref="G21:I21"/>
    <mergeCell ref="C9:E9"/>
    <mergeCell ref="K9:L9"/>
    <mergeCell ref="C21:E21"/>
    <mergeCell ref="C24:D28"/>
    <mergeCell ref="C23:D23"/>
    <mergeCell ref="G23:H23"/>
    <mergeCell ref="G24:H28"/>
    <mergeCell ref="K21:L21"/>
  </mergeCells>
  <pageMargins left="0.75" right="0.75" top="0.75" bottom="0.75" header="0.3" footer="0.3"/>
  <pageSetup paperSize="9" scale="52"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theme="3"/>
    <pageSetUpPr fitToPage="1"/>
  </sheetPr>
  <dimension ref="A1:AC38"/>
  <sheetViews>
    <sheetView showGridLines="0" showRowColHeaders="0" topLeftCell="A2" zoomScale="80" zoomScaleNormal="80" workbookViewId="0">
      <pane ySplit="3" topLeftCell="A5" activePane="bottomLeft" state="frozen"/>
      <selection activeCell="A2" sqref="A2"/>
      <selection pane="bottomLeft" activeCell="A5" sqref="A5"/>
    </sheetView>
  </sheetViews>
  <sheetFormatPr defaultColWidth="9.1796875" defaultRowHeight="14.5" x14ac:dyDescent="0.35"/>
  <cols>
    <col min="1" max="1" width="3.26953125" style="11" customWidth="1"/>
    <col min="2" max="2" width="40.7265625" style="11" customWidth="1"/>
    <col min="3" max="4" width="15.7265625" style="134" customWidth="1"/>
    <col min="5" max="5" width="2.7265625" style="363" customWidth="1"/>
    <col min="6" max="8" width="15.7265625" style="134" customWidth="1"/>
    <col min="9" max="9" width="15.7265625" style="11" customWidth="1"/>
    <col min="10" max="10" width="1.7265625" style="11" customWidth="1"/>
    <col min="11" max="11" width="15.7265625" style="11" customWidth="1"/>
    <col min="12" max="12" width="2.7265625" style="11" customWidth="1"/>
    <col min="13" max="13" width="15.7265625" style="11" customWidth="1"/>
    <col min="14" max="14" width="1.7265625" style="11" customWidth="1"/>
    <col min="15" max="15" width="15.7265625" style="11" customWidth="1"/>
    <col min="16" max="16384" width="9.1796875" style="11"/>
  </cols>
  <sheetData>
    <row r="1" spans="1:23" ht="18.5" hidden="1" x14ac:dyDescent="0.35">
      <c r="B1" s="13" t="e">
        <f>Overview_SLUDGE!#REF!</f>
        <v>#REF!</v>
      </c>
    </row>
    <row r="2" spans="1:23" s="691" customFormat="1" ht="36.75" customHeight="1" x14ac:dyDescent="0.45">
      <c r="B2" s="824" t="str">
        <f>Overview_SLUDGE!B1</f>
        <v>Any city in , the world</v>
      </c>
      <c r="C2" s="778"/>
      <c r="D2" s="778"/>
      <c r="E2" s="779"/>
      <c r="F2" s="778"/>
      <c r="G2" s="778"/>
      <c r="H2" s="778"/>
      <c r="I2" s="778"/>
      <c r="J2" s="778"/>
      <c r="K2" s="778"/>
      <c r="L2" s="778"/>
      <c r="M2" s="778"/>
      <c r="N2" s="778"/>
      <c r="O2" s="778"/>
    </row>
    <row r="3" spans="1:23" s="780" customFormat="1" ht="10.5" hidden="1" x14ac:dyDescent="0.25">
      <c r="C3" s="782"/>
      <c r="D3" s="782"/>
      <c r="E3" s="783"/>
      <c r="F3" s="782"/>
      <c r="G3" s="782"/>
      <c r="H3" s="782"/>
      <c r="I3" s="782"/>
      <c r="J3" s="782"/>
      <c r="K3" s="782"/>
      <c r="L3" s="782"/>
      <c r="M3" s="782"/>
      <c r="N3" s="782"/>
      <c r="O3" s="782"/>
    </row>
    <row r="4" spans="1:23" s="796" customFormat="1" ht="57" customHeight="1" thickBot="1" x14ac:dyDescent="0.4">
      <c r="B4" s="1631" t="s">
        <v>216</v>
      </c>
      <c r="C4" s="1631"/>
      <c r="D4" s="1631"/>
      <c r="E4" s="1631"/>
      <c r="F4" s="1631"/>
      <c r="G4" s="797"/>
      <c r="H4" s="797"/>
      <c r="I4" s="797"/>
      <c r="J4" s="797"/>
      <c r="K4" s="797"/>
      <c r="L4" s="797"/>
      <c r="M4" s="797"/>
      <c r="N4" s="797"/>
      <c r="O4" s="797"/>
    </row>
    <row r="5" spans="1:23" s="47" customFormat="1" ht="18" customHeight="1" x14ac:dyDescent="0.35">
      <c r="A5" s="1283"/>
      <c r="C5" s="55"/>
      <c r="D5" s="55"/>
      <c r="E5" s="114"/>
      <c r="F5" s="55"/>
      <c r="G5" s="55"/>
      <c r="H5" s="55"/>
    </row>
    <row r="6" spans="1:23" s="47" customFormat="1" ht="18" customHeight="1" x14ac:dyDescent="0.35">
      <c r="C6" s="1162"/>
      <c r="D6" s="1162"/>
      <c r="E6" s="1163"/>
      <c r="F6" s="1162"/>
      <c r="G6" s="1162"/>
      <c r="H6" s="1162"/>
    </row>
    <row r="7" spans="1:23" s="55" customFormat="1" ht="20.149999999999999" customHeight="1" x14ac:dyDescent="0.35">
      <c r="B7" s="47"/>
      <c r="C7" s="1162"/>
      <c r="D7" s="1162"/>
      <c r="E7" s="1163"/>
      <c r="F7" s="1653" t="s">
        <v>217</v>
      </c>
      <c r="G7" s="1654"/>
      <c r="H7" s="1654"/>
      <c r="I7" s="1654"/>
      <c r="J7" s="1654"/>
      <c r="K7" s="1654"/>
      <c r="M7" s="1632" t="s">
        <v>218</v>
      </c>
      <c r="N7" s="1632"/>
      <c r="O7" s="1632"/>
      <c r="P7" s="47"/>
      <c r="Q7" s="47"/>
      <c r="R7" s="47"/>
    </row>
    <row r="8" spans="1:23" s="47" customFormat="1" ht="5.15" customHeight="1" x14ac:dyDescent="0.35">
      <c r="E8" s="114"/>
      <c r="F8" s="55"/>
      <c r="G8" s="55"/>
      <c r="H8" s="55"/>
    </row>
    <row r="9" spans="1:23" s="47" customFormat="1" ht="20.149999999999999" customHeight="1" x14ac:dyDescent="0.35">
      <c r="B9" s="1632" t="s">
        <v>193</v>
      </c>
      <c r="C9" s="1632"/>
      <c r="D9" s="1632"/>
      <c r="E9" s="114"/>
      <c r="F9" s="1632" t="s">
        <v>219</v>
      </c>
      <c r="G9" s="1632"/>
      <c r="H9" s="1632"/>
      <c r="I9" s="1632"/>
      <c r="J9" s="11"/>
      <c r="K9" s="1471" t="s">
        <v>220</v>
      </c>
      <c r="M9" s="1471" t="s">
        <v>221</v>
      </c>
      <c r="O9" s="1471" t="s">
        <v>220</v>
      </c>
    </row>
    <row r="10" spans="1:23" s="47" customFormat="1" ht="8.15" customHeight="1" x14ac:dyDescent="0.35">
      <c r="C10" s="55"/>
      <c r="D10" s="55"/>
      <c r="E10" s="114"/>
      <c r="F10" s="55"/>
      <c r="G10" s="55"/>
      <c r="H10" s="55"/>
    </row>
    <row r="11" spans="1:23" ht="20.149999999999999" customHeight="1" x14ac:dyDescent="0.35">
      <c r="B11" s="1153" t="s">
        <v>198</v>
      </c>
      <c r="C11" s="1158" t="s">
        <v>200</v>
      </c>
      <c r="D11" s="1158" t="s">
        <v>201</v>
      </c>
      <c r="E11" s="1155"/>
      <c r="F11" s="1160" t="s">
        <v>222</v>
      </c>
      <c r="G11" s="1160" t="s">
        <v>223</v>
      </c>
      <c r="H11" s="1160" t="s">
        <v>208</v>
      </c>
      <c r="I11" s="1158" t="s">
        <v>201</v>
      </c>
      <c r="K11" s="1160" t="s">
        <v>224</v>
      </c>
      <c r="M11" s="1160" t="s">
        <v>224</v>
      </c>
      <c r="O11" s="1160" t="s">
        <v>224</v>
      </c>
    </row>
    <row r="12" spans="1:23" s="47" customFormat="1" ht="20.149999999999999" customHeight="1" x14ac:dyDescent="0.35">
      <c r="B12" s="1212" t="s">
        <v>203</v>
      </c>
      <c r="C12" s="1326">
        <f>'Containment volumes'!B98</f>
        <v>151940</v>
      </c>
      <c r="D12" s="1327">
        <f t="shared" ref="D12:D17" si="0">IF($C$17=0,0,C12/$C$17)</f>
        <v>0.44899527186761229</v>
      </c>
      <c r="E12" s="1154"/>
      <c r="F12" s="1326">
        <f>'FS_Containment volumes'!B36</f>
        <v>4950</v>
      </c>
      <c r="G12" s="1326">
        <f>'Containment volumes'!B36-F12</f>
        <v>25275075</v>
      </c>
      <c r="H12" s="1161">
        <f>SUM(F12:G12)</f>
        <v>25280025</v>
      </c>
      <c r="I12" s="1330">
        <f>IF($H$32=0,0,H12/$H$32)</f>
        <v>0.72412622641955315</v>
      </c>
      <c r="K12" s="1328">
        <f>H12/365</f>
        <v>69260.34246575342</v>
      </c>
      <c r="L12" s="331"/>
      <c r="M12" s="1161">
        <f>'Containment volumes'!U36</f>
        <v>108520250</v>
      </c>
      <c r="O12" s="1328">
        <f>M12/365</f>
        <v>297315.75342465751</v>
      </c>
    </row>
    <row r="13" spans="1:23" s="47" customFormat="1" ht="20.149999999999999" customHeight="1" x14ac:dyDescent="0.35">
      <c r="B13" s="1156" t="s">
        <v>204</v>
      </c>
      <c r="C13" s="1326">
        <f>'Containment volumes'!B99</f>
        <v>0</v>
      </c>
      <c r="D13" s="1327">
        <f t="shared" si="0"/>
        <v>0</v>
      </c>
      <c r="E13" s="1154"/>
      <c r="F13" s="1326">
        <f>'FS_Containment volumes'!B46</f>
        <v>0</v>
      </c>
      <c r="G13" s="1326">
        <f>'Containment volumes'!B46-F13</f>
        <v>0</v>
      </c>
      <c r="H13" s="1161">
        <f>SUM(F13:G13)</f>
        <v>0</v>
      </c>
      <c r="I13" s="1330">
        <f t="shared" ref="I13:I17" si="1">IF($H$32=0,0,H13/$H$32)</f>
        <v>0</v>
      </c>
      <c r="K13" s="1328">
        <f>H13/365</f>
        <v>0</v>
      </c>
      <c r="M13" s="1161">
        <f>'Containment volumes'!U46</f>
        <v>0</v>
      </c>
      <c r="O13" s="1328">
        <f t="shared" ref="O13:O16" si="2">M13/365</f>
        <v>0</v>
      </c>
    </row>
    <row r="14" spans="1:23" s="47" customFormat="1" ht="20.149999999999999" customHeight="1" x14ac:dyDescent="0.35">
      <c r="B14" s="1156" t="s">
        <v>205</v>
      </c>
      <c r="C14" s="1326">
        <f>'Containment volumes'!B100+'Containment volumes'!B101</f>
        <v>153390</v>
      </c>
      <c r="D14" s="1327">
        <f t="shared" si="0"/>
        <v>0.45328014184397164</v>
      </c>
      <c r="E14" s="114"/>
      <c r="F14" s="1326">
        <f>'FS_Containment volumes'!B49+'FS_Containment volumes'!B66</f>
        <v>107475</v>
      </c>
      <c r="G14" s="1326">
        <f>'Containment volumes'!B49+'Containment volumes'!B66-F14</f>
        <v>8591850</v>
      </c>
      <c r="H14" s="1161">
        <f>SUM(F14:G14)</f>
        <v>8699325</v>
      </c>
      <c r="I14" s="1330">
        <f t="shared" si="1"/>
        <v>0.24918525138512634</v>
      </c>
      <c r="K14" s="1328">
        <f>H14/365</f>
        <v>23833.767123287671</v>
      </c>
      <c r="M14" s="1161">
        <f>'Containment volumes'!U49+'Containment volumes'!U66</f>
        <v>6739550</v>
      </c>
      <c r="O14" s="1328">
        <f t="shared" si="2"/>
        <v>18464.520547945205</v>
      </c>
      <c r="W14" s="1329"/>
    </row>
    <row r="15" spans="1:23" ht="20.149999999999999" customHeight="1" x14ac:dyDescent="0.35">
      <c r="B15" s="1156" t="s">
        <v>206</v>
      </c>
      <c r="C15" s="1326">
        <f>'Containment volumes'!B102+'Containment volumes'!B103+'Containment volumes'!B104</f>
        <v>1360</v>
      </c>
      <c r="D15" s="1327">
        <f t="shared" si="0"/>
        <v>4.0189125295508272E-3</v>
      </c>
      <c r="E15" s="1155"/>
      <c r="F15" s="1326">
        <f>'FS_Containment volumes'!B52+'FS_Containment volumes'!B70</f>
        <v>4950</v>
      </c>
      <c r="G15" s="1326">
        <f>'Containment volumes'!B52+'Containment volumes'!B70-F15</f>
        <v>318650</v>
      </c>
      <c r="H15" s="1161">
        <f>SUM(F15:G15)</f>
        <v>323600</v>
      </c>
      <c r="I15" s="1330">
        <f t="shared" si="1"/>
        <v>9.2692648393095881E-3</v>
      </c>
      <c r="K15" s="1328">
        <f>H15/365</f>
        <v>886.57534246575347</v>
      </c>
      <c r="M15" s="1161">
        <f>'Containment volumes'!U52+'Containment volumes'!U70</f>
        <v>0</v>
      </c>
      <c r="O15" s="1328">
        <f t="shared" si="2"/>
        <v>0</v>
      </c>
    </row>
    <row r="16" spans="1:23" s="47" customFormat="1" ht="20.149999999999999" customHeight="1" x14ac:dyDescent="0.35">
      <c r="B16" s="1156" t="s">
        <v>207</v>
      </c>
      <c r="C16" s="1326">
        <f>'Containment volumes'!B107</f>
        <v>31710</v>
      </c>
      <c r="D16" s="1327">
        <f t="shared" si="0"/>
        <v>9.3705673758865252E-2</v>
      </c>
      <c r="E16" s="1154"/>
      <c r="F16" s="1326">
        <f>'Capture volumes'!E141</f>
        <v>18775</v>
      </c>
      <c r="G16" s="1326">
        <v>0</v>
      </c>
      <c r="H16" s="1161">
        <f>SUM(F16:G16)</f>
        <v>18775</v>
      </c>
      <c r="I16" s="1330">
        <f t="shared" si="1"/>
        <v>5.3779495475289715E-4</v>
      </c>
      <c r="K16" s="1328">
        <f>H16/365</f>
        <v>51.438356164383563</v>
      </c>
      <c r="M16" s="1161">
        <f>'Capture volumes'!F141</f>
        <v>0</v>
      </c>
      <c r="O16" s="1328">
        <f t="shared" si="2"/>
        <v>0</v>
      </c>
    </row>
    <row r="17" spans="2:29" s="47" customFormat="1" ht="20.149999999999999" customHeight="1" x14ac:dyDescent="0.35">
      <c r="B17" s="1157" t="s">
        <v>208</v>
      </c>
      <c r="C17" s="1159">
        <f>SUM(C12:C16)</f>
        <v>338400</v>
      </c>
      <c r="D17" s="1164">
        <f t="shared" si="0"/>
        <v>1</v>
      </c>
      <c r="E17" s="1154"/>
      <c r="F17" s="1159">
        <f>SUM(F12:F16)</f>
        <v>136150</v>
      </c>
      <c r="G17" s="1159">
        <f>SUM(G12:G16)</f>
        <v>34185575</v>
      </c>
      <c r="H17" s="1159">
        <f>SUM(H12:H16)</f>
        <v>34321725</v>
      </c>
      <c r="I17" s="1164">
        <f t="shared" si="1"/>
        <v>0.9831185375987419</v>
      </c>
      <c r="K17" s="1159">
        <f>SUM(K12:K16)</f>
        <v>94032.123287671231</v>
      </c>
      <c r="M17" s="1159">
        <f>SUM(M12:M16)</f>
        <v>115259800</v>
      </c>
      <c r="O17" s="1159">
        <f>SUM(O12:O16)</f>
        <v>315780.27397260274</v>
      </c>
    </row>
    <row r="18" spans="2:29" ht="20.149999999999999" customHeight="1" x14ac:dyDescent="0.35"/>
    <row r="19" spans="2:29" ht="20.149999999999999" customHeight="1" x14ac:dyDescent="0.35"/>
    <row r="20" spans="2:29" ht="20.149999999999999" customHeight="1" x14ac:dyDescent="0.35">
      <c r="E20" s="1163"/>
      <c r="F20" s="1653" t="s">
        <v>217</v>
      </c>
      <c r="G20" s="1654"/>
      <c r="H20" s="1654"/>
      <c r="I20" s="1654"/>
      <c r="J20" s="1654"/>
      <c r="K20" s="1654"/>
      <c r="M20" s="1632" t="s">
        <v>218</v>
      </c>
      <c r="N20" s="1632"/>
      <c r="O20" s="1632"/>
    </row>
    <row r="21" spans="2:29" ht="5.15" customHeight="1" x14ac:dyDescent="0.35">
      <c r="B21" s="47"/>
      <c r="C21" s="47"/>
      <c r="D21" s="47"/>
      <c r="E21" s="114"/>
      <c r="F21" s="55"/>
      <c r="G21" s="55"/>
      <c r="H21" s="55"/>
      <c r="M21" s="47"/>
      <c r="N21" s="47"/>
      <c r="O21" s="47"/>
    </row>
    <row r="22" spans="2:29" ht="20.149999999999999" customHeight="1" x14ac:dyDescent="0.35">
      <c r="B22" s="1632" t="s">
        <v>209</v>
      </c>
      <c r="C22" s="1632"/>
      <c r="D22" s="1632"/>
      <c r="E22" s="114"/>
      <c r="F22" s="1632" t="s">
        <v>219</v>
      </c>
      <c r="G22" s="1632"/>
      <c r="H22" s="1632"/>
      <c r="I22" s="1632"/>
      <c r="K22" s="1471" t="s">
        <v>220</v>
      </c>
      <c r="M22" s="1471" t="s">
        <v>221</v>
      </c>
      <c r="N22" s="47"/>
      <c r="O22" s="1471" t="s">
        <v>220</v>
      </c>
    </row>
    <row r="23" spans="2:29" ht="8.15" customHeight="1" x14ac:dyDescent="0.35">
      <c r="B23" s="47"/>
      <c r="C23" s="55"/>
      <c r="D23" s="55"/>
      <c r="E23" s="114"/>
      <c r="F23" s="55"/>
      <c r="G23" s="55"/>
      <c r="H23" s="55"/>
      <c r="M23" s="47"/>
      <c r="N23" s="47"/>
      <c r="O23" s="47"/>
    </row>
    <row r="24" spans="2:29" ht="20.149999999999999" customHeight="1" x14ac:dyDescent="0.35">
      <c r="B24" s="1211" t="s">
        <v>198</v>
      </c>
      <c r="C24" s="1172"/>
      <c r="D24" s="1173"/>
      <c r="E24" s="1155"/>
      <c r="F24" s="1160" t="s">
        <v>222</v>
      </c>
      <c r="G24" s="1160" t="s">
        <v>223</v>
      </c>
      <c r="H24" s="1160" t="s">
        <v>208</v>
      </c>
      <c r="I24" s="1158" t="s">
        <v>201</v>
      </c>
      <c r="K24" s="1160" t="s">
        <v>224</v>
      </c>
      <c r="L24" s="331"/>
      <c r="M24" s="1160" t="s">
        <v>224</v>
      </c>
      <c r="O24" s="1160" t="s">
        <v>224</v>
      </c>
    </row>
    <row r="25" spans="2:29" ht="20.149999999999999" customHeight="1" x14ac:dyDescent="0.35">
      <c r="B25" s="1212" t="s">
        <v>203</v>
      </c>
      <c r="C25" s="1647" t="str">
        <f>Z25&amp;AA25&amp;AB25&amp;AC25</f>
        <v>1000 tourists and 84700 temporary residents (workers, students and others) per day</v>
      </c>
      <c r="D25" s="1648"/>
      <c r="E25" s="1154"/>
      <c r="F25" s="1326">
        <f>'FS_Containment volumes'!B167</f>
        <v>31275</v>
      </c>
      <c r="G25" s="1326">
        <f>'Containment volumes'!B169-F25</f>
        <v>220550</v>
      </c>
      <c r="H25" s="1161">
        <f>SUM(F25:G25)</f>
        <v>251825</v>
      </c>
      <c r="I25" s="1330">
        <f>IF($H$32=0,0,H25/$H$32)</f>
        <v>7.2133270029639592E-3</v>
      </c>
      <c r="K25" s="1328">
        <f>H25/365</f>
        <v>689.93150684931504</v>
      </c>
      <c r="L25" s="331"/>
      <c r="M25" s="1161">
        <f>'Containment volumes'!U169</f>
        <v>1638050</v>
      </c>
      <c r="N25" s="47"/>
      <c r="O25" s="1328">
        <f>M25/365</f>
        <v>4487.8082191780823</v>
      </c>
      <c r="W25" s="1254"/>
      <c r="Z25" s="29">
        <f>'Capture volumes'!G158</f>
        <v>1000</v>
      </c>
      <c r="AA25" s="11" t="s">
        <v>210</v>
      </c>
      <c r="AB25" s="29">
        <f>'Capture volumes'!G159</f>
        <v>84700</v>
      </c>
      <c r="AC25" s="11" t="s">
        <v>211</v>
      </c>
    </row>
    <row r="26" spans="2:29" ht="20.149999999999999" customHeight="1" x14ac:dyDescent="0.35">
      <c r="B26" s="1156" t="s">
        <v>204</v>
      </c>
      <c r="C26" s="1649"/>
      <c r="D26" s="1650"/>
      <c r="E26" s="1154"/>
      <c r="F26" s="1326">
        <f>'FS_Containment volumes'!B177</f>
        <v>0</v>
      </c>
      <c r="G26" s="1326">
        <f>'Containment volumes'!B179-F26</f>
        <v>0</v>
      </c>
      <c r="H26" s="1161">
        <f>SUM(F26:G26)</f>
        <v>0</v>
      </c>
      <c r="I26" s="1330">
        <f t="shared" ref="I26:I32" si="3">IF($H$32=0,0,H26/$H$32)</f>
        <v>0</v>
      </c>
      <c r="K26" s="1328">
        <f>H26/365</f>
        <v>0</v>
      </c>
      <c r="M26" s="1161">
        <f>'Containment volumes'!U179</f>
        <v>0</v>
      </c>
      <c r="N26" s="47"/>
      <c r="O26" s="1328">
        <f t="shared" ref="O26:O29" si="4">M26/365</f>
        <v>0</v>
      </c>
    </row>
    <row r="27" spans="2:29" ht="20.149999999999999" customHeight="1" x14ac:dyDescent="0.35">
      <c r="B27" s="1156" t="s">
        <v>205</v>
      </c>
      <c r="C27" s="1649"/>
      <c r="D27" s="1650"/>
      <c r="E27" s="114"/>
      <c r="F27" s="1326">
        <f>'FS_Containment volumes'!B180+'FS_Containment volumes'!B197</f>
        <v>6250</v>
      </c>
      <c r="G27" s="1326">
        <f>'Containment volumes'!B182+'Containment volumes'!B199-F27</f>
        <v>247125</v>
      </c>
      <c r="H27" s="1161">
        <f>SUM(F27:G27)</f>
        <v>253375</v>
      </c>
      <c r="I27" s="1330">
        <f t="shared" si="3"/>
        <v>7.2577255211992179E-3</v>
      </c>
      <c r="K27" s="1328">
        <f>H27/365</f>
        <v>694.17808219178085</v>
      </c>
      <c r="M27" s="1161">
        <f>'Containment volumes'!U182+'Containment volumes'!U199</f>
        <v>587325</v>
      </c>
      <c r="N27" s="47"/>
      <c r="O27" s="1328">
        <f t="shared" si="4"/>
        <v>1609.1095890410959</v>
      </c>
      <c r="W27" s="1254"/>
    </row>
    <row r="28" spans="2:29" ht="20.149999999999999" customHeight="1" x14ac:dyDescent="0.35">
      <c r="B28" s="1156" t="s">
        <v>206</v>
      </c>
      <c r="C28" s="1649"/>
      <c r="D28" s="1650"/>
      <c r="E28" s="1155"/>
      <c r="F28" s="1326">
        <f>'FS_Containment volumes'!B183+'FS_Containment volumes'!B201</f>
        <v>31275</v>
      </c>
      <c r="G28" s="1326">
        <f>'Containment volumes'!B185+'Containment volumes'!B203-Facilities!F28</f>
        <v>51625</v>
      </c>
      <c r="H28" s="1161">
        <f>SUM(F28:G28)</f>
        <v>82900</v>
      </c>
      <c r="I28" s="1330">
        <f t="shared" si="3"/>
        <v>2.3746046204535382E-3</v>
      </c>
      <c r="K28" s="1328">
        <f>H28/365</f>
        <v>227.12328767123287</v>
      </c>
      <c r="M28" s="1161">
        <f>'Containment volumes'!U185+'Containment volumes'!U203</f>
        <v>146400</v>
      </c>
      <c r="O28" s="1328">
        <f t="shared" si="4"/>
        <v>401.09589041095893</v>
      </c>
    </row>
    <row r="29" spans="2:29" ht="20.149999999999999" customHeight="1" x14ac:dyDescent="0.35">
      <c r="B29" s="1156" t="s">
        <v>207</v>
      </c>
      <c r="C29" s="1651"/>
      <c r="D29" s="1652"/>
      <c r="E29" s="1154"/>
      <c r="F29" s="1326">
        <f>'Capture volumes'!E269</f>
        <v>1250</v>
      </c>
      <c r="G29" s="1326">
        <v>0</v>
      </c>
      <c r="H29" s="1161">
        <f>SUM(F29:G29)</f>
        <v>1250</v>
      </c>
      <c r="I29" s="1330">
        <f t="shared" si="3"/>
        <v>3.580525664133803E-5</v>
      </c>
      <c r="K29" s="1328">
        <f>H29/365</f>
        <v>3.4246575342465753</v>
      </c>
      <c r="M29" s="1161">
        <f>'Capture volumes'!F269</f>
        <v>0</v>
      </c>
      <c r="N29" s="47"/>
      <c r="O29" s="1328">
        <f t="shared" si="4"/>
        <v>0</v>
      </c>
    </row>
    <row r="30" spans="2:29" ht="20.149999999999999" customHeight="1" x14ac:dyDescent="0.35">
      <c r="B30" s="1157" t="s">
        <v>208</v>
      </c>
      <c r="C30" s="1175"/>
      <c r="D30" s="1176"/>
      <c r="E30" s="1154"/>
      <c r="F30" s="1159">
        <f>SUM(F25:F29)</f>
        <v>70050</v>
      </c>
      <c r="G30" s="1159">
        <f>SUM(G25:G29)</f>
        <v>519300</v>
      </c>
      <c r="H30" s="1159">
        <f>SUM(H25:H29)</f>
        <v>589350</v>
      </c>
      <c r="I30" s="1164">
        <f t="shared" si="3"/>
        <v>1.6881462401258054E-2</v>
      </c>
      <c r="K30" s="1159">
        <f>SUM(K25:K29)</f>
        <v>1614.6575342465753</v>
      </c>
      <c r="L30" s="332"/>
      <c r="M30" s="1159">
        <f>SUM(M25:M29)</f>
        <v>2371775</v>
      </c>
      <c r="N30" s="47"/>
      <c r="O30" s="1159">
        <f>SUM(O25:O29)</f>
        <v>6498.0136986301377</v>
      </c>
    </row>
    <row r="31" spans="2:29" ht="20.149999999999999" customHeight="1" x14ac:dyDescent="0.35">
      <c r="B31" s="80"/>
      <c r="C31" s="363"/>
      <c r="D31" s="363"/>
    </row>
    <row r="32" spans="2:29" ht="20.149999999999999" customHeight="1" x14ac:dyDescent="0.35">
      <c r="B32" s="1174" t="s">
        <v>215</v>
      </c>
      <c r="C32" s="1175"/>
      <c r="D32" s="1177"/>
      <c r="F32" s="1159">
        <f>F17+F30</f>
        <v>206200</v>
      </c>
      <c r="G32" s="1159">
        <f>G17+G30</f>
        <v>34704875</v>
      </c>
      <c r="H32" s="1159">
        <f>H17+H30</f>
        <v>34911075</v>
      </c>
      <c r="I32" s="1164">
        <f t="shared" si="3"/>
        <v>1</v>
      </c>
      <c r="K32" s="1159">
        <f>K17+K30</f>
        <v>95646.780821917811</v>
      </c>
      <c r="M32" s="1159">
        <f>M17+M30</f>
        <v>117631575</v>
      </c>
      <c r="O32" s="1159">
        <f>O17+O30</f>
        <v>322278.28767123289</v>
      </c>
    </row>
    <row r="35" spans="3:13" x14ac:dyDescent="0.35">
      <c r="C35" s="11"/>
      <c r="D35" s="11"/>
      <c r="E35" s="11"/>
      <c r="F35" s="1240">
        <f>'SUM for FWF Diagram_SLUDGE'!B100</f>
        <v>206200</v>
      </c>
      <c r="G35" s="11"/>
      <c r="H35" s="1240">
        <f>'Capture volumes'!B8</f>
        <v>34911075</v>
      </c>
      <c r="M35" s="1240">
        <f>'Capture volumes'!C8</f>
        <v>117631575</v>
      </c>
    </row>
    <row r="36" spans="3:13" x14ac:dyDescent="0.35">
      <c r="C36" s="11"/>
      <c r="D36" s="11"/>
      <c r="E36" s="11"/>
      <c r="F36" s="446">
        <f>F32-F35</f>
        <v>0</v>
      </c>
      <c r="G36" s="11"/>
      <c r="H36" s="446">
        <f>H32-H35</f>
        <v>0</v>
      </c>
      <c r="M36" s="446">
        <f>M32-M35</f>
        <v>0</v>
      </c>
    </row>
    <row r="37" spans="3:13" x14ac:dyDescent="0.35">
      <c r="E37" s="134"/>
    </row>
    <row r="38" spans="3:13" x14ac:dyDescent="0.35">
      <c r="F38" s="451"/>
    </row>
  </sheetData>
  <sheetProtection password="C8C1" sheet="1" objects="1" scenarios="1" selectLockedCells="1"/>
  <mergeCells count="10">
    <mergeCell ref="M7:O7"/>
    <mergeCell ref="M20:O20"/>
    <mergeCell ref="B4:F4"/>
    <mergeCell ref="C25:D29"/>
    <mergeCell ref="F7:K7"/>
    <mergeCell ref="F20:K20"/>
    <mergeCell ref="F9:I9"/>
    <mergeCell ref="F22:I22"/>
    <mergeCell ref="B9:D9"/>
    <mergeCell ref="B22:D22"/>
  </mergeCells>
  <pageMargins left="0.75" right="0.75" top="0.75" bottom="0.75" header="0.3" footer="0.3"/>
  <pageSetup paperSize="9" scale="5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theme="3"/>
    <pageSetUpPr fitToPage="1"/>
  </sheetPr>
  <dimension ref="A1:T46"/>
  <sheetViews>
    <sheetView showGridLines="0" showRowColHeaders="0" topLeftCell="A2" zoomScale="80" zoomScaleNormal="80" workbookViewId="0">
      <pane ySplit="3" topLeftCell="A5" activePane="bottomLeft" state="frozen"/>
      <selection activeCell="A2" sqref="A2"/>
      <selection pane="bottomLeft" activeCell="A5" sqref="A5"/>
    </sheetView>
  </sheetViews>
  <sheetFormatPr defaultColWidth="9.1796875" defaultRowHeight="14.5" x14ac:dyDescent="0.35"/>
  <cols>
    <col min="1" max="1" width="3.26953125" style="11" customWidth="1"/>
    <col min="2" max="2" width="40.7265625" style="11" customWidth="1"/>
    <col min="3" max="5" width="14.7265625" style="134" customWidth="1"/>
    <col min="6" max="6" width="2.7265625" style="363" customWidth="1"/>
    <col min="7" max="7" width="15.7265625" style="134" customWidth="1"/>
    <col min="8" max="12" width="14.7265625" style="134" customWidth="1"/>
    <col min="13" max="14" width="14.7265625" style="11" customWidth="1"/>
    <col min="15" max="15" width="2.7265625" style="11" customWidth="1"/>
    <col min="16" max="16" width="14.7265625" style="11" customWidth="1"/>
    <col min="17" max="17" width="3.26953125" style="11" customWidth="1"/>
    <col min="18" max="16384" width="9.1796875" style="11"/>
  </cols>
  <sheetData>
    <row r="1" spans="1:20" ht="18.5" hidden="1" x14ac:dyDescent="0.35">
      <c r="B1" s="13" t="e">
        <f>Overview_SLUDGE!#REF!</f>
        <v>#REF!</v>
      </c>
    </row>
    <row r="2" spans="1:20" s="691" customFormat="1" ht="36.75" customHeight="1" x14ac:dyDescent="0.45">
      <c r="B2" s="824" t="str">
        <f>Overview_SLUDGE!B1</f>
        <v>Any city in , the world</v>
      </c>
      <c r="C2" s="778"/>
      <c r="D2" s="778"/>
      <c r="E2" s="778"/>
      <c r="F2" s="779"/>
      <c r="G2" s="778"/>
      <c r="H2" s="778"/>
      <c r="I2" s="778"/>
      <c r="J2" s="778"/>
      <c r="K2" s="778"/>
      <c r="L2" s="778"/>
      <c r="M2" s="778"/>
      <c r="N2" s="778"/>
      <c r="O2" s="778"/>
      <c r="P2" s="778"/>
      <c r="Q2" s="778"/>
      <c r="R2" s="778"/>
      <c r="S2" s="778"/>
      <c r="T2" s="778"/>
    </row>
    <row r="3" spans="1:20" s="780" customFormat="1" ht="10.5" hidden="1" x14ac:dyDescent="0.25">
      <c r="C3" s="782"/>
      <c r="D3" s="782"/>
      <c r="E3" s="782"/>
      <c r="F3" s="783"/>
      <c r="G3" s="782"/>
      <c r="H3" s="782"/>
      <c r="I3" s="782"/>
      <c r="J3" s="782"/>
      <c r="K3" s="782"/>
      <c r="L3" s="782"/>
      <c r="M3" s="782"/>
      <c r="N3" s="782"/>
      <c r="O3" s="782"/>
      <c r="P3" s="782"/>
      <c r="Q3" s="782"/>
      <c r="R3" s="782"/>
      <c r="S3" s="782"/>
      <c r="T3" s="782"/>
    </row>
    <row r="4" spans="1:20" s="796" customFormat="1" ht="57" customHeight="1" thickBot="1" x14ac:dyDescent="0.4">
      <c r="B4" s="1631" t="s">
        <v>225</v>
      </c>
      <c r="C4" s="1631"/>
      <c r="D4" s="1631"/>
      <c r="E4" s="1631"/>
      <c r="F4" s="1631"/>
      <c r="G4" s="1631"/>
      <c r="H4" s="1470"/>
      <c r="I4" s="797"/>
      <c r="J4" s="797"/>
      <c r="K4" s="797"/>
      <c r="L4" s="797"/>
      <c r="M4" s="797"/>
      <c r="N4" s="797"/>
      <c r="O4" s="797"/>
      <c r="P4" s="797"/>
      <c r="Q4" s="797"/>
      <c r="R4" s="797"/>
      <c r="S4" s="797"/>
      <c r="T4" s="797"/>
    </row>
    <row r="5" spans="1:20" s="47" customFormat="1" ht="18" customHeight="1" x14ac:dyDescent="0.35">
      <c r="A5" s="1283"/>
      <c r="C5" s="55"/>
      <c r="D5" s="55"/>
      <c r="E5" s="55"/>
      <c r="F5" s="114"/>
      <c r="G5" s="55"/>
      <c r="H5" s="55"/>
      <c r="I5" s="55"/>
      <c r="J5" s="55"/>
      <c r="K5" s="55"/>
      <c r="L5" s="55"/>
    </row>
    <row r="6" spans="1:20" s="47" customFormat="1" ht="18" customHeight="1" x14ac:dyDescent="0.35">
      <c r="C6" s="1162"/>
      <c r="D6" s="1162"/>
      <c r="E6" s="1162"/>
      <c r="F6" s="1163"/>
      <c r="G6" s="1162"/>
      <c r="H6" s="1162"/>
      <c r="I6" s="1162"/>
      <c r="J6" s="1162"/>
      <c r="K6" s="1162"/>
      <c r="L6" s="1162"/>
    </row>
    <row r="7" spans="1:20" s="47" customFormat="1" ht="20.149999999999999" customHeight="1" x14ac:dyDescent="0.35">
      <c r="B7" s="1655" t="s">
        <v>226</v>
      </c>
      <c r="C7" s="1656"/>
      <c r="D7" s="1656"/>
      <c r="E7" s="1657"/>
      <c r="F7" s="114"/>
      <c r="G7" s="1241"/>
      <c r="H7" s="1632" t="s">
        <v>227</v>
      </c>
      <c r="I7" s="1632"/>
      <c r="J7" s="1632"/>
      <c r="K7" s="1632"/>
      <c r="L7" s="1632"/>
      <c r="M7" s="1632"/>
      <c r="N7" s="1632"/>
      <c r="O7" s="11"/>
    </row>
    <row r="8" spans="1:20" s="47" customFormat="1" ht="8.15" customHeight="1" x14ac:dyDescent="0.35">
      <c r="C8" s="55"/>
      <c r="D8" s="55"/>
      <c r="E8" s="55"/>
      <c r="F8" s="114"/>
      <c r="G8" s="55"/>
      <c r="H8" s="55"/>
      <c r="I8" s="55"/>
      <c r="J8" s="55"/>
      <c r="K8" s="55"/>
      <c r="L8" s="55"/>
    </row>
    <row r="9" spans="1:20" ht="38.15" customHeight="1" x14ac:dyDescent="0.35">
      <c r="B9" s="1153" t="s">
        <v>198</v>
      </c>
      <c r="C9" s="1158" t="s">
        <v>228</v>
      </c>
      <c r="D9" s="1231" t="s">
        <v>229</v>
      </c>
      <c r="E9" s="1231" t="s">
        <v>230</v>
      </c>
      <c r="F9" s="1155"/>
      <c r="G9" s="1160" t="s">
        <v>17</v>
      </c>
      <c r="H9" s="1160" t="s">
        <v>17</v>
      </c>
      <c r="I9" s="1160" t="s">
        <v>231</v>
      </c>
      <c r="J9" s="1160" t="s">
        <v>231</v>
      </c>
      <c r="K9" s="1160" t="s">
        <v>232</v>
      </c>
      <c r="L9" s="1160" t="s">
        <v>232</v>
      </c>
      <c r="M9" s="1158" t="s">
        <v>233</v>
      </c>
      <c r="N9" s="1158" t="s">
        <v>233</v>
      </c>
      <c r="P9" s="1234" t="s">
        <v>54</v>
      </c>
    </row>
    <row r="10" spans="1:20" s="47" customFormat="1" ht="20.149999999999999" customHeight="1" x14ac:dyDescent="0.35">
      <c r="B10" s="1156" t="s">
        <v>203</v>
      </c>
      <c r="C10" s="1326">
        <f>'Containment volumes'!B81</f>
        <v>25280025</v>
      </c>
      <c r="D10" s="1326">
        <f>'Containment volumes'!B214</f>
        <v>251825</v>
      </c>
      <c r="E10" s="1326">
        <f>SUM(C10:D10)</f>
        <v>25531850</v>
      </c>
      <c r="F10" s="1154"/>
      <c r="G10" s="1082">
        <f>'SUM for FWF Diagram_ALL'!L24+'SUM for FWF Diagram_ALL'!L30</f>
        <v>25531850</v>
      </c>
      <c r="H10" s="1327">
        <f>IF($E10=0,0,G10/$E10)</f>
        <v>1</v>
      </c>
      <c r="I10" s="1326">
        <f>'SUM for FWF Diagram_ALL'!N24+'SUM for FWF Diagram_ALL'!N30</f>
        <v>25531850</v>
      </c>
      <c r="J10" s="1327">
        <f>IF($E10=0,0,I10/$E10)</f>
        <v>1</v>
      </c>
      <c r="K10" s="1328">
        <f>'SUM for FWF Diagram_ALL'!P24+'SUM for FWF Diagram_ALL'!P30</f>
        <v>22978675</v>
      </c>
      <c r="L10" s="1327">
        <f>IF($E10=0,0,K10/$E10)</f>
        <v>0.9000003916676621</v>
      </c>
      <c r="M10" s="1328">
        <f>'SUM for FWF Diagram_ALL'!R24+'SUM for FWF Diagram_ALL'!R30</f>
        <v>8042536.25</v>
      </c>
      <c r="N10" s="1327">
        <f>IF($E10=0,0,M10/$E10)</f>
        <v>0.31500013708368174</v>
      </c>
      <c r="P10" s="1327">
        <f>IF($E$14=0,0,M10/$E$14)</f>
        <v>0.23037205958281148</v>
      </c>
      <c r="Q10" s="331"/>
    </row>
    <row r="11" spans="1:20" s="47" customFormat="1" ht="20.149999999999999" customHeight="1" x14ac:dyDescent="0.35">
      <c r="B11" s="1156" t="s">
        <v>204</v>
      </c>
      <c r="C11" s="1326">
        <f>'Containment volumes'!B82</f>
        <v>0</v>
      </c>
      <c r="D11" s="1326">
        <f>'Containment volumes'!B215</f>
        <v>0</v>
      </c>
      <c r="E11" s="1326">
        <f>SUM(C11:D11)</f>
        <v>0</v>
      </c>
      <c r="F11" s="1154"/>
      <c r="G11" s="1082">
        <f>'SUM for FWF Diagram_ALL'!L38</f>
        <v>0</v>
      </c>
      <c r="H11" s="1327">
        <f t="shared" ref="H11:J14" si="0">IF($E11=0,0,G11/$E11)</f>
        <v>0</v>
      </c>
      <c r="I11" s="1326">
        <f>'SUM for FWF Diagram_ALL'!N38+'SUM for FWF Diagram_ALL'!N44</f>
        <v>0</v>
      </c>
      <c r="J11" s="1327">
        <f t="shared" si="0"/>
        <v>0</v>
      </c>
      <c r="K11" s="1328">
        <f>'SUM for FWF Diagram_ALL'!P38+'SUM for FWF Diagram_ALL'!P44</f>
        <v>0</v>
      </c>
      <c r="L11" s="1327">
        <f>IF($E11=0,0,K11/$E11)</f>
        <v>0</v>
      </c>
      <c r="M11" s="1328">
        <f>'SUM for FWF Diagram_ALL'!R38+'SUM for FWF Diagram_ALL'!R44</f>
        <v>0</v>
      </c>
      <c r="N11" s="1327">
        <f>IF($E11=0,0,M11/$E11)</f>
        <v>0</v>
      </c>
      <c r="P11" s="1327">
        <f t="shared" ref="P11:P13" si="1">IF($E$14=0,0,M11/$E$14)</f>
        <v>0</v>
      </c>
    </row>
    <row r="12" spans="1:20" s="47" customFormat="1" ht="20.149999999999999" customHeight="1" x14ac:dyDescent="0.35">
      <c r="B12" s="1156" t="s">
        <v>205</v>
      </c>
      <c r="C12" s="1326">
        <f>'Containment volumes'!B83+'Containment volumes'!B84</f>
        <v>9022925</v>
      </c>
      <c r="D12" s="1326">
        <f>'Containment volumes'!B216+'Containment volumes'!B217</f>
        <v>336275</v>
      </c>
      <c r="E12" s="1326">
        <f>SUM(C12:D12)</f>
        <v>9359200</v>
      </c>
      <c r="F12" s="114"/>
      <c r="G12" s="1082">
        <f>'SUM for FWF Diagram_ALL'!L56+'SUM for FWF Diagram_ALL'!L72</f>
        <v>7164875</v>
      </c>
      <c r="H12" s="1327">
        <f t="shared" si="0"/>
        <v>0.76554352936148384</v>
      </c>
      <c r="I12" s="1326">
        <f>'SUM for FWF Diagram_ALL'!N56+'SUM for FWF Diagram_ALL'!N60+'SUM for FWF Diagram_ALL'!N72</f>
        <v>6305700</v>
      </c>
      <c r="J12" s="1327">
        <f t="shared" si="0"/>
        <v>0.67374348234891868</v>
      </c>
      <c r="K12" s="1328">
        <f>'SUM for FWF Diagram_ALL'!P56+'SUM for FWF Diagram_ALL'!P60+'SUM for FWF Diagram_ALL'!P72</f>
        <v>6158000</v>
      </c>
      <c r="L12" s="1327">
        <f>IF($E12=0,0,K12/$E12)</f>
        <v>0.65796221899307639</v>
      </c>
      <c r="M12" s="1328">
        <f>'SUM for FWF Diagram_ALL'!R56+'SUM for FWF Diagram_ALL'!R60+'SUM for FWF Diagram_ALL'!R72</f>
        <v>1231600</v>
      </c>
      <c r="N12" s="1327">
        <f>IF($E12=0,0,M12/$E12)</f>
        <v>0.13159244379861526</v>
      </c>
      <c r="P12" s="1327">
        <f t="shared" si="1"/>
        <v>3.5278203263577529E-2</v>
      </c>
    </row>
    <row r="13" spans="1:20" s="47" customFormat="1" ht="20.149999999999999" customHeight="1" x14ac:dyDescent="0.35">
      <c r="B13" s="1156" t="s">
        <v>207</v>
      </c>
      <c r="C13" s="1326">
        <f>Facilities!H16</f>
        <v>18775</v>
      </c>
      <c r="D13" s="1326">
        <f>Facilities!H29</f>
        <v>1250</v>
      </c>
      <c r="E13" s="1326">
        <f>SUM(C13:D13)</f>
        <v>20025</v>
      </c>
      <c r="F13" s="1154"/>
      <c r="G13" s="1082">
        <v>0</v>
      </c>
      <c r="H13" s="1327">
        <f t="shared" si="0"/>
        <v>0</v>
      </c>
      <c r="I13" s="1326">
        <v>0</v>
      </c>
      <c r="J13" s="1327">
        <f t="shared" si="0"/>
        <v>0</v>
      </c>
      <c r="K13" s="1328">
        <v>0</v>
      </c>
      <c r="L13" s="1327">
        <f>IF($E13=0,0,K13/$E13)</f>
        <v>0</v>
      </c>
      <c r="M13" s="1328">
        <v>0</v>
      </c>
      <c r="N13" s="1327">
        <f>IF($E13=0,0,M13/$E13)</f>
        <v>0</v>
      </c>
      <c r="P13" s="1327">
        <f t="shared" si="1"/>
        <v>0</v>
      </c>
    </row>
    <row r="14" spans="1:20" s="47" customFormat="1" ht="20.149999999999999" customHeight="1" x14ac:dyDescent="0.35">
      <c r="B14" s="1157" t="s">
        <v>208</v>
      </c>
      <c r="C14" s="1159">
        <f>SUM(C10:C13)</f>
        <v>34321725</v>
      </c>
      <c r="D14" s="1159">
        <f>SUM(D10:D13)</f>
        <v>589350</v>
      </c>
      <c r="E14" s="1159">
        <f>SUM(E10:E13)</f>
        <v>34911075</v>
      </c>
      <c r="F14" s="1154"/>
      <c r="G14" s="1242">
        <f>SUM(G10:G13)</f>
        <v>32696725</v>
      </c>
      <c r="H14" s="1232">
        <f t="shared" si="0"/>
        <v>0.93657170396500256</v>
      </c>
      <c r="I14" s="1242">
        <f>SUM(I10:I13)</f>
        <v>31837550</v>
      </c>
      <c r="J14" s="1232">
        <f t="shared" si="0"/>
        <v>0.9119613188651452</v>
      </c>
      <c r="K14" s="1242">
        <f>SUM(K10:K13)</f>
        <v>29136675</v>
      </c>
      <c r="L14" s="1232">
        <f>IF($E14=0,0,K14/$E14)</f>
        <v>0.8345969008402061</v>
      </c>
      <c r="M14" s="1242">
        <f>SUM(M10:M13)</f>
        <v>9274136.25</v>
      </c>
      <c r="N14" s="1232">
        <f>IF($E14=0,0,M14/$E14)</f>
        <v>0.26565026284638898</v>
      </c>
      <c r="P14" s="1235">
        <f>SUM(P10:P13)</f>
        <v>0.26565026284638904</v>
      </c>
    </row>
    <row r="15" spans="1:20" ht="12" customHeight="1" x14ac:dyDescent="0.35"/>
    <row r="16" spans="1:20" ht="20.149999999999999" customHeight="1" x14ac:dyDescent="0.35">
      <c r="B16" s="1237" t="s">
        <v>11</v>
      </c>
      <c r="C16" s="1238"/>
      <c r="D16" s="1239"/>
      <c r="E16" s="1233">
        <f>IF(E14=0,0,E13/E14)</f>
        <v>5.7360021139423519E-4</v>
      </c>
      <c r="F16" s="1236"/>
      <c r="G16" s="1233"/>
      <c r="H16" s="1233">
        <f>1-H14</f>
        <v>6.3428296034997445E-2</v>
      </c>
      <c r="I16" s="1233"/>
      <c r="J16" s="1233">
        <f>1-J14</f>
        <v>8.8038681134854802E-2</v>
      </c>
      <c r="K16" s="1233"/>
      <c r="L16" s="1233">
        <f>1-L14</f>
        <v>0.1654030991597939</v>
      </c>
      <c r="M16" s="1233"/>
      <c r="N16" s="1233">
        <f>1-N14</f>
        <v>0.73434973715361096</v>
      </c>
    </row>
    <row r="17" spans="2:16" ht="12" customHeight="1" x14ac:dyDescent="0.35"/>
    <row r="18" spans="2:16" ht="18" customHeight="1" x14ac:dyDescent="0.35">
      <c r="H18" s="1340" t="s">
        <v>234</v>
      </c>
      <c r="J18" s="1341">
        <f>IF(G14=0,0,I14/G14)</f>
        <v>0.97372290344063506</v>
      </c>
    </row>
    <row r="19" spans="2:16" ht="18" customHeight="1" x14ac:dyDescent="0.35">
      <c r="J19" s="1340" t="s">
        <v>235</v>
      </c>
      <c r="L19" s="1341">
        <f>IF(I14=0,0,K14/I14)</f>
        <v>0.91516699620416775</v>
      </c>
    </row>
    <row r="20" spans="2:16" ht="18" customHeight="1" x14ac:dyDescent="0.35">
      <c r="K20" s="1340"/>
      <c r="L20" s="1340" t="s">
        <v>236</v>
      </c>
      <c r="N20" s="1341">
        <f>IF(K14=0,0,M14/K14)</f>
        <v>0.31829768667838731</v>
      </c>
    </row>
    <row r="21" spans="2:16" x14ac:dyDescent="0.35">
      <c r="C21" s="11"/>
      <c r="D21" s="11"/>
      <c r="E21" s="11"/>
      <c r="F21" s="11"/>
      <c r="G21" s="11"/>
      <c r="H21" s="11"/>
      <c r="I21" s="11"/>
      <c r="J21" s="11"/>
      <c r="K21" s="11"/>
      <c r="L21" s="11"/>
    </row>
    <row r="22" spans="2:16" x14ac:dyDescent="0.35">
      <c r="C22" s="11"/>
      <c r="D22" s="11"/>
      <c r="E22" s="11"/>
      <c r="F22" s="11"/>
      <c r="G22" s="11"/>
      <c r="H22" s="11"/>
      <c r="I22" s="11"/>
      <c r="J22" s="11"/>
      <c r="K22" s="11"/>
      <c r="L22" s="11"/>
    </row>
    <row r="23" spans="2:16" ht="20.149999999999999" customHeight="1" x14ac:dyDescent="0.35">
      <c r="B23" s="1655" t="s">
        <v>237</v>
      </c>
      <c r="C23" s="1656"/>
      <c r="D23" s="1656"/>
      <c r="E23" s="1657"/>
      <c r="F23" s="114"/>
      <c r="G23" s="1241"/>
      <c r="H23" s="1632" t="s">
        <v>227</v>
      </c>
      <c r="I23" s="1632"/>
      <c r="J23" s="1632"/>
      <c r="K23" s="1632"/>
      <c r="L23" s="1632"/>
      <c r="M23" s="1632"/>
      <c r="N23" s="1632"/>
      <c r="P23" s="47"/>
    </row>
    <row r="24" spans="2:16" ht="8.15" customHeight="1" x14ac:dyDescent="0.35">
      <c r="B24" s="47"/>
      <c r="C24" s="55"/>
      <c r="D24" s="55"/>
      <c r="E24" s="55"/>
      <c r="F24" s="114"/>
      <c r="G24" s="55"/>
      <c r="H24" s="55"/>
      <c r="I24" s="55"/>
      <c r="J24" s="55"/>
      <c r="K24" s="55"/>
      <c r="L24" s="55"/>
      <c r="M24" s="47"/>
      <c r="N24" s="47"/>
      <c r="O24" s="47"/>
      <c r="P24" s="47"/>
    </row>
    <row r="25" spans="2:16" ht="38.15" customHeight="1" x14ac:dyDescent="0.35">
      <c r="B25" s="1153" t="s">
        <v>198</v>
      </c>
      <c r="C25" s="1158" t="s">
        <v>228</v>
      </c>
      <c r="D25" s="1231" t="s">
        <v>229</v>
      </c>
      <c r="E25" s="1231" t="s">
        <v>230</v>
      </c>
      <c r="F25" s="1155"/>
      <c r="G25" s="1160" t="s">
        <v>17</v>
      </c>
      <c r="H25" s="1160" t="s">
        <v>17</v>
      </c>
      <c r="I25" s="1160" t="s">
        <v>231</v>
      </c>
      <c r="J25" s="1160" t="s">
        <v>231</v>
      </c>
      <c r="K25" s="1160" t="s">
        <v>232</v>
      </c>
      <c r="L25" s="1160" t="s">
        <v>232</v>
      </c>
      <c r="M25" s="1158" t="s">
        <v>233</v>
      </c>
      <c r="N25" s="1158" t="s">
        <v>233</v>
      </c>
      <c r="P25" s="1234" t="s">
        <v>54</v>
      </c>
    </row>
    <row r="26" spans="2:16" ht="20.149999999999999" customHeight="1" x14ac:dyDescent="0.35">
      <c r="B26" s="1156" t="s">
        <v>203</v>
      </c>
      <c r="C26" s="1326">
        <f>Facilities!F12</f>
        <v>4950</v>
      </c>
      <c r="D26" s="1326">
        <f>Facilities!F25</f>
        <v>31275</v>
      </c>
      <c r="E26" s="1326">
        <f>SUM(C26:D26)</f>
        <v>36225</v>
      </c>
      <c r="F26" s="1154"/>
      <c r="G26" s="1082">
        <f>'SUM for FWF Diagram_SLUDGE'!L30+'SUM for FWF Diagram_SLUDGE'!L36</f>
        <v>36225</v>
      </c>
      <c r="H26" s="1327">
        <f>IF($E26=0,0,G26/$E26)</f>
        <v>1</v>
      </c>
      <c r="I26" s="1326">
        <f>'SUM for FWF Diagram_SLUDGE'!N30+'SUM for FWF Diagram_SLUDGE'!N36</f>
        <v>36225</v>
      </c>
      <c r="J26" s="1327">
        <f>IF($E26=0,0,I26/$E26)</f>
        <v>1</v>
      </c>
      <c r="K26" s="1328">
        <f>'SUM for FWF Diagram_SLUDGE'!P30+'SUM for FWF Diagram_SLUDGE'!R36</f>
        <v>32600</v>
      </c>
      <c r="L26" s="1327">
        <f>IF($E26=0,0,K26/$E26)</f>
        <v>0.89993098688750861</v>
      </c>
      <c r="M26" s="1328">
        <f>'SUM for FWF Diagram_SLUDGE'!R30+'SUM for FWF Diagram_SLUDGE'!T36</f>
        <v>11410</v>
      </c>
      <c r="N26" s="1327">
        <f>IF($E26=0,0,M26/$E26)</f>
        <v>0.31497584541062801</v>
      </c>
      <c r="O26" s="47"/>
      <c r="P26" s="1327">
        <f>IF($E$30=0,0,M26/$E$30)</f>
        <v>5.5334626576139669E-2</v>
      </c>
    </row>
    <row r="27" spans="2:16" ht="20.149999999999999" customHeight="1" x14ac:dyDescent="0.35">
      <c r="B27" s="1156" t="s">
        <v>204</v>
      </c>
      <c r="C27" s="1326">
        <f>Facilities!F13</f>
        <v>0</v>
      </c>
      <c r="D27" s="1326">
        <f>Facilities!F26</f>
        <v>0</v>
      </c>
      <c r="E27" s="1326">
        <f>SUM(C27:D27)</f>
        <v>0</v>
      </c>
      <c r="F27" s="1154"/>
      <c r="G27" s="1082">
        <f>'SUM for FWF Diagram_SLUDGE'!L50</f>
        <v>0</v>
      </c>
      <c r="H27" s="1327">
        <f>IF($E27=0,0,G27/$E27)</f>
        <v>0</v>
      </c>
      <c r="I27" s="1326">
        <f>'SUM for FWF Diagram_SLUDGE'!N50</f>
        <v>0</v>
      </c>
      <c r="J27" s="1327">
        <f>IF($E27=0,0,I27/$E27)</f>
        <v>0</v>
      </c>
      <c r="K27" s="1328">
        <f>'SUM for FWF Diagram_SLUDGE'!P50</f>
        <v>0</v>
      </c>
      <c r="L27" s="1327">
        <f>IF($E27=0,0,K27/$E27)</f>
        <v>0</v>
      </c>
      <c r="M27" s="1328">
        <f>'SUM for FWF Diagram_SLUDGE'!R50</f>
        <v>0</v>
      </c>
      <c r="N27" s="1327">
        <f>IF($E27=0,0,M27/$E27)</f>
        <v>0</v>
      </c>
      <c r="O27" s="47"/>
      <c r="P27" s="1327">
        <f t="shared" ref="P27:P29" si="2">IF($E$30=0,0,M27/$E$30)</f>
        <v>0</v>
      </c>
    </row>
    <row r="28" spans="2:16" ht="20.149999999999999" customHeight="1" x14ac:dyDescent="0.35">
      <c r="B28" s="1156" t="s">
        <v>205</v>
      </c>
      <c r="C28" s="1326">
        <f>Facilities!F14+Facilities!F15</f>
        <v>112425</v>
      </c>
      <c r="D28" s="1326">
        <f>Facilities!F27+Facilities!F28</f>
        <v>37525</v>
      </c>
      <c r="E28" s="1326">
        <f>SUM(C28:D28)</f>
        <v>149950</v>
      </c>
      <c r="F28" s="114"/>
      <c r="G28" s="1082">
        <f>'SUM for FWF Diagram_SLUDGE'!L66+'SUM for FWF Diagram_SLUDGE'!L78</f>
        <v>147700</v>
      </c>
      <c r="H28" s="1327">
        <f>IF($E28=0,0,G28/$E28)</f>
        <v>0.98499499833277759</v>
      </c>
      <c r="I28" s="1326">
        <f>'SUM for FWF Diagram_SLUDGE'!N66+'SUM for FWF Diagram_SLUDGE'!N78</f>
        <v>147700</v>
      </c>
      <c r="J28" s="1327">
        <f>IF($E28=0,0,I28/$E28)</f>
        <v>0.98499499833277759</v>
      </c>
      <c r="K28" s="1328">
        <f>'SUM for FWF Diagram_SLUDGE'!P66+'SUM for FWF Diagram_SLUDGE'!P78</f>
        <v>0</v>
      </c>
      <c r="L28" s="1327">
        <f>IF($E28=0,0,K28/$E28)</f>
        <v>0</v>
      </c>
      <c r="M28" s="1328">
        <f>'SUM for FWF Diagram_SLUDGE'!R66+'SUM for FWF Diagram_SLUDGE'!R78</f>
        <v>0</v>
      </c>
      <c r="N28" s="1327">
        <f>IF($E28=0,0,M28/$E28)</f>
        <v>0</v>
      </c>
      <c r="O28" s="47"/>
      <c r="P28" s="1327">
        <f t="shared" si="2"/>
        <v>0</v>
      </c>
    </row>
    <row r="29" spans="2:16" ht="20.149999999999999" customHeight="1" x14ac:dyDescent="0.35">
      <c r="B29" s="1156" t="s">
        <v>207</v>
      </c>
      <c r="C29" s="1326">
        <f>Facilities!F16</f>
        <v>18775</v>
      </c>
      <c r="D29" s="1326">
        <f>Facilities!F29</f>
        <v>1250</v>
      </c>
      <c r="E29" s="1326">
        <f>SUM(C29:D29)</f>
        <v>20025</v>
      </c>
      <c r="F29" s="1154"/>
      <c r="G29" s="1082">
        <v>0</v>
      </c>
      <c r="H29" s="1327">
        <f>IF($E29=0,0,G29/$E29)</f>
        <v>0</v>
      </c>
      <c r="I29" s="1326">
        <v>0</v>
      </c>
      <c r="J29" s="1327">
        <f>IF($E29=0,0,I29/$E29)</f>
        <v>0</v>
      </c>
      <c r="K29" s="1328">
        <v>0</v>
      </c>
      <c r="L29" s="1327">
        <f>IF($E29=0,0,K29/$E29)</f>
        <v>0</v>
      </c>
      <c r="M29" s="1328">
        <v>0</v>
      </c>
      <c r="N29" s="1327">
        <f>IF($E29=0,0,M29/$E29)</f>
        <v>0</v>
      </c>
      <c r="O29" s="47"/>
      <c r="P29" s="1327">
        <f t="shared" si="2"/>
        <v>0</v>
      </c>
    </row>
    <row r="30" spans="2:16" ht="20.149999999999999" customHeight="1" x14ac:dyDescent="0.35">
      <c r="B30" s="1157" t="s">
        <v>208</v>
      </c>
      <c r="C30" s="1159">
        <f>SUM(C26:C29)</f>
        <v>136150</v>
      </c>
      <c r="D30" s="1159">
        <f>SUM(D26:D29)</f>
        <v>70050</v>
      </c>
      <c r="E30" s="1159">
        <f>SUM(E26:E29)</f>
        <v>206200</v>
      </c>
      <c r="F30" s="1154"/>
      <c r="G30" s="1242">
        <f>SUM(G26:G29)</f>
        <v>183925</v>
      </c>
      <c r="H30" s="1232">
        <f>IF($E30=0,0,G30/$E30)</f>
        <v>0.8919738118331717</v>
      </c>
      <c r="I30" s="1242">
        <f>SUM(I26:I29)</f>
        <v>183925</v>
      </c>
      <c r="J30" s="1232">
        <f>IF($E30=0,0,I30/$E30)</f>
        <v>0.8919738118331717</v>
      </c>
      <c r="K30" s="1242">
        <f>SUM(K26:K29)</f>
        <v>32600</v>
      </c>
      <c r="L30" s="1232">
        <f>IF($E30=0,0,K30/$E30)</f>
        <v>0.15809893307468478</v>
      </c>
      <c r="M30" s="1242">
        <f>SUM(M26:M29)</f>
        <v>11410</v>
      </c>
      <c r="N30" s="1232">
        <f>IF($E30=0,0,M30/$E30)</f>
        <v>5.5334626576139669E-2</v>
      </c>
      <c r="O30" s="47"/>
      <c r="P30" s="1235">
        <f>SUM(P26:P29)</f>
        <v>5.5334626576139669E-2</v>
      </c>
    </row>
    <row r="31" spans="2:16" ht="12" customHeight="1" x14ac:dyDescent="0.35"/>
    <row r="32" spans="2:16" ht="20.149999999999999" customHeight="1" x14ac:dyDescent="0.35">
      <c r="B32" s="1237" t="s">
        <v>11</v>
      </c>
      <c r="C32" s="1238"/>
      <c r="D32" s="1239"/>
      <c r="E32" s="1233">
        <f>IF(E30=0,0,E29/E30)</f>
        <v>9.7114451988360814E-2</v>
      </c>
      <c r="F32" s="1236"/>
      <c r="G32" s="1233"/>
      <c r="H32" s="1233">
        <f>1-H30</f>
        <v>0.1080261881668283</v>
      </c>
      <c r="I32" s="1233"/>
      <c r="J32" s="1233">
        <f>1-J30</f>
        <v>0.1080261881668283</v>
      </c>
      <c r="K32" s="1233"/>
      <c r="L32" s="1233">
        <f>1-L30</f>
        <v>0.84190106692531519</v>
      </c>
      <c r="M32" s="1233"/>
      <c r="N32" s="1233">
        <f>1-N30</f>
        <v>0.94466537342386037</v>
      </c>
    </row>
    <row r="33" spans="5:14" ht="12" customHeight="1" x14ac:dyDescent="0.35"/>
    <row r="34" spans="5:14" ht="18" customHeight="1" x14ac:dyDescent="0.35">
      <c r="H34" s="1340" t="s">
        <v>238</v>
      </c>
      <c r="I34" s="11"/>
      <c r="J34" s="1341">
        <f>IF(G30=0,0,I30/G30)</f>
        <v>1</v>
      </c>
      <c r="N34" s="455"/>
    </row>
    <row r="35" spans="5:14" ht="18" customHeight="1" x14ac:dyDescent="0.35">
      <c r="J35" s="1340" t="s">
        <v>239</v>
      </c>
      <c r="K35" s="11"/>
      <c r="L35" s="1341">
        <f>IF(I30=0,0,K30/I30)</f>
        <v>0.17724616011961397</v>
      </c>
    </row>
    <row r="36" spans="5:14" ht="18" customHeight="1" x14ac:dyDescent="0.35">
      <c r="J36" s="455"/>
      <c r="L36" s="1340" t="s">
        <v>240</v>
      </c>
      <c r="N36" s="1341">
        <f>IF(K30=0,0,M30/K30)</f>
        <v>0.35</v>
      </c>
    </row>
    <row r="37" spans="5:14" x14ac:dyDescent="0.35">
      <c r="E37" s="446"/>
      <c r="I37" s="1254"/>
    </row>
    <row r="38" spans="5:14" x14ac:dyDescent="0.35">
      <c r="E38" s="446"/>
    </row>
    <row r="42" spans="5:14" x14ac:dyDescent="0.35">
      <c r="G42" s="1254"/>
      <c r="I42" s="446"/>
      <c r="J42" s="446"/>
      <c r="K42" s="446"/>
    </row>
    <row r="43" spans="5:14" x14ac:dyDescent="0.35">
      <c r="J43" s="1254"/>
      <c r="K43" s="1254"/>
    </row>
    <row r="46" spans="5:14" x14ac:dyDescent="0.35">
      <c r="H46" s="455"/>
      <c r="J46" s="455"/>
      <c r="L46" s="455"/>
    </row>
  </sheetData>
  <sheetProtection password="C8C1" sheet="1" objects="1" scenarios="1" selectLockedCells="1"/>
  <mergeCells count="5">
    <mergeCell ref="B7:E7"/>
    <mergeCell ref="B23:E23"/>
    <mergeCell ref="H23:N23"/>
    <mergeCell ref="H7:N7"/>
    <mergeCell ref="B4:G4"/>
  </mergeCells>
  <pageMargins left="0.75" right="0.75" top="0.75" bottom="0.75" header="0.3" footer="0.3"/>
  <pageSetup paperSize="9" scale="52" orientation="portrait" r:id="rId1"/>
  <ignoredErrors>
    <ignoredError sqref="H14 I10:N10 J14 J12 J13:M13 L14 N14 I11:I14 J11 L11 L12 K11:K12 N11 N12 N13 M11:M12 M14 I27:M27 H30:N30 L26 J26 I26 K26 M26 I29:M29 I28 K28:M28" formula="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4"/>
    <pageSetUpPr fitToPage="1"/>
  </sheetPr>
  <dimension ref="A1:S60"/>
  <sheetViews>
    <sheetView showGridLines="0" showRowColHeaders="0" topLeftCell="A2" zoomScale="80" zoomScaleNormal="80" workbookViewId="0">
      <pane ySplit="3" topLeftCell="A5" activePane="bottomLeft" state="frozen"/>
      <selection activeCell="A2" sqref="A2"/>
      <selection pane="bottomLeft" activeCell="F15" sqref="F15"/>
    </sheetView>
  </sheetViews>
  <sheetFormatPr defaultColWidth="9.1796875" defaultRowHeight="14.5" x14ac:dyDescent="0.35"/>
  <cols>
    <col min="1" max="1" width="3.26953125" style="11" customWidth="1"/>
    <col min="2" max="2" width="40.7265625" style="11" customWidth="1"/>
    <col min="3" max="7" width="14.7265625" style="134" customWidth="1"/>
    <col min="8" max="8" width="2.7265625" style="363" customWidth="1"/>
    <col min="9" max="9" width="15.7265625" style="134" customWidth="1"/>
    <col min="10" max="11" width="14.7265625" style="134" customWidth="1"/>
    <col min="12" max="12" width="2.7265625" style="134" customWidth="1"/>
    <col min="13" max="14" width="14.7265625" style="134" customWidth="1"/>
    <col min="15" max="15" width="14.7265625" style="11" customWidth="1"/>
    <col min="16" max="16" width="3.26953125" style="11" customWidth="1"/>
    <col min="17" max="16384" width="9.1796875" style="11"/>
  </cols>
  <sheetData>
    <row r="1" spans="1:19" ht="18.5" hidden="1" x14ac:dyDescent="0.35">
      <c r="B1" s="13" t="e">
        <f>Overview_SLUDGE!#REF!</f>
        <v>#REF!</v>
      </c>
    </row>
    <row r="2" spans="1:19" s="691" customFormat="1" ht="36.75" customHeight="1" x14ac:dyDescent="0.45">
      <c r="B2" s="824" t="str">
        <f>Overview_SLUDGE!B1</f>
        <v>Any city in , the world</v>
      </c>
      <c r="C2" s="778"/>
      <c r="D2" s="778"/>
      <c r="E2" s="778"/>
      <c r="F2" s="778"/>
      <c r="G2" s="778"/>
      <c r="H2" s="779"/>
      <c r="I2" s="778"/>
      <c r="J2" s="778"/>
      <c r="K2" s="778"/>
      <c r="L2" s="778"/>
      <c r="M2" s="778"/>
      <c r="N2" s="778"/>
      <c r="O2" s="778"/>
      <c r="P2" s="778"/>
      <c r="Q2" s="778"/>
      <c r="R2" s="778"/>
      <c r="S2" s="778"/>
    </row>
    <row r="3" spans="1:19" s="780" customFormat="1" ht="10.5" hidden="1" x14ac:dyDescent="0.25">
      <c r="C3" s="782"/>
      <c r="D3" s="782"/>
      <c r="E3" s="782"/>
      <c r="F3" s="782"/>
      <c r="G3" s="782"/>
      <c r="H3" s="783"/>
      <c r="I3" s="782"/>
      <c r="J3" s="782"/>
      <c r="K3" s="782"/>
      <c r="L3" s="782"/>
      <c r="M3" s="782"/>
      <c r="N3" s="782"/>
      <c r="O3" s="782"/>
      <c r="P3" s="782"/>
      <c r="Q3" s="782"/>
      <c r="R3" s="782"/>
      <c r="S3" s="782"/>
    </row>
    <row r="4" spans="1:19" s="796" customFormat="1" ht="57" customHeight="1" thickBot="1" x14ac:dyDescent="0.4">
      <c r="B4" s="1631" t="s">
        <v>241</v>
      </c>
      <c r="C4" s="1631"/>
      <c r="D4" s="1631"/>
      <c r="E4" s="1631"/>
      <c r="F4" s="1631"/>
      <c r="G4" s="1631"/>
      <c r="H4" s="1631"/>
      <c r="I4" s="1631"/>
      <c r="J4" s="1470"/>
      <c r="K4" s="797"/>
      <c r="L4" s="797"/>
      <c r="M4" s="797"/>
      <c r="N4" s="797"/>
      <c r="O4" s="797"/>
      <c r="P4" s="797"/>
      <c r="Q4" s="797"/>
      <c r="R4" s="797"/>
      <c r="S4" s="797"/>
    </row>
    <row r="5" spans="1:19" s="47" customFormat="1" ht="18" customHeight="1" x14ac:dyDescent="0.35">
      <c r="A5" s="1283"/>
      <c r="C5" s="55"/>
      <c r="D5" s="55"/>
      <c r="E5" s="55"/>
      <c r="F5" s="55"/>
      <c r="G5" s="55"/>
      <c r="H5" s="114"/>
      <c r="I5" s="55"/>
      <c r="J5" s="55"/>
      <c r="K5" s="55"/>
      <c r="L5" s="55"/>
      <c r="M5" s="55"/>
      <c r="N5" s="55"/>
    </row>
    <row r="6" spans="1:19" s="47" customFormat="1" ht="18" customHeight="1" x14ac:dyDescent="0.35">
      <c r="C6" s="1162"/>
      <c r="D6" s="1162"/>
      <c r="E6" s="1162"/>
      <c r="F6" s="1162"/>
      <c r="G6" s="1162"/>
      <c r="H6" s="1163"/>
      <c r="I6" s="1162"/>
      <c r="J6" s="1162"/>
      <c r="K6" s="1162"/>
      <c r="L6" s="1162"/>
      <c r="M6" s="1162"/>
      <c r="N6" s="1162"/>
    </row>
    <row r="7" spans="1:19" s="47" customFormat="1" ht="20.149999999999999" customHeight="1" x14ac:dyDescent="0.35">
      <c r="B7" s="1624" t="s">
        <v>9</v>
      </c>
      <c r="C7" s="1624"/>
      <c r="D7" s="1624"/>
      <c r="E7" s="1624"/>
      <c r="F7" s="1624"/>
      <c r="G7" s="1624"/>
      <c r="H7" s="1624"/>
      <c r="I7" s="1624"/>
      <c r="J7" s="1624"/>
      <c r="K7" s="1624"/>
      <c r="L7" s="1624"/>
      <c r="M7" s="1624"/>
      <c r="N7" s="1624"/>
      <c r="O7" s="1624"/>
    </row>
    <row r="8" spans="1:19" s="47" customFormat="1" ht="5.15" customHeight="1" x14ac:dyDescent="0.35">
      <c r="C8" s="1162"/>
      <c r="D8" s="1162"/>
      <c r="E8" s="1162"/>
      <c r="F8" s="1162"/>
      <c r="G8" s="1162"/>
      <c r="H8" s="1163"/>
      <c r="I8" s="1162"/>
      <c r="J8" s="1162"/>
      <c r="K8" s="1162"/>
      <c r="L8" s="1162"/>
      <c r="M8" s="1162"/>
      <c r="N8" s="1162"/>
    </row>
    <row r="9" spans="1:19" s="47" customFormat="1" ht="20.149999999999999" customHeight="1" x14ac:dyDescent="0.35">
      <c r="B9" s="1658" t="s">
        <v>242</v>
      </c>
      <c r="C9" s="1658"/>
      <c r="D9" s="1658"/>
      <c r="E9" s="1658"/>
      <c r="F9" s="1658"/>
      <c r="G9" s="1658"/>
      <c r="H9" s="114"/>
      <c r="I9" s="1632" t="s">
        <v>243</v>
      </c>
      <c r="J9" s="1632"/>
      <c r="K9" s="1632"/>
      <c r="L9" s="1162"/>
      <c r="M9" s="1632" t="s">
        <v>244</v>
      </c>
      <c r="N9" s="1632"/>
      <c r="O9" s="1632"/>
    </row>
    <row r="10" spans="1:19" s="47" customFormat="1" ht="8.15" customHeight="1" x14ac:dyDescent="0.35">
      <c r="C10" s="55"/>
      <c r="D10" s="55"/>
      <c r="E10" s="55"/>
      <c r="F10" s="55"/>
      <c r="G10" s="55"/>
      <c r="H10" s="114"/>
      <c r="I10" s="55"/>
      <c r="J10" s="55"/>
      <c r="K10" s="55"/>
      <c r="L10" s="1162"/>
      <c r="M10" s="55"/>
      <c r="N10" s="55"/>
    </row>
    <row r="11" spans="1:19" ht="38.15" customHeight="1" x14ac:dyDescent="0.35">
      <c r="B11" s="1153" t="s">
        <v>198</v>
      </c>
      <c r="C11" s="1158" t="s">
        <v>228</v>
      </c>
      <c r="D11" s="1231" t="s">
        <v>229</v>
      </c>
      <c r="E11" s="1231" t="s">
        <v>245</v>
      </c>
      <c r="F11" s="1231" t="s">
        <v>246</v>
      </c>
      <c r="G11" s="1231" t="s">
        <v>247</v>
      </c>
      <c r="H11" s="1155"/>
      <c r="I11" s="1362" t="s">
        <v>248</v>
      </c>
      <c r="J11" s="1362" t="s">
        <v>249</v>
      </c>
      <c r="K11" s="1160" t="s">
        <v>201</v>
      </c>
      <c r="L11" s="1162"/>
      <c r="M11" s="1362" t="s">
        <v>250</v>
      </c>
      <c r="N11" s="1160" t="s">
        <v>251</v>
      </c>
      <c r="O11" s="1231" t="s">
        <v>252</v>
      </c>
    </row>
    <row r="12" spans="1:19" s="47" customFormat="1" ht="20.149999999999999" customHeight="1" x14ac:dyDescent="0.35">
      <c r="B12" s="1156" t="s">
        <v>203</v>
      </c>
      <c r="C12" s="1326">
        <f>(Population!C12)</f>
        <v>759700</v>
      </c>
      <c r="D12" s="1326">
        <f>Population!$C$29*Population!E24</f>
        <v>4285</v>
      </c>
      <c r="E12" s="1326">
        <f>C12+D12</f>
        <v>763985</v>
      </c>
      <c r="F12" s="1326">
        <f>G54</f>
        <v>112.6261955279695</v>
      </c>
      <c r="G12" s="1326">
        <f>ROUND((E12*F12/1000000)/1,0)*1</f>
        <v>86</v>
      </c>
      <c r="H12" s="1154"/>
      <c r="I12" s="1361">
        <v>0.8</v>
      </c>
      <c r="J12" s="1326">
        <f>ROUND((I12*G12)/5,0)*5</f>
        <v>70</v>
      </c>
      <c r="K12" s="1363">
        <f>IF(G12=0,0,J12/G12)</f>
        <v>0.81395348837209303</v>
      </c>
      <c r="L12" s="1162"/>
      <c r="M12" s="1328">
        <f>ROUND(((Facilities!K12+Facilities!K25)/1000)/1,0)*1</f>
        <v>70</v>
      </c>
      <c r="N12" s="1328">
        <f>J12-M12</f>
        <v>0</v>
      </c>
      <c r="O12" s="1353">
        <f>IF(M12=0,0,N12/M12)</f>
        <v>0</v>
      </c>
      <c r="P12" s="331"/>
    </row>
    <row r="13" spans="1:19" s="47" customFormat="1" ht="20.149999999999999" customHeight="1" x14ac:dyDescent="0.35">
      <c r="B13" s="1156" t="s">
        <v>204</v>
      </c>
      <c r="C13" s="1326">
        <f>(Population!C13)</f>
        <v>0</v>
      </c>
      <c r="D13" s="1326">
        <f>Population!$C$29*Population!E25</f>
        <v>0</v>
      </c>
      <c r="E13" s="1326">
        <f t="shared" ref="E13:E16" si="0">C13+D13</f>
        <v>0</v>
      </c>
      <c r="F13" s="1390">
        <v>0</v>
      </c>
      <c r="G13" s="1326">
        <f t="shared" ref="G13:G16" si="1">ROUND((E13*F13/1000000)/1,0)*1</f>
        <v>0</v>
      </c>
      <c r="H13" s="1154"/>
      <c r="I13" s="1361">
        <v>0.8</v>
      </c>
      <c r="J13" s="1326">
        <f t="shared" ref="J13:J16" si="2">ROUND((I13*G13)/1,0)*1</f>
        <v>0</v>
      </c>
      <c r="K13" s="1363">
        <f t="shared" ref="K13:K17" si="3">IF(G13=0,0,J13/G13)</f>
        <v>0</v>
      </c>
      <c r="L13" s="1162"/>
      <c r="M13" s="1328">
        <f>ROUND(((Facilities!K13+Facilities!K26)/1000)/1,0)*1</f>
        <v>0</v>
      </c>
      <c r="N13" s="1328">
        <f t="shared" ref="N13:N16" si="4">J13-M13</f>
        <v>0</v>
      </c>
      <c r="O13" s="1353">
        <f t="shared" ref="O13:O17" si="5">IF(M13=0,0,N13/M13)</f>
        <v>0</v>
      </c>
    </row>
    <row r="14" spans="1:19" s="47" customFormat="1" ht="20.149999999999999" customHeight="1" x14ac:dyDescent="0.35">
      <c r="B14" s="1156" t="s">
        <v>205</v>
      </c>
      <c r="C14" s="1326">
        <f>(Population!C14)</f>
        <v>766950</v>
      </c>
      <c r="D14" s="1326">
        <f>Population!$C$29*Population!E26</f>
        <v>42850</v>
      </c>
      <c r="E14" s="1326">
        <f t="shared" si="0"/>
        <v>809800</v>
      </c>
      <c r="F14" s="1390">
        <v>90</v>
      </c>
      <c r="G14" s="1326">
        <f t="shared" si="1"/>
        <v>73</v>
      </c>
      <c r="H14" s="114"/>
      <c r="I14" s="1361">
        <v>0.8</v>
      </c>
      <c r="J14" s="1326">
        <f t="shared" si="2"/>
        <v>58</v>
      </c>
      <c r="K14" s="1363">
        <f t="shared" si="3"/>
        <v>0.79452054794520544</v>
      </c>
      <c r="L14" s="1162"/>
      <c r="M14" s="1328">
        <f>ROUND(((Facilities!K14+Facilities!K27)/1000)/1,0)*1</f>
        <v>25</v>
      </c>
      <c r="N14" s="1328">
        <f t="shared" si="4"/>
        <v>33</v>
      </c>
      <c r="O14" s="1353">
        <f t="shared" si="5"/>
        <v>1.32</v>
      </c>
    </row>
    <row r="15" spans="1:19" s="47" customFormat="1" ht="20.149999999999999" customHeight="1" x14ac:dyDescent="0.35">
      <c r="B15" s="1156" t="s">
        <v>206</v>
      </c>
      <c r="C15" s="1326">
        <f>(Population!C15)</f>
        <v>6800</v>
      </c>
      <c r="D15" s="1326">
        <f>Population!$C$29*Population!E27</f>
        <v>21425</v>
      </c>
      <c r="E15" s="1326">
        <f t="shared" si="0"/>
        <v>28225</v>
      </c>
      <c r="F15" s="1390">
        <v>30</v>
      </c>
      <c r="G15" s="1326">
        <f t="shared" si="1"/>
        <v>1</v>
      </c>
      <c r="H15" s="114"/>
      <c r="I15" s="1361">
        <v>1</v>
      </c>
      <c r="J15" s="1326">
        <f t="shared" si="2"/>
        <v>1</v>
      </c>
      <c r="K15" s="1363">
        <f t="shared" si="3"/>
        <v>1</v>
      </c>
      <c r="L15" s="1162"/>
      <c r="M15" s="1328">
        <f>ROUND(((Facilities!K15+Facilities!K28)/1000)/1,0)*1</f>
        <v>1</v>
      </c>
      <c r="N15" s="1328">
        <f t="shared" si="4"/>
        <v>0</v>
      </c>
      <c r="O15" s="1353">
        <f t="shared" si="5"/>
        <v>0</v>
      </c>
    </row>
    <row r="16" spans="1:19" s="47" customFormat="1" ht="20.149999999999999" customHeight="1" x14ac:dyDescent="0.35">
      <c r="B16" s="1156" t="s">
        <v>207</v>
      </c>
      <c r="C16" s="1326">
        <f>(Population!C16)</f>
        <v>158550</v>
      </c>
      <c r="D16" s="1326">
        <f>Population!$C$29*Population!E28</f>
        <v>17140</v>
      </c>
      <c r="E16" s="1326">
        <f t="shared" si="0"/>
        <v>175690</v>
      </c>
      <c r="F16" s="1390">
        <v>30</v>
      </c>
      <c r="G16" s="1326">
        <f t="shared" si="1"/>
        <v>5</v>
      </c>
      <c r="H16" s="1154"/>
      <c r="I16" s="1082">
        <v>0</v>
      </c>
      <c r="J16" s="1326">
        <f t="shared" si="2"/>
        <v>0</v>
      </c>
      <c r="K16" s="1363">
        <f t="shared" si="3"/>
        <v>0</v>
      </c>
      <c r="L16" s="1162"/>
      <c r="M16" s="1328">
        <f>ROUND(((Facilities!K16+Facilities!K29)/1000)/1,0)*1</f>
        <v>0</v>
      </c>
      <c r="N16" s="1328">
        <f t="shared" si="4"/>
        <v>0</v>
      </c>
      <c r="O16" s="1353">
        <f t="shared" si="5"/>
        <v>0</v>
      </c>
    </row>
    <row r="17" spans="2:15" s="47" customFormat="1" ht="20.149999999999999" customHeight="1" x14ac:dyDescent="0.35">
      <c r="B17" s="1157" t="s">
        <v>208</v>
      </c>
      <c r="C17" s="1159">
        <f>SUM(C12:C16)</f>
        <v>1692000</v>
      </c>
      <c r="D17" s="1159">
        <f>SUM(D12:D16)</f>
        <v>85700</v>
      </c>
      <c r="E17" s="1159">
        <f>SUM(E12:E16)</f>
        <v>1777700</v>
      </c>
      <c r="F17" s="1159"/>
      <c r="G17" s="1159">
        <f>SUM(G12:G16)</f>
        <v>165</v>
      </c>
      <c r="H17" s="1154"/>
      <c r="I17" s="1159"/>
      <c r="J17" s="1159">
        <f>SUM(J12:J16)</f>
        <v>129</v>
      </c>
      <c r="K17" s="1354">
        <f t="shared" si="3"/>
        <v>0.78181818181818186</v>
      </c>
      <c r="L17" s="1162"/>
      <c r="M17" s="1159">
        <f>SUM(M12:M16)</f>
        <v>96</v>
      </c>
      <c r="N17" s="1159">
        <f>SUM(N12:N16)</f>
        <v>33</v>
      </c>
      <c r="O17" s="1354">
        <f t="shared" si="5"/>
        <v>0.34375</v>
      </c>
    </row>
    <row r="18" spans="2:15" ht="12" customHeight="1" x14ac:dyDescent="0.35">
      <c r="L18" s="363"/>
    </row>
    <row r="19" spans="2:15" ht="12" customHeight="1" x14ac:dyDescent="0.35">
      <c r="L19" s="363"/>
    </row>
    <row r="20" spans="2:15" ht="18" customHeight="1" x14ac:dyDescent="0.35">
      <c r="H20" s="134"/>
    </row>
    <row r="21" spans="2:15" ht="20.149999999999999" customHeight="1" x14ac:dyDescent="0.35">
      <c r="B21" s="1624" t="s">
        <v>253</v>
      </c>
      <c r="C21" s="1624"/>
      <c r="D21" s="1624"/>
      <c r="E21" s="1624"/>
      <c r="F21" s="1624"/>
      <c r="G21" s="1624"/>
      <c r="H21" s="1624"/>
      <c r="I21" s="1624"/>
      <c r="J21" s="1624"/>
      <c r="K21" s="1624"/>
    </row>
    <row r="22" spans="2:15" ht="5.15" customHeight="1" x14ac:dyDescent="0.35">
      <c r="B22" s="47"/>
      <c r="C22" s="1162"/>
      <c r="D22" s="1162"/>
      <c r="E22" s="1162"/>
      <c r="F22" s="1162"/>
      <c r="G22" s="1162"/>
      <c r="H22" s="1163"/>
      <c r="I22" s="1162"/>
      <c r="J22" s="1162"/>
      <c r="K22" s="1162"/>
    </row>
    <row r="23" spans="2:15" ht="20.149999999999999" customHeight="1" x14ac:dyDescent="0.35">
      <c r="B23" s="1658" t="s">
        <v>242</v>
      </c>
      <c r="C23" s="1658"/>
      <c r="D23" s="1658"/>
      <c r="E23" s="1658"/>
      <c r="F23" s="1658"/>
      <c r="G23" s="1658"/>
      <c r="H23" s="114"/>
      <c r="I23" s="1632" t="s">
        <v>243</v>
      </c>
      <c r="J23" s="1632"/>
      <c r="K23" s="1632"/>
    </row>
    <row r="24" spans="2:15" ht="8.15" customHeight="1" x14ac:dyDescent="0.35">
      <c r="B24" s="47"/>
      <c r="C24" s="55"/>
      <c r="D24" s="55"/>
      <c r="E24" s="55"/>
      <c r="F24" s="55"/>
      <c r="G24" s="55"/>
      <c r="H24" s="114"/>
      <c r="I24" s="55"/>
      <c r="J24" s="55"/>
      <c r="K24" s="55"/>
      <c r="L24" s="1162"/>
      <c r="M24" s="11"/>
      <c r="N24" s="11"/>
    </row>
    <row r="25" spans="2:15" ht="38.15" customHeight="1" x14ac:dyDescent="0.35">
      <c r="B25" s="1153" t="s">
        <v>198</v>
      </c>
      <c r="C25" s="1158" t="s">
        <v>228</v>
      </c>
      <c r="D25" s="1231" t="s">
        <v>229</v>
      </c>
      <c r="E25" s="1231" t="s">
        <v>245</v>
      </c>
      <c r="F25" s="1231" t="s">
        <v>246</v>
      </c>
      <c r="G25" s="1231" t="s">
        <v>247</v>
      </c>
      <c r="H25" s="1155"/>
      <c r="I25" s="1362" t="s">
        <v>248</v>
      </c>
      <c r="J25" s="1362" t="s">
        <v>249</v>
      </c>
      <c r="K25" s="1160" t="s">
        <v>201</v>
      </c>
      <c r="L25" s="1162"/>
      <c r="M25" s="11"/>
      <c r="N25" s="11"/>
    </row>
    <row r="26" spans="2:15" ht="20.149999999999999" customHeight="1" x14ac:dyDescent="0.35">
      <c r="B26" s="1156" t="s">
        <v>203</v>
      </c>
      <c r="C26" s="1326">
        <f>Population!G12</f>
        <v>3176450</v>
      </c>
      <c r="D26" s="1326">
        <f>Population!I24*Population!$G$29</f>
        <v>37840</v>
      </c>
      <c r="E26" s="1326">
        <f>C26+D26</f>
        <v>3214290</v>
      </c>
      <c r="F26" s="1390">
        <v>135</v>
      </c>
      <c r="G26" s="1326">
        <f>ROUND((E26*F26/1000000)/1,0)*1</f>
        <v>434</v>
      </c>
      <c r="H26" s="1154"/>
      <c r="I26" s="1361">
        <v>0.8</v>
      </c>
      <c r="J26" s="1326">
        <f>ROUND((I26*G26)/1,0)*1</f>
        <v>347</v>
      </c>
      <c r="K26" s="1363">
        <f>IF(G26=0,0,J26/G26)</f>
        <v>0.79953917050691248</v>
      </c>
      <c r="L26" s="1162"/>
      <c r="M26" s="11"/>
      <c r="N26" s="11"/>
    </row>
    <row r="27" spans="2:15" ht="20.149999999999999" customHeight="1" x14ac:dyDescent="0.35">
      <c r="B27" s="1156" t="s">
        <v>204</v>
      </c>
      <c r="C27" s="1326">
        <f>Population!G13</f>
        <v>0</v>
      </c>
      <c r="D27" s="1326">
        <f>Population!I25*Population!$G$29</f>
        <v>0</v>
      </c>
      <c r="E27" s="1326">
        <f t="shared" ref="E27:E30" si="6">C27+D27</f>
        <v>0</v>
      </c>
      <c r="F27" s="1390">
        <v>135</v>
      </c>
      <c r="G27" s="1326">
        <f t="shared" ref="G27:G30" si="7">ROUND((E27*F27/1000000)/1,0)*1</f>
        <v>0</v>
      </c>
      <c r="H27" s="1154"/>
      <c r="I27" s="1361">
        <v>0.8</v>
      </c>
      <c r="J27" s="1326">
        <f t="shared" ref="J27:J30" si="8">ROUND((I27*G27)/1,0)*1</f>
        <v>0</v>
      </c>
      <c r="K27" s="1363">
        <f t="shared" ref="K27:K31" si="9">IF(G27=0,0,J27/G27)</f>
        <v>0</v>
      </c>
      <c r="L27" s="1162"/>
      <c r="M27" s="11"/>
      <c r="N27" s="11"/>
    </row>
    <row r="28" spans="2:15" ht="20.149999999999999" customHeight="1" x14ac:dyDescent="0.35">
      <c r="B28" s="1156" t="s">
        <v>205</v>
      </c>
      <c r="C28" s="1326">
        <f>Population!G14</f>
        <v>560550</v>
      </c>
      <c r="D28" s="1326">
        <f>Population!I26*Population!$G$29</f>
        <v>113520</v>
      </c>
      <c r="E28" s="1326">
        <f t="shared" si="6"/>
        <v>674070</v>
      </c>
      <c r="F28" s="1390">
        <v>135</v>
      </c>
      <c r="G28" s="1326">
        <f t="shared" si="7"/>
        <v>91</v>
      </c>
      <c r="H28" s="114"/>
      <c r="I28" s="1361">
        <v>0.8</v>
      </c>
      <c r="J28" s="1326">
        <f t="shared" si="8"/>
        <v>73</v>
      </c>
      <c r="K28" s="1363">
        <f t="shared" si="9"/>
        <v>0.80219780219780223</v>
      </c>
      <c r="L28" s="1162"/>
      <c r="M28" s="11"/>
      <c r="N28" s="11"/>
    </row>
    <row r="29" spans="2:15" ht="20.149999999999999" customHeight="1" x14ac:dyDescent="0.35">
      <c r="B29" s="1156" t="s">
        <v>206</v>
      </c>
      <c r="C29" s="1326">
        <f>Population!G15</f>
        <v>0</v>
      </c>
      <c r="D29" s="1326">
        <f>Population!I27*Population!$G$29</f>
        <v>37840</v>
      </c>
      <c r="E29" s="1326">
        <f t="shared" si="6"/>
        <v>37840</v>
      </c>
      <c r="F29" s="1390">
        <v>30</v>
      </c>
      <c r="G29" s="1326">
        <f t="shared" si="7"/>
        <v>1</v>
      </c>
      <c r="H29" s="114"/>
      <c r="I29" s="1361">
        <v>1</v>
      </c>
      <c r="J29" s="1326">
        <f t="shared" si="8"/>
        <v>1</v>
      </c>
      <c r="K29" s="1363">
        <f t="shared" si="9"/>
        <v>1</v>
      </c>
      <c r="L29" s="1162"/>
      <c r="M29" s="11"/>
      <c r="N29" s="11"/>
    </row>
    <row r="30" spans="2:15" ht="20.149999999999999" customHeight="1" x14ac:dyDescent="0.35">
      <c r="B30" s="1156" t="s">
        <v>207</v>
      </c>
      <c r="C30" s="1326">
        <f>Population!G16</f>
        <v>0</v>
      </c>
      <c r="D30" s="1326">
        <f>Population!I28*Population!$G$29</f>
        <v>0</v>
      </c>
      <c r="E30" s="1326">
        <f t="shared" si="6"/>
        <v>0</v>
      </c>
      <c r="F30" s="1390"/>
      <c r="G30" s="1326">
        <f t="shared" si="7"/>
        <v>0</v>
      </c>
      <c r="H30" s="1154"/>
      <c r="I30" s="1082">
        <v>0</v>
      </c>
      <c r="J30" s="1326">
        <f t="shared" si="8"/>
        <v>0</v>
      </c>
      <c r="K30" s="1363">
        <f t="shared" si="9"/>
        <v>0</v>
      </c>
      <c r="L30" s="1162"/>
      <c r="M30" s="11"/>
      <c r="N30" s="11"/>
    </row>
    <row r="31" spans="2:15" ht="20.149999999999999" customHeight="1" x14ac:dyDescent="0.35">
      <c r="B31" s="1157" t="s">
        <v>208</v>
      </c>
      <c r="C31" s="1159">
        <f>SUM(C26:C30)</f>
        <v>3737000</v>
      </c>
      <c r="D31" s="1159">
        <f>SUM(D26:D30)</f>
        <v>189200</v>
      </c>
      <c r="E31" s="1159">
        <f>SUM(E26:E30)</f>
        <v>3926200</v>
      </c>
      <c r="F31" s="1159"/>
      <c r="G31" s="1159">
        <f>SUM(G26:G30)</f>
        <v>526</v>
      </c>
      <c r="H31" s="1154"/>
      <c r="I31" s="1159"/>
      <c r="J31" s="1159">
        <f>SUM(J26:J30)</f>
        <v>421</v>
      </c>
      <c r="K31" s="1354">
        <f t="shared" si="9"/>
        <v>0.80038022813688214</v>
      </c>
      <c r="L31" s="1162"/>
      <c r="M31" s="11"/>
      <c r="N31" s="11"/>
    </row>
    <row r="32" spans="2:15" x14ac:dyDescent="0.35">
      <c r="F32" s="446"/>
      <c r="G32" s="446"/>
      <c r="K32" s="1254"/>
    </row>
    <row r="33" spans="2:14" ht="20.149999999999999" customHeight="1" x14ac:dyDescent="0.35">
      <c r="B33" s="1365" t="s">
        <v>254</v>
      </c>
      <c r="C33" s="1366"/>
      <c r="D33" s="1366"/>
      <c r="E33" s="1366"/>
      <c r="F33" s="1367"/>
      <c r="G33" s="1159">
        <f>G31-G17</f>
        <v>361</v>
      </c>
      <c r="J33" s="1159">
        <f>J31-J17</f>
        <v>292</v>
      </c>
    </row>
    <row r="35" spans="2:14" ht="20.149999999999999" customHeight="1" x14ac:dyDescent="0.35">
      <c r="B35" s="1365" t="s">
        <v>255</v>
      </c>
      <c r="C35" s="1366"/>
      <c r="D35" s="1366"/>
      <c r="E35" s="1366"/>
      <c r="F35" s="1367"/>
      <c r="G35" s="1354">
        <f>G33/G17</f>
        <v>2.187878787878788</v>
      </c>
      <c r="J35" s="1354">
        <f>J33/J17</f>
        <v>2.2635658914728682</v>
      </c>
    </row>
    <row r="37" spans="2:14" x14ac:dyDescent="0.35">
      <c r="I37" s="1254"/>
      <c r="K37" s="446"/>
      <c r="L37" s="446"/>
      <c r="M37" s="446"/>
    </row>
    <row r="38" spans="2:14" x14ac:dyDescent="0.35">
      <c r="L38" s="1254"/>
      <c r="M38" s="1254"/>
    </row>
    <row r="41" spans="2:14" x14ac:dyDescent="0.35">
      <c r="J41" s="455"/>
      <c r="L41" s="455"/>
      <c r="N41" s="455"/>
    </row>
    <row r="44" spans="2:14" x14ac:dyDescent="0.35">
      <c r="B44" s="11" t="s">
        <v>193</v>
      </c>
      <c r="C44" s="1369">
        <f>'Capture volumes'!B31</f>
        <v>1692000</v>
      </c>
    </row>
    <row r="45" spans="2:14" x14ac:dyDescent="0.35">
      <c r="B45" s="11" t="s">
        <v>256</v>
      </c>
      <c r="C45" s="451">
        <f>'User interface_RES'!C33</f>
        <v>0.44900000000000001</v>
      </c>
      <c r="E45" s="1369">
        <f>C45*C44</f>
        <v>759708</v>
      </c>
    </row>
    <row r="46" spans="2:14" x14ac:dyDescent="0.35">
      <c r="B46" s="1368" t="s">
        <v>257</v>
      </c>
      <c r="C46" s="451">
        <f>'User interface_RES'!E33</f>
        <v>0.5</v>
      </c>
      <c r="D46" s="134">
        <f>'User interface_RES'!H74</f>
        <v>135</v>
      </c>
      <c r="E46" s="1369">
        <f>E45*C46*D46</f>
        <v>51280290</v>
      </c>
    </row>
    <row r="47" spans="2:14" x14ac:dyDescent="0.35">
      <c r="B47" s="1368" t="s">
        <v>258</v>
      </c>
      <c r="C47" s="451">
        <f>'User interface_RES'!F33</f>
        <v>0.5</v>
      </c>
      <c r="D47" s="134">
        <f>'User interface_RES'!H75</f>
        <v>90</v>
      </c>
      <c r="E47" s="1369">
        <f>E45*C47*D47</f>
        <v>34186860</v>
      </c>
    </row>
    <row r="48" spans="2:14" x14ac:dyDescent="0.35">
      <c r="E48" s="446">
        <f>SUM(E46:E47)</f>
        <v>85467150</v>
      </c>
    </row>
    <row r="50" spans="2:7" x14ac:dyDescent="0.35">
      <c r="B50" s="11" t="s">
        <v>259</v>
      </c>
      <c r="C50" s="1369">
        <f>'Capture volumes'!G158+'Capture volumes'!G159</f>
        <v>85700</v>
      </c>
      <c r="E50" s="1369"/>
    </row>
    <row r="51" spans="2:7" x14ac:dyDescent="0.35">
      <c r="B51" s="11" t="s">
        <v>256</v>
      </c>
      <c r="C51" s="451">
        <f>'User interface_Non-RES'!C33</f>
        <v>0.05</v>
      </c>
      <c r="E51" s="1369">
        <f>C51*C50</f>
        <v>4285</v>
      </c>
    </row>
    <row r="52" spans="2:7" x14ac:dyDescent="0.35">
      <c r="B52" s="1368" t="s">
        <v>257</v>
      </c>
      <c r="C52" s="451">
        <f>'User interface_Non-RES'!E33</f>
        <v>1</v>
      </c>
      <c r="D52" s="134">
        <f>'User interface_Non-RES'!H70</f>
        <v>135</v>
      </c>
      <c r="E52" s="1369">
        <f>E51*C52*D52</f>
        <v>578475</v>
      </c>
    </row>
    <row r="53" spans="2:7" x14ac:dyDescent="0.35">
      <c r="B53" s="1368" t="s">
        <v>258</v>
      </c>
      <c r="C53" s="451">
        <f>'User interface_Non-RES'!F33</f>
        <v>0</v>
      </c>
      <c r="D53" s="134">
        <f>'User interface_Non-RES'!H71</f>
        <v>0</v>
      </c>
      <c r="E53" s="1369">
        <f>E51*C53*D53</f>
        <v>0</v>
      </c>
    </row>
    <row r="54" spans="2:7" x14ac:dyDescent="0.35">
      <c r="E54" s="446">
        <f>SUM(E52:E53)</f>
        <v>578475</v>
      </c>
      <c r="F54" s="446">
        <f>E54+E48</f>
        <v>86045625</v>
      </c>
      <c r="G54" s="1370">
        <f>F54/(E45+E51)</f>
        <v>112.6261955279695</v>
      </c>
    </row>
    <row r="56" spans="2:7" x14ac:dyDescent="0.35">
      <c r="B56" s="11" t="s">
        <v>193</v>
      </c>
      <c r="C56" s="1369">
        <f>C44</f>
        <v>1692000</v>
      </c>
    </row>
    <row r="57" spans="2:7" x14ac:dyDescent="0.35">
      <c r="B57" s="11" t="s">
        <v>260</v>
      </c>
      <c r="C57" s="451">
        <f>'User interface_RES'!C35</f>
        <v>0.435</v>
      </c>
      <c r="E57" s="1369">
        <f>C57*C56</f>
        <v>736020</v>
      </c>
    </row>
    <row r="58" spans="2:7" x14ac:dyDescent="0.35">
      <c r="B58" s="1368" t="s">
        <v>257</v>
      </c>
      <c r="C58" s="451">
        <f>('User interface_RES'!E36*'User interface_RES'!D36)+('User interface_RES'!E37*'User interface_RES'!D37)</f>
        <v>0.28999999999999998</v>
      </c>
      <c r="D58" s="134">
        <f>'User interface_RES'!H80</f>
        <v>0</v>
      </c>
      <c r="E58" s="1369">
        <f>E57*C58*D58</f>
        <v>0</v>
      </c>
    </row>
    <row r="59" spans="2:7" x14ac:dyDescent="0.35">
      <c r="B59" s="1368" t="s">
        <v>258</v>
      </c>
      <c r="C59" s="451">
        <f>('User interface_RES'!F36*'User interface_RES'!D36)+('User interface_RES'!F37*'User interface_RES'!D37)</f>
        <v>0.71</v>
      </c>
      <c r="D59" s="134">
        <f>D58</f>
        <v>0</v>
      </c>
      <c r="E59" s="1369">
        <f>E57*C59*D59</f>
        <v>0</v>
      </c>
    </row>
    <row r="60" spans="2:7" x14ac:dyDescent="0.35">
      <c r="E60" s="446">
        <f>SUM(E58:E59)</f>
        <v>0</v>
      </c>
      <c r="F60" s="446">
        <f>E60+E54</f>
        <v>578475</v>
      </c>
      <c r="G60" s="1370">
        <f>F60/(E51+E57)</f>
        <v>0.78140090908476911</v>
      </c>
    </row>
  </sheetData>
  <sheetProtection password="C8C1" sheet="1" objects="1" scenarios="1" selectLockedCells="1"/>
  <mergeCells count="8">
    <mergeCell ref="B4:I4"/>
    <mergeCell ref="B9:G9"/>
    <mergeCell ref="I9:K9"/>
    <mergeCell ref="M9:O9"/>
    <mergeCell ref="B7:O7"/>
    <mergeCell ref="B23:G23"/>
    <mergeCell ref="I23:K23"/>
    <mergeCell ref="B21:K21"/>
  </mergeCells>
  <pageMargins left="0.75" right="0.75" top="0.75" bottom="0.75" header="0.3" footer="0.3"/>
  <pageSetup paperSize="9" scale="52" orientation="portrait"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0">
    <tabColor theme="4"/>
    <pageSetUpPr fitToPage="1"/>
  </sheetPr>
  <dimension ref="A1:S65"/>
  <sheetViews>
    <sheetView showGridLines="0" showRowColHeaders="0" topLeftCell="A2" zoomScale="80" zoomScaleNormal="80" workbookViewId="0">
      <pane ySplit="3" topLeftCell="A5" activePane="bottomLeft" state="frozen"/>
      <selection activeCell="A2" sqref="A2"/>
      <selection pane="bottomLeft" activeCell="A5" sqref="A5"/>
    </sheetView>
  </sheetViews>
  <sheetFormatPr defaultColWidth="9.1796875" defaultRowHeight="14.5" x14ac:dyDescent="0.35"/>
  <cols>
    <col min="1" max="1" width="3.26953125" style="11" customWidth="1"/>
    <col min="2" max="2" width="20.7265625" style="11" customWidth="1"/>
    <col min="3" max="3" width="4.7265625" style="134" customWidth="1"/>
    <col min="4" max="4" width="15.7265625" style="134" customWidth="1"/>
    <col min="5" max="5" width="4.7265625" style="134" customWidth="1"/>
    <col min="6" max="6" width="15.7265625" style="134" customWidth="1"/>
    <col min="7" max="7" width="4.7265625" style="134" customWidth="1"/>
    <col min="8" max="8" width="15.7265625" style="363" customWidth="1"/>
    <col min="9" max="9" width="4.7265625" style="134" customWidth="1"/>
    <col min="10" max="10" width="15.7265625" style="134" customWidth="1"/>
    <col min="11" max="11" width="4.7265625" style="134" customWidth="1"/>
    <col min="12" max="12" width="15.7265625" style="134" customWidth="1"/>
    <col min="13" max="13" width="4.7265625" style="134" customWidth="1"/>
    <col min="14" max="14" width="14.7265625" style="134" customWidth="1"/>
    <col min="15" max="15" width="4.7265625" style="11" customWidth="1"/>
    <col min="16" max="16" width="14.7265625" style="11" customWidth="1"/>
    <col min="17" max="16384" width="9.1796875" style="11"/>
  </cols>
  <sheetData>
    <row r="1" spans="1:19" ht="18.5" hidden="1" x14ac:dyDescent="0.35">
      <c r="B1" s="13" t="e">
        <f>Overview_SLUDGE!#REF!</f>
        <v>#REF!</v>
      </c>
    </row>
    <row r="2" spans="1:19" s="691" customFormat="1" ht="36.75" customHeight="1" x14ac:dyDescent="0.45">
      <c r="B2" s="824" t="str">
        <f>Overview_SLUDGE!B1</f>
        <v>Any city in , the world</v>
      </c>
      <c r="C2" s="778"/>
      <c r="D2" s="778"/>
      <c r="E2" s="778"/>
      <c r="F2" s="778"/>
      <c r="G2" s="778"/>
      <c r="H2" s="779"/>
      <c r="I2" s="778"/>
      <c r="J2" s="778"/>
      <c r="K2" s="778"/>
      <c r="L2" s="778"/>
      <c r="M2" s="778"/>
      <c r="N2" s="778"/>
      <c r="O2" s="778"/>
      <c r="P2" s="778"/>
      <c r="Q2" s="778"/>
      <c r="R2" s="778"/>
      <c r="S2" s="778"/>
    </row>
    <row r="3" spans="1:19" s="780" customFormat="1" ht="10.5" hidden="1" x14ac:dyDescent="0.25">
      <c r="C3" s="782"/>
      <c r="D3" s="782"/>
      <c r="E3" s="782"/>
      <c r="F3" s="782"/>
      <c r="G3" s="782"/>
      <c r="H3" s="783"/>
      <c r="I3" s="782"/>
      <c r="J3" s="782"/>
      <c r="K3" s="782"/>
      <c r="L3" s="782"/>
      <c r="M3" s="782"/>
      <c r="N3" s="782"/>
      <c r="O3" s="782"/>
      <c r="P3" s="782"/>
      <c r="Q3" s="782"/>
      <c r="R3" s="782"/>
      <c r="S3" s="782"/>
    </row>
    <row r="4" spans="1:19" s="796" customFormat="1" ht="57" customHeight="1" thickBot="1" x14ac:dyDescent="0.4">
      <c r="B4" s="1631" t="s">
        <v>261</v>
      </c>
      <c r="C4" s="1631"/>
      <c r="D4" s="1631"/>
      <c r="E4" s="1631"/>
      <c r="F4" s="1631"/>
      <c r="G4" s="1631"/>
      <c r="H4" s="1631"/>
      <c r="I4" s="1631"/>
      <c r="J4" s="1470"/>
      <c r="K4" s="797"/>
      <c r="L4" s="797"/>
      <c r="M4" s="797"/>
      <c r="N4" s="797"/>
      <c r="O4" s="797"/>
      <c r="P4" s="797"/>
      <c r="Q4" s="797"/>
      <c r="R4" s="797"/>
      <c r="S4" s="797"/>
    </row>
    <row r="5" spans="1:19" s="47" customFormat="1" ht="13" x14ac:dyDescent="0.35">
      <c r="A5" s="1283"/>
      <c r="C5" s="55"/>
      <c r="D5" s="55"/>
      <c r="E5" s="55"/>
      <c r="F5" s="55"/>
      <c r="G5" s="55"/>
      <c r="H5" s="114"/>
      <c r="I5" s="55"/>
      <c r="J5" s="55"/>
      <c r="K5" s="55"/>
      <c r="L5" s="55"/>
      <c r="M5" s="55"/>
      <c r="N5" s="55"/>
    </row>
    <row r="6" spans="1:19" s="47" customFormat="1" x14ac:dyDescent="0.35">
      <c r="A6" s="1283"/>
      <c r="B6" s="40" t="s">
        <v>262</v>
      </c>
      <c r="C6" s="55"/>
      <c r="D6" s="55"/>
      <c r="E6" s="55"/>
      <c r="F6" s="55"/>
      <c r="G6" s="55"/>
      <c r="H6" s="114"/>
      <c r="I6" s="55"/>
      <c r="J6" s="55"/>
      <c r="K6" s="55"/>
      <c r="L6" s="55"/>
      <c r="M6" s="55"/>
      <c r="N6" s="55"/>
    </row>
    <row r="7" spans="1:19" s="47" customFormat="1" ht="15.5" x14ac:dyDescent="0.35">
      <c r="C7" s="1162"/>
      <c r="D7" s="1162"/>
      <c r="E7" s="1162"/>
      <c r="F7" s="1162"/>
      <c r="G7" s="1162"/>
      <c r="H7" s="1163"/>
      <c r="I7" s="1162"/>
      <c r="J7" s="1162"/>
      <c r="K7" s="1162"/>
      <c r="L7" s="1162"/>
      <c r="M7" s="1162"/>
      <c r="N7" s="1162"/>
    </row>
    <row r="8" spans="1:19" s="47" customFormat="1" ht="20.149999999999999" customHeight="1" x14ac:dyDescent="0.35">
      <c r="D8" s="1624" t="s">
        <v>263</v>
      </c>
      <c r="E8" s="1624"/>
      <c r="F8" s="1624"/>
      <c r="G8" s="1624"/>
      <c r="H8" s="1624"/>
      <c r="I8" s="1624"/>
      <c r="J8" s="1624"/>
      <c r="K8" s="1624"/>
      <c r="L8" s="1624"/>
      <c r="M8" s="1624"/>
      <c r="N8" s="1624"/>
      <c r="O8" s="11"/>
    </row>
    <row r="9" spans="1:19" s="47" customFormat="1" ht="8.15" customHeight="1" x14ac:dyDescent="0.35">
      <c r="E9" s="1162"/>
      <c r="F9" s="1162"/>
      <c r="G9" s="1162"/>
      <c r="H9" s="1162"/>
      <c r="I9" s="1162"/>
      <c r="J9" s="1163"/>
      <c r="K9" s="1162"/>
      <c r="L9" s="1162"/>
      <c r="M9" s="1162"/>
      <c r="N9" s="1162"/>
    </row>
    <row r="10" spans="1:19" s="47" customFormat="1" ht="31" x14ac:dyDescent="0.35">
      <c r="B10" s="2"/>
      <c r="C10" s="2"/>
      <c r="D10" s="1380" t="s">
        <v>264</v>
      </c>
      <c r="E10" s="2"/>
      <c r="F10" s="1381" t="s">
        <v>265</v>
      </c>
      <c r="G10" s="1371"/>
      <c r="H10" s="1382" t="s">
        <v>266</v>
      </c>
      <c r="I10" s="1371"/>
      <c r="J10" s="1383" t="s">
        <v>267</v>
      </c>
      <c r="K10" s="1371"/>
      <c r="L10" s="1384" t="s">
        <v>46</v>
      </c>
      <c r="M10" s="1371"/>
      <c r="N10" s="1385" t="s">
        <v>268</v>
      </c>
      <c r="O10" s="11"/>
    </row>
    <row r="11" spans="1:19" s="47" customFormat="1" ht="10" customHeight="1" x14ac:dyDescent="0.35">
      <c r="B11" s="2"/>
      <c r="C11" s="2"/>
      <c r="D11" s="2"/>
      <c r="E11" s="2"/>
      <c r="F11" s="2"/>
      <c r="G11" s="2"/>
      <c r="H11" s="2"/>
      <c r="I11" s="2"/>
      <c r="J11" s="1163"/>
      <c r="K11" s="2"/>
      <c r="L11" s="2"/>
      <c r="M11" s="2"/>
      <c r="N11" s="2"/>
      <c r="O11" s="11"/>
    </row>
    <row r="12" spans="1:19" ht="20.149999999999999" customHeight="1" x14ac:dyDescent="0.35">
      <c r="B12" s="1387" t="s">
        <v>54</v>
      </c>
      <c r="C12" s="1162"/>
      <c r="D12" s="1391">
        <v>220</v>
      </c>
      <c r="E12" s="2"/>
      <c r="F12" s="1391">
        <v>0</v>
      </c>
      <c r="G12" s="2"/>
      <c r="H12" s="1364">
        <f>F12</f>
        <v>0</v>
      </c>
      <c r="I12" s="194"/>
      <c r="J12" s="1506">
        <f>J29</f>
        <v>87</v>
      </c>
      <c r="K12" s="194"/>
      <c r="L12" s="194"/>
      <c r="M12" s="2"/>
      <c r="N12" s="2"/>
    </row>
    <row r="13" spans="1:19" s="47" customFormat="1" ht="10" customHeight="1" x14ac:dyDescent="0.35">
      <c r="B13" s="2"/>
      <c r="C13" s="2"/>
      <c r="D13" s="2"/>
      <c r="E13" s="2"/>
      <c r="F13" s="194"/>
      <c r="G13" s="194"/>
      <c r="H13" s="1163"/>
      <c r="I13" s="194"/>
      <c r="J13" s="2"/>
      <c r="K13" s="2"/>
      <c r="L13" s="2"/>
      <c r="M13" s="2"/>
      <c r="N13" s="2"/>
      <c r="O13" s="11"/>
      <c r="P13" s="331"/>
    </row>
    <row r="14" spans="1:19" s="47" customFormat="1" ht="20.149999999999999" customHeight="1" x14ac:dyDescent="0.35">
      <c r="B14" s="1372" t="s">
        <v>11</v>
      </c>
      <c r="C14" s="2"/>
      <c r="D14" s="1391"/>
      <c r="E14" s="2"/>
      <c r="F14" s="1364">
        <f>D12-F12</f>
        <v>220</v>
      </c>
      <c r="G14" s="194"/>
      <c r="H14" s="1391">
        <f>(F12+F14)-H12</f>
        <v>220</v>
      </c>
      <c r="I14" s="194"/>
      <c r="J14" s="1364">
        <f>J16-J12</f>
        <v>89</v>
      </c>
      <c r="K14" s="2"/>
      <c r="L14" s="2"/>
      <c r="M14" s="2"/>
      <c r="N14" s="2"/>
      <c r="O14" s="11"/>
    </row>
    <row r="15" spans="1:19" s="47" customFormat="1" ht="10" customHeight="1" x14ac:dyDescent="0.35">
      <c r="B15" s="2"/>
      <c r="C15" s="2"/>
      <c r="D15" s="2"/>
      <c r="E15" s="2"/>
      <c r="F15" s="194"/>
      <c r="G15" s="194"/>
      <c r="H15" s="1163"/>
      <c r="I15" s="194"/>
      <c r="J15" s="2"/>
      <c r="K15" s="2"/>
      <c r="L15" s="2"/>
      <c r="M15" s="2"/>
      <c r="N15" s="2"/>
      <c r="O15" s="11"/>
    </row>
    <row r="16" spans="1:19" s="47" customFormat="1" ht="20.149999999999999" customHeight="1" x14ac:dyDescent="0.35">
      <c r="B16" s="212" t="s">
        <v>12</v>
      </c>
      <c r="C16" s="2"/>
      <c r="D16" s="1364">
        <f>D14+D12</f>
        <v>220</v>
      </c>
      <c r="E16" s="2"/>
      <c r="F16" s="1364">
        <f>F14+F12</f>
        <v>220</v>
      </c>
      <c r="G16" s="194"/>
      <c r="H16" s="1364">
        <f>H14+H12</f>
        <v>220</v>
      </c>
      <c r="I16" s="194"/>
      <c r="J16" s="1364">
        <f>H16-P16</f>
        <v>176</v>
      </c>
      <c r="K16" s="2"/>
      <c r="L16" s="2"/>
      <c r="M16" s="2"/>
      <c r="N16" s="2"/>
      <c r="O16" s="11"/>
      <c r="P16" s="1364">
        <f>H16*0.2</f>
        <v>44</v>
      </c>
      <c r="Q16" s="1392" t="s">
        <v>269</v>
      </c>
    </row>
    <row r="17" spans="2:17" s="47" customFormat="1" ht="10" customHeight="1" x14ac:dyDescent="0.35">
      <c r="B17" s="2"/>
      <c r="C17" s="2"/>
      <c r="D17" s="2"/>
      <c r="E17" s="2"/>
      <c r="F17" s="194"/>
      <c r="G17" s="194"/>
      <c r="H17" s="1163"/>
      <c r="I17" s="194"/>
      <c r="J17" s="2"/>
      <c r="K17" s="2"/>
      <c r="L17" s="2"/>
      <c r="M17" s="2"/>
      <c r="N17" s="2"/>
      <c r="O17" s="11"/>
    </row>
    <row r="18" spans="2:17" s="47" customFormat="1" ht="20.149999999999999" customHeight="1" x14ac:dyDescent="0.35">
      <c r="B18" s="1372" t="s">
        <v>270</v>
      </c>
      <c r="C18" s="2"/>
      <c r="D18" s="1373">
        <f>IF(D16=0,0,D14/D16)</f>
        <v>0</v>
      </c>
      <c r="E18" s="2"/>
      <c r="F18" s="1373">
        <f>IF(F16=0,0,F14/F16)</f>
        <v>1</v>
      </c>
      <c r="G18" s="194"/>
      <c r="H18" s="1373">
        <f>IF(H16=0,0,H14/H16)</f>
        <v>1</v>
      </c>
      <c r="I18" s="194"/>
      <c r="J18" s="1373">
        <f>IF(J16=0,0,J14/J16)</f>
        <v>0.50568181818181823</v>
      </c>
      <c r="K18" s="2"/>
      <c r="L18" s="194"/>
      <c r="M18" s="2"/>
      <c r="N18" s="2"/>
      <c r="O18" s="11"/>
    </row>
    <row r="19" spans="2:17" s="47" customFormat="1" ht="15.5" x14ac:dyDescent="0.35">
      <c r="B19" s="2"/>
      <c r="C19" s="2"/>
      <c r="D19" s="2"/>
      <c r="E19" s="2"/>
      <c r="F19" s="194"/>
      <c r="G19" s="194"/>
      <c r="H19" s="1163"/>
      <c r="I19" s="194"/>
      <c r="J19" s="2"/>
      <c r="K19" s="2"/>
      <c r="L19" s="2"/>
      <c r="M19" s="2"/>
      <c r="N19" s="2"/>
      <c r="O19" s="11"/>
    </row>
    <row r="20" spans="2:17" s="47" customFormat="1" ht="15.5" x14ac:dyDescent="0.35">
      <c r="B20" s="2"/>
      <c r="C20" s="2"/>
      <c r="D20" s="2"/>
      <c r="E20" s="2"/>
      <c r="F20" s="194"/>
      <c r="G20" s="194"/>
      <c r="H20" s="1163"/>
      <c r="I20" s="194"/>
      <c r="J20" s="2"/>
      <c r="K20" s="2"/>
      <c r="L20" s="2"/>
      <c r="M20" s="2"/>
      <c r="N20" s="2"/>
      <c r="O20" s="11"/>
    </row>
    <row r="21" spans="2:17" ht="20.149999999999999" customHeight="1" x14ac:dyDescent="0.35">
      <c r="B21" s="2"/>
      <c r="C21" s="2"/>
      <c r="D21" s="1624" t="s">
        <v>271</v>
      </c>
      <c r="E21" s="1624"/>
      <c r="F21" s="1624"/>
      <c r="G21" s="1624"/>
      <c r="H21" s="1624"/>
      <c r="I21" s="1624"/>
      <c r="J21" s="1624"/>
      <c r="K21" s="1624"/>
      <c r="L21" s="1624"/>
      <c r="M21" s="1624"/>
      <c r="N21" s="1624"/>
    </row>
    <row r="22" spans="2:17" ht="8.15" customHeight="1" x14ac:dyDescent="0.35">
      <c r="B22" s="2"/>
      <c r="C22" s="2"/>
      <c r="D22" s="2"/>
      <c r="E22" s="1162"/>
      <c r="F22" s="1162"/>
      <c r="G22" s="1162"/>
      <c r="H22" s="1162"/>
      <c r="I22" s="1162"/>
      <c r="J22" s="1163"/>
      <c r="K22" s="1162"/>
      <c r="L22" s="1162"/>
      <c r="M22" s="1162"/>
      <c r="N22" s="1162"/>
    </row>
    <row r="23" spans="2:17" ht="20.149999999999999" customHeight="1" x14ac:dyDescent="0.35">
      <c r="B23" s="2"/>
      <c r="C23" s="2"/>
      <c r="D23" s="1380" t="s">
        <v>42</v>
      </c>
      <c r="E23" s="2"/>
      <c r="F23" s="1381" t="s">
        <v>43</v>
      </c>
      <c r="G23" s="1371"/>
      <c r="H23" s="1382" t="s">
        <v>44</v>
      </c>
      <c r="I23" s="1371"/>
      <c r="J23" s="1383" t="s">
        <v>45</v>
      </c>
      <c r="K23" s="1371"/>
      <c r="L23" s="1384" t="s">
        <v>46</v>
      </c>
      <c r="M23" s="1371"/>
      <c r="N23" s="1385" t="s">
        <v>268</v>
      </c>
    </row>
    <row r="24" spans="2:17" ht="10" customHeight="1" x14ac:dyDescent="0.35">
      <c r="B24" s="2"/>
      <c r="C24" s="2"/>
      <c r="D24" s="2"/>
      <c r="E24" s="2"/>
      <c r="F24" s="2"/>
      <c r="G24" s="2"/>
      <c r="H24" s="2"/>
      <c r="I24" s="2"/>
      <c r="J24" s="1163"/>
      <c r="K24" s="2"/>
      <c r="L24" s="2"/>
      <c r="M24" s="2"/>
      <c r="N24" s="2"/>
    </row>
    <row r="25" spans="2:17" ht="20.149999999999999" customHeight="1" x14ac:dyDescent="0.35">
      <c r="B25" s="1387" t="s">
        <v>54</v>
      </c>
      <c r="C25" s="1162"/>
      <c r="D25" s="118">
        <f>ROUND((('Faecal waste flow summary'!E14-'Faecal waste flow summary'!E13)/365/1000)/1,0)*1</f>
        <v>96</v>
      </c>
      <c r="E25" s="2"/>
      <c r="F25" s="1364">
        <f>ROUND(('Faecal waste flow summary'!G14/365/1000)/1,0)*1</f>
        <v>90</v>
      </c>
      <c r="G25" s="2"/>
      <c r="H25" s="1364">
        <f>ROUND(('Faecal waste flow summary'!I14/365/1000)/1,0)*1</f>
        <v>87</v>
      </c>
      <c r="I25" s="194"/>
      <c r="J25" s="1364">
        <f>ROUND(('Faecal waste flow summary'!K14/365/1000)/1,0)*1</f>
        <v>80</v>
      </c>
      <c r="K25" s="1374"/>
      <c r="L25" s="1364">
        <f>ROUND(('Faecal waste flow summary'!M14/365/1000)/1,0)*1</f>
        <v>25</v>
      </c>
      <c r="M25" s="1374"/>
      <c r="N25" s="1364">
        <f>L25</f>
        <v>25</v>
      </c>
      <c r="P25" s="1469">
        <f>N25/D16</f>
        <v>0.11363636363636363</v>
      </c>
      <c r="Q25" s="1393" t="s">
        <v>272</v>
      </c>
    </row>
    <row r="26" spans="2:17" ht="10" customHeight="1" x14ac:dyDescent="0.35">
      <c r="B26" s="2"/>
      <c r="C26" s="2"/>
      <c r="D26" s="2"/>
      <c r="E26" s="2"/>
      <c r="F26" s="194"/>
      <c r="G26" s="194"/>
      <c r="H26" s="1163"/>
      <c r="I26" s="194"/>
      <c r="J26" s="2"/>
      <c r="K26" s="2"/>
      <c r="L26" s="2"/>
      <c r="M26" s="2"/>
      <c r="N26" s="2"/>
    </row>
    <row r="27" spans="2:17" ht="20.149999999999999" customHeight="1" x14ac:dyDescent="0.35">
      <c r="B27" s="1372" t="s">
        <v>11</v>
      </c>
      <c r="C27" s="2"/>
      <c r="D27" s="1364">
        <f>ROUND(('Faecal waste flow summary'!E13/365/1000)/1,0)*1</f>
        <v>0</v>
      </c>
      <c r="E27" s="2"/>
      <c r="F27" s="118">
        <f>D25-F25</f>
        <v>6</v>
      </c>
      <c r="G27" s="194"/>
      <c r="H27" s="1364">
        <f>F25-H25</f>
        <v>3</v>
      </c>
      <c r="I27" s="194"/>
      <c r="J27" s="1364">
        <f>H25-J25</f>
        <v>7</v>
      </c>
      <c r="K27" s="2"/>
      <c r="L27" s="1364">
        <f>J25-L25</f>
        <v>55</v>
      </c>
      <c r="M27" s="2"/>
      <c r="N27" s="1364">
        <f>L27</f>
        <v>55</v>
      </c>
    </row>
    <row r="28" spans="2:17" ht="10" customHeight="1" x14ac:dyDescent="0.35">
      <c r="B28" s="2"/>
      <c r="C28" s="2"/>
      <c r="D28" s="2"/>
      <c r="E28" s="2"/>
      <c r="F28" s="194"/>
      <c r="G28" s="194"/>
      <c r="H28" s="1163"/>
      <c r="I28" s="194"/>
      <c r="J28" s="2"/>
      <c r="K28" s="2"/>
      <c r="L28" s="2"/>
      <c r="M28" s="2"/>
      <c r="N28" s="2"/>
    </row>
    <row r="29" spans="2:17" ht="20.149999999999999" customHeight="1" x14ac:dyDescent="0.35">
      <c r="B29" s="212" t="s">
        <v>12</v>
      </c>
      <c r="C29" s="2"/>
      <c r="D29" s="1364">
        <f>D27+D25</f>
        <v>96</v>
      </c>
      <c r="E29" s="2"/>
      <c r="F29" s="1364">
        <f>F27+F25</f>
        <v>96</v>
      </c>
      <c r="G29" s="194"/>
      <c r="H29" s="1364">
        <f>H27+H25</f>
        <v>90</v>
      </c>
      <c r="I29" s="194"/>
      <c r="J29" s="1506">
        <f>J27+J25</f>
        <v>87</v>
      </c>
      <c r="K29" s="2"/>
      <c r="L29" s="1364">
        <f>L27+L25</f>
        <v>80</v>
      </c>
      <c r="M29" s="2"/>
      <c r="N29" s="1364">
        <f>N27+N25</f>
        <v>80</v>
      </c>
    </row>
    <row r="30" spans="2:17" ht="10" customHeight="1" x14ac:dyDescent="0.35">
      <c r="B30" s="2"/>
      <c r="C30" s="2"/>
      <c r="D30" s="2"/>
      <c r="E30" s="2"/>
      <c r="F30" s="194"/>
      <c r="G30" s="194"/>
      <c r="H30" s="1163"/>
      <c r="I30" s="194"/>
      <c r="J30" s="2"/>
      <c r="K30" s="2"/>
      <c r="L30" s="2"/>
      <c r="M30" s="2"/>
      <c r="N30" s="2"/>
    </row>
    <row r="31" spans="2:17" ht="20.149999999999999" customHeight="1" x14ac:dyDescent="0.35">
      <c r="B31" s="1372" t="s">
        <v>270</v>
      </c>
      <c r="C31" s="2"/>
      <c r="D31" s="1373">
        <f>IF(D29=0,0,D27/D29)</f>
        <v>0</v>
      </c>
      <c r="E31" s="2"/>
      <c r="F31" s="1373">
        <f>IF(F29=0,0,F27/F29)</f>
        <v>6.25E-2</v>
      </c>
      <c r="G31" s="194"/>
      <c r="H31" s="1373">
        <f>IF(H29=0,0,H27/H29)</f>
        <v>3.3333333333333333E-2</v>
      </c>
      <c r="I31" s="194"/>
      <c r="J31" s="1373">
        <f>IF(J29=0,0,J27/J29)</f>
        <v>8.0459770114942528E-2</v>
      </c>
      <c r="K31" s="2"/>
      <c r="L31" s="1373">
        <f>IF(L29=0,0,L27/L29)</f>
        <v>0.6875</v>
      </c>
      <c r="M31" s="2"/>
      <c r="N31" s="1373">
        <f>IF(N29=0,0,N27/N29)</f>
        <v>0.6875</v>
      </c>
    </row>
    <row r="32" spans="2:17" ht="15.5" x14ac:dyDescent="0.35">
      <c r="B32" s="2"/>
      <c r="C32" s="2"/>
      <c r="D32" s="2"/>
      <c r="E32" s="2"/>
      <c r="F32" s="2"/>
      <c r="G32" s="2"/>
      <c r="H32" s="2"/>
      <c r="I32" s="2"/>
      <c r="J32" s="2"/>
      <c r="K32" s="2"/>
      <c r="L32" s="2"/>
      <c r="M32" s="2"/>
      <c r="N32" s="2"/>
    </row>
    <row r="33" spans="2:14" ht="20.149999999999999" customHeight="1" x14ac:dyDescent="0.35">
      <c r="B33" s="1387" t="s">
        <v>273</v>
      </c>
      <c r="C33" s="2"/>
      <c r="D33" s="1386">
        <f>1-D35</f>
        <v>1</v>
      </c>
      <c r="E33" s="2"/>
      <c r="F33" s="1386">
        <f>1-F35</f>
        <v>0.9375</v>
      </c>
      <c r="G33" s="1162"/>
      <c r="H33" s="1386">
        <f>1-H35</f>
        <v>0.90625</v>
      </c>
      <c r="I33" s="1162"/>
      <c r="J33" s="1386">
        <f>1-J35</f>
        <v>0.83333333333333337</v>
      </c>
      <c r="K33" s="1162"/>
      <c r="L33" s="1386">
        <f>1-L35</f>
        <v>0.26041666666666663</v>
      </c>
      <c r="M33" s="2"/>
      <c r="N33" s="1388">
        <f>L33</f>
        <v>0.26041666666666663</v>
      </c>
    </row>
    <row r="34" spans="2:14" ht="10" customHeight="1" x14ac:dyDescent="0.35">
      <c r="B34" s="2"/>
      <c r="C34" s="2"/>
      <c r="D34" s="2"/>
      <c r="E34" s="2"/>
      <c r="F34" s="2"/>
      <c r="G34" s="2"/>
      <c r="H34" s="2"/>
      <c r="I34" s="2"/>
      <c r="J34" s="2"/>
      <c r="K34" s="2"/>
      <c r="L34" s="2"/>
      <c r="M34" s="2"/>
      <c r="N34" s="2"/>
    </row>
    <row r="35" spans="2:14" ht="20.149999999999999" customHeight="1" x14ac:dyDescent="0.35">
      <c r="B35" s="1372" t="s">
        <v>274</v>
      </c>
      <c r="C35" s="2"/>
      <c r="D35" s="1386">
        <f>D31</f>
        <v>0</v>
      </c>
      <c r="E35" s="2"/>
      <c r="F35" s="1386">
        <f>F31</f>
        <v>6.25E-2</v>
      </c>
      <c r="G35" s="1162"/>
      <c r="H35" s="1386">
        <f>(H27+F27)/D29</f>
        <v>9.375E-2</v>
      </c>
      <c r="I35" s="1162"/>
      <c r="J35" s="1386">
        <f>(J27+H27+F27)/D29</f>
        <v>0.16666666666666666</v>
      </c>
      <c r="K35" s="1162"/>
      <c r="L35" s="1386">
        <f>SUM(D27:L27)/D29</f>
        <v>0.73958333333333337</v>
      </c>
      <c r="M35" s="2"/>
      <c r="N35" s="1389">
        <f>L35</f>
        <v>0.73958333333333337</v>
      </c>
    </row>
    <row r="36" spans="2:14" ht="20.149999999999999" customHeight="1" x14ac:dyDescent="0.35">
      <c r="B36" s="2"/>
      <c r="C36" s="2"/>
      <c r="D36" s="2"/>
      <c r="E36" s="2"/>
      <c r="F36" s="2"/>
      <c r="G36" s="2"/>
      <c r="H36" s="2"/>
      <c r="I36" s="2"/>
      <c r="J36" s="2"/>
      <c r="K36" s="2"/>
      <c r="L36" s="2"/>
      <c r="M36" s="2"/>
      <c r="N36" s="2"/>
    </row>
    <row r="37" spans="2:14" ht="20.149999999999999" customHeight="1" x14ac:dyDescent="0.35">
      <c r="C37" s="11"/>
      <c r="D37" s="11"/>
      <c r="E37" s="11"/>
      <c r="F37" s="11"/>
      <c r="G37" s="11"/>
      <c r="H37" s="11"/>
      <c r="I37" s="11"/>
      <c r="J37" s="11"/>
      <c r="K37" s="11"/>
      <c r="L37" s="11"/>
      <c r="M37" s="11"/>
      <c r="N37" s="11"/>
    </row>
    <row r="38" spans="2:14" ht="20.149999999999999" customHeight="1" x14ac:dyDescent="0.35">
      <c r="B38" s="2"/>
      <c r="C38" s="2"/>
      <c r="D38" s="2"/>
      <c r="E38" s="2"/>
      <c r="F38" s="2"/>
      <c r="G38" s="2"/>
      <c r="H38" s="2"/>
      <c r="I38" s="2"/>
      <c r="J38" s="2"/>
      <c r="K38" s="2"/>
      <c r="L38" s="2"/>
      <c r="M38" s="2"/>
      <c r="N38" s="1162"/>
    </row>
    <row r="39" spans="2:14" ht="15.5" x14ac:dyDescent="0.35">
      <c r="B39" s="2"/>
      <c r="C39" s="2"/>
      <c r="D39" s="2"/>
      <c r="E39" s="2"/>
      <c r="F39" s="2"/>
      <c r="G39" s="2"/>
      <c r="H39" s="2"/>
      <c r="I39" s="2"/>
      <c r="J39" s="2"/>
      <c r="K39" s="2"/>
      <c r="L39" s="2"/>
      <c r="M39" s="2"/>
      <c r="N39" s="1162"/>
    </row>
    <row r="40" spans="2:14" ht="20.149999999999999" customHeight="1" x14ac:dyDescent="0.35">
      <c r="B40" s="2"/>
      <c r="C40" s="2"/>
      <c r="D40" s="2"/>
      <c r="E40" s="2"/>
      <c r="F40" s="2"/>
      <c r="G40" s="2"/>
      <c r="H40" s="2"/>
      <c r="I40" s="2"/>
      <c r="J40" s="2"/>
      <c r="K40" s="2"/>
      <c r="L40" s="2"/>
      <c r="M40" s="2"/>
      <c r="N40" s="1162"/>
    </row>
    <row r="41" spans="2:14" ht="15.5" x14ac:dyDescent="0.35">
      <c r="B41" s="2"/>
      <c r="C41" s="2"/>
      <c r="D41" s="2"/>
      <c r="E41" s="2"/>
      <c r="F41" s="2"/>
      <c r="G41" s="2"/>
      <c r="H41" s="2"/>
      <c r="I41" s="2"/>
      <c r="J41" s="2"/>
      <c r="K41" s="2"/>
      <c r="L41" s="2"/>
      <c r="M41" s="2"/>
      <c r="N41" s="1162"/>
    </row>
    <row r="42" spans="2:14" ht="15.5" x14ac:dyDescent="0.35">
      <c r="B42" s="2"/>
      <c r="C42" s="2"/>
      <c r="D42" s="2"/>
      <c r="E42" s="2"/>
      <c r="F42" s="2"/>
      <c r="G42" s="2"/>
      <c r="H42" s="2"/>
      <c r="I42" s="2"/>
      <c r="J42" s="2"/>
      <c r="K42" s="2"/>
      <c r="L42" s="2"/>
      <c r="M42" s="2"/>
      <c r="N42" s="1162"/>
    </row>
    <row r="43" spans="2:14" ht="15.5" x14ac:dyDescent="0.35">
      <c r="B43" s="2"/>
      <c r="C43" s="2"/>
      <c r="D43" s="2"/>
      <c r="E43" s="2"/>
      <c r="F43" s="2"/>
      <c r="G43" s="2"/>
      <c r="H43" s="2"/>
      <c r="I43" s="2"/>
      <c r="J43" s="2"/>
      <c r="K43" s="2"/>
      <c r="L43" s="2"/>
      <c r="M43" s="2"/>
      <c r="N43" s="1162"/>
    </row>
    <row r="44" spans="2:14" ht="15.5" x14ac:dyDescent="0.35">
      <c r="B44" s="2"/>
      <c r="C44" s="2"/>
      <c r="D44" s="2"/>
      <c r="E44" s="2"/>
      <c r="F44" s="2"/>
      <c r="G44" s="2"/>
      <c r="H44" s="2"/>
      <c r="I44" s="2"/>
      <c r="J44" s="2"/>
      <c r="K44" s="2"/>
      <c r="L44" s="2"/>
      <c r="M44" s="2"/>
      <c r="N44" s="1162"/>
    </row>
    <row r="45" spans="2:14" ht="15.5" x14ac:dyDescent="0.35">
      <c r="B45" s="2"/>
      <c r="C45" s="2"/>
      <c r="D45" s="2"/>
      <c r="E45" s="2"/>
      <c r="F45" s="2"/>
      <c r="G45" s="2"/>
      <c r="H45" s="2"/>
      <c r="I45" s="2"/>
      <c r="J45" s="2"/>
      <c r="K45" s="2"/>
      <c r="L45" s="2"/>
      <c r="M45" s="2"/>
      <c r="N45" s="1162"/>
    </row>
    <row r="46" spans="2:14" ht="15.5" x14ac:dyDescent="0.35">
      <c r="B46" s="2"/>
      <c r="C46" s="2"/>
      <c r="D46" s="2"/>
      <c r="E46" s="2"/>
      <c r="F46" s="2"/>
      <c r="G46" s="2"/>
      <c r="H46" s="2"/>
      <c r="I46" s="2"/>
      <c r="J46" s="2"/>
      <c r="K46" s="2"/>
      <c r="L46" s="2"/>
      <c r="M46" s="2"/>
      <c r="N46" s="1375"/>
    </row>
    <row r="47" spans="2:14" ht="15.5" x14ac:dyDescent="0.35">
      <c r="B47" s="2"/>
      <c r="C47" s="2"/>
      <c r="D47" s="2"/>
      <c r="E47" s="2"/>
      <c r="F47" s="2"/>
      <c r="G47" s="2"/>
      <c r="H47" s="2"/>
      <c r="I47" s="2"/>
      <c r="J47" s="2"/>
      <c r="K47" s="2"/>
      <c r="L47" s="2"/>
      <c r="M47" s="2"/>
      <c r="N47" s="1162"/>
    </row>
    <row r="48" spans="2:14" ht="15.5" x14ac:dyDescent="0.35">
      <c r="B48" s="2"/>
      <c r="C48" s="2"/>
      <c r="D48" s="2"/>
      <c r="E48" s="2"/>
      <c r="F48" s="2"/>
      <c r="G48" s="2"/>
      <c r="H48" s="2"/>
      <c r="I48" s="2"/>
      <c r="J48" s="2"/>
      <c r="K48" s="2"/>
      <c r="L48" s="2"/>
      <c r="M48" s="2"/>
      <c r="N48" s="1162"/>
    </row>
    <row r="49" spans="1:19" ht="15.5" x14ac:dyDescent="0.35">
      <c r="B49" s="2"/>
      <c r="C49" s="2"/>
      <c r="D49" s="2"/>
      <c r="E49" s="2"/>
      <c r="F49" s="2"/>
      <c r="G49" s="2"/>
      <c r="H49" s="2"/>
      <c r="I49" s="2"/>
      <c r="J49" s="2"/>
      <c r="K49" s="2"/>
      <c r="L49" s="2"/>
      <c r="M49" s="2"/>
      <c r="N49" s="1162"/>
    </row>
    <row r="50" spans="1:19" ht="15.5" x14ac:dyDescent="0.35">
      <c r="B50" s="2"/>
      <c r="C50" s="2"/>
      <c r="D50" s="2"/>
      <c r="E50" s="2"/>
      <c r="F50" s="2"/>
      <c r="G50" s="2"/>
      <c r="H50" s="2"/>
      <c r="I50" s="2"/>
      <c r="J50" s="2"/>
      <c r="K50" s="2"/>
      <c r="L50" s="2"/>
      <c r="M50" s="2"/>
      <c r="N50" s="1162"/>
    </row>
    <row r="51" spans="1:19" ht="15.5" x14ac:dyDescent="0.35">
      <c r="B51" s="2"/>
      <c r="C51" s="2"/>
      <c r="D51" s="2"/>
      <c r="E51" s="2"/>
      <c r="F51" s="2"/>
      <c r="G51" s="2"/>
      <c r="H51" s="2"/>
      <c r="I51" s="2"/>
      <c r="J51" s="2"/>
      <c r="K51" s="2"/>
      <c r="L51" s="2"/>
      <c r="M51" s="2"/>
      <c r="N51" s="1162"/>
    </row>
    <row r="52" spans="1:19" ht="15.5" x14ac:dyDescent="0.35">
      <c r="B52" s="1376"/>
      <c r="C52" s="1377"/>
      <c r="D52" s="1162"/>
      <c r="E52" s="1378"/>
      <c r="F52" s="1162"/>
      <c r="G52" s="1162"/>
      <c r="H52" s="1163"/>
      <c r="I52" s="1162"/>
      <c r="J52" s="1162"/>
      <c r="K52" s="1162"/>
      <c r="L52" s="1162"/>
      <c r="M52" s="1162"/>
      <c r="N52" s="1162"/>
    </row>
    <row r="53" spans="1:19" ht="15.5" x14ac:dyDescent="0.35">
      <c r="B53" s="2"/>
      <c r="C53" s="1162"/>
      <c r="D53" s="1162"/>
      <c r="E53" s="1379"/>
      <c r="F53" s="1162"/>
      <c r="G53" s="1162"/>
      <c r="H53" s="1163"/>
      <c r="I53" s="1162"/>
      <c r="J53" s="1162"/>
      <c r="K53" s="1162"/>
      <c r="L53" s="1162"/>
      <c r="M53" s="1162"/>
      <c r="N53" s="1162"/>
    </row>
    <row r="54" spans="1:19" ht="15.5" x14ac:dyDescent="0.35">
      <c r="B54" s="2"/>
      <c r="C54" s="1162"/>
      <c r="D54" s="1162"/>
      <c r="E54" s="1162"/>
      <c r="F54" s="1162"/>
      <c r="G54" s="1162"/>
      <c r="H54" s="1163"/>
      <c r="I54" s="1162"/>
      <c r="J54" s="1162"/>
      <c r="K54" s="1162"/>
      <c r="L54" s="1162"/>
      <c r="M54" s="1162"/>
      <c r="N54" s="1162"/>
    </row>
    <row r="55" spans="1:19" s="363" customFormat="1" ht="15.5" x14ac:dyDescent="0.35">
      <c r="A55" s="11"/>
      <c r="B55" s="2"/>
      <c r="C55" s="1378"/>
      <c r="D55" s="1162"/>
      <c r="E55" s="1378"/>
      <c r="F55" s="1162"/>
      <c r="G55" s="1162"/>
      <c r="H55" s="1163"/>
      <c r="I55" s="1162"/>
      <c r="J55" s="1162"/>
      <c r="K55" s="1162"/>
      <c r="L55" s="1162"/>
      <c r="M55" s="1162"/>
      <c r="N55" s="1162"/>
      <c r="O55" s="11"/>
      <c r="P55" s="11"/>
      <c r="Q55" s="11"/>
      <c r="R55" s="11"/>
      <c r="S55" s="11"/>
    </row>
    <row r="56" spans="1:19" s="363" customFormat="1" x14ac:dyDescent="0.35">
      <c r="A56" s="11"/>
      <c r="B56" s="11"/>
      <c r="C56" s="451"/>
      <c r="D56" s="134"/>
      <c r="E56" s="1369"/>
      <c r="F56" s="134"/>
      <c r="G56" s="134"/>
      <c r="I56" s="134"/>
      <c r="J56" s="134"/>
      <c r="K56" s="134"/>
      <c r="L56" s="134"/>
      <c r="M56" s="134"/>
      <c r="N56" s="134"/>
      <c r="O56" s="11"/>
      <c r="P56" s="11"/>
      <c r="Q56" s="11"/>
      <c r="R56" s="11"/>
      <c r="S56" s="11"/>
    </row>
    <row r="57" spans="1:19" s="363" customFormat="1" x14ac:dyDescent="0.35">
      <c r="A57" s="11"/>
      <c r="B57" s="1368"/>
      <c r="C57" s="451"/>
      <c r="D57" s="134"/>
      <c r="E57" s="1369"/>
      <c r="F57" s="134"/>
      <c r="G57" s="134"/>
      <c r="I57" s="134"/>
      <c r="J57" s="134"/>
      <c r="K57" s="134"/>
      <c r="L57" s="134"/>
      <c r="M57" s="134"/>
      <c r="N57" s="134"/>
      <c r="O57" s="11"/>
      <c r="P57" s="11"/>
      <c r="Q57" s="11"/>
      <c r="R57" s="11"/>
      <c r="S57" s="11"/>
    </row>
    <row r="58" spans="1:19" s="363" customFormat="1" x14ac:dyDescent="0.35">
      <c r="A58" s="11"/>
      <c r="B58" s="1368"/>
      <c r="C58" s="451"/>
      <c r="D58" s="134"/>
      <c r="E58" s="1369"/>
      <c r="F58" s="134"/>
      <c r="G58" s="134"/>
      <c r="I58" s="134"/>
      <c r="J58" s="134"/>
      <c r="K58" s="134"/>
      <c r="L58" s="134"/>
      <c r="M58" s="134"/>
      <c r="N58" s="134"/>
      <c r="O58" s="11"/>
      <c r="P58" s="11"/>
      <c r="Q58" s="11"/>
      <c r="R58" s="11"/>
      <c r="S58" s="11"/>
    </row>
    <row r="59" spans="1:19" s="363" customFormat="1" x14ac:dyDescent="0.35">
      <c r="A59" s="11"/>
      <c r="B59" s="11"/>
      <c r="C59" s="134"/>
      <c r="D59" s="134"/>
      <c r="E59" s="446"/>
      <c r="F59" s="446"/>
      <c r="G59" s="1370"/>
      <c r="I59" s="134"/>
      <c r="J59" s="134"/>
      <c r="K59" s="134"/>
      <c r="L59" s="134"/>
      <c r="M59" s="134"/>
      <c r="N59" s="134"/>
      <c r="O59" s="11"/>
      <c r="P59" s="11"/>
      <c r="Q59" s="11"/>
      <c r="R59" s="11"/>
      <c r="S59" s="11"/>
    </row>
    <row r="61" spans="1:19" s="363" customFormat="1" x14ac:dyDescent="0.35">
      <c r="A61" s="11"/>
      <c r="B61" s="11" t="s">
        <v>193</v>
      </c>
      <c r="C61" s="1369">
        <f>C49</f>
        <v>0</v>
      </c>
      <c r="D61" s="134"/>
      <c r="E61" s="134"/>
      <c r="F61" s="134"/>
      <c r="G61" s="134"/>
      <c r="I61" s="134"/>
      <c r="J61" s="134"/>
      <c r="K61" s="134"/>
      <c r="L61" s="134"/>
      <c r="M61" s="134"/>
      <c r="N61" s="134"/>
      <c r="O61" s="11"/>
      <c r="P61" s="11"/>
      <c r="Q61" s="11"/>
      <c r="R61" s="11"/>
      <c r="S61" s="11"/>
    </row>
    <row r="62" spans="1:19" s="363" customFormat="1" x14ac:dyDescent="0.35">
      <c r="A62" s="11"/>
      <c r="B62" s="11" t="s">
        <v>260</v>
      </c>
      <c r="C62" s="451">
        <f>'User interface_RES'!C35</f>
        <v>0.435</v>
      </c>
      <c r="D62" s="134"/>
      <c r="E62" s="1369">
        <f>C62*C61</f>
        <v>0</v>
      </c>
      <c r="F62" s="134"/>
      <c r="G62" s="134"/>
      <c r="I62" s="134"/>
      <c r="J62" s="134"/>
      <c r="K62" s="134"/>
      <c r="L62" s="134"/>
      <c r="M62" s="134"/>
      <c r="N62" s="134"/>
      <c r="O62" s="11"/>
      <c r="P62" s="11"/>
      <c r="Q62" s="11"/>
      <c r="R62" s="11"/>
      <c r="S62" s="11"/>
    </row>
    <row r="63" spans="1:19" s="363" customFormat="1" x14ac:dyDescent="0.35">
      <c r="A63" s="11"/>
      <c r="B63" s="1368" t="s">
        <v>257</v>
      </c>
      <c r="C63" s="451">
        <f>('User interface_RES'!E36*'User interface_RES'!D36)+('User interface_RES'!E37*'User interface_RES'!D37)</f>
        <v>0.28999999999999998</v>
      </c>
      <c r="D63" s="134">
        <f>'User interface_RES'!H80</f>
        <v>0</v>
      </c>
      <c r="E63" s="1369">
        <f>E62*C63*D63</f>
        <v>0</v>
      </c>
      <c r="F63" s="134"/>
      <c r="G63" s="134"/>
      <c r="I63" s="134"/>
      <c r="J63" s="134"/>
      <c r="K63" s="134"/>
      <c r="L63" s="134"/>
      <c r="M63" s="134"/>
      <c r="N63" s="134"/>
      <c r="O63" s="11"/>
      <c r="P63" s="11"/>
      <c r="Q63" s="11"/>
      <c r="R63" s="11"/>
      <c r="S63" s="11"/>
    </row>
    <row r="64" spans="1:19" s="363" customFormat="1" x14ac:dyDescent="0.35">
      <c r="A64" s="11"/>
      <c r="B64" s="1368" t="s">
        <v>258</v>
      </c>
      <c r="C64" s="451">
        <f>('User interface_RES'!F36*'User interface_RES'!D36)+('User interface_RES'!F37*'User interface_RES'!D37)</f>
        <v>0.71</v>
      </c>
      <c r="D64" s="134">
        <f>D63</f>
        <v>0</v>
      </c>
      <c r="E64" s="1369">
        <f>E62*C64*D64</f>
        <v>0</v>
      </c>
      <c r="F64" s="134"/>
      <c r="G64" s="134"/>
      <c r="I64" s="134"/>
      <c r="J64" s="134"/>
      <c r="K64" s="134"/>
      <c r="L64" s="134"/>
      <c r="M64" s="134"/>
      <c r="N64" s="134"/>
      <c r="O64" s="11"/>
      <c r="P64" s="11"/>
      <c r="Q64" s="11"/>
      <c r="R64" s="11"/>
      <c r="S64" s="11"/>
    </row>
    <row r="65" spans="1:19" s="363" customFormat="1" x14ac:dyDescent="0.35">
      <c r="A65" s="11"/>
      <c r="B65" s="11"/>
      <c r="C65" s="134"/>
      <c r="D65" s="134"/>
      <c r="E65" s="446">
        <f>SUM(E63:E64)</f>
        <v>0</v>
      </c>
      <c r="F65" s="446">
        <f>E65+E59</f>
        <v>0</v>
      </c>
      <c r="G65" s="1370" t="e">
        <f>F65/(E56+E62)</f>
        <v>#DIV/0!</v>
      </c>
      <c r="I65" s="134"/>
      <c r="J65" s="134"/>
      <c r="K65" s="134"/>
      <c r="L65" s="134"/>
      <c r="M65" s="134"/>
      <c r="N65" s="134"/>
      <c r="O65" s="11"/>
      <c r="P65" s="11"/>
      <c r="Q65" s="11"/>
      <c r="R65" s="11"/>
      <c r="S65" s="11"/>
    </row>
  </sheetData>
  <sheetProtection password="C8C1" sheet="1" objects="1" scenarios="1" selectLockedCells="1"/>
  <mergeCells count="3">
    <mergeCell ref="D8:N8"/>
    <mergeCell ref="D21:N21"/>
    <mergeCell ref="B4:I4"/>
  </mergeCells>
  <pageMargins left="0.75" right="0.75" top="0.75" bottom="0.75" header="0.3" footer="0.3"/>
  <pageSetup paperSize="9" scale="52" orientation="portrait" r:id="rId1"/>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W33"/>
  <sheetViews>
    <sheetView showGridLines="0" showRowColHeaders="0" zoomScale="80" zoomScaleNormal="80" workbookViewId="0">
      <pane ySplit="3" topLeftCell="A4" activePane="bottomLeft" state="frozen"/>
      <selection pane="bottomLeft" activeCell="A4" sqref="A4"/>
    </sheetView>
  </sheetViews>
  <sheetFormatPr defaultColWidth="9.1796875" defaultRowHeight="14.5" x14ac:dyDescent="0.35"/>
  <cols>
    <col min="1" max="16384" width="9.1796875" style="512"/>
  </cols>
  <sheetData>
    <row r="1" spans="1:23" s="513" customFormat="1" x14ac:dyDescent="0.35"/>
    <row r="2" spans="1:23" s="513" customFormat="1" ht="79.5" customHeight="1" x14ac:dyDescent="0.35"/>
    <row r="3" spans="1:23" s="689" customFormat="1" ht="5.25" customHeight="1" x14ac:dyDescent="0.35"/>
    <row r="4" spans="1:23" ht="1" customHeight="1" x14ac:dyDescent="0.35">
      <c r="A4" s="865"/>
    </row>
    <row r="5" spans="1:23" x14ac:dyDescent="0.35">
      <c r="A5" s="865"/>
    </row>
    <row r="7" spans="1:23" x14ac:dyDescent="0.35">
      <c r="R7" s="813"/>
    </row>
    <row r="9" spans="1:23" x14ac:dyDescent="0.35">
      <c r="R9" s="813"/>
    </row>
    <row r="13" spans="1:23" x14ac:dyDescent="0.35">
      <c r="E13" s="811"/>
    </row>
    <row r="14" spans="1:23" ht="15.5" x14ac:dyDescent="0.35">
      <c r="R14" s="812" t="s">
        <v>397</v>
      </c>
    </row>
    <row r="15" spans="1:23" x14ac:dyDescent="0.35">
      <c r="G15" s="865"/>
    </row>
    <row r="16" spans="1:23" ht="15" customHeight="1" x14ac:dyDescent="0.35">
      <c r="R16" s="1143" t="s">
        <v>398</v>
      </c>
      <c r="S16" s="1659" t="s">
        <v>399</v>
      </c>
      <c r="T16" s="1659"/>
      <c r="U16" s="1659"/>
      <c r="V16" s="1659"/>
      <c r="W16" s="864"/>
    </row>
    <row r="17" spans="18:23" x14ac:dyDescent="0.35">
      <c r="R17" s="814"/>
      <c r="S17" s="1659"/>
      <c r="T17" s="1659"/>
      <c r="U17" s="1659"/>
      <c r="V17" s="1659"/>
      <c r="W17" s="864"/>
    </row>
    <row r="18" spans="18:23" x14ac:dyDescent="0.35">
      <c r="R18" s="863"/>
      <c r="S18" s="1659"/>
      <c r="T18" s="1659"/>
      <c r="U18" s="1659"/>
      <c r="V18" s="1659"/>
      <c r="W18" s="864"/>
    </row>
    <row r="19" spans="18:23" x14ac:dyDescent="0.35">
      <c r="S19" s="1659"/>
      <c r="T19" s="1659"/>
      <c r="U19" s="1659"/>
      <c r="V19" s="1659"/>
      <c r="W19" s="864"/>
    </row>
    <row r="20" spans="18:23" x14ac:dyDescent="0.35">
      <c r="S20" s="1659"/>
      <c r="T20" s="1659"/>
      <c r="U20" s="1659"/>
      <c r="V20" s="1659"/>
      <c r="W20" s="864"/>
    </row>
    <row r="21" spans="18:23" x14ac:dyDescent="0.35">
      <c r="S21" s="1659"/>
      <c r="T21" s="1659"/>
      <c r="U21" s="1659"/>
      <c r="V21" s="1659"/>
    </row>
    <row r="22" spans="18:23" ht="15" customHeight="1" x14ac:dyDescent="0.35">
      <c r="R22" s="1144" t="s">
        <v>400</v>
      </c>
      <c r="S22" s="1659" t="s">
        <v>401</v>
      </c>
      <c r="T22" s="1659"/>
      <c r="U22" s="1659"/>
      <c r="V22" s="1659"/>
      <c r="W22" s="1472"/>
    </row>
    <row r="23" spans="18:23" x14ac:dyDescent="0.35">
      <c r="R23" s="813"/>
      <c r="S23" s="1659"/>
      <c r="T23" s="1659"/>
      <c r="U23" s="1659"/>
      <c r="V23" s="1659"/>
      <c r="W23" s="1472"/>
    </row>
    <row r="24" spans="18:23" x14ac:dyDescent="0.35">
      <c r="S24" s="1659"/>
      <c r="T24" s="1659"/>
      <c r="U24" s="1659"/>
      <c r="V24" s="1659"/>
      <c r="W24" s="1472"/>
    </row>
    <row r="25" spans="18:23" x14ac:dyDescent="0.35">
      <c r="S25" s="1659"/>
      <c r="T25" s="1659"/>
      <c r="U25" s="1659"/>
      <c r="V25" s="1659"/>
      <c r="W25" s="1472"/>
    </row>
    <row r="26" spans="18:23" x14ac:dyDescent="0.35">
      <c r="S26" s="1659"/>
      <c r="T26" s="1659"/>
      <c r="U26" s="1659"/>
      <c r="V26" s="1659"/>
      <c r="W26" s="1472"/>
    </row>
    <row r="27" spans="18:23" x14ac:dyDescent="0.35">
      <c r="S27" s="1659"/>
      <c r="T27" s="1659"/>
      <c r="U27" s="1659"/>
      <c r="V27" s="1659"/>
      <c r="W27" s="1472"/>
    </row>
    <row r="28" spans="18:23" x14ac:dyDescent="0.35">
      <c r="S28" s="1659"/>
      <c r="T28" s="1659"/>
      <c r="U28" s="1659"/>
      <c r="V28" s="1659"/>
      <c r="W28" s="1472"/>
    </row>
    <row r="29" spans="18:23" x14ac:dyDescent="0.35">
      <c r="S29" s="1659"/>
      <c r="T29" s="1659"/>
      <c r="U29" s="1659"/>
      <c r="V29" s="1659"/>
      <c r="W29" s="1472"/>
    </row>
    <row r="30" spans="18:23" x14ac:dyDescent="0.35">
      <c r="S30" s="1659"/>
      <c r="T30" s="1659"/>
      <c r="U30" s="1659"/>
      <c r="V30" s="1659"/>
      <c r="W30" s="1472"/>
    </row>
    <row r="31" spans="18:23" x14ac:dyDescent="0.35">
      <c r="S31" s="1659"/>
      <c r="T31" s="1659"/>
      <c r="U31" s="1659"/>
      <c r="V31" s="1659"/>
      <c r="W31" s="1472"/>
    </row>
    <row r="32" spans="18:23" x14ac:dyDescent="0.35">
      <c r="S32" s="1659"/>
      <c r="T32" s="1659"/>
      <c r="U32" s="1659"/>
      <c r="V32" s="1659"/>
    </row>
    <row r="33" spans="19:22" x14ac:dyDescent="0.35">
      <c r="S33" s="1659"/>
      <c r="T33" s="1659"/>
      <c r="U33" s="1659"/>
      <c r="V33" s="1659"/>
    </row>
  </sheetData>
  <sheetProtection password="C9BE" sheet="1" objects="1" scenarios="1" selectLockedCells="1"/>
  <mergeCells count="2">
    <mergeCell ref="S16:V21"/>
    <mergeCell ref="S22:V33"/>
  </mergeCell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00B050"/>
  </sheetPr>
  <dimension ref="A1:BB354"/>
  <sheetViews>
    <sheetView showGridLines="0" showRowColHeaders="0" topLeftCell="A3" zoomScale="85" zoomScaleNormal="85" workbookViewId="0">
      <pane ySplit="3" topLeftCell="A6" activePane="bottomLeft" state="frozen"/>
      <selection activeCell="A3" sqref="A3"/>
      <selection pane="bottomLeft" activeCell="C17" sqref="C17"/>
    </sheetView>
  </sheetViews>
  <sheetFormatPr defaultColWidth="9.1796875" defaultRowHeight="13" x14ac:dyDescent="0.35"/>
  <cols>
    <col min="1" max="1" width="3.26953125" style="3" customWidth="1"/>
    <col min="2" max="2" width="45.7265625" style="3" customWidth="1"/>
    <col min="3" max="4" width="18.7265625" style="3" customWidth="1"/>
    <col min="5" max="9" width="16.7265625" style="3" customWidth="1"/>
    <col min="10" max="10" width="8.7265625" style="3" customWidth="1"/>
    <col min="11" max="16" width="16.7265625" style="3" customWidth="1"/>
    <col min="17" max="17" width="3.26953125" style="3" customWidth="1"/>
    <col min="18" max="35" width="9.1796875" style="3"/>
    <col min="36" max="36" width="33.81640625" style="3" bestFit="1" customWidth="1"/>
    <col min="37" max="16384" width="9.1796875" style="3"/>
  </cols>
  <sheetData>
    <row r="1" spans="1:54" s="476" customFormat="1" ht="23.25" hidden="1" customHeight="1" x14ac:dyDescent="0.35"/>
    <row r="2" spans="1:54" s="483" customFormat="1" ht="0.25" customHeight="1" x14ac:dyDescent="0.35">
      <c r="B2" s="477" t="e">
        <f>Overview_SLUDGE!#REF!</f>
        <v>#REF!</v>
      </c>
    </row>
    <row r="3" spans="1:54" s="496" customFormat="1" ht="36.75" customHeight="1" x14ac:dyDescent="0.45">
      <c r="B3" s="827" t="str">
        <f>AJ11</f>
        <v>Any city in , the world</v>
      </c>
    </row>
    <row r="4" spans="1:54" s="484" customFormat="1" ht="10.5" hidden="1" x14ac:dyDescent="0.35">
      <c r="B4" s="485"/>
    </row>
    <row r="5" spans="1:54" s="504" customFormat="1" ht="57.75" customHeight="1" thickBot="1" x14ac:dyDescent="0.4">
      <c r="B5" s="1456" t="s">
        <v>402</v>
      </c>
    </row>
    <row r="6" spans="1:54" ht="17.149999999999999" customHeight="1" x14ac:dyDescent="0.35">
      <c r="A6" s="870"/>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c r="BA6" s="478"/>
      <c r="BB6" s="478"/>
    </row>
    <row r="7" spans="1:54" ht="17.149999999999999" hidden="1" customHeight="1" x14ac:dyDescent="0.35">
      <c r="A7" s="478"/>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c r="BA7" s="478"/>
      <c r="BB7" s="478"/>
    </row>
    <row r="8" spans="1:54" ht="17.149999999999999" customHeight="1" x14ac:dyDescent="0.35">
      <c r="A8" s="478"/>
      <c r="B8" s="501" t="s">
        <v>403</v>
      </c>
      <c r="C8" s="871">
        <v>42978</v>
      </c>
      <c r="D8" s="1225"/>
      <c r="E8" s="478"/>
      <c r="F8" s="478"/>
      <c r="G8" s="478"/>
      <c r="H8" s="478"/>
      <c r="I8" s="478"/>
      <c r="J8" s="478"/>
      <c r="K8" s="478"/>
      <c r="L8" s="478"/>
      <c r="M8" s="478"/>
      <c r="N8" s="478"/>
      <c r="O8" s="478"/>
      <c r="P8" s="478"/>
      <c r="Q8" s="478"/>
      <c r="R8" s="478"/>
      <c r="S8" s="478"/>
      <c r="T8" s="478"/>
      <c r="U8" s="478"/>
      <c r="V8" s="478"/>
      <c r="W8" s="478"/>
      <c r="X8" s="478"/>
      <c r="Y8" s="478"/>
      <c r="Z8" s="478"/>
      <c r="AA8" s="478"/>
      <c r="AB8" s="478"/>
      <c r="AC8" s="478"/>
      <c r="AD8" s="478"/>
      <c r="AE8" s="478"/>
      <c r="AF8" s="478"/>
      <c r="AG8" s="478"/>
      <c r="AH8" s="478"/>
      <c r="AI8" s="478"/>
      <c r="AJ8" s="478"/>
      <c r="AK8" s="478"/>
      <c r="AL8" s="478"/>
      <c r="AM8" s="478"/>
      <c r="AN8" s="478"/>
      <c r="AO8" s="478"/>
      <c r="AP8" s="478"/>
      <c r="AQ8" s="478"/>
      <c r="AR8" s="478"/>
      <c r="AS8" s="478"/>
      <c r="AT8" s="478"/>
      <c r="AU8" s="478"/>
      <c r="AV8" s="478"/>
      <c r="AW8" s="478"/>
      <c r="AX8" s="478"/>
      <c r="AY8" s="478"/>
      <c r="AZ8" s="478"/>
      <c r="BA8" s="478"/>
      <c r="BB8" s="478"/>
    </row>
    <row r="9" spans="1:54" ht="17.149999999999999" customHeight="1" x14ac:dyDescent="0.35">
      <c r="A9" s="478"/>
      <c r="B9" s="478"/>
      <c r="C9" s="478"/>
      <c r="D9" s="478"/>
      <c r="E9" s="478"/>
      <c r="F9" s="478"/>
      <c r="G9" s="478"/>
      <c r="H9" s="478"/>
      <c r="I9" s="478"/>
      <c r="J9" s="478"/>
      <c r="K9" s="478"/>
      <c r="L9" s="478"/>
      <c r="M9" s="478"/>
      <c r="N9" s="478"/>
      <c r="O9" s="478"/>
      <c r="P9" s="478"/>
      <c r="Q9" s="478"/>
      <c r="R9" s="478"/>
      <c r="S9" s="478"/>
      <c r="T9" s="478"/>
      <c r="U9" s="478"/>
      <c r="V9" s="478"/>
      <c r="W9" s="478"/>
      <c r="X9" s="478"/>
      <c r="Y9" s="478"/>
      <c r="Z9" s="478"/>
      <c r="AA9" s="478"/>
      <c r="AB9" s="478"/>
      <c r="AC9" s="478"/>
      <c r="AD9" s="478"/>
      <c r="AE9" s="478"/>
      <c r="AF9" s="478"/>
      <c r="AG9" s="478"/>
      <c r="AH9" s="478"/>
      <c r="AI9" s="478"/>
      <c r="AJ9" s="478"/>
      <c r="AK9" s="478"/>
      <c r="AL9" s="478"/>
      <c r="AM9" s="478"/>
      <c r="AN9" s="478"/>
      <c r="AO9" s="478"/>
      <c r="AP9" s="478"/>
      <c r="AQ9" s="478"/>
      <c r="AR9" s="478"/>
      <c r="AS9" s="478"/>
      <c r="AT9" s="478"/>
      <c r="AU9" s="478"/>
      <c r="AV9" s="478"/>
      <c r="AW9" s="478"/>
      <c r="AX9" s="478"/>
      <c r="AY9" s="478"/>
      <c r="AZ9" s="478"/>
      <c r="BA9" s="478"/>
      <c r="BB9" s="478"/>
    </row>
    <row r="10" spans="1:54" ht="17.149999999999999" customHeight="1" x14ac:dyDescent="0.35">
      <c r="A10" s="478"/>
      <c r="B10" s="501" t="s">
        <v>404</v>
      </c>
      <c r="C10" s="876" t="s">
        <v>1200</v>
      </c>
      <c r="D10" s="478"/>
      <c r="E10" s="478"/>
      <c r="F10" s="478"/>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8"/>
      <c r="AE10" s="478"/>
      <c r="AF10" s="478"/>
      <c r="AG10" s="478"/>
      <c r="AH10" s="514"/>
      <c r="AI10" s="514"/>
      <c r="AJ10" s="514"/>
      <c r="AK10" s="478"/>
      <c r="AL10" s="478"/>
      <c r="AM10" s="478"/>
      <c r="AN10" s="478"/>
      <c r="AO10" s="478"/>
      <c r="AP10" s="478"/>
      <c r="AQ10" s="478"/>
      <c r="AR10" s="478"/>
      <c r="AS10" s="478"/>
      <c r="AT10" s="478"/>
      <c r="AU10" s="478"/>
      <c r="AV10" s="478"/>
      <c r="AW10" s="478"/>
      <c r="AX10" s="478"/>
      <c r="AY10" s="478"/>
      <c r="AZ10" s="478"/>
      <c r="BA10" s="478"/>
      <c r="BB10" s="478"/>
    </row>
    <row r="11" spans="1:54" ht="17.149999999999999" customHeight="1" x14ac:dyDescent="0.35">
      <c r="A11" s="478"/>
      <c r="B11" s="501" t="s">
        <v>405</v>
      </c>
      <c r="C11" s="876"/>
      <c r="D11" s="478"/>
      <c r="E11" s="845"/>
      <c r="F11" s="478"/>
      <c r="G11" s="478"/>
      <c r="H11" s="478"/>
      <c r="I11" s="478"/>
      <c r="J11" s="478"/>
      <c r="K11" s="478"/>
      <c r="L11" s="478"/>
      <c r="M11" s="478"/>
      <c r="N11" s="478"/>
      <c r="O11" s="478"/>
      <c r="P11" s="478"/>
      <c r="Q11" s="478"/>
      <c r="R11" s="478"/>
      <c r="S11" s="478"/>
      <c r="T11" s="478"/>
      <c r="U11" s="478"/>
      <c r="V11" s="478"/>
      <c r="W11" s="478"/>
      <c r="X11" s="478"/>
      <c r="Y11" s="478"/>
      <c r="Z11" s="478"/>
      <c r="AA11" s="478"/>
      <c r="AB11" s="478"/>
      <c r="AC11" s="478"/>
      <c r="AD11" s="478"/>
      <c r="AE11" s="478"/>
      <c r="AF11" s="478"/>
      <c r="AG11" s="478"/>
      <c r="AH11" s="515" t="s">
        <v>406</v>
      </c>
      <c r="AI11" s="515" t="s">
        <v>407</v>
      </c>
      <c r="AJ11" s="850" t="str">
        <f>C10&amp;AH11&amp;C11&amp;AI11&amp;C12</f>
        <v>Any city in , the world</v>
      </c>
      <c r="AK11" s="478"/>
      <c r="AL11" s="478"/>
      <c r="AM11" s="478"/>
      <c r="AN11" s="478"/>
      <c r="AO11" s="478"/>
      <c r="AP11" s="478"/>
      <c r="AQ11" s="478"/>
      <c r="AR11" s="478"/>
      <c r="AS11" s="478"/>
      <c r="AT11" s="478"/>
      <c r="AU11" s="478"/>
      <c r="AV11" s="478"/>
      <c r="AW11" s="478"/>
      <c r="AX11" s="478"/>
      <c r="AY11" s="478"/>
      <c r="AZ11" s="478"/>
      <c r="BA11" s="478"/>
      <c r="BB11" s="478"/>
    </row>
    <row r="12" spans="1:54" ht="17.149999999999999" customHeight="1" x14ac:dyDescent="0.35">
      <c r="A12" s="478"/>
      <c r="B12" s="501" t="s">
        <v>408</v>
      </c>
      <c r="C12" s="876" t="s">
        <v>1201</v>
      </c>
      <c r="D12" s="478"/>
      <c r="E12" s="478"/>
      <c r="F12" s="478"/>
      <c r="G12" s="478"/>
      <c r="H12" s="478"/>
      <c r="I12" s="478"/>
      <c r="J12" s="478"/>
      <c r="K12" s="478"/>
      <c r="L12" s="478"/>
      <c r="M12" s="478"/>
      <c r="N12" s="478"/>
      <c r="O12" s="478"/>
      <c r="P12" s="478"/>
      <c r="Q12" s="478"/>
      <c r="R12" s="478"/>
      <c r="S12" s="478"/>
      <c r="T12" s="478"/>
      <c r="U12" s="478"/>
      <c r="V12" s="478"/>
      <c r="W12" s="478"/>
      <c r="X12" s="478"/>
      <c r="Y12" s="478"/>
      <c r="Z12" s="478"/>
      <c r="AA12" s="478"/>
      <c r="AB12" s="478"/>
      <c r="AC12" s="478"/>
      <c r="AD12" s="478"/>
      <c r="AE12" s="478"/>
      <c r="AF12" s="478"/>
      <c r="AG12" s="478"/>
      <c r="AH12" s="514"/>
      <c r="AI12" s="514"/>
      <c r="AJ12" s="514"/>
      <c r="AK12" s="478"/>
      <c r="AL12" s="478"/>
      <c r="AM12" s="478"/>
      <c r="AN12" s="478"/>
      <c r="AO12" s="478"/>
      <c r="AP12" s="478"/>
      <c r="AQ12" s="478"/>
      <c r="AR12" s="478"/>
      <c r="AS12" s="478"/>
      <c r="AT12" s="478"/>
      <c r="AU12" s="478"/>
      <c r="AV12" s="478"/>
      <c r="AW12" s="478"/>
      <c r="AX12" s="478"/>
      <c r="AY12" s="478"/>
      <c r="AZ12" s="478"/>
      <c r="BA12" s="478"/>
      <c r="BB12" s="478"/>
    </row>
    <row r="13" spans="1:54" ht="17.149999999999999" customHeight="1" x14ac:dyDescent="0.35">
      <c r="A13" s="478"/>
      <c r="B13" s="478"/>
      <c r="C13" s="478"/>
      <c r="D13" s="478"/>
      <c r="E13" s="478"/>
      <c r="F13" s="478"/>
      <c r="G13" s="478"/>
      <c r="H13" s="478"/>
      <c r="I13" s="478"/>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row>
    <row r="14" spans="1:54" ht="17.149999999999999" customHeight="1" x14ac:dyDescent="0.35">
      <c r="A14" s="478"/>
      <c r="B14" s="478"/>
      <c r="C14" s="478"/>
      <c r="D14" s="478"/>
      <c r="E14" s="478"/>
      <c r="F14" s="478"/>
      <c r="G14" s="478"/>
      <c r="H14" s="478"/>
      <c r="I14" s="478"/>
      <c r="J14" s="478"/>
      <c r="K14" s="478"/>
      <c r="L14" s="478"/>
      <c r="M14" s="478"/>
      <c r="N14" s="478"/>
      <c r="O14" s="478"/>
      <c r="P14" s="478"/>
      <c r="Q14" s="478"/>
      <c r="R14" s="478"/>
      <c r="S14" s="478"/>
      <c r="T14" s="478"/>
      <c r="U14" s="478"/>
      <c r="V14" s="478"/>
      <c r="W14" s="478"/>
      <c r="X14" s="478"/>
      <c r="Y14" s="478"/>
      <c r="Z14" s="478"/>
      <c r="AA14" s="478"/>
      <c r="AB14" s="478"/>
      <c r="AC14" s="478"/>
      <c r="AD14" s="478"/>
      <c r="AE14" s="478"/>
      <c r="AF14" s="478"/>
      <c r="AG14" s="478"/>
      <c r="AH14" s="478"/>
      <c r="AI14" s="478"/>
      <c r="AJ14" s="478"/>
      <c r="AK14" s="478"/>
      <c r="AL14" s="478"/>
      <c r="AM14" s="478"/>
      <c r="AN14" s="478"/>
      <c r="AO14" s="478"/>
      <c r="AP14" s="478"/>
      <c r="AQ14" s="478"/>
      <c r="AR14" s="478"/>
      <c r="AS14" s="478"/>
      <c r="AT14" s="478"/>
      <c r="AU14" s="478"/>
      <c r="AV14" s="478"/>
      <c r="AW14" s="478"/>
      <c r="AX14" s="478"/>
      <c r="AY14" s="478"/>
      <c r="AZ14" s="478"/>
      <c r="BA14" s="478"/>
      <c r="BB14" s="478"/>
    </row>
    <row r="15" spans="1:54" ht="28" customHeight="1" x14ac:dyDescent="0.35">
      <c r="A15" s="478"/>
      <c r="B15" s="1496" t="s">
        <v>409</v>
      </c>
      <c r="C15" s="931" t="s">
        <v>410</v>
      </c>
      <c r="D15" s="932" t="s">
        <v>411</v>
      </c>
      <c r="E15" s="1473" t="s">
        <v>412</v>
      </c>
      <c r="F15" s="478"/>
      <c r="G15" s="1473" t="s">
        <v>413</v>
      </c>
      <c r="H15" s="1473" t="s">
        <v>414</v>
      </c>
      <c r="I15" s="478"/>
      <c r="J15" s="478"/>
      <c r="K15" s="478"/>
      <c r="L15" s="478"/>
      <c r="M15" s="478"/>
      <c r="N15" s="478"/>
      <c r="O15" s="478"/>
      <c r="P15" s="478"/>
      <c r="Q15" s="478"/>
      <c r="R15" s="478"/>
      <c r="S15" s="478"/>
      <c r="T15" s="478"/>
      <c r="U15" s="478"/>
      <c r="V15" s="478"/>
      <c r="W15" s="478"/>
      <c r="X15" s="478"/>
      <c r="Y15" s="478"/>
      <c r="Z15" s="478"/>
      <c r="AA15" s="478"/>
      <c r="AB15" s="478"/>
      <c r="AC15" s="478"/>
      <c r="AD15" s="478"/>
      <c r="AE15" s="478"/>
      <c r="AF15" s="478"/>
      <c r="AG15" s="478"/>
      <c r="AH15" s="478"/>
      <c r="AI15" s="478"/>
      <c r="AJ15" s="478"/>
      <c r="AK15" s="478"/>
      <c r="AL15" s="478"/>
      <c r="AM15" s="478"/>
      <c r="AN15" s="478"/>
      <c r="AO15" s="478"/>
      <c r="AP15" s="478"/>
      <c r="AQ15" s="478"/>
      <c r="AR15" s="478"/>
      <c r="AS15" s="478"/>
      <c r="AT15" s="478"/>
      <c r="AU15" s="478"/>
      <c r="AV15" s="478"/>
      <c r="AW15" s="478"/>
      <c r="AX15" s="478"/>
      <c r="AY15" s="478"/>
      <c r="AZ15" s="478"/>
      <c r="BA15" s="478"/>
      <c r="BB15" s="478"/>
    </row>
    <row r="16" spans="1:54" ht="17.149999999999999" customHeight="1" x14ac:dyDescent="0.35">
      <c r="A16" s="478"/>
      <c r="B16" s="505" t="s">
        <v>228</v>
      </c>
      <c r="C16" s="877">
        <v>1414050</v>
      </c>
      <c r="D16" s="871">
        <v>40908</v>
      </c>
      <c r="E16" s="879">
        <v>3.2000000000000001E-2</v>
      </c>
      <c r="F16" s="478"/>
      <c r="G16" s="877">
        <v>25</v>
      </c>
      <c r="H16" s="879">
        <v>3.2199999999999999E-2</v>
      </c>
      <c r="I16" s="478"/>
      <c r="J16" s="478"/>
      <c r="K16" s="478"/>
      <c r="L16" s="478"/>
      <c r="M16" s="478"/>
      <c r="N16" s="478"/>
      <c r="O16" s="478"/>
      <c r="P16" s="478"/>
      <c r="Q16" s="654"/>
      <c r="R16" s="654"/>
      <c r="S16" s="654"/>
      <c r="T16" s="654"/>
      <c r="U16" s="654"/>
      <c r="V16" s="654"/>
      <c r="W16" s="654"/>
      <c r="X16" s="654"/>
      <c r="Y16" s="478"/>
      <c r="Z16" s="478"/>
      <c r="AA16" s="478"/>
      <c r="AB16" s="478"/>
      <c r="AC16" s="478"/>
      <c r="AD16" s="478"/>
      <c r="AE16" s="478"/>
      <c r="AF16" s="478"/>
      <c r="AG16" s="478"/>
      <c r="AH16" s="478"/>
      <c r="AI16" s="478"/>
      <c r="AJ16" s="478"/>
      <c r="AK16" s="478"/>
      <c r="AL16" s="478"/>
      <c r="AM16" s="478"/>
      <c r="AN16" s="478"/>
      <c r="AO16" s="478"/>
      <c r="AP16" s="478"/>
      <c r="AQ16" s="478"/>
      <c r="AR16" s="478"/>
      <c r="AS16" s="478"/>
      <c r="AT16" s="478"/>
      <c r="AU16" s="478"/>
      <c r="AV16" s="478"/>
      <c r="AW16" s="478"/>
      <c r="AX16" s="478"/>
      <c r="AY16" s="478"/>
      <c r="AZ16" s="478"/>
      <c r="BA16" s="478"/>
      <c r="BB16" s="478"/>
    </row>
    <row r="17" spans="1:54" s="169" customFormat="1" ht="17.149999999999999" customHeight="1" x14ac:dyDescent="0.35">
      <c r="A17" s="478"/>
      <c r="B17" s="482" t="s">
        <v>415</v>
      </c>
      <c r="C17" s="1333" t="s">
        <v>416</v>
      </c>
      <c r="D17" s="885"/>
      <c r="E17" s="1110"/>
      <c r="F17" s="478"/>
      <c r="G17" s="878"/>
      <c r="H17" s="878"/>
      <c r="I17" s="478"/>
      <c r="J17" s="480"/>
      <c r="K17" s="480"/>
      <c r="L17" s="480"/>
      <c r="M17" s="480"/>
      <c r="N17" s="480"/>
      <c r="O17" s="480"/>
      <c r="P17" s="480"/>
      <c r="Q17" s="671"/>
      <c r="R17" s="671"/>
      <c r="S17" s="671"/>
      <c r="T17" s="671"/>
      <c r="U17" s="671"/>
      <c r="V17" s="671"/>
      <c r="W17" s="671"/>
      <c r="X17" s="671"/>
      <c r="Y17" s="480"/>
      <c r="Z17" s="480"/>
      <c r="AA17" s="480"/>
      <c r="AB17" s="480"/>
      <c r="AC17" s="480"/>
      <c r="AD17" s="480"/>
      <c r="AE17" s="480"/>
      <c r="AF17" s="480"/>
      <c r="AG17" s="480"/>
      <c r="AH17" s="480"/>
      <c r="AI17" s="480"/>
      <c r="AJ17" s="480"/>
      <c r="AK17" s="480"/>
      <c r="AL17" s="480"/>
      <c r="AM17" s="480"/>
      <c r="AN17" s="480"/>
      <c r="AO17" s="480"/>
      <c r="AP17" s="480"/>
      <c r="AQ17" s="480"/>
      <c r="AR17" s="480"/>
      <c r="AS17" s="480"/>
      <c r="AT17" s="480"/>
      <c r="AU17" s="480"/>
      <c r="AV17" s="480"/>
      <c r="AW17" s="480"/>
      <c r="AX17" s="480"/>
      <c r="AY17" s="480"/>
      <c r="AZ17" s="480"/>
      <c r="BA17" s="480"/>
      <c r="BB17" s="480"/>
    </row>
    <row r="18" spans="1:54" ht="17.149999999999999" customHeight="1" x14ac:dyDescent="0.35">
      <c r="A18" s="478"/>
      <c r="B18" s="478"/>
      <c r="C18" s="478"/>
      <c r="D18" s="478"/>
      <c r="E18" s="478"/>
      <c r="F18" s="478"/>
      <c r="G18" s="478"/>
      <c r="H18" s="478"/>
      <c r="I18" s="478"/>
      <c r="J18" s="478"/>
      <c r="K18" s="478"/>
      <c r="L18" s="478"/>
      <c r="M18" s="478"/>
      <c r="N18" s="478"/>
      <c r="O18" s="478"/>
      <c r="P18" s="478"/>
      <c r="Q18" s="654"/>
      <c r="R18" s="654"/>
      <c r="S18" s="654"/>
      <c r="T18" s="654"/>
      <c r="U18" s="654"/>
      <c r="V18" s="654"/>
      <c r="W18" s="654"/>
      <c r="X18" s="654"/>
      <c r="Y18" s="478"/>
      <c r="Z18" s="478"/>
      <c r="AA18" s="478"/>
      <c r="AB18" s="478"/>
      <c r="AC18" s="478"/>
      <c r="AD18" s="478"/>
      <c r="AE18" s="478"/>
      <c r="AF18" s="478"/>
      <c r="AG18" s="478"/>
      <c r="AH18" s="478"/>
      <c r="AI18" s="478"/>
      <c r="AJ18" s="478"/>
      <c r="AK18" s="478"/>
      <c r="AL18" s="478"/>
      <c r="AM18" s="478"/>
      <c r="AN18" s="478"/>
      <c r="AO18" s="478"/>
      <c r="AP18" s="478"/>
      <c r="AQ18" s="478"/>
      <c r="AR18" s="478"/>
      <c r="AS18" s="478"/>
      <c r="AT18" s="478"/>
      <c r="AU18" s="478"/>
      <c r="AV18" s="478"/>
      <c r="AW18" s="478"/>
      <c r="AX18" s="478"/>
      <c r="AY18" s="478"/>
      <c r="AZ18" s="478"/>
      <c r="BA18" s="478"/>
      <c r="BB18" s="478"/>
    </row>
    <row r="19" spans="1:54" ht="17.149999999999999" customHeight="1" x14ac:dyDescent="0.35">
      <c r="A19" s="478"/>
      <c r="B19" s="481" t="s">
        <v>417</v>
      </c>
      <c r="C19" s="880">
        <v>5</v>
      </c>
      <c r="D19" s="478"/>
      <c r="E19" s="478"/>
      <c r="F19" s="478"/>
      <c r="G19" s="478"/>
      <c r="H19" s="478"/>
      <c r="I19" s="478"/>
      <c r="J19" s="478"/>
      <c r="K19" s="478"/>
      <c r="L19" s="478"/>
      <c r="M19" s="478"/>
      <c r="N19" s="478"/>
      <c r="O19" s="478"/>
      <c r="P19" s="478"/>
      <c r="Q19" s="654"/>
      <c r="R19" s="654"/>
      <c r="S19" s="654"/>
      <c r="T19" s="654"/>
      <c r="U19" s="654"/>
      <c r="V19" s="654"/>
      <c r="W19" s="654"/>
      <c r="X19" s="654"/>
      <c r="Y19" s="478"/>
      <c r="Z19" s="478"/>
      <c r="AA19" s="478"/>
      <c r="AB19" s="478"/>
      <c r="AC19" s="478"/>
      <c r="AD19" s="478"/>
      <c r="AE19" s="478"/>
      <c r="AF19" s="478"/>
      <c r="AG19" s="478"/>
      <c r="AH19" s="478"/>
      <c r="AI19" s="478"/>
      <c r="AJ19" s="478"/>
      <c r="AK19" s="478"/>
      <c r="AL19" s="478"/>
      <c r="AM19" s="478"/>
      <c r="AN19" s="478"/>
      <c r="AO19" s="478"/>
      <c r="AP19" s="478"/>
      <c r="AQ19" s="478"/>
      <c r="AR19" s="478"/>
      <c r="AS19" s="478"/>
      <c r="AT19" s="478"/>
      <c r="AU19" s="478"/>
      <c r="AV19" s="478"/>
      <c r="AW19" s="478"/>
      <c r="AX19" s="478"/>
      <c r="AY19" s="478"/>
      <c r="AZ19" s="478"/>
      <c r="BA19" s="478"/>
      <c r="BB19" s="478"/>
    </row>
    <row r="20" spans="1:54" ht="17.149999999999999" customHeight="1" x14ac:dyDescent="0.35">
      <c r="A20" s="478"/>
      <c r="B20" s="478"/>
      <c r="C20" s="478"/>
      <c r="D20" s="478"/>
      <c r="E20" s="478"/>
      <c r="F20" s="478"/>
      <c r="G20" s="478"/>
      <c r="H20" s="478"/>
      <c r="I20" s="478"/>
      <c r="J20" s="478"/>
      <c r="K20" s="478"/>
      <c r="L20" s="478"/>
      <c r="M20" s="478"/>
      <c r="N20" s="478"/>
      <c r="O20" s="478"/>
      <c r="P20" s="478"/>
      <c r="Q20" s="654"/>
      <c r="R20" s="654"/>
      <c r="S20" s="654"/>
      <c r="T20" s="654"/>
      <c r="U20" s="654"/>
      <c r="V20" s="654"/>
      <c r="W20" s="654"/>
      <c r="X20" s="654"/>
      <c r="Y20" s="478"/>
      <c r="Z20" s="478"/>
      <c r="AA20" s="478"/>
      <c r="AB20" s="478"/>
      <c r="AC20" s="478"/>
      <c r="AD20" s="478"/>
      <c r="AE20" s="478"/>
      <c r="AF20" s="478"/>
      <c r="AG20" s="478"/>
      <c r="AH20" s="478"/>
      <c r="AI20" s="478"/>
      <c r="AJ20" s="478"/>
      <c r="AK20" s="478"/>
      <c r="AL20" s="478"/>
      <c r="AM20" s="478"/>
      <c r="AN20" s="478"/>
      <c r="AO20" s="478"/>
      <c r="AP20" s="478"/>
      <c r="AQ20" s="478"/>
      <c r="AR20" s="478"/>
      <c r="AS20" s="478"/>
      <c r="AT20" s="478"/>
      <c r="AU20" s="478"/>
      <c r="AV20" s="478"/>
      <c r="AW20" s="478"/>
      <c r="AX20" s="478"/>
      <c r="AY20" s="478"/>
      <c r="AZ20" s="478"/>
      <c r="BA20" s="478"/>
      <c r="BB20" s="478"/>
    </row>
    <row r="21" spans="1:54" ht="17.149999999999999" hidden="1" customHeight="1" x14ac:dyDescent="0.35">
      <c r="A21" s="478"/>
      <c r="B21" s="478"/>
      <c r="C21" s="478"/>
      <c r="D21" s="478"/>
      <c r="E21" s="478"/>
      <c r="F21" s="478"/>
      <c r="G21" s="478"/>
      <c r="H21" s="478"/>
      <c r="I21" s="478"/>
      <c r="J21" s="478"/>
      <c r="K21" s="478"/>
      <c r="L21" s="478"/>
      <c r="M21" s="478"/>
      <c r="N21" s="478"/>
      <c r="O21" s="478"/>
      <c r="P21" s="478"/>
      <c r="Q21" s="654"/>
      <c r="R21" s="654"/>
      <c r="S21" s="654"/>
      <c r="T21" s="654"/>
      <c r="U21" s="654"/>
      <c r="V21" s="654"/>
      <c r="W21" s="654"/>
      <c r="X21" s="654"/>
      <c r="Y21" s="478"/>
      <c r="Z21" s="478"/>
      <c r="AA21" s="478"/>
      <c r="AB21" s="478"/>
      <c r="AC21" s="478"/>
      <c r="AD21" s="478"/>
      <c r="AE21" s="478"/>
      <c r="AF21" s="478"/>
      <c r="AG21" s="478"/>
      <c r="AH21" s="478"/>
      <c r="AI21" s="478"/>
      <c r="AJ21" s="478"/>
      <c r="AK21" s="478"/>
      <c r="AL21" s="478"/>
      <c r="AM21" s="478"/>
      <c r="AN21" s="478"/>
      <c r="AO21" s="478"/>
      <c r="AP21" s="478"/>
      <c r="AQ21" s="478"/>
      <c r="AR21" s="478"/>
      <c r="AS21" s="478"/>
      <c r="AT21" s="478"/>
      <c r="AU21" s="478"/>
      <c r="AV21" s="478"/>
      <c r="AW21" s="478"/>
      <c r="AX21" s="478"/>
      <c r="AY21" s="478"/>
      <c r="AZ21" s="478"/>
      <c r="BA21" s="478"/>
      <c r="BB21" s="478"/>
    </row>
    <row r="22" spans="1:54" ht="17.149999999999999" hidden="1" customHeight="1" x14ac:dyDescent="0.35">
      <c r="A22" s="478"/>
      <c r="B22" s="478"/>
      <c r="C22" s="478"/>
      <c r="D22" s="478"/>
      <c r="E22" s="478"/>
      <c r="F22" s="478"/>
      <c r="G22" s="478"/>
      <c r="H22" s="478"/>
      <c r="I22" s="478"/>
      <c r="J22" s="478"/>
      <c r="K22" s="478"/>
      <c r="L22" s="478"/>
      <c r="M22" s="478"/>
      <c r="N22" s="478"/>
      <c r="O22" s="478"/>
      <c r="P22" s="478"/>
      <c r="Q22" s="654"/>
      <c r="R22" s="654"/>
      <c r="S22" s="654"/>
      <c r="T22" s="654"/>
      <c r="U22" s="654"/>
      <c r="V22" s="654"/>
      <c r="W22" s="654"/>
      <c r="X22" s="654"/>
      <c r="Y22" s="478"/>
      <c r="Z22" s="478"/>
      <c r="AA22" s="478"/>
      <c r="AB22" s="478"/>
      <c r="AC22" s="478"/>
      <c r="AD22" s="478"/>
      <c r="AE22" s="478"/>
      <c r="AF22" s="478"/>
      <c r="AG22" s="478"/>
      <c r="AH22" s="478"/>
      <c r="AI22" s="478"/>
      <c r="AJ22" s="478"/>
      <c r="AK22" s="478"/>
      <c r="AL22" s="478"/>
      <c r="AM22" s="478"/>
      <c r="AN22" s="478"/>
      <c r="AO22" s="478"/>
      <c r="AP22" s="478"/>
      <c r="AQ22" s="478"/>
      <c r="AR22" s="478"/>
      <c r="AS22" s="478"/>
      <c r="AT22" s="478"/>
      <c r="AU22" s="478"/>
      <c r="AV22" s="478"/>
      <c r="AW22" s="478"/>
      <c r="AX22" s="478"/>
      <c r="AY22" s="478"/>
      <c r="AZ22" s="478"/>
      <c r="BA22" s="478"/>
      <c r="BB22" s="478"/>
    </row>
    <row r="23" spans="1:54" ht="17.149999999999999" hidden="1" customHeight="1" x14ac:dyDescent="0.35">
      <c r="A23" s="478"/>
      <c r="B23" s="478"/>
      <c r="C23" s="478"/>
      <c r="D23" s="478"/>
      <c r="E23" s="478"/>
      <c r="F23" s="478"/>
      <c r="G23" s="478"/>
      <c r="H23" s="478"/>
      <c r="I23" s="478"/>
      <c r="J23" s="478"/>
      <c r="K23" s="478"/>
      <c r="L23" s="478"/>
      <c r="M23" s="478"/>
      <c r="N23" s="478"/>
      <c r="O23" s="478"/>
      <c r="P23" s="478"/>
      <c r="Q23" s="654"/>
      <c r="R23" s="654"/>
      <c r="S23" s="654"/>
      <c r="T23" s="654"/>
      <c r="U23" s="654"/>
      <c r="V23" s="654"/>
      <c r="W23" s="654"/>
      <c r="X23" s="654"/>
      <c r="Y23" s="478"/>
      <c r="Z23" s="478"/>
      <c r="AA23" s="478"/>
      <c r="AB23" s="478"/>
      <c r="AC23" s="478"/>
      <c r="AD23" s="478"/>
      <c r="AE23" s="478"/>
      <c r="AF23" s="478"/>
      <c r="AG23" s="478"/>
      <c r="AH23" s="478"/>
      <c r="AI23" s="478"/>
      <c r="AJ23" s="478"/>
      <c r="AK23" s="478"/>
      <c r="AL23" s="478"/>
      <c r="AM23" s="478"/>
      <c r="AN23" s="478"/>
      <c r="AO23" s="478"/>
      <c r="AP23" s="478"/>
      <c r="AQ23" s="478"/>
      <c r="AR23" s="478"/>
      <c r="AS23" s="478"/>
      <c r="AT23" s="478"/>
      <c r="AU23" s="478"/>
      <c r="AV23" s="478"/>
      <c r="AW23" s="478"/>
      <c r="AX23" s="478"/>
      <c r="AY23" s="478"/>
      <c r="AZ23" s="478"/>
      <c r="BA23" s="478"/>
      <c r="BB23" s="478"/>
    </row>
    <row r="24" spans="1:54" ht="17.149999999999999" hidden="1" customHeight="1" x14ac:dyDescent="0.35">
      <c r="A24" s="478"/>
      <c r="B24" s="478"/>
      <c r="C24" s="478"/>
      <c r="D24" s="478"/>
      <c r="E24" s="478"/>
      <c r="F24" s="478"/>
      <c r="G24" s="478"/>
      <c r="H24" s="478"/>
      <c r="I24" s="478"/>
      <c r="J24" s="478"/>
      <c r="K24" s="478"/>
      <c r="L24" s="478"/>
      <c r="M24" s="478"/>
      <c r="N24" s="478"/>
      <c r="O24" s="478"/>
      <c r="P24" s="478"/>
      <c r="Q24" s="654"/>
      <c r="R24" s="654"/>
      <c r="S24" s="654"/>
      <c r="T24" s="654"/>
      <c r="U24" s="654"/>
      <c r="V24" s="654"/>
      <c r="W24" s="654"/>
      <c r="X24" s="654"/>
      <c r="Y24" s="478"/>
      <c r="Z24" s="478"/>
      <c r="AA24" s="478"/>
      <c r="AB24" s="478"/>
      <c r="AC24" s="478"/>
      <c r="AD24" s="478"/>
      <c r="AE24" s="478"/>
      <c r="AF24" s="478"/>
      <c r="AG24" s="478"/>
      <c r="AH24" s="478"/>
      <c r="AI24" s="478"/>
      <c r="AJ24" s="478"/>
      <c r="AK24" s="478"/>
      <c r="AL24" s="478"/>
      <c r="AM24" s="478"/>
      <c r="AN24" s="478"/>
      <c r="AO24" s="478"/>
      <c r="AP24" s="478"/>
      <c r="AQ24" s="478"/>
      <c r="AR24" s="478"/>
      <c r="AS24" s="478"/>
      <c r="AT24" s="478"/>
      <c r="AU24" s="478"/>
      <c r="AV24" s="478"/>
      <c r="AW24" s="478"/>
      <c r="AX24" s="478"/>
      <c r="AY24" s="478"/>
      <c r="AZ24" s="478"/>
      <c r="BA24" s="478"/>
      <c r="BB24" s="478"/>
    </row>
    <row r="25" spans="1:54" ht="17.149999999999999" hidden="1" customHeight="1" x14ac:dyDescent="0.35">
      <c r="A25" s="478"/>
      <c r="B25" s="478"/>
      <c r="C25" s="478"/>
      <c r="D25" s="478"/>
      <c r="E25" s="478"/>
      <c r="F25" s="478"/>
      <c r="G25" s="478"/>
      <c r="H25" s="478"/>
      <c r="I25" s="478"/>
      <c r="J25" s="478"/>
      <c r="K25" s="478"/>
      <c r="L25" s="478"/>
      <c r="M25" s="478"/>
      <c r="N25" s="478"/>
      <c r="O25" s="478"/>
      <c r="P25" s="478"/>
      <c r="Q25" s="654"/>
      <c r="R25" s="654"/>
      <c r="S25" s="654"/>
      <c r="T25" s="654"/>
      <c r="U25" s="654"/>
      <c r="V25" s="654"/>
      <c r="W25" s="654"/>
      <c r="X25" s="654"/>
      <c r="Y25" s="478"/>
      <c r="Z25" s="478"/>
      <c r="AA25" s="478"/>
      <c r="AB25" s="478"/>
      <c r="AC25" s="478"/>
      <c r="AD25" s="478"/>
      <c r="AE25" s="478"/>
      <c r="AF25" s="478"/>
      <c r="AG25" s="478"/>
      <c r="AH25" s="478"/>
      <c r="AI25" s="478"/>
      <c r="AJ25" s="478"/>
      <c r="AK25" s="478"/>
      <c r="AL25" s="478"/>
      <c r="AM25" s="478"/>
      <c r="AN25" s="478"/>
      <c r="AO25" s="478"/>
      <c r="AP25" s="478"/>
      <c r="AQ25" s="478"/>
      <c r="AR25" s="478"/>
      <c r="AS25" s="478"/>
      <c r="AT25" s="478"/>
      <c r="AU25" s="478"/>
      <c r="AV25" s="478"/>
      <c r="AW25" s="478"/>
      <c r="AX25" s="478"/>
      <c r="AY25" s="478"/>
      <c r="AZ25" s="478"/>
      <c r="BA25" s="478"/>
      <c r="BB25" s="478"/>
    </row>
    <row r="26" spans="1:54" ht="17.149999999999999" hidden="1" customHeight="1" x14ac:dyDescent="0.35">
      <c r="A26" s="478"/>
      <c r="B26" s="478"/>
      <c r="C26" s="478"/>
      <c r="D26" s="478"/>
      <c r="E26" s="478"/>
      <c r="F26" s="478"/>
      <c r="G26" s="478"/>
      <c r="H26" s="478"/>
      <c r="I26" s="478"/>
      <c r="J26" s="478"/>
      <c r="K26" s="478"/>
      <c r="L26" s="478"/>
      <c r="M26" s="478"/>
      <c r="N26" s="478"/>
      <c r="O26" s="478"/>
      <c r="P26" s="478"/>
      <c r="Q26" s="654"/>
      <c r="R26" s="654"/>
      <c r="S26" s="654"/>
      <c r="T26" s="654"/>
      <c r="U26" s="654"/>
      <c r="V26" s="654"/>
      <c r="W26" s="654"/>
      <c r="X26" s="654"/>
      <c r="Y26" s="478"/>
      <c r="Z26" s="478"/>
      <c r="AA26" s="478"/>
      <c r="AB26" s="478"/>
      <c r="AC26" s="478"/>
      <c r="AD26" s="478"/>
      <c r="AE26" s="478"/>
      <c r="AF26" s="478"/>
      <c r="AG26" s="478"/>
      <c r="AH26" s="478"/>
      <c r="AI26" s="478"/>
      <c r="AJ26" s="478"/>
      <c r="AK26" s="478"/>
      <c r="AL26" s="478"/>
      <c r="AM26" s="478"/>
      <c r="AN26" s="478"/>
      <c r="AO26" s="478"/>
      <c r="AP26" s="478"/>
      <c r="AQ26" s="478"/>
      <c r="AR26" s="478"/>
      <c r="AS26" s="478"/>
      <c r="AT26" s="478"/>
      <c r="AU26" s="478"/>
      <c r="AV26" s="478"/>
      <c r="AW26" s="478"/>
      <c r="AX26" s="478"/>
      <c r="AY26" s="478"/>
      <c r="AZ26" s="478"/>
      <c r="BA26" s="478"/>
      <c r="BB26" s="478"/>
    </row>
    <row r="27" spans="1:54" ht="17.149999999999999" hidden="1" customHeight="1" x14ac:dyDescent="0.35">
      <c r="A27" s="478"/>
      <c r="B27" s="478"/>
      <c r="C27" s="478"/>
      <c r="D27" s="478"/>
      <c r="E27" s="478"/>
      <c r="F27" s="478"/>
      <c r="G27" s="478"/>
      <c r="H27" s="478"/>
      <c r="I27" s="478"/>
      <c r="J27" s="478"/>
      <c r="K27" s="478"/>
      <c r="L27" s="478"/>
      <c r="M27" s="478"/>
      <c r="N27" s="478"/>
      <c r="O27" s="478"/>
      <c r="P27" s="478"/>
      <c r="Q27" s="654"/>
      <c r="R27" s="654"/>
      <c r="S27" s="654"/>
      <c r="T27" s="654"/>
      <c r="U27" s="654"/>
      <c r="V27" s="654"/>
      <c r="W27" s="654"/>
      <c r="X27" s="654"/>
      <c r="Y27" s="478"/>
      <c r="Z27" s="478"/>
      <c r="AA27" s="478"/>
      <c r="AB27" s="478"/>
      <c r="AC27" s="478"/>
      <c r="AD27" s="478"/>
      <c r="AE27" s="478"/>
      <c r="AF27" s="478"/>
      <c r="AG27" s="478"/>
      <c r="AH27" s="478"/>
      <c r="AI27" s="478"/>
      <c r="AJ27" s="478"/>
      <c r="AK27" s="478"/>
      <c r="AL27" s="478"/>
      <c r="AM27" s="478"/>
      <c r="AN27" s="478"/>
      <c r="AO27" s="478"/>
      <c r="AP27" s="478"/>
      <c r="AQ27" s="478"/>
      <c r="AR27" s="478"/>
      <c r="AS27" s="478"/>
      <c r="AT27" s="478"/>
      <c r="AU27" s="478"/>
      <c r="AV27" s="478"/>
      <c r="AW27" s="478"/>
      <c r="AX27" s="478"/>
      <c r="AY27" s="478"/>
      <c r="AZ27" s="478"/>
      <c r="BA27" s="478"/>
      <c r="BB27" s="478"/>
    </row>
    <row r="28" spans="1:54" ht="17.149999999999999" hidden="1" customHeight="1" x14ac:dyDescent="0.35">
      <c r="A28" s="478"/>
      <c r="B28" s="478"/>
      <c r="C28" s="478"/>
      <c r="D28" s="478"/>
      <c r="E28" s="478"/>
      <c r="F28" s="478"/>
      <c r="G28" s="478"/>
      <c r="H28" s="478"/>
      <c r="I28" s="478"/>
      <c r="J28" s="478"/>
      <c r="K28" s="478"/>
      <c r="L28" s="478"/>
      <c r="M28" s="478"/>
      <c r="N28" s="478"/>
      <c r="O28" s="478"/>
      <c r="P28" s="478"/>
      <c r="Q28" s="654"/>
      <c r="R28" s="654"/>
      <c r="S28" s="654"/>
      <c r="T28" s="654"/>
      <c r="U28" s="654"/>
      <c r="V28" s="654"/>
      <c r="W28" s="654"/>
      <c r="X28" s="654"/>
      <c r="Y28" s="478"/>
      <c r="Z28" s="478"/>
      <c r="AA28" s="478"/>
      <c r="AB28" s="478"/>
      <c r="AC28" s="478"/>
      <c r="AD28" s="478"/>
      <c r="AE28" s="478"/>
      <c r="AF28" s="478"/>
      <c r="AG28" s="478"/>
      <c r="AH28" s="478"/>
      <c r="AI28" s="478"/>
      <c r="AJ28" s="478"/>
      <c r="AK28" s="478"/>
      <c r="AL28" s="478"/>
      <c r="AM28" s="478"/>
      <c r="AN28" s="478"/>
      <c r="AO28" s="478"/>
      <c r="AP28" s="478"/>
      <c r="AQ28" s="478"/>
      <c r="AR28" s="478"/>
      <c r="AS28" s="478"/>
      <c r="AT28" s="478"/>
      <c r="AU28" s="478"/>
      <c r="AV28" s="478"/>
      <c r="AW28" s="478"/>
      <c r="AX28" s="478"/>
      <c r="AY28" s="478"/>
      <c r="AZ28" s="478"/>
      <c r="BA28" s="478"/>
      <c r="BB28" s="478"/>
    </row>
    <row r="29" spans="1:54" ht="17.149999999999999" customHeight="1" x14ac:dyDescent="0.35">
      <c r="A29" s="478"/>
      <c r="B29" s="478"/>
      <c r="C29" s="478"/>
      <c r="D29" s="478"/>
      <c r="E29" s="478"/>
      <c r="F29" s="478"/>
      <c r="G29" s="478"/>
      <c r="H29" s="478"/>
      <c r="I29" s="478"/>
      <c r="J29" s="478"/>
      <c r="K29" s="478"/>
      <c r="L29" s="478"/>
      <c r="M29" s="478"/>
      <c r="N29" s="478"/>
      <c r="O29" s="478"/>
      <c r="P29" s="478"/>
      <c r="Q29" s="654"/>
      <c r="R29" s="654"/>
      <c r="S29" s="654"/>
      <c r="T29" s="654"/>
      <c r="U29" s="654"/>
      <c r="V29" s="654"/>
      <c r="W29" s="654"/>
      <c r="X29" s="654"/>
      <c r="Y29" s="478"/>
      <c r="Z29" s="478"/>
      <c r="AA29" s="478"/>
      <c r="AB29" s="478"/>
      <c r="AC29" s="478"/>
      <c r="AD29" s="478"/>
      <c r="AE29" s="478"/>
      <c r="AF29" s="478"/>
      <c r="AG29" s="478"/>
      <c r="AH29" s="478"/>
      <c r="AI29" s="478"/>
      <c r="AJ29" s="478"/>
      <c r="AK29" s="478"/>
      <c r="AL29" s="478"/>
      <c r="AM29" s="478"/>
      <c r="AN29" s="478"/>
      <c r="AO29" s="478"/>
      <c r="AP29" s="478"/>
      <c r="AQ29" s="478"/>
      <c r="AR29" s="478"/>
      <c r="AS29" s="478"/>
      <c r="AT29" s="478"/>
      <c r="AU29" s="478"/>
      <c r="AV29" s="478"/>
      <c r="AW29" s="478"/>
      <c r="AX29" s="478"/>
      <c r="AY29" s="478"/>
      <c r="AZ29" s="478"/>
      <c r="BA29" s="478"/>
      <c r="BB29" s="478"/>
    </row>
    <row r="30" spans="1:54" ht="17.149999999999999" customHeight="1" x14ac:dyDescent="0.35">
      <c r="A30" s="478"/>
      <c r="B30" s="926" t="s">
        <v>418</v>
      </c>
      <c r="C30" s="478"/>
      <c r="D30" s="478"/>
      <c r="E30" s="523"/>
      <c r="F30" s="524"/>
      <c r="G30" s="478"/>
      <c r="H30" s="478"/>
      <c r="I30" s="478"/>
      <c r="J30" s="478"/>
      <c r="K30" s="478"/>
      <c r="L30" s="478"/>
      <c r="M30" s="478"/>
      <c r="N30" s="478"/>
      <c r="O30" s="478"/>
      <c r="P30" s="478"/>
      <c r="Q30" s="654"/>
      <c r="R30" s="654"/>
      <c r="S30" s="654"/>
      <c r="T30" s="654"/>
      <c r="U30" s="654"/>
      <c r="V30" s="654"/>
      <c r="W30" s="654"/>
      <c r="X30" s="654"/>
      <c r="Y30" s="478"/>
      <c r="Z30" s="478"/>
      <c r="AA30" s="478"/>
      <c r="AB30" s="478"/>
      <c r="AC30" s="478"/>
      <c r="AD30" s="478"/>
      <c r="AE30" s="478"/>
      <c r="AF30" s="478"/>
      <c r="AG30" s="478"/>
      <c r="AH30" s="478"/>
      <c r="AI30" s="478"/>
      <c r="AJ30" s="478"/>
      <c r="AK30" s="478"/>
      <c r="AL30" s="478"/>
      <c r="AM30" s="478"/>
      <c r="AN30" s="478"/>
      <c r="AO30" s="478"/>
      <c r="AP30" s="478"/>
      <c r="AQ30" s="478"/>
      <c r="AR30" s="478"/>
      <c r="AS30" s="478"/>
      <c r="AT30" s="478"/>
      <c r="AU30" s="478"/>
      <c r="AV30" s="478"/>
      <c r="AW30" s="478"/>
      <c r="AX30" s="478"/>
      <c r="AY30" s="478"/>
      <c r="AZ30" s="478"/>
      <c r="BA30" s="478"/>
      <c r="BB30" s="478"/>
    </row>
    <row r="31" spans="1:54" ht="17.149999999999999" customHeight="1" x14ac:dyDescent="0.35">
      <c r="A31" s="478"/>
      <c r="B31" s="1667" t="s">
        <v>419</v>
      </c>
      <c r="C31" s="1677" t="s">
        <v>420</v>
      </c>
      <c r="D31" s="1678"/>
      <c r="E31" s="1677" t="s">
        <v>421</v>
      </c>
      <c r="F31" s="1679"/>
      <c r="G31" s="1679"/>
      <c r="H31" s="1678"/>
      <c r="I31" s="478"/>
      <c r="J31" s="478"/>
      <c r="K31" s="1682" t="s">
        <v>422</v>
      </c>
      <c r="L31" s="1682"/>
      <c r="M31" s="1682"/>
      <c r="N31" s="1682"/>
      <c r="O31" s="1682"/>
      <c r="P31" s="478"/>
      <c r="Q31" s="654"/>
      <c r="R31" s="654"/>
      <c r="S31" s="654"/>
      <c r="T31" s="654"/>
      <c r="U31" s="654"/>
      <c r="V31" s="654"/>
      <c r="W31" s="654"/>
      <c r="X31" s="654"/>
      <c r="Y31" s="478"/>
      <c r="Z31" s="478"/>
      <c r="AA31" s="478"/>
      <c r="AB31" s="478"/>
      <c r="AC31" s="478"/>
      <c r="AD31" s="478"/>
      <c r="AE31" s="478"/>
      <c r="AF31" s="478"/>
      <c r="AG31" s="478"/>
      <c r="AH31" s="478"/>
      <c r="AI31" s="478"/>
      <c r="AJ31" s="478"/>
      <c r="AK31" s="478"/>
      <c r="AL31" s="478"/>
      <c r="AM31" s="478"/>
      <c r="AN31" s="478"/>
      <c r="AO31" s="478"/>
      <c r="AP31" s="478"/>
      <c r="AQ31" s="478"/>
      <c r="AR31" s="478"/>
      <c r="AS31" s="478"/>
      <c r="AT31" s="478"/>
      <c r="AU31" s="478"/>
      <c r="AV31" s="478"/>
      <c r="AW31" s="478"/>
      <c r="AX31" s="478"/>
      <c r="AY31" s="478"/>
      <c r="AZ31" s="478"/>
      <c r="BA31" s="478"/>
      <c r="BB31" s="478"/>
    </row>
    <row r="32" spans="1:54" ht="50.15" customHeight="1" x14ac:dyDescent="0.35">
      <c r="A32" s="478"/>
      <c r="B32" s="1667"/>
      <c r="C32" s="927" t="s">
        <v>423</v>
      </c>
      <c r="D32" s="927" t="s">
        <v>424</v>
      </c>
      <c r="E32" s="928" t="s">
        <v>425</v>
      </c>
      <c r="F32" s="928" t="s">
        <v>426</v>
      </c>
      <c r="G32" s="928" t="s">
        <v>427</v>
      </c>
      <c r="H32" s="927" t="s">
        <v>428</v>
      </c>
      <c r="I32" s="489"/>
      <c r="J32" s="478"/>
      <c r="K32" s="928" t="s">
        <v>429</v>
      </c>
      <c r="L32" s="928" t="s">
        <v>430</v>
      </c>
      <c r="M32" s="928" t="s">
        <v>431</v>
      </c>
      <c r="N32" s="928" t="s">
        <v>432</v>
      </c>
      <c r="O32" s="927" t="s">
        <v>428</v>
      </c>
      <c r="P32" s="478"/>
      <c r="Q32" s="654"/>
      <c r="R32" s="654"/>
      <c r="S32" s="654"/>
      <c r="T32" s="654"/>
      <c r="U32" s="654"/>
      <c r="V32" s="654"/>
      <c r="W32" s="654"/>
      <c r="X32" s="654"/>
      <c r="Y32" s="478"/>
      <c r="Z32" s="478"/>
      <c r="AA32" s="478"/>
      <c r="AB32" s="478"/>
      <c r="AC32" s="478"/>
      <c r="AD32" s="478"/>
      <c r="AE32" s="478"/>
      <c r="AF32" s="478"/>
      <c r="AG32" s="478"/>
      <c r="AH32" s="478"/>
      <c r="AI32" s="478"/>
      <c r="AJ32" s="478"/>
      <c r="AK32" s="478"/>
      <c r="AL32" s="478"/>
      <c r="AM32" s="478"/>
      <c r="AN32" s="478"/>
      <c r="AO32" s="478"/>
      <c r="AP32" s="478"/>
      <c r="AQ32" s="478"/>
      <c r="AR32" s="478"/>
      <c r="AS32" s="478"/>
      <c r="AT32" s="478"/>
      <c r="AU32" s="478"/>
      <c r="AV32" s="478"/>
      <c r="AW32" s="478"/>
      <c r="AX32" s="478"/>
      <c r="AY32" s="478"/>
      <c r="AZ32" s="478"/>
      <c r="BA32" s="478"/>
      <c r="BB32" s="478"/>
    </row>
    <row r="33" spans="1:54" ht="17.149999999999999" customHeight="1" x14ac:dyDescent="0.35">
      <c r="A33" s="478"/>
      <c r="B33" s="1305" t="s">
        <v>433</v>
      </c>
      <c r="C33" s="1216">
        <v>0.44900000000000001</v>
      </c>
      <c r="D33" s="924"/>
      <c r="E33" s="874">
        <v>0.5</v>
      </c>
      <c r="F33" s="874">
        <v>0.5</v>
      </c>
      <c r="G33" s="924"/>
      <c r="H33" s="492">
        <f>SUM(E33:G33)</f>
        <v>1</v>
      </c>
      <c r="I33" s="919" t="str">
        <f>IF(AND(C33=0,H33=0),"",IF(H33=1,"OK","Not OK"))</f>
        <v>OK</v>
      </c>
      <c r="J33" s="478"/>
      <c r="K33" s="1216">
        <v>0</v>
      </c>
      <c r="L33" s="624"/>
      <c r="M33" s="629"/>
      <c r="N33" s="629"/>
      <c r="O33" s="921"/>
      <c r="P33" s="489"/>
      <c r="Q33" s="654"/>
      <c r="R33" s="654"/>
      <c r="S33" s="654"/>
      <c r="T33" s="654"/>
      <c r="U33" s="654"/>
      <c r="V33" s="654"/>
      <c r="W33" s="654"/>
      <c r="X33" s="654"/>
      <c r="Y33" s="478"/>
      <c r="Z33" s="478"/>
      <c r="AA33" s="478"/>
      <c r="AB33" s="478"/>
      <c r="AC33" s="478"/>
      <c r="AD33" s="478"/>
      <c r="AE33" s="478"/>
      <c r="AF33" s="478"/>
      <c r="AG33" s="478"/>
      <c r="AH33" s="478"/>
      <c r="AI33" s="478"/>
      <c r="AJ33" s="478"/>
      <c r="AK33" s="478"/>
      <c r="AL33" s="478"/>
      <c r="AM33" s="478"/>
      <c r="AN33" s="478"/>
      <c r="AO33" s="478"/>
      <c r="AP33" s="478"/>
      <c r="AQ33" s="478"/>
      <c r="AR33" s="478"/>
      <c r="AS33" s="478"/>
      <c r="AT33" s="478"/>
      <c r="AU33" s="478"/>
      <c r="AV33" s="478"/>
      <c r="AW33" s="478"/>
      <c r="AX33" s="478"/>
      <c r="AY33" s="478"/>
      <c r="AZ33" s="478"/>
      <c r="BA33" s="478"/>
      <c r="BB33" s="478"/>
    </row>
    <row r="34" spans="1:54" ht="17.149999999999999" customHeight="1" x14ac:dyDescent="0.35">
      <c r="A34" s="478"/>
      <c r="B34" s="1305" t="s">
        <v>434</v>
      </c>
      <c r="C34" s="1216"/>
      <c r="D34" s="924"/>
      <c r="E34" s="874"/>
      <c r="F34" s="874"/>
      <c r="G34" s="924"/>
      <c r="H34" s="492">
        <f>SUM(E34:G34)</f>
        <v>0</v>
      </c>
      <c r="I34" s="919" t="str">
        <f>IF(AND(C34=0,H34=0),"",IF(H34=1,"OK","Not OK"))</f>
        <v/>
      </c>
      <c r="J34" s="478"/>
      <c r="K34" s="479"/>
      <c r="L34" s="626"/>
      <c r="M34" s="479"/>
      <c r="N34" s="479"/>
      <c r="O34" s="922"/>
      <c r="P34" s="489"/>
      <c r="Q34" s="654"/>
      <c r="R34" s="654"/>
      <c r="S34" s="654"/>
      <c r="T34" s="654"/>
      <c r="U34" s="654"/>
      <c r="V34" s="654"/>
      <c r="W34" s="654"/>
      <c r="X34" s="654"/>
      <c r="Y34" s="478"/>
      <c r="Z34" s="478"/>
      <c r="AA34" s="478"/>
      <c r="AB34" s="478"/>
      <c r="AC34" s="478"/>
      <c r="AD34" s="478"/>
      <c r="AE34" s="478"/>
      <c r="AF34" s="478"/>
      <c r="AG34" s="478"/>
      <c r="AH34" s="478"/>
      <c r="AI34" s="478"/>
      <c r="AJ34" s="478"/>
      <c r="AK34" s="478"/>
      <c r="AL34" s="478"/>
      <c r="AM34" s="478"/>
      <c r="AN34" s="478"/>
      <c r="AO34" s="478"/>
      <c r="AP34" s="478"/>
      <c r="AQ34" s="478"/>
      <c r="AR34" s="478"/>
      <c r="AS34" s="478"/>
      <c r="AT34" s="478"/>
      <c r="AU34" s="478"/>
      <c r="AV34" s="478"/>
      <c r="AW34" s="478"/>
      <c r="AX34" s="478"/>
      <c r="AY34" s="478"/>
      <c r="AZ34" s="478"/>
      <c r="BA34" s="478"/>
      <c r="BB34" s="478"/>
    </row>
    <row r="35" spans="1:54" ht="17.149999999999999" customHeight="1" x14ac:dyDescent="0.35">
      <c r="A35" s="478"/>
      <c r="B35" s="1305" t="s">
        <v>435</v>
      </c>
      <c r="C35" s="1216">
        <v>0.435</v>
      </c>
      <c r="D35" s="175" t="str">
        <f>IF(AND(C35=0,SUM(D36:D37)=0),"OK",IF(AND(C35&gt;0,SUM(D36:D37)=1),"OK","Not OK"))</f>
        <v>OK</v>
      </c>
      <c r="E35" s="924"/>
      <c r="F35" s="924"/>
      <c r="G35" s="924"/>
      <c r="H35" s="925"/>
      <c r="I35" s="495"/>
      <c r="J35" s="478"/>
      <c r="K35" s="479"/>
      <c r="L35" s="626"/>
      <c r="M35" s="479"/>
      <c r="N35" s="479"/>
      <c r="O35" s="922"/>
      <c r="P35" s="489"/>
      <c r="Q35" s="654"/>
      <c r="R35" s="654"/>
      <c r="S35" s="654"/>
      <c r="T35" s="654"/>
      <c r="U35" s="654"/>
      <c r="V35" s="654"/>
      <c r="W35" s="654"/>
      <c r="X35" s="654"/>
      <c r="Y35" s="478"/>
      <c r="Z35" s="478"/>
      <c r="AA35" s="478"/>
      <c r="AB35" s="478"/>
      <c r="AC35" s="478"/>
      <c r="AD35" s="478"/>
      <c r="AE35" s="478"/>
      <c r="AF35" s="478"/>
      <c r="AG35" s="478"/>
      <c r="AH35" s="478"/>
      <c r="AI35" s="478"/>
      <c r="AJ35" s="478"/>
      <c r="AK35" s="478"/>
      <c r="AL35" s="478"/>
      <c r="AM35" s="478"/>
      <c r="AN35" s="478"/>
      <c r="AO35" s="478"/>
      <c r="AP35" s="478"/>
      <c r="AQ35" s="478"/>
      <c r="AR35" s="478"/>
      <c r="AS35" s="478"/>
      <c r="AT35" s="478"/>
      <c r="AU35" s="478"/>
      <c r="AV35" s="478"/>
      <c r="AW35" s="478"/>
      <c r="AX35" s="478"/>
      <c r="AY35" s="478"/>
      <c r="AZ35" s="478"/>
      <c r="BA35" s="478"/>
      <c r="BB35" s="478"/>
    </row>
    <row r="36" spans="1:54" ht="17.149999999999999" customHeight="1" x14ac:dyDescent="0.35">
      <c r="A36" s="478"/>
      <c r="B36" s="482" t="s">
        <v>436</v>
      </c>
      <c r="C36" s="1221"/>
      <c r="D36" s="874">
        <v>0.57999999999999996</v>
      </c>
      <c r="E36" s="874">
        <v>0.5</v>
      </c>
      <c r="F36" s="874">
        <v>0.5</v>
      </c>
      <c r="G36" s="924"/>
      <c r="H36" s="492">
        <f>SUM(E36:G36)</f>
        <v>1</v>
      </c>
      <c r="I36" s="919" t="str">
        <f>IF(AND(D36=0,H36=0),"",IF(AND(D36&gt;0,H36=1),"OK","Not OK"))</f>
        <v>OK</v>
      </c>
      <c r="J36" s="478"/>
      <c r="K36" s="479"/>
      <c r="L36" s="874">
        <v>0</v>
      </c>
      <c r="M36" s="874">
        <v>0.15</v>
      </c>
      <c r="N36" s="874">
        <v>0.85</v>
      </c>
      <c r="O36" s="493">
        <f>SUM(L36:N36)</f>
        <v>1</v>
      </c>
      <c r="P36" s="919" t="str">
        <f>IF(AND(D36=0,O36&gt;0),"Not OK",IF(AND(D36=0,O36=0),"",IF(O36=1,"OK","Not OK")))</f>
        <v>OK</v>
      </c>
      <c r="Q36" s="672" t="s">
        <v>437</v>
      </c>
      <c r="R36" s="673">
        <f>D36*C35</f>
        <v>0.25229999999999997</v>
      </c>
      <c r="S36" s="654"/>
      <c r="T36" s="654"/>
      <c r="U36" s="654"/>
      <c r="V36" s="654"/>
      <c r="W36" s="654"/>
      <c r="X36" s="654"/>
      <c r="Y36" s="478"/>
      <c r="Z36" s="478"/>
      <c r="AA36" s="478"/>
      <c r="AB36" s="478"/>
      <c r="AC36" s="478"/>
      <c r="AD36" s="478"/>
      <c r="AE36" s="478"/>
      <c r="AF36" s="478"/>
      <c r="AG36" s="478"/>
      <c r="AH36" s="478"/>
      <c r="AI36" s="478"/>
      <c r="AJ36" s="478"/>
      <c r="AK36" s="478"/>
      <c r="AL36" s="478"/>
      <c r="AM36" s="478"/>
      <c r="AN36" s="478"/>
      <c r="AO36" s="478"/>
      <c r="AP36" s="478"/>
      <c r="AQ36" s="478"/>
      <c r="AR36" s="478"/>
      <c r="AS36" s="478"/>
      <c r="AT36" s="478"/>
      <c r="AU36" s="478"/>
      <c r="AV36" s="478"/>
      <c r="AW36" s="478"/>
      <c r="AX36" s="478"/>
      <c r="AY36" s="478"/>
      <c r="AZ36" s="478"/>
      <c r="BA36" s="478"/>
      <c r="BB36" s="478"/>
    </row>
    <row r="37" spans="1:54" ht="17.149999999999999" customHeight="1" x14ac:dyDescent="0.35">
      <c r="A37" s="478"/>
      <c r="B37" s="482" t="s">
        <v>438</v>
      </c>
      <c r="C37" s="1221"/>
      <c r="D37" s="874">
        <v>0.42</v>
      </c>
      <c r="E37" s="874"/>
      <c r="F37" s="874">
        <v>1</v>
      </c>
      <c r="G37" s="874">
        <v>0.1</v>
      </c>
      <c r="H37" s="492">
        <f>SUM(E37:G37)</f>
        <v>1.1000000000000001</v>
      </c>
      <c r="I37" s="919" t="str">
        <f>IF(AND(D37=0,H37=0),"",IF(AND(D37&gt;0,H37=1),"OK","Not OK"))</f>
        <v>Not OK</v>
      </c>
      <c r="J37" s="478"/>
      <c r="K37" s="479"/>
      <c r="L37" s="1140">
        <v>0.05</v>
      </c>
      <c r="M37" s="874">
        <v>0.5</v>
      </c>
      <c r="N37" s="874">
        <v>0.45</v>
      </c>
      <c r="O37" s="493">
        <f>SUM(L37:N37)</f>
        <v>1</v>
      </c>
      <c r="P37" s="919" t="str">
        <f>IF(AND(D37=0,O37&gt;0),"Not OK",IF(AND(D37=0,O37=0),"",IF(O37=1,"OK","Not OK")))</f>
        <v>OK</v>
      </c>
      <c r="Q37" s="654"/>
      <c r="R37" s="673">
        <f>D37*C35</f>
        <v>0.1827</v>
      </c>
      <c r="S37" s="654"/>
      <c r="T37" s="654"/>
      <c r="U37" s="654"/>
      <c r="V37" s="654"/>
      <c r="W37" s="654"/>
      <c r="X37" s="654"/>
      <c r="Y37" s="478"/>
      <c r="Z37" s="478"/>
      <c r="AA37" s="478"/>
      <c r="AB37" s="478"/>
      <c r="AC37" s="478"/>
      <c r="AD37" s="478"/>
      <c r="AE37" s="478"/>
      <c r="AF37" s="478"/>
      <c r="AG37" s="478"/>
      <c r="AH37" s="478"/>
      <c r="AI37" s="478"/>
      <c r="AJ37" s="478"/>
      <c r="AK37" s="478"/>
      <c r="AL37" s="478"/>
      <c r="AM37" s="478"/>
      <c r="AN37" s="478"/>
      <c r="AO37" s="478"/>
      <c r="AP37" s="478"/>
      <c r="AQ37" s="478"/>
      <c r="AR37" s="478"/>
      <c r="AS37" s="478"/>
      <c r="AT37" s="478"/>
      <c r="AU37" s="478"/>
      <c r="AV37" s="478"/>
      <c r="AW37" s="478"/>
      <c r="AX37" s="478"/>
      <c r="AY37" s="478"/>
      <c r="AZ37" s="478"/>
      <c r="BA37" s="478"/>
      <c r="BB37" s="478"/>
    </row>
    <row r="38" spans="1:54" ht="17.149999999999999" customHeight="1" x14ac:dyDescent="0.35">
      <c r="A38" s="478"/>
      <c r="B38" s="1305" t="s">
        <v>439</v>
      </c>
      <c r="C38" s="1216">
        <v>0.04</v>
      </c>
      <c r="D38" s="175" t="str">
        <f>IF(AND(C38=0,SUM(D39:D41)=0),"OK",IF(AND(C38&gt;0,SUM(D39:D41)=1),"OK","Not OK"))</f>
        <v>OK</v>
      </c>
      <c r="E38" s="924"/>
      <c r="F38" s="924"/>
      <c r="G38" s="924"/>
      <c r="H38" s="925"/>
      <c r="I38" s="489"/>
      <c r="J38" s="489"/>
      <c r="K38" s="479"/>
      <c r="L38" s="624"/>
      <c r="M38" s="629"/>
      <c r="N38" s="629"/>
      <c r="O38" s="921"/>
      <c r="P38" s="489"/>
      <c r="Q38" s="654"/>
      <c r="R38" s="654"/>
      <c r="S38" s="654"/>
      <c r="T38" s="654"/>
      <c r="U38" s="654"/>
      <c r="V38" s="654"/>
      <c r="W38" s="654"/>
      <c r="X38" s="654"/>
      <c r="Y38" s="478"/>
      <c r="Z38" s="478"/>
      <c r="AA38" s="478"/>
      <c r="AB38" s="478"/>
      <c r="AC38" s="478"/>
      <c r="AD38" s="478"/>
      <c r="AE38" s="478"/>
      <c r="AF38" s="478"/>
      <c r="AG38" s="478"/>
      <c r="AH38" s="478"/>
      <c r="AI38" s="478"/>
      <c r="AJ38" s="478"/>
      <c r="AK38" s="478"/>
      <c r="AL38" s="478"/>
      <c r="AM38" s="478"/>
      <c r="AN38" s="478"/>
      <c r="AO38" s="478"/>
      <c r="AP38" s="478"/>
      <c r="AQ38" s="478"/>
      <c r="AR38" s="478"/>
      <c r="AS38" s="478"/>
      <c r="AT38" s="478"/>
      <c r="AU38" s="478"/>
      <c r="AV38" s="478"/>
      <c r="AW38" s="478"/>
      <c r="AX38" s="478"/>
      <c r="AY38" s="478"/>
      <c r="AZ38" s="478"/>
      <c r="BA38" s="478"/>
      <c r="BB38" s="478"/>
    </row>
    <row r="39" spans="1:54" ht="17.149999999999999" customHeight="1" x14ac:dyDescent="0.35">
      <c r="A39" s="478"/>
      <c r="B39" s="482" t="s">
        <v>440</v>
      </c>
      <c r="C39" s="1221"/>
      <c r="D39" s="874">
        <v>0.5</v>
      </c>
      <c r="E39" s="874"/>
      <c r="F39" s="874">
        <v>1</v>
      </c>
      <c r="G39" s="924"/>
      <c r="H39" s="492">
        <f>SUM(E39:G39)</f>
        <v>1</v>
      </c>
      <c r="I39" s="919" t="str">
        <f>IF(AND(D39=0,H39=0),"",IF(AND(D39&gt;0,H39=1),"OK","Not OK"))</f>
        <v>OK</v>
      </c>
      <c r="J39" s="478"/>
      <c r="K39" s="479"/>
      <c r="L39" s="626"/>
      <c r="M39" s="479"/>
      <c r="N39" s="479"/>
      <c r="O39" s="922"/>
      <c r="P39" s="489"/>
      <c r="Q39" s="654"/>
      <c r="R39" s="673">
        <f>D39*C38</f>
        <v>0.02</v>
      </c>
      <c r="S39" s="654"/>
      <c r="T39" s="654"/>
      <c r="U39" s="654"/>
      <c r="V39" s="654"/>
      <c r="W39" s="654"/>
      <c r="X39" s="654"/>
      <c r="Y39" s="478"/>
      <c r="Z39" s="478"/>
      <c r="AA39" s="478"/>
      <c r="AB39" s="478"/>
      <c r="AC39" s="478"/>
      <c r="AD39" s="478"/>
      <c r="AE39" s="478"/>
      <c r="AF39" s="478"/>
      <c r="AG39" s="478"/>
      <c r="AH39" s="478"/>
      <c r="AI39" s="478"/>
      <c r="AJ39" s="478"/>
      <c r="AK39" s="478"/>
      <c r="AL39" s="478"/>
      <c r="AM39" s="478"/>
      <c r="AN39" s="478"/>
      <c r="AO39" s="478"/>
      <c r="AP39" s="478"/>
      <c r="AQ39" s="478"/>
      <c r="AR39" s="478"/>
      <c r="AS39" s="478"/>
      <c r="AT39" s="478"/>
      <c r="AU39" s="478"/>
      <c r="AV39" s="478"/>
      <c r="AW39" s="478"/>
      <c r="AX39" s="478"/>
      <c r="AY39" s="478"/>
      <c r="AZ39" s="478"/>
      <c r="BA39" s="478"/>
      <c r="BB39" s="478"/>
    </row>
    <row r="40" spans="1:54" ht="17.149999999999999" customHeight="1" x14ac:dyDescent="0.35">
      <c r="A40" s="478"/>
      <c r="B40" s="482" t="s">
        <v>441</v>
      </c>
      <c r="C40" s="1221"/>
      <c r="D40" s="874">
        <v>0.5</v>
      </c>
      <c r="E40" s="874"/>
      <c r="F40" s="874">
        <v>1</v>
      </c>
      <c r="G40" s="924"/>
      <c r="H40" s="492">
        <f>SUM(E40:G40)</f>
        <v>1</v>
      </c>
      <c r="I40" s="919" t="str">
        <f>IF(AND(D40=0,H40=0),"",IF(AND(D40&gt;0,H40=1),"OK","Not OK"))</f>
        <v>OK</v>
      </c>
      <c r="J40" s="478"/>
      <c r="K40" s="479"/>
      <c r="L40" s="874">
        <v>0</v>
      </c>
      <c r="M40" s="874"/>
      <c r="N40" s="874">
        <v>1</v>
      </c>
      <c r="O40" s="493">
        <f>SUM(L40:N40)</f>
        <v>1</v>
      </c>
      <c r="P40" s="919" t="str">
        <f>IF(AND(D40=0,O40&gt;0),"Not OK",IF(AND(D40=0,O40=0),"",IF(O40=1,"OK","Not OK")))</f>
        <v>OK</v>
      </c>
      <c r="Q40" s="654"/>
      <c r="R40" s="673"/>
      <c r="S40" s="654"/>
      <c r="T40" s="654"/>
      <c r="U40" s="654"/>
      <c r="V40" s="654"/>
      <c r="W40" s="654"/>
      <c r="X40" s="654"/>
      <c r="Y40" s="478"/>
      <c r="Z40" s="478"/>
      <c r="AA40" s="478"/>
      <c r="AB40" s="478"/>
      <c r="AC40" s="478"/>
      <c r="AD40" s="478"/>
      <c r="AE40" s="478"/>
      <c r="AF40" s="478"/>
      <c r="AG40" s="478"/>
      <c r="AH40" s="478"/>
      <c r="AI40" s="478"/>
      <c r="AJ40" s="478"/>
      <c r="AK40" s="478"/>
      <c r="AL40" s="478"/>
      <c r="AM40" s="478"/>
      <c r="AN40" s="478"/>
      <c r="AO40" s="478"/>
      <c r="AP40" s="478"/>
      <c r="AQ40" s="478"/>
      <c r="AR40" s="478"/>
      <c r="AS40" s="478"/>
      <c r="AT40" s="478"/>
      <c r="AU40" s="478"/>
      <c r="AV40" s="478"/>
      <c r="AW40" s="478"/>
      <c r="AX40" s="478"/>
      <c r="AY40" s="478"/>
      <c r="AZ40" s="478"/>
      <c r="BA40" s="478"/>
      <c r="BB40" s="478"/>
    </row>
    <row r="41" spans="1:54" ht="17.149999999999999" customHeight="1" x14ac:dyDescent="0.35">
      <c r="A41" s="478"/>
      <c r="B41" s="482" t="s">
        <v>442</v>
      </c>
      <c r="C41" s="1221"/>
      <c r="D41" s="874"/>
      <c r="E41" s="874"/>
      <c r="F41" s="874"/>
      <c r="G41" s="874"/>
      <c r="H41" s="492">
        <f>SUM(E41:G41)</f>
        <v>0</v>
      </c>
      <c r="I41" s="919" t="str">
        <f>IF(AND(D41=0,H41=0),"",IF(AND(D41&gt;0,H41=1),"OK","Not OK"))</f>
        <v/>
      </c>
      <c r="J41" s="478"/>
      <c r="K41" s="630"/>
      <c r="L41" s="874"/>
      <c r="M41" s="874"/>
      <c r="N41" s="874"/>
      <c r="O41" s="493">
        <f>SUM(L41:N41)</f>
        <v>0</v>
      </c>
      <c r="P41" s="919" t="str">
        <f>IF(AND(D41=0,O41&gt;0),"Not OK",IF(AND(D41=0,O41=0),"",IF(O41=1,"OK","Not OK")))</f>
        <v/>
      </c>
      <c r="Q41" s="654"/>
      <c r="R41" s="673">
        <f>D41*C38</f>
        <v>0</v>
      </c>
      <c r="S41" s="654"/>
      <c r="T41" s="654"/>
      <c r="U41" s="654"/>
      <c r="V41" s="654"/>
      <c r="W41" s="654"/>
      <c r="X41" s="654"/>
      <c r="Y41" s="478"/>
      <c r="Z41" s="478"/>
      <c r="AA41" s="478"/>
      <c r="AB41" s="478"/>
      <c r="AC41" s="478"/>
      <c r="AD41" s="478"/>
      <c r="AE41" s="478"/>
      <c r="AF41" s="478"/>
      <c r="AG41" s="478"/>
      <c r="AH41" s="478"/>
      <c r="AI41" s="478"/>
      <c r="AJ41" s="478"/>
      <c r="AK41" s="478"/>
      <c r="AL41" s="478"/>
      <c r="AM41" s="478"/>
      <c r="AN41" s="478"/>
      <c r="AO41" s="478"/>
      <c r="AP41" s="478"/>
      <c r="AQ41" s="478"/>
      <c r="AR41" s="478"/>
      <c r="AS41" s="478"/>
      <c r="AT41" s="478"/>
      <c r="AU41" s="478"/>
      <c r="AV41" s="478"/>
      <c r="AW41" s="478"/>
      <c r="AX41" s="478"/>
      <c r="AY41" s="478"/>
      <c r="AZ41" s="478"/>
      <c r="BA41" s="478"/>
      <c r="BB41" s="478"/>
    </row>
    <row r="42" spans="1:54" ht="17.149999999999999" customHeight="1" x14ac:dyDescent="0.35">
      <c r="A42" s="478"/>
      <c r="B42" s="1305" t="s">
        <v>443</v>
      </c>
      <c r="C42" s="1216">
        <v>7.5999999999999998E-2</v>
      </c>
      <c r="D42" s="494"/>
      <c r="E42" s="498"/>
      <c r="F42" s="498"/>
      <c r="G42" s="498"/>
      <c r="H42" s="499"/>
      <c r="I42" s="495"/>
      <c r="J42" s="478"/>
      <c r="K42" s="478"/>
      <c r="L42" s="498"/>
      <c r="M42" s="508"/>
      <c r="N42" s="508"/>
      <c r="O42" s="627"/>
      <c r="P42" s="489"/>
      <c r="Q42" s="654"/>
      <c r="R42" s="654"/>
      <c r="S42" s="654"/>
      <c r="T42" s="654"/>
      <c r="U42" s="654"/>
      <c r="V42" s="654"/>
      <c r="W42" s="654"/>
      <c r="X42" s="654"/>
      <c r="Y42" s="478"/>
      <c r="Z42" s="478"/>
      <c r="AA42" s="478"/>
      <c r="AB42" s="478"/>
      <c r="AC42" s="478"/>
      <c r="AD42" s="478"/>
      <c r="AE42" s="478"/>
      <c r="AF42" s="478"/>
      <c r="AG42" s="478"/>
      <c r="AH42" s="478"/>
      <c r="AI42" s="478"/>
      <c r="AJ42" s="478"/>
      <c r="AK42" s="478"/>
      <c r="AL42" s="478"/>
      <c r="AM42" s="478"/>
      <c r="AN42" s="478"/>
      <c r="AO42" s="478"/>
      <c r="AP42" s="478"/>
      <c r="AQ42" s="478"/>
      <c r="AR42" s="478"/>
      <c r="AS42" s="478"/>
      <c r="AT42" s="478"/>
      <c r="AU42" s="478"/>
      <c r="AV42" s="478"/>
      <c r="AW42" s="478"/>
      <c r="AX42" s="478"/>
      <c r="AY42" s="478"/>
      <c r="AZ42" s="478"/>
      <c r="BA42" s="478"/>
      <c r="BB42" s="478"/>
    </row>
    <row r="43" spans="1:54" ht="17.149999999999999" customHeight="1" x14ac:dyDescent="0.35">
      <c r="A43" s="478"/>
      <c r="B43" s="478"/>
      <c r="C43" s="486">
        <f>SUM(C33:C42)</f>
        <v>1</v>
      </c>
      <c r="D43" s="487">
        <f>(D36*C35)+(D39*C38)</f>
        <v>0.27229999999999999</v>
      </c>
      <c r="E43" s="503" t="s">
        <v>444</v>
      </c>
      <c r="F43" s="497"/>
      <c r="G43" s="497"/>
      <c r="H43" s="497"/>
      <c r="I43" s="489"/>
      <c r="J43" s="478"/>
      <c r="K43" s="478"/>
      <c r="L43" s="497"/>
      <c r="M43" s="478"/>
      <c r="N43" s="478"/>
      <c r="O43" s="478"/>
      <c r="P43" s="478"/>
      <c r="Q43" s="654"/>
      <c r="R43" s="654"/>
      <c r="S43" s="654"/>
      <c r="T43" s="654"/>
      <c r="U43" s="654"/>
      <c r="V43" s="654"/>
      <c r="W43" s="654"/>
      <c r="X43" s="654"/>
      <c r="Y43" s="478"/>
      <c r="Z43" s="478"/>
      <c r="AA43" s="478"/>
      <c r="AB43" s="478"/>
      <c r="AC43" s="478"/>
      <c r="AD43" s="478"/>
      <c r="AE43" s="478"/>
      <c r="AF43" s="478"/>
      <c r="AG43" s="478"/>
      <c r="AH43" s="478"/>
      <c r="AI43" s="478"/>
      <c r="AJ43" s="478"/>
      <c r="AK43" s="478"/>
      <c r="AL43" s="478"/>
      <c r="AM43" s="478"/>
      <c r="AN43" s="478"/>
      <c r="AO43" s="478"/>
      <c r="AP43" s="478"/>
      <c r="AQ43" s="478"/>
      <c r="AR43" s="478"/>
      <c r="AS43" s="478"/>
      <c r="AT43" s="478"/>
      <c r="AU43" s="478"/>
      <c r="AV43" s="478"/>
      <c r="AW43" s="478"/>
      <c r="AX43" s="478"/>
      <c r="AY43" s="478"/>
      <c r="AZ43" s="478"/>
      <c r="BA43" s="478"/>
      <c r="BB43" s="478"/>
    </row>
    <row r="44" spans="1:54" ht="17.149999999999999" customHeight="1" x14ac:dyDescent="0.35">
      <c r="A44" s="478"/>
      <c r="B44" s="478"/>
      <c r="C44" s="174" t="str">
        <f>IF(C43=0,"",IF(C43=1,"OK","Not OK"))</f>
        <v>OK</v>
      </c>
      <c r="D44" s="487">
        <f>(D37*C35)+(D41*C38)</f>
        <v>0.1827</v>
      </c>
      <c r="E44" s="503" t="s">
        <v>445</v>
      </c>
      <c r="F44" s="478"/>
      <c r="G44" s="478"/>
      <c r="H44" s="478"/>
      <c r="I44" s="478"/>
      <c r="J44" s="478"/>
      <c r="K44" s="478"/>
      <c r="L44" s="478"/>
      <c r="M44" s="478"/>
      <c r="N44" s="478"/>
      <c r="O44" s="478"/>
      <c r="P44" s="478"/>
      <c r="Q44" s="654"/>
      <c r="R44" s="654"/>
      <c r="S44" s="654"/>
      <c r="T44" s="654"/>
      <c r="U44" s="654"/>
      <c r="V44" s="654"/>
      <c r="W44" s="654"/>
      <c r="X44" s="654"/>
      <c r="Y44" s="478"/>
      <c r="Z44" s="478"/>
      <c r="AA44" s="478"/>
      <c r="AB44" s="478"/>
      <c r="AC44" s="478"/>
      <c r="AD44" s="478"/>
      <c r="AE44" s="478"/>
      <c r="AF44" s="478"/>
      <c r="AG44" s="478"/>
      <c r="AH44" s="478"/>
      <c r="AI44" s="478"/>
      <c r="AJ44" s="478"/>
      <c r="AK44" s="478"/>
      <c r="AL44" s="478"/>
      <c r="AM44" s="478"/>
      <c r="AN44" s="478"/>
      <c r="AO44" s="478"/>
      <c r="AP44" s="478"/>
      <c r="AQ44" s="478"/>
      <c r="AR44" s="478"/>
      <c r="AS44" s="478"/>
      <c r="AT44" s="478"/>
      <c r="AU44" s="478"/>
      <c r="AV44" s="478"/>
      <c r="AW44" s="478"/>
      <c r="AX44" s="478"/>
      <c r="AY44" s="478"/>
      <c r="AZ44" s="478"/>
      <c r="BA44" s="478"/>
      <c r="BB44" s="478"/>
    </row>
    <row r="45" spans="1:54" ht="17.149999999999999" customHeight="1" x14ac:dyDescent="0.35">
      <c r="A45" s="478"/>
      <c r="B45" s="478"/>
      <c r="C45" s="478"/>
      <c r="D45" s="478"/>
      <c r="E45" s="478"/>
      <c r="F45" s="478"/>
      <c r="G45" s="478"/>
      <c r="H45" s="478"/>
      <c r="I45" s="478"/>
      <c r="J45" s="478"/>
      <c r="K45" s="478"/>
      <c r="L45" s="478"/>
      <c r="M45" s="478"/>
      <c r="N45" s="478"/>
      <c r="O45" s="478"/>
      <c r="P45" s="478"/>
      <c r="Q45" s="654"/>
      <c r="R45" s="654"/>
      <c r="S45" s="654"/>
      <c r="T45" s="654"/>
      <c r="U45" s="654"/>
      <c r="V45" s="654"/>
      <c r="W45" s="654"/>
      <c r="X45" s="654"/>
      <c r="Y45" s="478"/>
      <c r="Z45" s="478"/>
      <c r="AA45" s="478"/>
      <c r="AB45" s="478"/>
      <c r="AC45" s="478"/>
      <c r="AD45" s="478"/>
      <c r="AE45" s="478"/>
      <c r="AF45" s="478"/>
      <c r="AG45" s="478"/>
      <c r="AH45" s="478"/>
      <c r="AI45" s="478"/>
      <c r="AJ45" s="478"/>
      <c r="AK45" s="478"/>
      <c r="AL45" s="478"/>
      <c r="AM45" s="478"/>
      <c r="AN45" s="478"/>
      <c r="AO45" s="478"/>
      <c r="AP45" s="478"/>
      <c r="AQ45" s="478"/>
      <c r="AR45" s="478"/>
      <c r="AS45" s="478"/>
      <c r="AT45" s="478"/>
      <c r="AU45" s="478"/>
      <c r="AV45" s="478"/>
      <c r="AW45" s="478"/>
      <c r="AX45" s="478"/>
      <c r="AY45" s="478"/>
      <c r="AZ45" s="478"/>
      <c r="BA45" s="478"/>
      <c r="BB45" s="478"/>
    </row>
    <row r="46" spans="1:54" ht="17.149999999999999" customHeight="1" x14ac:dyDescent="0.35">
      <c r="A46" s="478"/>
      <c r="B46" s="501" t="s">
        <v>446</v>
      </c>
      <c r="C46" s="874">
        <v>0</v>
      </c>
      <c r="D46" s="917" t="s">
        <v>447</v>
      </c>
      <c r="E46" s="478"/>
      <c r="F46" s="478"/>
      <c r="G46" s="478"/>
      <c r="H46" s="478"/>
      <c r="I46" s="478"/>
      <c r="J46" s="478"/>
      <c r="K46" s="478"/>
      <c r="L46" s="478"/>
      <c r="M46" s="478"/>
      <c r="N46" s="478"/>
      <c r="O46" s="478"/>
      <c r="P46" s="478"/>
      <c r="Q46" s="654"/>
      <c r="R46" s="654"/>
      <c r="S46" s="654"/>
      <c r="T46" s="654"/>
      <c r="U46" s="654"/>
      <c r="V46" s="654"/>
      <c r="W46" s="654"/>
      <c r="X46" s="654"/>
      <c r="Y46" s="478"/>
      <c r="Z46" s="478"/>
      <c r="AA46" s="478"/>
      <c r="AB46" s="478"/>
      <c r="AC46" s="478"/>
      <c r="AD46" s="478"/>
      <c r="AE46" s="478"/>
      <c r="AF46" s="478"/>
      <c r="AG46" s="478"/>
      <c r="AH46" s="478"/>
      <c r="AI46" s="478"/>
      <c r="AJ46" s="478"/>
      <c r="AK46" s="478"/>
      <c r="AL46" s="478"/>
      <c r="AM46" s="478"/>
      <c r="AN46" s="478"/>
      <c r="AO46" s="478"/>
      <c r="AP46" s="478"/>
      <c r="AQ46" s="478"/>
      <c r="AR46" s="478"/>
      <c r="AS46" s="478"/>
      <c r="AT46" s="478"/>
      <c r="AU46" s="478"/>
      <c r="AV46" s="478"/>
      <c r="AW46" s="478"/>
      <c r="AX46" s="478"/>
      <c r="AY46" s="478"/>
      <c r="AZ46" s="478"/>
      <c r="BA46" s="478"/>
      <c r="BB46" s="478"/>
    </row>
    <row r="47" spans="1:54" ht="17.149999999999999" customHeight="1" x14ac:dyDescent="0.35">
      <c r="A47" s="478"/>
      <c r="B47" s="817" t="s">
        <v>448</v>
      </c>
      <c r="C47" s="492">
        <f>C46*D36</f>
        <v>0</v>
      </c>
      <c r="D47" s="917" t="s">
        <v>449</v>
      </c>
      <c r="E47" s="478"/>
      <c r="F47" s="478"/>
      <c r="G47" s="478"/>
      <c r="H47" s="478"/>
      <c r="I47" s="478"/>
      <c r="J47" s="478"/>
      <c r="K47" s="478"/>
      <c r="L47" s="478"/>
      <c r="M47" s="478"/>
      <c r="N47" s="478"/>
      <c r="O47" s="478"/>
      <c r="P47" s="478"/>
      <c r="Q47" s="654"/>
      <c r="R47" s="654"/>
      <c r="S47" s="654"/>
      <c r="T47" s="654"/>
      <c r="U47" s="654"/>
      <c r="V47" s="654"/>
      <c r="W47" s="654"/>
      <c r="X47" s="654"/>
      <c r="Y47" s="478"/>
      <c r="Z47" s="478"/>
      <c r="AA47" s="478"/>
      <c r="AB47" s="478"/>
      <c r="AC47" s="478"/>
      <c r="AD47" s="478"/>
      <c r="AE47" s="478"/>
      <c r="AF47" s="478"/>
      <c r="AG47" s="478"/>
      <c r="AH47" s="478"/>
      <c r="AI47" s="478"/>
      <c r="AJ47" s="478"/>
      <c r="AK47" s="478"/>
      <c r="AL47" s="478"/>
      <c r="AM47" s="478"/>
      <c r="AN47" s="478"/>
      <c r="AO47" s="478"/>
      <c r="AP47" s="478"/>
      <c r="AQ47" s="478"/>
      <c r="AR47" s="478"/>
      <c r="AS47" s="478"/>
      <c r="AT47" s="478"/>
      <c r="AU47" s="478"/>
      <c r="AV47" s="478"/>
      <c r="AW47" s="478"/>
      <c r="AX47" s="478"/>
      <c r="AY47" s="478"/>
      <c r="AZ47" s="478"/>
      <c r="BA47" s="478"/>
      <c r="BB47" s="478"/>
    </row>
    <row r="48" spans="1:54" ht="17.149999999999999" customHeight="1" x14ac:dyDescent="0.35">
      <c r="A48" s="478"/>
      <c r="B48" s="482" t="s">
        <v>450</v>
      </c>
      <c r="C48" s="492">
        <f>C46*D37</f>
        <v>0</v>
      </c>
      <c r="D48" s="500"/>
      <c r="E48" s="478"/>
      <c r="F48" s="478"/>
      <c r="G48" s="478"/>
      <c r="H48" s="478"/>
      <c r="I48" s="478"/>
      <c r="J48" s="478"/>
      <c r="K48" s="478"/>
      <c r="L48" s="478"/>
      <c r="M48" s="478"/>
      <c r="N48" s="478"/>
      <c r="O48" s="478"/>
      <c r="P48" s="478"/>
      <c r="Q48" s="654"/>
      <c r="R48" s="654"/>
      <c r="S48" s="654"/>
      <c r="T48" s="654"/>
      <c r="U48" s="654"/>
      <c r="V48" s="654"/>
      <c r="W48" s="654"/>
      <c r="X48" s="654"/>
      <c r="Y48" s="478"/>
      <c r="Z48" s="478"/>
      <c r="AA48" s="478"/>
      <c r="AB48" s="478"/>
      <c r="AC48" s="478"/>
      <c r="AD48" s="478"/>
      <c r="AE48" s="478"/>
      <c r="AF48" s="478"/>
      <c r="AG48" s="478"/>
      <c r="AH48" s="478"/>
      <c r="AI48" s="478"/>
      <c r="AJ48" s="478"/>
      <c r="AK48" s="478"/>
      <c r="AL48" s="478"/>
      <c r="AM48" s="478"/>
      <c r="AN48" s="478"/>
      <c r="AO48" s="478"/>
      <c r="AP48" s="478"/>
      <c r="AQ48" s="478"/>
      <c r="AR48" s="478"/>
      <c r="AS48" s="478"/>
      <c r="AT48" s="478"/>
      <c r="AU48" s="478"/>
      <c r="AV48" s="478"/>
      <c r="AW48" s="478"/>
      <c r="AX48" s="478"/>
      <c r="AY48" s="478"/>
      <c r="AZ48" s="478"/>
      <c r="BA48" s="478"/>
      <c r="BB48" s="478"/>
    </row>
    <row r="49" spans="1:54" ht="17.149999999999999" customHeight="1" x14ac:dyDescent="0.35">
      <c r="A49" s="478"/>
      <c r="B49" s="502"/>
      <c r="C49" s="486">
        <f>SUM(C47:C48)</f>
        <v>0</v>
      </c>
      <c r="D49" s="500"/>
      <c r="E49" s="478"/>
      <c r="F49" s="478"/>
      <c r="G49" s="478"/>
      <c r="H49" s="478"/>
      <c r="I49" s="478"/>
      <c r="J49" s="478"/>
      <c r="K49" s="478"/>
      <c r="L49" s="478"/>
      <c r="M49" s="478"/>
      <c r="N49" s="478"/>
      <c r="O49" s="478"/>
      <c r="P49" s="478"/>
      <c r="Q49" s="654"/>
      <c r="R49" s="654"/>
      <c r="S49" s="654"/>
      <c r="T49" s="654"/>
      <c r="U49" s="654"/>
      <c r="V49" s="654"/>
      <c r="W49" s="654"/>
      <c r="X49" s="654"/>
      <c r="Y49" s="478"/>
      <c r="Z49" s="478"/>
      <c r="AA49" s="478"/>
      <c r="AB49" s="478"/>
      <c r="AC49" s="478"/>
      <c r="AD49" s="478"/>
      <c r="AE49" s="478"/>
      <c r="AF49" s="478"/>
      <c r="AG49" s="478"/>
      <c r="AH49" s="478"/>
      <c r="AI49" s="478"/>
      <c r="AJ49" s="478"/>
      <c r="AK49" s="478"/>
      <c r="AL49" s="478"/>
      <c r="AM49" s="478"/>
      <c r="AN49" s="478"/>
      <c r="AO49" s="478"/>
      <c r="AP49" s="478"/>
      <c r="AQ49" s="478"/>
      <c r="AR49" s="478"/>
      <c r="AS49" s="478"/>
      <c r="AT49" s="478"/>
      <c r="AU49" s="478"/>
      <c r="AV49" s="478"/>
      <c r="AW49" s="478"/>
      <c r="AX49" s="478"/>
      <c r="AY49" s="478"/>
      <c r="AZ49" s="478"/>
      <c r="BA49" s="478"/>
      <c r="BB49" s="478"/>
    </row>
    <row r="50" spans="1:54" ht="17.149999999999999" customHeight="1" x14ac:dyDescent="0.35">
      <c r="A50" s="478"/>
      <c r="B50" s="478"/>
      <c r="C50" s="478"/>
      <c r="D50" s="478"/>
      <c r="E50" s="478"/>
      <c r="F50" s="478"/>
      <c r="G50" s="478"/>
      <c r="H50" s="478"/>
      <c r="I50" s="478"/>
      <c r="J50" s="478"/>
      <c r="K50" s="478"/>
      <c r="L50" s="478"/>
      <c r="M50" s="478"/>
      <c r="N50" s="478"/>
      <c r="O50" s="478"/>
      <c r="P50" s="478"/>
      <c r="Q50" s="654"/>
      <c r="R50" s="654"/>
      <c r="S50" s="674"/>
      <c r="T50" s="654"/>
      <c r="U50" s="654"/>
      <c r="V50" s="654"/>
      <c r="W50" s="654"/>
      <c r="X50" s="654"/>
      <c r="Y50" s="478"/>
      <c r="Z50" s="478"/>
      <c r="AA50" s="478"/>
      <c r="AB50" s="478"/>
      <c r="AC50" s="478"/>
      <c r="AD50" s="478"/>
      <c r="AE50" s="478"/>
      <c r="AF50" s="478"/>
      <c r="AG50" s="478"/>
      <c r="AH50" s="478"/>
      <c r="AI50" s="478"/>
      <c r="AJ50" s="478"/>
      <c r="AK50" s="478"/>
      <c r="AL50" s="478"/>
      <c r="AM50" s="478"/>
      <c r="AN50" s="478"/>
      <c r="AO50" s="478"/>
      <c r="AP50" s="478"/>
      <c r="AQ50" s="478"/>
      <c r="AR50" s="478"/>
      <c r="AS50" s="478"/>
      <c r="AT50" s="478"/>
      <c r="AU50" s="478"/>
      <c r="AV50" s="478"/>
      <c r="AW50" s="478"/>
      <c r="AX50" s="478"/>
      <c r="AY50" s="478"/>
      <c r="AZ50" s="478"/>
      <c r="BA50" s="478"/>
      <c r="BB50" s="478"/>
    </row>
    <row r="51" spans="1:54" ht="17.149999999999999" customHeight="1" x14ac:dyDescent="0.35">
      <c r="A51" s="478"/>
      <c r="B51" s="478"/>
      <c r="C51" s="478"/>
      <c r="D51" s="478"/>
      <c r="E51" s="478"/>
      <c r="F51" s="478"/>
      <c r="G51" s="478"/>
      <c r="H51" s="478"/>
      <c r="I51" s="478"/>
      <c r="J51" s="478"/>
      <c r="K51" s="478"/>
      <c r="L51" s="478"/>
      <c r="M51" s="478"/>
      <c r="N51" s="478"/>
      <c r="O51" s="478"/>
      <c r="P51" s="478"/>
      <c r="Q51" s="654"/>
      <c r="R51" s="654"/>
      <c r="S51" s="674"/>
      <c r="T51" s="654"/>
      <c r="U51" s="654"/>
      <c r="V51" s="654"/>
      <c r="W51" s="654"/>
      <c r="X51" s="654"/>
      <c r="Y51" s="478"/>
      <c r="Z51" s="478"/>
      <c r="AA51" s="478"/>
      <c r="AB51" s="478"/>
      <c r="AC51" s="478"/>
      <c r="AD51" s="478"/>
      <c r="AE51" s="478"/>
      <c r="AF51" s="478"/>
      <c r="AG51" s="478"/>
      <c r="AH51" s="478"/>
      <c r="AI51" s="478"/>
      <c r="AJ51" s="478"/>
      <c r="AK51" s="478"/>
      <c r="AL51" s="478"/>
      <c r="AM51" s="478"/>
      <c r="AN51" s="478"/>
      <c r="AO51" s="478"/>
      <c r="AP51" s="478"/>
      <c r="AQ51" s="478"/>
      <c r="AR51" s="478"/>
      <c r="AS51" s="478"/>
      <c r="AT51" s="478"/>
      <c r="AU51" s="478"/>
      <c r="AV51" s="478"/>
      <c r="AW51" s="478"/>
      <c r="AX51" s="478"/>
      <c r="AY51" s="478"/>
      <c r="AZ51" s="478"/>
      <c r="BA51" s="478"/>
      <c r="BB51" s="478"/>
    </row>
    <row r="52" spans="1:54" ht="17.149999999999999" customHeight="1" x14ac:dyDescent="0.35">
      <c r="A52" s="478"/>
      <c r="B52" s="926" t="s">
        <v>451</v>
      </c>
      <c r="C52" s="478"/>
      <c r="D52" s="478"/>
      <c r="E52" s="478"/>
      <c r="F52" s="478"/>
      <c r="G52" s="478"/>
      <c r="H52" s="478"/>
      <c r="I52" s="478"/>
      <c r="J52" s="478"/>
      <c r="K52" s="478"/>
      <c r="L52" s="478"/>
      <c r="M52" s="478"/>
      <c r="N52" s="478"/>
      <c r="O52" s="478"/>
      <c r="P52" s="478"/>
      <c r="Q52" s="654"/>
      <c r="R52" s="654"/>
      <c r="S52" s="674"/>
      <c r="T52" s="654"/>
      <c r="U52" s="654"/>
      <c r="V52" s="654"/>
      <c r="W52" s="654"/>
      <c r="X52" s="654"/>
      <c r="Y52" s="478"/>
      <c r="Z52" s="478"/>
      <c r="AA52" s="478"/>
      <c r="AB52" s="478"/>
      <c r="AC52" s="478"/>
      <c r="AD52" s="478"/>
      <c r="AE52" s="478"/>
      <c r="AF52" s="478"/>
      <c r="AG52" s="478"/>
      <c r="AH52" s="478"/>
      <c r="AI52" s="478"/>
      <c r="AJ52" s="478"/>
      <c r="AK52" s="478"/>
      <c r="AL52" s="478"/>
      <c r="AM52" s="478"/>
      <c r="AN52" s="478"/>
      <c r="AO52" s="478"/>
      <c r="AP52" s="478"/>
      <c r="AQ52" s="478"/>
      <c r="AR52" s="478"/>
      <c r="AS52" s="478"/>
      <c r="AT52" s="478"/>
      <c r="AU52" s="478"/>
      <c r="AV52" s="478"/>
      <c r="AW52" s="478"/>
      <c r="AX52" s="478"/>
      <c r="AY52" s="478"/>
      <c r="AZ52" s="478"/>
      <c r="BA52" s="478"/>
      <c r="BB52" s="478"/>
    </row>
    <row r="53" spans="1:54" ht="17.149999999999999" customHeight="1" x14ac:dyDescent="0.35">
      <c r="A53" s="478"/>
      <c r="B53" s="1667" t="s">
        <v>419</v>
      </c>
      <c r="C53" s="1677" t="s">
        <v>420</v>
      </c>
      <c r="D53" s="1678"/>
      <c r="E53" s="1677" t="s">
        <v>421</v>
      </c>
      <c r="F53" s="1679"/>
      <c r="G53" s="1679"/>
      <c r="H53" s="1678"/>
      <c r="I53" s="478"/>
      <c r="J53" s="478"/>
      <c r="K53" s="1682" t="s">
        <v>422</v>
      </c>
      <c r="L53" s="1682"/>
      <c r="M53" s="1682"/>
      <c r="N53" s="1682"/>
      <c r="O53" s="1682"/>
      <c r="P53" s="489"/>
      <c r="Q53" s="654"/>
      <c r="R53" s="654"/>
      <c r="S53" s="674"/>
      <c r="T53" s="654"/>
      <c r="U53" s="654"/>
      <c r="V53" s="654"/>
      <c r="W53" s="654"/>
      <c r="X53" s="654"/>
      <c r="Y53" s="478"/>
      <c r="Z53" s="478"/>
      <c r="AA53" s="478"/>
      <c r="AB53" s="478"/>
      <c r="AC53" s="478"/>
      <c r="AD53" s="478"/>
      <c r="AE53" s="478"/>
      <c r="AF53" s="478"/>
      <c r="AG53" s="478"/>
      <c r="AH53" s="478"/>
      <c r="AI53" s="478"/>
      <c r="AJ53" s="478"/>
      <c r="AK53" s="478"/>
      <c r="AL53" s="478"/>
      <c r="AM53" s="478"/>
      <c r="AN53" s="478"/>
      <c r="AO53" s="478"/>
      <c r="AP53" s="478"/>
      <c r="AQ53" s="478"/>
      <c r="AR53" s="478"/>
      <c r="AS53" s="478"/>
      <c r="AT53" s="478"/>
      <c r="AU53" s="478"/>
      <c r="AV53" s="478"/>
      <c r="AW53" s="478"/>
      <c r="AX53" s="478"/>
      <c r="AY53" s="478"/>
      <c r="AZ53" s="478"/>
      <c r="BA53" s="478"/>
      <c r="BB53" s="478"/>
    </row>
    <row r="54" spans="1:54" ht="50.15" customHeight="1" x14ac:dyDescent="0.35">
      <c r="A54" s="478"/>
      <c r="B54" s="1667"/>
      <c r="C54" s="927" t="s">
        <v>423</v>
      </c>
      <c r="D54" s="927" t="s">
        <v>424</v>
      </c>
      <c r="E54" s="928" t="s">
        <v>425</v>
      </c>
      <c r="F54" s="928" t="s">
        <v>426</v>
      </c>
      <c r="G54" s="928" t="s">
        <v>427</v>
      </c>
      <c r="H54" s="927" t="s">
        <v>428</v>
      </c>
      <c r="I54" s="478"/>
      <c r="J54" s="478"/>
      <c r="K54" s="928" t="s">
        <v>429</v>
      </c>
      <c r="L54" s="928" t="s">
        <v>452</v>
      </c>
      <c r="M54" s="928" t="s">
        <v>431</v>
      </c>
      <c r="N54" s="928" t="s">
        <v>432</v>
      </c>
      <c r="O54" s="927" t="s">
        <v>428</v>
      </c>
      <c r="P54" s="489"/>
      <c r="Q54" s="654"/>
      <c r="R54" s="654"/>
      <c r="S54" s="675"/>
      <c r="T54" s="654"/>
      <c r="U54" s="654"/>
      <c r="V54" s="654"/>
      <c r="W54" s="654"/>
      <c r="X54" s="654"/>
      <c r="Y54" s="478"/>
      <c r="Z54" s="478"/>
      <c r="AA54" s="478"/>
      <c r="AB54" s="478"/>
      <c r="AC54" s="478"/>
      <c r="AD54" s="478"/>
      <c r="AE54" s="478"/>
      <c r="AF54" s="478"/>
      <c r="AG54" s="478"/>
      <c r="AH54" s="478"/>
      <c r="AI54" s="478"/>
      <c r="AJ54" s="478"/>
      <c r="AK54" s="478"/>
      <c r="AL54" s="478"/>
      <c r="AM54" s="478"/>
      <c r="AN54" s="478"/>
      <c r="AO54" s="478"/>
      <c r="AP54" s="478"/>
      <c r="AQ54" s="478"/>
      <c r="AR54" s="478"/>
      <c r="AS54" s="478"/>
      <c r="AT54" s="478"/>
      <c r="AU54" s="478"/>
      <c r="AV54" s="478"/>
      <c r="AW54" s="478"/>
      <c r="AX54" s="478"/>
      <c r="AY54" s="478"/>
      <c r="AZ54" s="478"/>
      <c r="BA54" s="478"/>
      <c r="BB54" s="478"/>
    </row>
    <row r="55" spans="1:54" ht="17.149999999999999" customHeight="1" x14ac:dyDescent="0.35">
      <c r="A55" s="478"/>
      <c r="B55" s="1305" t="s">
        <v>433</v>
      </c>
      <c r="C55" s="874">
        <v>0.85</v>
      </c>
      <c r="D55" s="924"/>
      <c r="E55" s="874">
        <v>0.6</v>
      </c>
      <c r="F55" s="874">
        <v>0.4</v>
      </c>
      <c r="G55" s="924"/>
      <c r="H55" s="492">
        <f>SUM(E55:G55)</f>
        <v>1</v>
      </c>
      <c r="I55" s="919" t="str">
        <f>IF(AND(C55=0,H55=0),"",IF(H55=1,"OK","Not OK"))</f>
        <v>OK</v>
      </c>
      <c r="J55" s="478"/>
      <c r="K55" s="874">
        <v>0</v>
      </c>
      <c r="L55" s="624"/>
      <c r="M55" s="629"/>
      <c r="N55" s="629"/>
      <c r="O55" s="921"/>
      <c r="P55" s="489"/>
      <c r="Q55" s="654"/>
      <c r="R55" s="654"/>
      <c r="S55" s="654"/>
      <c r="T55" s="654"/>
      <c r="U55" s="654"/>
      <c r="V55" s="654"/>
      <c r="W55" s="654"/>
      <c r="X55" s="654"/>
      <c r="Y55" s="478"/>
      <c r="Z55" s="478"/>
      <c r="AA55" s="478"/>
      <c r="AB55" s="478"/>
      <c r="AC55" s="478"/>
      <c r="AD55" s="478"/>
      <c r="AE55" s="478"/>
      <c r="AF55" s="478"/>
      <c r="AG55" s="478"/>
      <c r="AH55" s="478"/>
      <c r="AI55" s="478"/>
      <c r="AJ55" s="478"/>
      <c r="AK55" s="478"/>
      <c r="AL55" s="478"/>
      <c r="AM55" s="478"/>
      <c r="AN55" s="478"/>
      <c r="AO55" s="478"/>
      <c r="AP55" s="478"/>
      <c r="AQ55" s="478"/>
      <c r="AR55" s="478"/>
      <c r="AS55" s="478"/>
      <c r="AT55" s="478"/>
      <c r="AU55" s="478"/>
      <c r="AV55" s="478"/>
      <c r="AW55" s="478"/>
      <c r="AX55" s="478"/>
      <c r="AY55" s="478"/>
      <c r="AZ55" s="478"/>
      <c r="BA55" s="478"/>
      <c r="BB55" s="478"/>
    </row>
    <row r="56" spans="1:54" ht="17.149999999999999" customHeight="1" x14ac:dyDescent="0.35">
      <c r="A56" s="478"/>
      <c r="B56" s="1305" t="s">
        <v>434</v>
      </c>
      <c r="C56" s="874"/>
      <c r="D56" s="924"/>
      <c r="E56" s="874"/>
      <c r="F56" s="874"/>
      <c r="G56" s="924"/>
      <c r="H56" s="492">
        <f>SUM(E56:G56)</f>
        <v>0</v>
      </c>
      <c r="I56" s="919" t="str">
        <f>IF(AND(C56=0,H56=0),"",IF(H56=1,"OK","Not OK"))</f>
        <v/>
      </c>
      <c r="J56" s="478"/>
      <c r="K56" s="479"/>
      <c r="L56" s="626"/>
      <c r="M56" s="479"/>
      <c r="N56" s="479"/>
      <c r="O56" s="922"/>
      <c r="P56" s="489"/>
      <c r="Q56" s="654"/>
      <c r="R56" s="654"/>
      <c r="S56" s="654"/>
      <c r="T56" s="654"/>
      <c r="U56" s="654"/>
      <c r="V56" s="654"/>
      <c r="W56" s="654"/>
      <c r="X56" s="654"/>
      <c r="Y56" s="478"/>
      <c r="Z56" s="478"/>
      <c r="AA56" s="478"/>
      <c r="AB56" s="478"/>
      <c r="AC56" s="478"/>
      <c r="AD56" s="478"/>
      <c r="AE56" s="478"/>
      <c r="AF56" s="478"/>
      <c r="AG56" s="478"/>
      <c r="AH56" s="478"/>
      <c r="AI56" s="478"/>
      <c r="AJ56" s="478"/>
      <c r="AK56" s="478"/>
      <c r="AL56" s="478"/>
      <c r="AM56" s="478"/>
      <c r="AN56" s="478"/>
      <c r="AO56" s="478"/>
      <c r="AP56" s="478"/>
      <c r="AQ56" s="478"/>
      <c r="AR56" s="478"/>
      <c r="AS56" s="478"/>
      <c r="AT56" s="478"/>
      <c r="AU56" s="478"/>
      <c r="AV56" s="478"/>
      <c r="AW56" s="478"/>
      <c r="AX56" s="478"/>
      <c r="AY56" s="478"/>
      <c r="AZ56" s="478"/>
      <c r="BA56" s="478"/>
      <c r="BB56" s="478"/>
    </row>
    <row r="57" spans="1:54" ht="17.149999999999999" customHeight="1" x14ac:dyDescent="0.35">
      <c r="A57" s="478"/>
      <c r="B57" s="1305" t="s">
        <v>453</v>
      </c>
      <c r="C57" s="874">
        <v>0.15</v>
      </c>
      <c r="D57" s="175" t="str">
        <f>IF(AND(C57=0,SUM(D58:D59)=0),"OK",IF(AND(C57&gt;0,SUM(D58:D59)=1),"OK","Not OK"))</f>
        <v>OK</v>
      </c>
      <c r="E57" s="924"/>
      <c r="F57" s="924"/>
      <c r="G57" s="924"/>
      <c r="H57" s="918"/>
      <c r="I57" s="495"/>
      <c r="J57" s="478"/>
      <c r="K57" s="479"/>
      <c r="L57" s="625"/>
      <c r="M57" s="630"/>
      <c r="N57" s="630"/>
      <c r="O57" s="923"/>
      <c r="P57" s="491"/>
      <c r="Q57" s="654"/>
      <c r="R57" s="654"/>
      <c r="S57" s="654"/>
      <c r="T57" s="654"/>
      <c r="U57" s="654"/>
      <c r="V57" s="654"/>
      <c r="W57" s="654"/>
      <c r="X57" s="654"/>
      <c r="Y57" s="478"/>
      <c r="Z57" s="478"/>
      <c r="AA57" s="478"/>
      <c r="AB57" s="478"/>
      <c r="AC57" s="478"/>
      <c r="AD57" s="478"/>
      <c r="AE57" s="478"/>
      <c r="AF57" s="478"/>
      <c r="AG57" s="478"/>
      <c r="AH57" s="478"/>
      <c r="AI57" s="478"/>
      <c r="AJ57" s="478"/>
      <c r="AK57" s="478"/>
      <c r="AL57" s="478"/>
      <c r="AM57" s="478"/>
      <c r="AN57" s="478"/>
      <c r="AO57" s="478"/>
      <c r="AP57" s="478"/>
      <c r="AQ57" s="478"/>
      <c r="AR57" s="478"/>
      <c r="AS57" s="478"/>
      <c r="AT57" s="478"/>
      <c r="AU57" s="478"/>
      <c r="AV57" s="478"/>
      <c r="AW57" s="478"/>
      <c r="AX57" s="478"/>
      <c r="AY57" s="478"/>
      <c r="AZ57" s="478"/>
      <c r="BA57" s="478"/>
      <c r="BB57" s="478"/>
    </row>
    <row r="58" spans="1:54" ht="17.149999999999999" customHeight="1" x14ac:dyDescent="0.35">
      <c r="A58" s="478"/>
      <c r="B58" s="482" t="s">
        <v>436</v>
      </c>
      <c r="C58" s="924"/>
      <c r="D58" s="874">
        <v>0.5</v>
      </c>
      <c r="E58" s="874">
        <v>0.6</v>
      </c>
      <c r="F58" s="874">
        <v>0.4</v>
      </c>
      <c r="G58" s="924"/>
      <c r="H58" s="492">
        <f>SUM(E58:G58)</f>
        <v>1</v>
      </c>
      <c r="I58" s="919" t="str">
        <f>IF(AND(D58=0,H58=0),"",IF(AND(D58&gt;0,H58=1),"OK","Not OK"))</f>
        <v>OK</v>
      </c>
      <c r="J58" s="478"/>
      <c r="K58" s="479"/>
      <c r="L58" s="874">
        <v>0</v>
      </c>
      <c r="M58" s="874">
        <v>0</v>
      </c>
      <c r="N58" s="874">
        <v>1</v>
      </c>
      <c r="O58" s="493">
        <f>SUM(L58:N58)</f>
        <v>1</v>
      </c>
      <c r="P58" s="919" t="str">
        <f>IF(AND(D58=0,O58&gt;0),"Not OK",IF(AND(D58=0,O58=0),"",IF(O58=1,"OK","Not OK")))</f>
        <v>OK</v>
      </c>
      <c r="Q58" s="654"/>
      <c r="R58" s="673">
        <f>D58*C57</f>
        <v>7.4999999999999997E-2</v>
      </c>
      <c r="S58" s="654"/>
      <c r="T58" s="654"/>
      <c r="U58" s="654"/>
      <c r="V58" s="654"/>
      <c r="W58" s="654"/>
      <c r="X58" s="654"/>
      <c r="Y58" s="478"/>
      <c r="Z58" s="478"/>
      <c r="AA58" s="478"/>
      <c r="AB58" s="478"/>
      <c r="AC58" s="478"/>
      <c r="AD58" s="478"/>
      <c r="AE58" s="478"/>
      <c r="AF58" s="478"/>
      <c r="AG58" s="478"/>
      <c r="AH58" s="478"/>
      <c r="AI58" s="478"/>
      <c r="AJ58" s="478"/>
      <c r="AK58" s="478"/>
      <c r="AL58" s="478"/>
      <c r="AM58" s="478"/>
      <c r="AN58" s="478"/>
      <c r="AO58" s="478"/>
      <c r="AP58" s="478"/>
      <c r="AQ58" s="478"/>
      <c r="AR58" s="478"/>
      <c r="AS58" s="478"/>
      <c r="AT58" s="478"/>
      <c r="AU58" s="478"/>
      <c r="AV58" s="478"/>
      <c r="AW58" s="478"/>
      <c r="AX58" s="478"/>
      <c r="AY58" s="478"/>
      <c r="AZ58" s="478"/>
      <c r="BA58" s="478"/>
      <c r="BB58" s="478"/>
    </row>
    <row r="59" spans="1:54" ht="17.149999999999999" customHeight="1" x14ac:dyDescent="0.35">
      <c r="A59" s="478"/>
      <c r="B59" s="482" t="s">
        <v>454</v>
      </c>
      <c r="C59" s="924"/>
      <c r="D59" s="874">
        <v>0.5</v>
      </c>
      <c r="E59" s="874"/>
      <c r="F59" s="874">
        <v>1</v>
      </c>
      <c r="G59" s="874"/>
      <c r="H59" s="492">
        <f>SUM(E59:G59)</f>
        <v>1</v>
      </c>
      <c r="I59" s="919" t="str">
        <f>IF(AND(D59=0,H59=0),"",IF(AND(D59&gt;0,H59=1),"OK","Not OK"))</f>
        <v>OK</v>
      </c>
      <c r="J59" s="478"/>
      <c r="K59" s="479"/>
      <c r="L59" s="874"/>
      <c r="M59" s="874"/>
      <c r="N59" s="874">
        <v>1</v>
      </c>
      <c r="O59" s="493">
        <f>SUM(L59:N59)</f>
        <v>1</v>
      </c>
      <c r="P59" s="919" t="str">
        <f>IF(AND(D59=0,O59&gt;0),"Not OK",IF(AND(D59=0,O59=0),"",IF(O59=1,"OK","Not OK")))</f>
        <v>OK</v>
      </c>
      <c r="Q59" s="654"/>
      <c r="R59" s="673">
        <f>D59*C57</f>
        <v>7.4999999999999997E-2</v>
      </c>
      <c r="S59" s="654"/>
      <c r="T59" s="654"/>
      <c r="U59" s="654"/>
      <c r="V59" s="654"/>
      <c r="W59" s="654"/>
      <c r="X59" s="654"/>
      <c r="Y59" s="478"/>
      <c r="Z59" s="478"/>
      <c r="AA59" s="478"/>
      <c r="AB59" s="478"/>
      <c r="AC59" s="478"/>
      <c r="AD59" s="478"/>
      <c r="AE59" s="478"/>
      <c r="AF59" s="478"/>
      <c r="AG59" s="478"/>
      <c r="AH59" s="478"/>
      <c r="AI59" s="478"/>
      <c r="AJ59" s="478"/>
      <c r="AK59" s="478"/>
      <c r="AL59" s="478"/>
      <c r="AM59" s="478"/>
      <c r="AN59" s="478"/>
      <c r="AO59" s="478"/>
      <c r="AP59" s="478"/>
      <c r="AQ59" s="478"/>
      <c r="AR59" s="478"/>
      <c r="AS59" s="478"/>
      <c r="AT59" s="478"/>
      <c r="AU59" s="478"/>
      <c r="AV59" s="478"/>
      <c r="AW59" s="478"/>
      <c r="AX59" s="478"/>
      <c r="AY59" s="478"/>
      <c r="AZ59" s="478"/>
      <c r="BA59" s="478"/>
      <c r="BB59" s="478"/>
    </row>
    <row r="60" spans="1:54" ht="17.149999999999999" customHeight="1" x14ac:dyDescent="0.35">
      <c r="A60" s="478"/>
      <c r="B60" s="1305" t="s">
        <v>439</v>
      </c>
      <c r="C60" s="874"/>
      <c r="D60" s="175" t="str">
        <f>IF(AND(C60=0,SUM(D61:D63)=0),"OK",IF(AND(C60&gt;0,SUM(D61:D63)=1),"OK","Not OK"))</f>
        <v>OK</v>
      </c>
      <c r="E60" s="924"/>
      <c r="F60" s="924"/>
      <c r="G60" s="924"/>
      <c r="H60" s="918"/>
      <c r="I60" s="495"/>
      <c r="J60" s="489"/>
      <c r="K60" s="479"/>
      <c r="L60" s="624"/>
      <c r="M60" s="629"/>
      <c r="N60" s="629"/>
      <c r="O60" s="921"/>
      <c r="P60" s="489"/>
      <c r="Q60" s="654"/>
      <c r="R60" s="654"/>
      <c r="S60" s="654"/>
      <c r="T60" s="654"/>
      <c r="U60" s="654"/>
      <c r="V60" s="654"/>
      <c r="W60" s="654"/>
      <c r="X60" s="654"/>
      <c r="Y60" s="478"/>
      <c r="Z60" s="478"/>
      <c r="AA60" s="478"/>
      <c r="AB60" s="478"/>
      <c r="AC60" s="478"/>
      <c r="AD60" s="478"/>
      <c r="AE60" s="478"/>
      <c r="AF60" s="478"/>
      <c r="AG60" s="478"/>
      <c r="AH60" s="478"/>
      <c r="AI60" s="478"/>
      <c r="AJ60" s="478"/>
      <c r="AK60" s="478"/>
      <c r="AL60" s="478"/>
      <c r="AM60" s="478"/>
      <c r="AN60" s="478"/>
      <c r="AO60" s="478"/>
      <c r="AP60" s="478"/>
      <c r="AQ60" s="478"/>
      <c r="AR60" s="478"/>
      <c r="AS60" s="478"/>
      <c r="AT60" s="478"/>
      <c r="AU60" s="478"/>
      <c r="AV60" s="478"/>
      <c r="AW60" s="478"/>
      <c r="AX60" s="478"/>
      <c r="AY60" s="478"/>
      <c r="AZ60" s="478"/>
      <c r="BA60" s="478"/>
      <c r="BB60" s="478"/>
    </row>
    <row r="61" spans="1:54" ht="17.149999999999999" customHeight="1" x14ac:dyDescent="0.35">
      <c r="A61" s="478"/>
      <c r="B61" s="482" t="s">
        <v>440</v>
      </c>
      <c r="C61" s="924"/>
      <c r="D61" s="874"/>
      <c r="E61" s="874"/>
      <c r="F61" s="874"/>
      <c r="G61" s="924"/>
      <c r="H61" s="492">
        <f>SUM(E61:G61)</f>
        <v>0</v>
      </c>
      <c r="I61" s="919" t="str">
        <f>IF(AND(D61=0,H61=0),"",IF(AND(D61&gt;0,H61=1),"OK","Not OK"))</f>
        <v/>
      </c>
      <c r="J61" s="489"/>
      <c r="K61" s="479"/>
      <c r="L61" s="626"/>
      <c r="M61" s="479"/>
      <c r="N61" s="479"/>
      <c r="O61" s="922"/>
      <c r="P61" s="489"/>
      <c r="Q61" s="654"/>
      <c r="R61" s="654"/>
      <c r="S61" s="654"/>
      <c r="T61" s="654"/>
      <c r="U61" s="654"/>
      <c r="V61" s="654"/>
      <c r="W61" s="654"/>
      <c r="X61" s="654"/>
      <c r="Y61" s="478"/>
      <c r="Z61" s="478"/>
      <c r="AA61" s="478"/>
      <c r="AB61" s="478"/>
      <c r="AC61" s="478"/>
      <c r="AD61" s="478"/>
      <c r="AE61" s="478"/>
      <c r="AF61" s="478"/>
      <c r="AG61" s="478"/>
      <c r="AH61" s="478"/>
      <c r="AI61" s="478"/>
      <c r="AJ61" s="478"/>
      <c r="AK61" s="478"/>
      <c r="AL61" s="478"/>
      <c r="AM61" s="478"/>
      <c r="AN61" s="478"/>
      <c r="AO61" s="478"/>
      <c r="AP61" s="478"/>
      <c r="AQ61" s="478"/>
      <c r="AR61" s="478"/>
      <c r="AS61" s="478"/>
      <c r="AT61" s="478"/>
      <c r="AU61" s="478"/>
      <c r="AV61" s="478"/>
      <c r="AW61" s="478"/>
      <c r="AX61" s="478"/>
      <c r="AY61" s="478"/>
      <c r="AZ61" s="478"/>
      <c r="BA61" s="478"/>
      <c r="BB61" s="478"/>
    </row>
    <row r="62" spans="1:54" ht="17.149999999999999" customHeight="1" x14ac:dyDescent="0.35">
      <c r="A62" s="478"/>
      <c r="B62" s="482" t="s">
        <v>441</v>
      </c>
      <c r="C62" s="924"/>
      <c r="D62" s="874"/>
      <c r="E62" s="874"/>
      <c r="F62" s="874"/>
      <c r="G62" s="924"/>
      <c r="H62" s="492">
        <f>SUM(E62:G62)</f>
        <v>0</v>
      </c>
      <c r="I62" s="919" t="str">
        <f>IF(AND(D62=0,H62=0),"",IF(AND(D62&gt;0,H62=1),"OK","Not OK"))</f>
        <v/>
      </c>
      <c r="J62" s="489"/>
      <c r="K62" s="479"/>
      <c r="L62" s="874"/>
      <c r="M62" s="874"/>
      <c r="N62" s="874"/>
      <c r="O62" s="493">
        <f>SUM(L62:N62)</f>
        <v>0</v>
      </c>
      <c r="P62" s="919" t="str">
        <f>IF(AND(D62=0,O62&gt;0),"Not OK",IF(AND(D62=0,O62=0),"",IF(O62=1,"OK","Not OK")))</f>
        <v/>
      </c>
      <c r="Q62" s="654"/>
      <c r="R62" s="673">
        <f>D62*C60</f>
        <v>0</v>
      </c>
      <c r="S62" s="654"/>
      <c r="T62" s="654"/>
      <c r="U62" s="654"/>
      <c r="V62" s="654"/>
      <c r="W62" s="654"/>
      <c r="X62" s="654"/>
      <c r="Y62" s="478"/>
      <c r="Z62" s="478"/>
      <c r="AA62" s="478"/>
      <c r="AB62" s="478"/>
      <c r="AC62" s="478"/>
      <c r="AD62" s="478"/>
      <c r="AE62" s="478"/>
      <c r="AF62" s="478"/>
      <c r="AG62" s="478"/>
      <c r="AH62" s="478"/>
      <c r="AI62" s="478"/>
      <c r="AJ62" s="478"/>
      <c r="AK62" s="478"/>
      <c r="AL62" s="478"/>
      <c r="AM62" s="478"/>
      <c r="AN62" s="478"/>
      <c r="AO62" s="478"/>
      <c r="AP62" s="478"/>
      <c r="AQ62" s="478"/>
      <c r="AR62" s="478"/>
      <c r="AS62" s="478"/>
      <c r="AT62" s="478"/>
      <c r="AU62" s="478"/>
      <c r="AV62" s="478"/>
      <c r="AW62" s="478"/>
      <c r="AX62" s="478"/>
      <c r="AY62" s="478"/>
      <c r="AZ62" s="478"/>
      <c r="BA62" s="478"/>
      <c r="BB62" s="478"/>
    </row>
    <row r="63" spans="1:54" ht="17.149999999999999" customHeight="1" x14ac:dyDescent="0.35">
      <c r="A63" s="478"/>
      <c r="B63" s="482" t="s">
        <v>442</v>
      </c>
      <c r="C63" s="924"/>
      <c r="D63" s="874"/>
      <c r="E63" s="874"/>
      <c r="F63" s="874"/>
      <c r="G63" s="874"/>
      <c r="H63" s="492">
        <f>SUM(E63:G63)</f>
        <v>0</v>
      </c>
      <c r="I63" s="919" t="str">
        <f>IF(AND(D63=0,H63=0),"",IF(AND(D63&gt;0,H63=1),"OK","Not OK"))</f>
        <v/>
      </c>
      <c r="J63" s="478"/>
      <c r="K63" s="630"/>
      <c r="L63" s="874"/>
      <c r="M63" s="874"/>
      <c r="N63" s="874"/>
      <c r="O63" s="493">
        <f>SUM(L63:N63)</f>
        <v>0</v>
      </c>
      <c r="P63" s="919" t="str">
        <f>IF(AND(D63=0,O63&gt;0),"Not OK",IF(AND(D63=0,O63=0),"",IF(O63=1,"OK","Not OK")))</f>
        <v/>
      </c>
      <c r="Q63" s="654"/>
      <c r="R63" s="673">
        <f>D63*C60</f>
        <v>0</v>
      </c>
      <c r="S63" s="654"/>
      <c r="T63" s="654"/>
      <c r="U63" s="654"/>
      <c r="V63" s="654"/>
      <c r="W63" s="654"/>
      <c r="X63" s="654"/>
      <c r="Y63" s="478"/>
      <c r="Z63" s="478"/>
      <c r="AA63" s="478"/>
      <c r="AB63" s="478"/>
      <c r="AC63" s="478"/>
      <c r="AD63" s="478"/>
      <c r="AE63" s="478"/>
      <c r="AF63" s="478"/>
      <c r="AG63" s="478"/>
      <c r="AH63" s="478"/>
      <c r="AI63" s="478"/>
      <c r="AJ63" s="478"/>
      <c r="AK63" s="478"/>
      <c r="AL63" s="478"/>
      <c r="AM63" s="478"/>
      <c r="AN63" s="478"/>
      <c r="AO63" s="478"/>
      <c r="AP63" s="478"/>
      <c r="AQ63" s="478"/>
      <c r="AR63" s="478"/>
      <c r="AS63" s="478"/>
      <c r="AT63" s="478"/>
      <c r="AU63" s="478"/>
      <c r="AV63" s="478"/>
      <c r="AW63" s="478"/>
      <c r="AX63" s="478"/>
      <c r="AY63" s="478"/>
      <c r="AZ63" s="478"/>
      <c r="BA63" s="478"/>
      <c r="BB63" s="478"/>
    </row>
    <row r="64" spans="1:54" ht="17.149999999999999" customHeight="1" x14ac:dyDescent="0.35">
      <c r="A64" s="478"/>
      <c r="B64" s="1305" t="s">
        <v>443</v>
      </c>
      <c r="C64" s="874">
        <v>0</v>
      </c>
      <c r="D64" s="494"/>
      <c r="E64" s="498"/>
      <c r="F64" s="498"/>
      <c r="G64" s="498"/>
      <c r="H64" s="488"/>
      <c r="I64" s="497"/>
      <c r="J64" s="489"/>
      <c r="K64" s="489"/>
      <c r="L64" s="498"/>
      <c r="M64" s="508"/>
      <c r="N64" s="508"/>
      <c r="O64" s="627"/>
      <c r="P64" s="489"/>
      <c r="Q64" s="654"/>
      <c r="R64" s="654"/>
      <c r="S64" s="654"/>
      <c r="T64" s="654"/>
      <c r="U64" s="654"/>
      <c r="V64" s="654"/>
      <c r="W64" s="654"/>
      <c r="X64" s="654"/>
      <c r="Y64" s="478"/>
      <c r="Z64" s="478"/>
      <c r="AA64" s="478"/>
      <c r="AB64" s="478"/>
      <c r="AC64" s="478"/>
      <c r="AD64" s="478"/>
      <c r="AE64" s="478"/>
      <c r="AF64" s="478"/>
      <c r="AG64" s="478"/>
      <c r="AH64" s="478"/>
      <c r="AI64" s="478"/>
      <c r="AJ64" s="478"/>
      <c r="AK64" s="478"/>
      <c r="AL64" s="478"/>
      <c r="AM64" s="478"/>
      <c r="AN64" s="478"/>
      <c r="AO64" s="478"/>
      <c r="AP64" s="478"/>
      <c r="AQ64" s="478"/>
      <c r="AR64" s="478"/>
      <c r="AS64" s="478"/>
      <c r="AT64" s="478"/>
      <c r="AU64" s="478"/>
      <c r="AV64" s="478"/>
      <c r="AW64" s="478"/>
      <c r="AX64" s="478"/>
      <c r="AY64" s="478"/>
      <c r="AZ64" s="478"/>
      <c r="BA64" s="478"/>
      <c r="BB64" s="478"/>
    </row>
    <row r="65" spans="1:54" ht="17.149999999999999" customHeight="1" x14ac:dyDescent="0.35">
      <c r="A65" s="478"/>
      <c r="B65" s="478"/>
      <c r="C65" s="486">
        <f>SUM(C55:C64)</f>
        <v>1</v>
      </c>
      <c r="D65" s="487">
        <f>(D58*C57)+(D62*C60)</f>
        <v>7.4999999999999997E-2</v>
      </c>
      <c r="E65" s="490" t="s">
        <v>444</v>
      </c>
      <c r="F65" s="497"/>
      <c r="G65" s="497"/>
      <c r="H65" s="497"/>
      <c r="I65" s="489"/>
      <c r="J65" s="478"/>
      <c r="K65" s="478"/>
      <c r="L65" s="478"/>
      <c r="M65" s="478"/>
      <c r="N65" s="478"/>
      <c r="O65" s="478"/>
      <c r="P65" s="478"/>
      <c r="Q65" s="654"/>
      <c r="R65" s="654"/>
      <c r="S65" s="654"/>
      <c r="T65" s="654"/>
      <c r="U65" s="654"/>
      <c r="V65" s="654"/>
      <c r="W65" s="654"/>
      <c r="X65" s="654"/>
      <c r="Y65" s="478"/>
      <c r="Z65" s="478"/>
      <c r="AA65" s="478"/>
      <c r="AB65" s="478"/>
      <c r="AC65" s="478"/>
      <c r="AD65" s="478"/>
      <c r="AE65" s="478"/>
      <c r="AF65" s="478"/>
      <c r="AG65" s="478"/>
      <c r="AH65" s="478"/>
      <c r="AI65" s="478"/>
      <c r="AJ65" s="478"/>
      <c r="AK65" s="478"/>
      <c r="AL65" s="478"/>
      <c r="AM65" s="478"/>
      <c r="AN65" s="478"/>
      <c r="AO65" s="478"/>
      <c r="AP65" s="478"/>
      <c r="AQ65" s="478"/>
      <c r="AR65" s="478"/>
      <c r="AS65" s="478"/>
      <c r="AT65" s="478"/>
      <c r="AU65" s="478"/>
      <c r="AV65" s="478"/>
      <c r="AW65" s="478"/>
      <c r="AX65" s="478"/>
      <c r="AY65" s="478"/>
      <c r="AZ65" s="478"/>
      <c r="BA65" s="478"/>
      <c r="BB65" s="478"/>
    </row>
    <row r="66" spans="1:54" ht="17.149999999999999" customHeight="1" x14ac:dyDescent="0.35">
      <c r="A66" s="478"/>
      <c r="B66" s="478"/>
      <c r="C66" s="174" t="str">
        <f>IF(C65=0,"",IF(C65=1,"OK","Not OK"))</f>
        <v>OK</v>
      </c>
      <c r="D66" s="487">
        <f>(D59*C57)+(D63*C60)</f>
        <v>7.4999999999999997E-2</v>
      </c>
      <c r="E66" s="490" t="s">
        <v>445</v>
      </c>
      <c r="F66" s="478"/>
      <c r="G66" s="478"/>
      <c r="H66" s="478"/>
      <c r="I66" s="478"/>
      <c r="J66" s="478"/>
      <c r="K66" s="478"/>
      <c r="L66" s="478"/>
      <c r="M66" s="478"/>
      <c r="N66" s="478"/>
      <c r="O66" s="478"/>
      <c r="P66" s="478"/>
      <c r="Q66" s="654"/>
      <c r="R66" s="654"/>
      <c r="S66" s="654"/>
      <c r="T66" s="654"/>
      <c r="U66" s="654"/>
      <c r="V66" s="654"/>
      <c r="W66" s="654"/>
      <c r="X66" s="654"/>
      <c r="Y66" s="478"/>
      <c r="Z66" s="478"/>
      <c r="AA66" s="478"/>
      <c r="AB66" s="478"/>
      <c r="AC66" s="478"/>
      <c r="AD66" s="478"/>
      <c r="AE66" s="478"/>
      <c r="AF66" s="478"/>
      <c r="AG66" s="478"/>
      <c r="AH66" s="478"/>
      <c r="AI66" s="478"/>
      <c r="AJ66" s="478"/>
      <c r="AK66" s="478"/>
      <c r="AL66" s="478"/>
      <c r="AM66" s="478"/>
      <c r="AN66" s="478"/>
      <c r="AO66" s="478"/>
      <c r="AP66" s="478"/>
      <c r="AQ66" s="478"/>
      <c r="AR66" s="478"/>
      <c r="AS66" s="478"/>
      <c r="AT66" s="478"/>
      <c r="AU66" s="478"/>
      <c r="AV66" s="478"/>
      <c r="AW66" s="478"/>
      <c r="AX66" s="478"/>
      <c r="AY66" s="478"/>
      <c r="AZ66" s="478"/>
      <c r="BA66" s="478"/>
      <c r="BB66" s="478"/>
    </row>
    <row r="67" spans="1:54" ht="17.149999999999999" customHeight="1" x14ac:dyDescent="0.35">
      <c r="A67" s="478"/>
      <c r="B67" s="478"/>
      <c r="C67" s="478"/>
      <c r="D67" s="478"/>
      <c r="E67" s="478"/>
      <c r="F67" s="478"/>
      <c r="G67" s="478"/>
      <c r="H67" s="478"/>
      <c r="I67" s="478"/>
      <c r="J67" s="478"/>
      <c r="K67" s="478"/>
      <c r="L67" s="478"/>
      <c r="M67" s="478"/>
      <c r="N67" s="478"/>
      <c r="O67" s="478"/>
      <c r="P67" s="478"/>
      <c r="Q67" s="654"/>
      <c r="R67" s="654"/>
      <c r="S67" s="654"/>
      <c r="T67" s="654"/>
      <c r="U67" s="654"/>
      <c r="V67" s="654"/>
      <c r="W67" s="654"/>
      <c r="X67" s="654"/>
      <c r="Y67" s="478"/>
      <c r="Z67" s="478"/>
      <c r="AA67" s="478"/>
      <c r="AB67" s="478"/>
      <c r="AC67" s="478"/>
      <c r="AD67" s="478"/>
      <c r="AE67" s="478"/>
      <c r="AF67" s="478"/>
      <c r="AG67" s="478"/>
      <c r="AH67" s="478"/>
      <c r="AI67" s="478"/>
      <c r="AJ67" s="478"/>
      <c r="AK67" s="478"/>
      <c r="AL67" s="478"/>
      <c r="AM67" s="478"/>
      <c r="AN67" s="478"/>
      <c r="AO67" s="478"/>
      <c r="AP67" s="478"/>
      <c r="AQ67" s="478"/>
      <c r="AR67" s="478"/>
      <c r="AS67" s="478"/>
      <c r="AT67" s="478"/>
      <c r="AU67" s="478"/>
      <c r="AV67" s="478"/>
      <c r="AW67" s="478"/>
      <c r="AX67" s="478"/>
      <c r="AY67" s="478"/>
      <c r="AZ67" s="478"/>
      <c r="BA67" s="478"/>
      <c r="BB67" s="478"/>
    </row>
    <row r="68" spans="1:54" ht="17.149999999999999" customHeight="1" x14ac:dyDescent="0.35">
      <c r="A68" s="478"/>
      <c r="B68" s="478"/>
      <c r="C68" s="478"/>
      <c r="D68" s="478"/>
      <c r="E68" s="478"/>
      <c r="F68" s="478"/>
      <c r="G68" s="478"/>
      <c r="H68" s="478"/>
      <c r="I68" s="478"/>
      <c r="J68" s="478"/>
      <c r="K68" s="478"/>
      <c r="L68" s="478"/>
      <c r="M68" s="478"/>
      <c r="N68" s="478"/>
      <c r="O68" s="478"/>
      <c r="P68" s="478"/>
      <c r="Q68" s="654"/>
      <c r="R68" s="654"/>
      <c r="S68" s="654"/>
      <c r="T68" s="654"/>
      <c r="U68" s="654"/>
      <c r="V68" s="654"/>
      <c r="W68" s="654"/>
      <c r="X68" s="654"/>
      <c r="Y68" s="478"/>
      <c r="Z68" s="478"/>
      <c r="AA68" s="478"/>
      <c r="AB68" s="478"/>
      <c r="AC68" s="478"/>
      <c r="AD68" s="478"/>
      <c r="AE68" s="478"/>
      <c r="AF68" s="478"/>
      <c r="AG68" s="478"/>
      <c r="AH68" s="478"/>
      <c r="AI68" s="478"/>
      <c r="AJ68" s="478"/>
      <c r="AK68" s="478"/>
      <c r="AL68" s="478"/>
      <c r="AM68" s="478"/>
      <c r="AN68" s="478"/>
      <c r="AO68" s="478"/>
      <c r="AP68" s="478"/>
      <c r="AQ68" s="478"/>
      <c r="AR68" s="478"/>
      <c r="AS68" s="478"/>
      <c r="AT68" s="478"/>
      <c r="AU68" s="478"/>
      <c r="AV68" s="478"/>
      <c r="AW68" s="478"/>
      <c r="AX68" s="478"/>
      <c r="AY68" s="478"/>
      <c r="AZ68" s="478"/>
      <c r="BA68" s="478"/>
      <c r="BB68" s="478"/>
    </row>
    <row r="69" spans="1:54" ht="17.149999999999999" customHeight="1" x14ac:dyDescent="0.35">
      <c r="A69" s="478"/>
      <c r="B69" s="1668" t="s">
        <v>455</v>
      </c>
      <c r="C69" s="1670" t="s">
        <v>456</v>
      </c>
      <c r="D69" s="1671"/>
      <c r="E69" s="1671"/>
      <c r="F69" s="1671"/>
      <c r="G69" s="1672"/>
      <c r="H69" s="509"/>
      <c r="I69" s="510"/>
      <c r="J69" s="510"/>
      <c r="K69" s="510"/>
      <c r="L69" s="1670" t="s">
        <v>457</v>
      </c>
      <c r="M69" s="1672"/>
      <c r="N69" s="1496" t="s">
        <v>458</v>
      </c>
      <c r="O69" s="1496" t="s">
        <v>459</v>
      </c>
      <c r="P69" s="478"/>
      <c r="Q69" s="654"/>
      <c r="R69" s="654"/>
      <c r="S69" s="654"/>
      <c r="T69" s="654"/>
      <c r="U69" s="654"/>
      <c r="V69" s="654"/>
      <c r="W69" s="654"/>
      <c r="X69" s="654"/>
      <c r="Y69" s="478"/>
      <c r="Z69" s="478"/>
      <c r="AA69" s="478"/>
      <c r="AB69" s="478"/>
      <c r="AC69" s="478"/>
      <c r="AD69" s="478"/>
      <c r="AE69" s="478"/>
      <c r="AF69" s="478"/>
      <c r="AG69" s="478"/>
      <c r="AH69" s="478"/>
      <c r="AI69" s="478"/>
      <c r="AJ69" s="478"/>
      <c r="AK69" s="478"/>
      <c r="AL69" s="478"/>
      <c r="AM69" s="478"/>
      <c r="AN69" s="478"/>
      <c r="AO69" s="478"/>
      <c r="AP69" s="478"/>
      <c r="AQ69" s="478"/>
      <c r="AR69" s="478"/>
      <c r="AS69" s="478"/>
      <c r="AT69" s="478"/>
      <c r="AU69" s="478"/>
      <c r="AV69" s="478"/>
      <c r="AW69" s="478"/>
      <c r="AX69" s="478"/>
      <c r="AY69" s="478"/>
      <c r="AZ69" s="478"/>
      <c r="BA69" s="478"/>
      <c r="BB69" s="478"/>
    </row>
    <row r="70" spans="1:54" ht="17.149999999999999" customHeight="1" x14ac:dyDescent="0.35">
      <c r="A70" s="478"/>
      <c r="B70" s="1668"/>
      <c r="C70" s="1680" t="s">
        <v>460</v>
      </c>
      <c r="D70" s="1673" t="s">
        <v>461</v>
      </c>
      <c r="E70" s="1674"/>
      <c r="F70" s="1675"/>
      <c r="G70" s="1660" t="s">
        <v>462</v>
      </c>
      <c r="H70" s="1663" t="s">
        <v>463</v>
      </c>
      <c r="I70" s="1664"/>
      <c r="J70" s="1664"/>
      <c r="K70" s="1665"/>
      <c r="L70" s="1683" t="s">
        <v>464</v>
      </c>
      <c r="M70" s="1660" t="s">
        <v>465</v>
      </c>
      <c r="N70" s="1660" t="s">
        <v>465</v>
      </c>
      <c r="O70" s="1666" t="s">
        <v>465</v>
      </c>
      <c r="P70" s="478"/>
      <c r="Q70" s="654"/>
      <c r="R70" s="654"/>
      <c r="S70" s="654"/>
      <c r="T70" s="654"/>
      <c r="U70" s="654"/>
      <c r="V70" s="654"/>
      <c r="W70" s="654"/>
      <c r="X70" s="654"/>
      <c r="Y70" s="478"/>
      <c r="Z70" s="478"/>
      <c r="AA70" s="478"/>
      <c r="AB70" s="478"/>
      <c r="AC70" s="478"/>
      <c r="AD70" s="478"/>
      <c r="AE70" s="478"/>
      <c r="AF70" s="478"/>
      <c r="AG70" s="478"/>
      <c r="AH70" s="478"/>
      <c r="AI70" s="478"/>
      <c r="AJ70" s="478"/>
      <c r="AK70" s="478"/>
      <c r="AL70" s="478"/>
      <c r="AM70" s="478"/>
      <c r="AN70" s="478"/>
      <c r="AO70" s="478"/>
      <c r="AP70" s="478"/>
      <c r="AQ70" s="478"/>
      <c r="AR70" s="478"/>
      <c r="AS70" s="478"/>
      <c r="AT70" s="478"/>
      <c r="AU70" s="478"/>
      <c r="AV70" s="478"/>
      <c r="AW70" s="478"/>
      <c r="AX70" s="478"/>
      <c r="AY70" s="478"/>
      <c r="AZ70" s="478"/>
      <c r="BA70" s="478"/>
      <c r="BB70" s="478"/>
    </row>
    <row r="71" spans="1:54" ht="17.149999999999999" customHeight="1" x14ac:dyDescent="0.35">
      <c r="A71" s="478"/>
      <c r="B71" s="1669"/>
      <c r="C71" s="1681"/>
      <c r="D71" s="1666" t="s">
        <v>223</v>
      </c>
      <c r="E71" s="1666"/>
      <c r="F71" s="1478" t="s">
        <v>466</v>
      </c>
      <c r="G71" s="1661"/>
      <c r="H71" s="1663"/>
      <c r="I71" s="1664"/>
      <c r="J71" s="1664"/>
      <c r="K71" s="1665"/>
      <c r="L71" s="1684"/>
      <c r="M71" s="1661"/>
      <c r="N71" s="1661"/>
      <c r="O71" s="1666"/>
      <c r="P71" s="478"/>
      <c r="Q71" s="654"/>
      <c r="R71" s="654"/>
      <c r="S71" s="654"/>
      <c r="T71" s="654"/>
      <c r="U71" s="654"/>
      <c r="V71" s="654"/>
      <c r="W71" s="654"/>
      <c r="X71" s="654"/>
      <c r="Y71" s="478"/>
      <c r="Z71" s="478"/>
      <c r="AA71" s="478"/>
      <c r="AB71" s="478"/>
      <c r="AC71" s="478"/>
      <c r="AD71" s="478"/>
      <c r="AE71" s="478"/>
      <c r="AF71" s="478"/>
      <c r="AG71" s="478"/>
      <c r="AH71" s="478"/>
      <c r="AI71" s="478"/>
      <c r="AJ71" s="478"/>
      <c r="AK71" s="478"/>
      <c r="AL71" s="478"/>
      <c r="AM71" s="478"/>
      <c r="AN71" s="478"/>
      <c r="AO71" s="478"/>
      <c r="AP71" s="478"/>
      <c r="AQ71" s="478"/>
      <c r="AR71" s="478"/>
      <c r="AS71" s="478"/>
      <c r="AT71" s="478"/>
      <c r="AU71" s="478"/>
      <c r="AV71" s="478"/>
      <c r="AW71" s="478"/>
      <c r="AX71" s="478"/>
      <c r="AY71" s="478"/>
      <c r="AZ71" s="478"/>
      <c r="BA71" s="478"/>
      <c r="BB71" s="478"/>
    </row>
    <row r="72" spans="1:54" ht="95.15" customHeight="1" x14ac:dyDescent="0.35">
      <c r="A72" s="478"/>
      <c r="B72" s="803"/>
      <c r="C72" s="800" t="s">
        <v>467</v>
      </c>
      <c r="D72" s="800" t="s">
        <v>468</v>
      </c>
      <c r="E72" s="800" t="s">
        <v>469</v>
      </c>
      <c r="F72" s="800" t="s">
        <v>470</v>
      </c>
      <c r="G72" s="1676"/>
      <c r="H72" s="1663" t="s">
        <v>471</v>
      </c>
      <c r="I72" s="1664"/>
      <c r="J72" s="1664"/>
      <c r="K72" s="1665"/>
      <c r="L72" s="1685"/>
      <c r="M72" s="1662"/>
      <c r="N72" s="1662"/>
      <c r="O72" s="1666"/>
      <c r="P72" s="478"/>
      <c r="Q72" s="654"/>
      <c r="R72" s="654"/>
      <c r="S72" s="654"/>
      <c r="T72" s="654"/>
      <c r="U72" s="654"/>
      <c r="V72" s="654"/>
      <c r="W72" s="654"/>
      <c r="X72" s="654"/>
      <c r="Y72" s="478"/>
      <c r="Z72" s="478"/>
      <c r="AA72" s="478"/>
      <c r="AB72" s="478"/>
      <c r="AC72" s="478"/>
      <c r="AD72" s="478"/>
      <c r="AE72" s="478"/>
      <c r="AF72" s="478"/>
      <c r="AG72" s="478"/>
      <c r="AH72" s="478"/>
      <c r="AI72" s="478"/>
      <c r="AJ72" s="478"/>
      <c r="AK72" s="478"/>
      <c r="AL72" s="478"/>
      <c r="AM72" s="478"/>
      <c r="AN72" s="478"/>
      <c r="AO72" s="478"/>
      <c r="AP72" s="478"/>
      <c r="AQ72" s="478"/>
      <c r="AR72" s="478"/>
      <c r="AS72" s="478"/>
      <c r="AT72" s="478"/>
      <c r="AU72" s="478"/>
      <c r="AV72" s="478"/>
      <c r="AW72" s="478"/>
      <c r="AX72" s="478"/>
      <c r="AY72" s="478"/>
      <c r="AZ72" s="478"/>
      <c r="BA72" s="478"/>
      <c r="BB72" s="478"/>
    </row>
    <row r="73" spans="1:54" ht="17.149999999999999" customHeight="1" x14ac:dyDescent="0.35">
      <c r="A73" s="478"/>
      <c r="B73" s="1303" t="s">
        <v>433</v>
      </c>
      <c r="C73" s="1304"/>
      <c r="D73" s="1304"/>
      <c r="E73" s="1304"/>
      <c r="F73" s="1304"/>
      <c r="G73" s="1304"/>
      <c r="H73" s="1298"/>
      <c r="I73" s="1223"/>
      <c r="J73" s="1223"/>
      <c r="K73" s="1299"/>
      <c r="L73" s="1304"/>
      <c r="M73" s="1304"/>
      <c r="N73" s="1304"/>
      <c r="O73" s="1304"/>
      <c r="P73" s="478"/>
      <c r="Q73" s="676"/>
      <c r="R73" s="654"/>
      <c r="S73" s="654"/>
      <c r="T73" s="654"/>
      <c r="U73" s="654"/>
      <c r="V73" s="654"/>
      <c r="W73" s="654"/>
      <c r="X73" s="654"/>
      <c r="Y73" s="478"/>
      <c r="Z73" s="478"/>
      <c r="AA73" s="478"/>
      <c r="AB73" s="478"/>
      <c r="AC73" s="478"/>
      <c r="AD73" s="478"/>
      <c r="AE73" s="478"/>
      <c r="AF73" s="478"/>
      <c r="AG73" s="478"/>
      <c r="AH73" s="478"/>
      <c r="AI73" s="478"/>
      <c r="AJ73" s="478"/>
      <c r="AK73" s="478"/>
      <c r="AL73" s="478"/>
      <c r="AM73" s="478"/>
      <c r="AN73" s="478"/>
      <c r="AO73" s="478"/>
      <c r="AP73" s="478"/>
      <c r="AQ73" s="478"/>
      <c r="AR73" s="478"/>
      <c r="AS73" s="478"/>
      <c r="AT73" s="478"/>
      <c r="AU73" s="478"/>
      <c r="AV73" s="478"/>
      <c r="AW73" s="478"/>
      <c r="AX73" s="478"/>
      <c r="AY73" s="478"/>
      <c r="AZ73" s="478"/>
      <c r="BA73" s="478"/>
      <c r="BB73" s="478"/>
    </row>
    <row r="74" spans="1:54" ht="17.149999999999999" customHeight="1" x14ac:dyDescent="0.35">
      <c r="A74" s="478"/>
      <c r="B74" s="817" t="s">
        <v>472</v>
      </c>
      <c r="C74" s="875">
        <v>0.2</v>
      </c>
      <c r="D74" s="875">
        <v>7</v>
      </c>
      <c r="E74" s="1345">
        <v>5</v>
      </c>
      <c r="F74" s="875">
        <f>108-C74-(D74*E74)</f>
        <v>72.8</v>
      </c>
      <c r="G74" s="511">
        <f>C74+(D74*E74)+F74</f>
        <v>108</v>
      </c>
      <c r="H74" s="1223">
        <f>G74/8*10</f>
        <v>135</v>
      </c>
      <c r="I74" s="489"/>
      <c r="J74" s="489"/>
      <c r="K74" s="1224"/>
      <c r="L74" s="801">
        <f>C74*2</f>
        <v>0.4</v>
      </c>
      <c r="M74" s="802">
        <f>IF(G74=0,0,L74/G74)</f>
        <v>3.7037037037037038E-3</v>
      </c>
      <c r="N74" s="802">
        <f>IF(G74=0,0,IF((G74-L74)/G74&lt;0,0,(G74-L74)/G74))</f>
        <v>0.99629629629629624</v>
      </c>
      <c r="O74" s="802">
        <v>1</v>
      </c>
      <c r="P74" s="478"/>
      <c r="Q74" s="654"/>
      <c r="R74" s="654"/>
      <c r="S74" s="654"/>
      <c r="T74" s="654"/>
      <c r="U74" s="654"/>
      <c r="V74" s="654"/>
      <c r="W74" s="654">
        <f>30/365</f>
        <v>8.2191780821917804E-2</v>
      </c>
      <c r="X74" s="654"/>
      <c r="Y74" s="478"/>
      <c r="Z74" s="478"/>
      <c r="AA74" s="478"/>
      <c r="AB74" s="478"/>
      <c r="AC74" s="478"/>
      <c r="AD74" s="478"/>
      <c r="AE74" s="478"/>
      <c r="AF74" s="478"/>
      <c r="AG74" s="478"/>
      <c r="AH74" s="478"/>
      <c r="AI74" s="478"/>
      <c r="AJ74" s="478"/>
      <c r="AK74" s="478"/>
      <c r="AL74" s="478"/>
      <c r="AM74" s="478"/>
      <c r="AN74" s="478"/>
      <c r="AO74" s="478"/>
      <c r="AP74" s="478"/>
      <c r="AQ74" s="478"/>
      <c r="AR74" s="478"/>
      <c r="AS74" s="478"/>
      <c r="AT74" s="478"/>
      <c r="AU74" s="478"/>
      <c r="AV74" s="478"/>
      <c r="AW74" s="478"/>
      <c r="AX74" s="478"/>
      <c r="AY74" s="478"/>
      <c r="AZ74" s="478"/>
      <c r="BA74" s="478"/>
      <c r="BB74" s="478"/>
    </row>
    <row r="75" spans="1:54" ht="17.149999999999999" customHeight="1" x14ac:dyDescent="0.35">
      <c r="A75" s="478"/>
      <c r="B75" s="482" t="s">
        <v>473</v>
      </c>
      <c r="C75" s="875">
        <v>0.2</v>
      </c>
      <c r="D75" s="875">
        <v>4</v>
      </c>
      <c r="E75" s="1345">
        <v>4</v>
      </c>
      <c r="F75" s="875">
        <f>72-C75-(D75*E75)</f>
        <v>55.8</v>
      </c>
      <c r="G75" s="511">
        <f>C75+(D75*E75)+F75</f>
        <v>72</v>
      </c>
      <c r="H75" s="1223">
        <f>G75/8*10</f>
        <v>90</v>
      </c>
      <c r="I75" s="1223"/>
      <c r="J75" s="1223"/>
      <c r="K75" s="1224"/>
      <c r="L75" s="801">
        <f>C75*2</f>
        <v>0.4</v>
      </c>
      <c r="M75" s="802">
        <f>IF(G75=0,0,L75/G75)</f>
        <v>5.5555555555555558E-3</v>
      </c>
      <c r="N75" s="802">
        <f>IF(G75=0,0,IF((G75-L75)/G75&lt;0,0,(G75-L75)/G75))</f>
        <v>0.99444444444444435</v>
      </c>
      <c r="O75" s="802">
        <v>1</v>
      </c>
      <c r="P75" s="478"/>
      <c r="Q75" s="654"/>
      <c r="R75" s="654"/>
      <c r="S75" s="654"/>
      <c r="T75" s="654"/>
      <c r="U75" s="654"/>
      <c r="V75" s="654"/>
      <c r="W75" s="654"/>
      <c r="X75" s="654"/>
      <c r="Y75" s="478"/>
      <c r="Z75" s="478"/>
      <c r="AA75" s="478"/>
      <c r="AB75" s="478"/>
      <c r="AC75" s="478"/>
      <c r="AD75" s="478"/>
      <c r="AE75" s="478"/>
      <c r="AF75" s="478"/>
      <c r="AG75" s="478"/>
      <c r="AH75" s="478"/>
      <c r="AI75" s="478"/>
      <c r="AJ75" s="478"/>
      <c r="AK75" s="478"/>
      <c r="AL75" s="478"/>
      <c r="AM75" s="478"/>
      <c r="AN75" s="478"/>
      <c r="AO75" s="478"/>
      <c r="AP75" s="478"/>
      <c r="AQ75" s="478"/>
      <c r="AR75" s="478"/>
      <c r="AS75" s="478"/>
      <c r="AT75" s="478"/>
      <c r="AU75" s="478"/>
      <c r="AV75" s="478"/>
      <c r="AW75" s="478"/>
      <c r="AX75" s="478"/>
      <c r="AY75" s="478"/>
      <c r="AZ75" s="478"/>
      <c r="BA75" s="478"/>
      <c r="BB75" s="478"/>
    </row>
    <row r="76" spans="1:54" ht="17.149999999999999" customHeight="1" x14ac:dyDescent="0.35">
      <c r="A76" s="478"/>
      <c r="B76" s="1303" t="s">
        <v>474</v>
      </c>
      <c r="C76" s="1304"/>
      <c r="D76" s="1304"/>
      <c r="E76" s="1304"/>
      <c r="F76" s="1304"/>
      <c r="G76" s="1304"/>
      <c r="H76" s="1222"/>
      <c r="I76" s="489"/>
      <c r="J76" s="489"/>
      <c r="K76" s="1224"/>
      <c r="L76" s="1304"/>
      <c r="M76" s="1304"/>
      <c r="N76" s="1304"/>
      <c r="O76" s="1304"/>
      <c r="P76" s="478"/>
      <c r="Q76" s="676"/>
      <c r="R76" s="654"/>
      <c r="S76" s="654"/>
      <c r="T76" s="654"/>
      <c r="U76" s="654"/>
      <c r="V76" s="654"/>
      <c r="W76" s="654"/>
      <c r="X76" s="654"/>
      <c r="Y76" s="478"/>
      <c r="Z76" s="478"/>
      <c r="AA76" s="478"/>
      <c r="AB76" s="478"/>
      <c r="AC76" s="478"/>
      <c r="AD76" s="478"/>
      <c r="AE76" s="478"/>
      <c r="AF76" s="478"/>
      <c r="AG76" s="478"/>
      <c r="AH76" s="478"/>
      <c r="AI76" s="478"/>
      <c r="AJ76" s="478"/>
      <c r="AK76" s="478"/>
      <c r="AL76" s="478"/>
      <c r="AM76" s="478"/>
      <c r="AN76" s="478"/>
      <c r="AO76" s="478"/>
      <c r="AP76" s="478"/>
      <c r="AQ76" s="478"/>
      <c r="AR76" s="478"/>
      <c r="AS76" s="478"/>
      <c r="AT76" s="478"/>
      <c r="AU76" s="478"/>
      <c r="AV76" s="478"/>
      <c r="AW76" s="478"/>
      <c r="AX76" s="478"/>
      <c r="AY76" s="478"/>
      <c r="AZ76" s="478"/>
      <c r="BA76" s="478"/>
      <c r="BB76" s="478"/>
    </row>
    <row r="77" spans="1:54" ht="17.149999999999999" customHeight="1" x14ac:dyDescent="0.35">
      <c r="A77" s="478"/>
      <c r="B77" s="482" t="s">
        <v>475</v>
      </c>
      <c r="C77" s="875"/>
      <c r="D77" s="1141"/>
      <c r="E77" s="1346"/>
      <c r="F77" s="1141"/>
      <c r="G77" s="511">
        <f>C77+(D77*E77)+F77</f>
        <v>0</v>
      </c>
      <c r="H77" s="1222"/>
      <c r="I77" s="1223"/>
      <c r="J77" s="1223"/>
      <c r="K77" s="1224"/>
      <c r="L77" s="801">
        <f>C77*2</f>
        <v>0</v>
      </c>
      <c r="M77" s="802">
        <f>IF(G77=0,0,L77/G77)</f>
        <v>0</v>
      </c>
      <c r="N77" s="802">
        <f>IF(G77=0,0,IF((G77-L77)/G77&lt;0,0,(G77-L77)/G77))</f>
        <v>0</v>
      </c>
      <c r="O77" s="802">
        <v>1</v>
      </c>
      <c r="P77" s="478"/>
      <c r="Q77" s="654"/>
      <c r="R77" s="654"/>
      <c r="S77" s="654"/>
      <c r="T77" s="654"/>
      <c r="U77" s="654"/>
      <c r="V77" s="654"/>
      <c r="W77" s="654"/>
      <c r="X77" s="654"/>
      <c r="Y77" s="478"/>
      <c r="Z77" s="478"/>
      <c r="AA77" s="478"/>
      <c r="AB77" s="478"/>
      <c r="AC77" s="478"/>
      <c r="AD77" s="478"/>
      <c r="AE77" s="478"/>
      <c r="AF77" s="478"/>
      <c r="AG77" s="478"/>
      <c r="AH77" s="478"/>
      <c r="AI77" s="478"/>
      <c r="AJ77" s="478"/>
      <c r="AK77" s="478"/>
      <c r="AL77" s="478"/>
      <c r="AM77" s="478"/>
      <c r="AN77" s="478"/>
      <c r="AO77" s="478"/>
      <c r="AP77" s="478"/>
      <c r="AQ77" s="478"/>
      <c r="AR77" s="478"/>
      <c r="AS77" s="478"/>
      <c r="AT77" s="478"/>
      <c r="AU77" s="478"/>
      <c r="AV77" s="478"/>
      <c r="AW77" s="478"/>
      <c r="AX77" s="478"/>
      <c r="AY77" s="478"/>
      <c r="AZ77" s="478"/>
      <c r="BA77" s="478"/>
      <c r="BB77" s="478"/>
    </row>
    <row r="78" spans="1:54" ht="17.149999999999999" customHeight="1" x14ac:dyDescent="0.35">
      <c r="A78" s="478"/>
      <c r="B78" s="482" t="s">
        <v>476</v>
      </c>
      <c r="C78" s="875"/>
      <c r="D78" s="1141"/>
      <c r="E78" s="1346"/>
      <c r="F78" s="1141"/>
      <c r="G78" s="511">
        <f>C78+(D78*E78)+F78</f>
        <v>0</v>
      </c>
      <c r="H78" s="510"/>
      <c r="I78" s="489"/>
      <c r="J78" s="489"/>
      <c r="K78" s="489"/>
      <c r="L78" s="801">
        <f>C78*2</f>
        <v>0</v>
      </c>
      <c r="M78" s="802">
        <f>IF(G78=0,0,L78/G78)</f>
        <v>0</v>
      </c>
      <c r="N78" s="802">
        <f>IF(G78=0,0,IF((G78-L78)/G78&lt;0,0,(G78-L78)/G78))</f>
        <v>0</v>
      </c>
      <c r="O78" s="802">
        <v>1</v>
      </c>
      <c r="P78" s="478"/>
      <c r="Q78" s="478"/>
      <c r="R78" s="478"/>
      <c r="S78" s="478"/>
      <c r="T78" s="478"/>
      <c r="U78" s="478"/>
      <c r="V78" s="478"/>
      <c r="W78" s="478"/>
      <c r="X78" s="478"/>
      <c r="Y78" s="478"/>
      <c r="Z78" s="478"/>
      <c r="AA78" s="478"/>
      <c r="AB78" s="478"/>
      <c r="AC78" s="478"/>
      <c r="AD78" s="478"/>
      <c r="AE78" s="478"/>
      <c r="AF78" s="478"/>
      <c r="AG78" s="478"/>
      <c r="AH78" s="478"/>
      <c r="AI78" s="478"/>
      <c r="AJ78" s="478"/>
      <c r="AK78" s="478"/>
      <c r="AL78" s="478"/>
      <c r="AM78" s="478"/>
      <c r="AN78" s="478"/>
      <c r="AO78" s="478"/>
      <c r="AP78" s="478"/>
      <c r="AQ78" s="478"/>
      <c r="AR78" s="478"/>
      <c r="AS78" s="478"/>
      <c r="AT78" s="478"/>
      <c r="AU78" s="478"/>
      <c r="AV78" s="478"/>
      <c r="AW78" s="478"/>
      <c r="AX78" s="478"/>
      <c r="AY78" s="478"/>
      <c r="AZ78" s="478"/>
      <c r="BA78" s="478"/>
      <c r="BB78" s="478"/>
    </row>
    <row r="79" spans="1:54" ht="17.149999999999999" customHeight="1" x14ac:dyDescent="0.35">
      <c r="A79" s="478"/>
      <c r="B79" s="1305" t="s">
        <v>435</v>
      </c>
      <c r="C79" s="1304"/>
      <c r="D79" s="1304"/>
      <c r="E79" s="1304"/>
      <c r="F79" s="1304"/>
      <c r="G79" s="1304"/>
      <c r="H79" s="510"/>
      <c r="I79" s="489"/>
      <c r="J79" s="489"/>
      <c r="K79" s="489"/>
      <c r="L79" s="1304"/>
      <c r="M79" s="1304"/>
      <c r="N79" s="1304"/>
      <c r="O79" s="1304"/>
      <c r="P79" s="478"/>
      <c r="Q79" s="489"/>
      <c r="R79" s="478"/>
      <c r="S79" s="478"/>
      <c r="T79" s="478"/>
      <c r="U79" s="478"/>
      <c r="V79" s="478"/>
      <c r="W79" s="478"/>
      <c r="X79" s="478"/>
      <c r="Y79" s="478"/>
      <c r="Z79" s="478"/>
      <c r="AA79" s="478"/>
      <c r="AB79" s="478"/>
      <c r="AC79" s="478"/>
      <c r="AD79" s="478"/>
      <c r="AE79" s="478"/>
      <c r="AF79" s="478"/>
      <c r="AG79" s="478"/>
      <c r="AH79" s="478"/>
      <c r="AI79" s="478"/>
      <c r="AJ79" s="478"/>
      <c r="AK79" s="478"/>
      <c r="AL79" s="478"/>
      <c r="AM79" s="478"/>
      <c r="AN79" s="478"/>
      <c r="AO79" s="478"/>
      <c r="AP79" s="478"/>
      <c r="AQ79" s="478"/>
      <c r="AR79" s="478"/>
      <c r="AS79" s="478"/>
      <c r="AT79" s="478"/>
      <c r="AU79" s="478"/>
      <c r="AV79" s="478"/>
      <c r="AW79" s="478"/>
      <c r="AX79" s="478"/>
      <c r="AY79" s="478"/>
      <c r="AZ79" s="478"/>
      <c r="BA79" s="478"/>
      <c r="BB79" s="478"/>
    </row>
    <row r="80" spans="1:54" ht="17.149999999999999" customHeight="1" x14ac:dyDescent="0.35">
      <c r="A80" s="478"/>
      <c r="B80" s="482" t="s">
        <v>477</v>
      </c>
      <c r="C80" s="875">
        <v>0.2</v>
      </c>
      <c r="D80" s="875">
        <v>7</v>
      </c>
      <c r="E80" s="1345">
        <v>5</v>
      </c>
      <c r="F80" s="875">
        <f>72-C80-(D80*E80)</f>
        <v>36.799999999999997</v>
      </c>
      <c r="G80" s="511">
        <f>C80+(D80*E80)+F80</f>
        <v>72</v>
      </c>
      <c r="H80" s="1223"/>
      <c r="I80" s="489"/>
      <c r="J80" s="489"/>
      <c r="K80" s="489"/>
      <c r="L80" s="801">
        <f>C80*2</f>
        <v>0.4</v>
      </c>
      <c r="M80" s="802">
        <f>IF(G80=0,0,L80/G80)</f>
        <v>5.5555555555555558E-3</v>
      </c>
      <c r="N80" s="802">
        <f>IF(G80=0,0,IF((G80-L80)/G80&lt;0,0,(G80-L80)/G80))</f>
        <v>0.99444444444444435</v>
      </c>
      <c r="O80" s="802">
        <v>1</v>
      </c>
      <c r="P80" s="478"/>
      <c r="Q80" s="478"/>
      <c r="R80" s="478"/>
      <c r="S80" s="478"/>
      <c r="T80" s="478"/>
      <c r="U80" s="478"/>
      <c r="V80" s="478"/>
      <c r="W80" s="478"/>
      <c r="X80" s="478"/>
      <c r="Y80" s="478"/>
      <c r="Z80" s="478"/>
      <c r="AA80" s="478"/>
      <c r="AB80" s="478"/>
      <c r="AC80" s="478"/>
      <c r="AD80" s="478"/>
      <c r="AE80" s="478"/>
      <c r="AF80" s="478"/>
      <c r="AG80" s="478"/>
      <c r="AH80" s="478"/>
      <c r="AI80" s="478"/>
      <c r="AJ80" s="478"/>
      <c r="AK80" s="478"/>
      <c r="AL80" s="478"/>
      <c r="AM80" s="478"/>
      <c r="AN80" s="478"/>
      <c r="AO80" s="478"/>
      <c r="AP80" s="478"/>
      <c r="AQ80" s="478"/>
      <c r="AR80" s="478"/>
      <c r="AS80" s="478"/>
      <c r="AT80" s="478"/>
      <c r="AU80" s="478"/>
      <c r="AV80" s="478"/>
      <c r="AW80" s="478"/>
      <c r="AX80" s="478"/>
      <c r="AY80" s="478"/>
      <c r="AZ80" s="478"/>
      <c r="BA80" s="478"/>
      <c r="BB80" s="478"/>
    </row>
    <row r="81" spans="1:54" ht="17.149999999999999" customHeight="1" x14ac:dyDescent="0.35">
      <c r="A81" s="478"/>
      <c r="B81" s="482" t="s">
        <v>478</v>
      </c>
      <c r="C81" s="875">
        <v>0.2</v>
      </c>
      <c r="D81" s="875">
        <v>4</v>
      </c>
      <c r="E81" s="1345">
        <v>4</v>
      </c>
      <c r="F81" s="875">
        <v>0</v>
      </c>
      <c r="G81" s="511">
        <f>C81+(D81*E81)+F81</f>
        <v>16.2</v>
      </c>
      <c r="H81" s="1223"/>
      <c r="I81" s="489"/>
      <c r="J81" s="489"/>
      <c r="K81" s="489"/>
      <c r="L81" s="801">
        <f>C81*2</f>
        <v>0.4</v>
      </c>
      <c r="M81" s="802">
        <f>IF(G81=0,0,L81/G81)</f>
        <v>2.469135802469136E-2</v>
      </c>
      <c r="N81" s="802">
        <f>IF(G81=0,0,IF((G81-L81)/G81&lt;0,0,(G81-L81)/G81))</f>
        <v>0.97530864197530864</v>
      </c>
      <c r="O81" s="802">
        <v>1</v>
      </c>
      <c r="P81" s="478"/>
      <c r="Q81" s="478"/>
      <c r="R81" s="478"/>
      <c r="S81" s="478"/>
      <c r="T81" s="478"/>
      <c r="U81" s="478"/>
      <c r="V81" s="478"/>
      <c r="W81" s="478"/>
      <c r="X81" s="478"/>
      <c r="Y81" s="478"/>
      <c r="Z81" s="478"/>
      <c r="AA81" s="478"/>
      <c r="AB81" s="478"/>
      <c r="AC81" s="478"/>
      <c r="AD81" s="478"/>
      <c r="AE81" s="478"/>
      <c r="AF81" s="478"/>
      <c r="AG81" s="478"/>
      <c r="AH81" s="478"/>
      <c r="AI81" s="478"/>
      <c r="AJ81" s="478"/>
      <c r="AK81" s="478"/>
      <c r="AL81" s="478"/>
      <c r="AM81" s="478"/>
      <c r="AN81" s="478"/>
      <c r="AO81" s="478"/>
      <c r="AP81" s="478"/>
      <c r="AQ81" s="478"/>
      <c r="AR81" s="478"/>
      <c r="AS81" s="478"/>
      <c r="AT81" s="478"/>
      <c r="AU81" s="478"/>
      <c r="AV81" s="478"/>
      <c r="AW81" s="478"/>
      <c r="AX81" s="478"/>
      <c r="AY81" s="478"/>
      <c r="AZ81" s="478"/>
      <c r="BA81" s="478"/>
      <c r="BB81" s="478"/>
    </row>
    <row r="82" spans="1:54" ht="17.149999999999999" customHeight="1" x14ac:dyDescent="0.35">
      <c r="A82" s="478"/>
      <c r="B82" s="482" t="s">
        <v>479</v>
      </c>
      <c r="C82" s="875"/>
      <c r="D82" s="875"/>
      <c r="E82" s="875"/>
      <c r="F82" s="1344"/>
      <c r="G82" s="511">
        <f>C82+(D82*E82)+F82</f>
        <v>0</v>
      </c>
      <c r="H82" s="510"/>
      <c r="I82" s="489"/>
      <c r="J82" s="489"/>
      <c r="K82" s="489"/>
      <c r="L82" s="801">
        <f>C82*2</f>
        <v>0</v>
      </c>
      <c r="M82" s="802">
        <f>IF(G82=0,0,IF(L82/G82&gt;1,1,L82/G82))</f>
        <v>0</v>
      </c>
      <c r="N82" s="802">
        <f>IF(G82=0,0,IF((G82-L82)/G82&lt;0,0,(G82-L82)/G82))</f>
        <v>0</v>
      </c>
      <c r="O82" s="802">
        <v>1</v>
      </c>
      <c r="P82" s="478"/>
      <c r="Q82" s="478"/>
      <c r="R82" s="478"/>
      <c r="S82" s="478"/>
      <c r="T82" s="478"/>
      <c r="U82" s="478"/>
      <c r="V82" s="478"/>
      <c r="W82" s="478"/>
      <c r="X82" s="478"/>
      <c r="Y82" s="478"/>
      <c r="Z82" s="478"/>
      <c r="AA82" s="478"/>
      <c r="AB82" s="478"/>
      <c r="AC82" s="478"/>
      <c r="AD82" s="478"/>
      <c r="AE82" s="478"/>
      <c r="AF82" s="478"/>
      <c r="AG82" s="478"/>
      <c r="AH82" s="478"/>
      <c r="AI82" s="478"/>
      <c r="AJ82" s="478"/>
      <c r="AK82" s="478"/>
      <c r="AL82" s="478"/>
      <c r="AM82" s="478"/>
      <c r="AN82" s="478"/>
      <c r="AO82" s="478"/>
      <c r="AP82" s="478"/>
      <c r="AQ82" s="478"/>
      <c r="AR82" s="478"/>
      <c r="AS82" s="478"/>
      <c r="AT82" s="478"/>
      <c r="AU82" s="478"/>
      <c r="AV82" s="478"/>
      <c r="AW82" s="478"/>
      <c r="AX82" s="478"/>
      <c r="AY82" s="478"/>
      <c r="AZ82" s="478"/>
      <c r="BA82" s="478"/>
      <c r="BB82" s="478"/>
    </row>
    <row r="83" spans="1:54" ht="17.149999999999999" customHeight="1" x14ac:dyDescent="0.35">
      <c r="A83" s="478"/>
      <c r="B83" s="1305" t="s">
        <v>439</v>
      </c>
      <c r="C83" s="1304"/>
      <c r="D83" s="1304"/>
      <c r="E83" s="1304"/>
      <c r="F83" s="1304"/>
      <c r="G83" s="1304"/>
      <c r="H83" s="510"/>
      <c r="I83" s="489"/>
      <c r="J83" s="489"/>
      <c r="K83" s="489"/>
      <c r="L83" s="1304"/>
      <c r="M83" s="1304"/>
      <c r="N83" s="1304"/>
      <c r="O83" s="1304"/>
      <c r="P83" s="478"/>
      <c r="Q83" s="489"/>
      <c r="R83" s="478"/>
      <c r="S83" s="478"/>
      <c r="T83" s="478"/>
      <c r="U83" s="478"/>
      <c r="V83" s="478"/>
      <c r="W83" s="478"/>
      <c r="X83" s="478"/>
      <c r="Y83" s="478"/>
      <c r="Z83" s="478"/>
      <c r="AA83" s="478"/>
      <c r="AB83" s="478"/>
      <c r="AC83" s="478"/>
      <c r="AD83" s="478"/>
      <c r="AE83" s="478"/>
      <c r="AF83" s="478"/>
      <c r="AG83" s="478"/>
      <c r="AH83" s="478"/>
      <c r="AI83" s="478"/>
      <c r="AJ83" s="478"/>
      <c r="AK83" s="478"/>
      <c r="AL83" s="478"/>
      <c r="AM83" s="478"/>
      <c r="AN83" s="478"/>
      <c r="AO83" s="478"/>
      <c r="AP83" s="478"/>
      <c r="AQ83" s="478"/>
      <c r="AR83" s="478"/>
      <c r="AS83" s="478"/>
      <c r="AT83" s="478"/>
      <c r="AU83" s="478"/>
      <c r="AV83" s="478"/>
      <c r="AW83" s="478"/>
      <c r="AX83" s="478"/>
      <c r="AY83" s="478"/>
      <c r="AZ83" s="478"/>
      <c r="BA83" s="478"/>
      <c r="BB83" s="478"/>
    </row>
    <row r="84" spans="1:54" ht="17.149999999999999" customHeight="1" x14ac:dyDescent="0.35">
      <c r="A84" s="478"/>
      <c r="B84" s="482" t="s">
        <v>480</v>
      </c>
      <c r="C84" s="875"/>
      <c r="D84" s="875"/>
      <c r="E84" s="1345"/>
      <c r="F84" s="875"/>
      <c r="G84" s="511">
        <f>C84+(D84*E84)+F84</f>
        <v>0</v>
      </c>
      <c r="H84" s="510"/>
      <c r="I84" s="489"/>
      <c r="J84" s="489"/>
      <c r="K84" s="489"/>
      <c r="L84" s="801">
        <f>C84*2</f>
        <v>0</v>
      </c>
      <c r="M84" s="802">
        <f>IF(G84=0,0,L84/G84)</f>
        <v>0</v>
      </c>
      <c r="N84" s="802">
        <f>IF(G84=0,0,IF((G84-L84)/G84&lt;0,0,(G84-L84)/G84))</f>
        <v>0</v>
      </c>
      <c r="O84" s="802">
        <v>1</v>
      </c>
      <c r="P84" s="478"/>
      <c r="Q84" s="478"/>
      <c r="R84" s="478"/>
      <c r="S84" s="478"/>
      <c r="T84" s="478"/>
      <c r="U84" s="478"/>
      <c r="V84" s="478"/>
      <c r="W84" s="478"/>
      <c r="X84" s="478"/>
      <c r="Y84" s="478"/>
      <c r="Z84" s="478"/>
      <c r="AA84" s="478"/>
      <c r="AB84" s="478"/>
      <c r="AC84" s="478"/>
      <c r="AD84" s="478"/>
      <c r="AE84" s="478"/>
      <c r="AF84" s="478"/>
      <c r="AG84" s="478"/>
      <c r="AH84" s="478"/>
      <c r="AI84" s="478"/>
      <c r="AJ84" s="478"/>
      <c r="AK84" s="478"/>
      <c r="AL84" s="478"/>
      <c r="AM84" s="478"/>
      <c r="AN84" s="478"/>
      <c r="AO84" s="478"/>
      <c r="AP84" s="478"/>
      <c r="AQ84" s="478"/>
      <c r="AR84" s="478"/>
      <c r="AS84" s="478"/>
      <c r="AT84" s="478"/>
      <c r="AU84" s="478"/>
      <c r="AV84" s="478"/>
      <c r="AW84" s="478"/>
      <c r="AX84" s="478"/>
      <c r="AY84" s="478"/>
      <c r="AZ84" s="478"/>
      <c r="BA84" s="478"/>
      <c r="BB84" s="478"/>
    </row>
    <row r="85" spans="1:54" ht="17.149999999999999" customHeight="1" x14ac:dyDescent="0.35">
      <c r="A85" s="478"/>
      <c r="B85" s="482" t="s">
        <v>481</v>
      </c>
      <c r="C85" s="875">
        <v>0.2</v>
      </c>
      <c r="D85" s="875">
        <v>4</v>
      </c>
      <c r="E85" s="1345">
        <v>4</v>
      </c>
      <c r="F85" s="875">
        <v>10</v>
      </c>
      <c r="G85" s="511">
        <f>C85+(D85*E85)+F85</f>
        <v>26.2</v>
      </c>
      <c r="H85" s="510"/>
      <c r="I85" s="489"/>
      <c r="J85" s="489"/>
      <c r="K85" s="489"/>
      <c r="L85" s="801">
        <f>C85*2</f>
        <v>0.4</v>
      </c>
      <c r="M85" s="802">
        <f>IF(G85=0,0,L85/G85)</f>
        <v>1.5267175572519085E-2</v>
      </c>
      <c r="N85" s="802">
        <f>IF(G85=0,0,IF((G85-L85)/G85&lt;0,0,(G85-L85)/G85))</f>
        <v>0.984732824427481</v>
      </c>
      <c r="O85" s="802">
        <v>1</v>
      </c>
      <c r="P85" s="478"/>
      <c r="Q85" s="478"/>
      <c r="R85" s="478"/>
      <c r="S85" s="478"/>
      <c r="T85" s="478"/>
      <c r="U85" s="478"/>
      <c r="V85" s="478"/>
      <c r="W85" s="478"/>
      <c r="X85" s="478"/>
      <c r="Y85" s="478"/>
      <c r="Z85" s="478"/>
      <c r="AA85" s="478"/>
      <c r="AB85" s="478"/>
      <c r="AC85" s="478"/>
      <c r="AD85" s="478"/>
      <c r="AE85" s="478"/>
      <c r="AF85" s="478"/>
      <c r="AG85" s="478"/>
      <c r="AH85" s="478"/>
      <c r="AI85" s="478"/>
      <c r="AJ85" s="478"/>
      <c r="AK85" s="478"/>
      <c r="AL85" s="478"/>
      <c r="AM85" s="478"/>
      <c r="AN85" s="478"/>
      <c r="AO85" s="478"/>
      <c r="AP85" s="478"/>
      <c r="AQ85" s="478"/>
      <c r="AR85" s="478"/>
      <c r="AS85" s="478"/>
      <c r="AT85" s="478"/>
      <c r="AU85" s="478"/>
      <c r="AV85" s="478"/>
      <c r="AW85" s="478"/>
      <c r="AX85" s="478"/>
      <c r="AY85" s="478"/>
      <c r="AZ85" s="478"/>
      <c r="BA85" s="478"/>
      <c r="BB85" s="478"/>
    </row>
    <row r="86" spans="1:54" ht="17.149999999999999" customHeight="1" x14ac:dyDescent="0.35">
      <c r="A86" s="478"/>
      <c r="B86" s="482" t="s">
        <v>482</v>
      </c>
      <c r="C86" s="875"/>
      <c r="D86" s="802"/>
      <c r="E86" s="1347"/>
      <c r="F86" s="802"/>
      <c r="G86" s="511">
        <f>C86+(D86*E86)+F86</f>
        <v>0</v>
      </c>
      <c r="H86" s="510"/>
      <c r="I86" s="489"/>
      <c r="J86" s="489"/>
      <c r="K86" s="489"/>
      <c r="L86" s="801">
        <f>C86*2</f>
        <v>0</v>
      </c>
      <c r="M86" s="802">
        <f>IF(G86=0,0,L86/G86)</f>
        <v>0</v>
      </c>
      <c r="N86" s="802">
        <f>IF(G86=0,0,IF((G86-L86)/G86&lt;0,0,(G86-L86)/G86))</f>
        <v>0</v>
      </c>
      <c r="O86" s="802">
        <v>1</v>
      </c>
      <c r="P86" s="478"/>
      <c r="Q86" s="478"/>
      <c r="R86" s="478"/>
      <c r="S86" s="478"/>
      <c r="T86" s="478"/>
      <c r="U86" s="478"/>
      <c r="V86" s="478"/>
      <c r="W86" s="478"/>
      <c r="X86" s="478"/>
      <c r="Y86" s="478"/>
      <c r="Z86" s="478"/>
      <c r="AA86" s="478"/>
      <c r="AB86" s="478"/>
      <c r="AC86" s="478"/>
      <c r="AD86" s="478"/>
      <c r="AE86" s="478"/>
      <c r="AF86" s="478"/>
      <c r="AG86" s="478"/>
      <c r="AH86" s="478"/>
      <c r="AI86" s="478"/>
      <c r="AJ86" s="478"/>
      <c r="AK86" s="478"/>
      <c r="AL86" s="478"/>
      <c r="AM86" s="478"/>
      <c r="AN86" s="478"/>
      <c r="AO86" s="478"/>
      <c r="AP86" s="478"/>
      <c r="AQ86" s="478"/>
      <c r="AR86" s="478"/>
      <c r="AS86" s="478"/>
      <c r="AT86" s="478"/>
      <c r="AU86" s="478"/>
      <c r="AV86" s="478"/>
      <c r="AW86" s="478"/>
      <c r="AX86" s="478"/>
      <c r="AY86" s="478"/>
      <c r="AZ86" s="478"/>
      <c r="BA86" s="478"/>
      <c r="BB86" s="478"/>
    </row>
    <row r="87" spans="1:54" ht="17.149999999999999" customHeight="1" x14ac:dyDescent="0.35">
      <c r="A87" s="478"/>
      <c r="B87" s="1305" t="s">
        <v>443</v>
      </c>
      <c r="C87" s="875">
        <v>0.2</v>
      </c>
      <c r="D87" s="802"/>
      <c r="E87" s="1347"/>
      <c r="F87" s="802"/>
      <c r="G87" s="511">
        <f>C87+(D87*E87)+F87</f>
        <v>0.2</v>
      </c>
      <c r="H87" s="510"/>
      <c r="I87" s="489"/>
      <c r="J87" s="489"/>
      <c r="K87" s="489"/>
      <c r="L87" s="801">
        <f>C87*2</f>
        <v>0.4</v>
      </c>
      <c r="M87" s="801"/>
      <c r="N87" s="801"/>
      <c r="O87" s="801"/>
      <c r="P87" s="478"/>
      <c r="Q87" s="478"/>
      <c r="R87" s="478"/>
      <c r="S87" s="478"/>
      <c r="T87" s="478"/>
      <c r="U87" s="478"/>
      <c r="V87" s="478"/>
      <c r="W87" s="478"/>
      <c r="X87" s="478"/>
      <c r="Y87" s="478"/>
      <c r="Z87" s="478"/>
      <c r="AA87" s="478"/>
      <c r="AB87" s="478"/>
      <c r="AC87" s="478"/>
      <c r="AD87" s="478"/>
      <c r="AE87" s="478"/>
      <c r="AF87" s="478"/>
      <c r="AG87" s="478"/>
      <c r="AH87" s="478"/>
      <c r="AI87" s="478"/>
      <c r="AJ87" s="478"/>
      <c r="AK87" s="478"/>
      <c r="AL87" s="478"/>
      <c r="AM87" s="478"/>
      <c r="AN87" s="478"/>
      <c r="AO87" s="478"/>
      <c r="AP87" s="478"/>
      <c r="AQ87" s="478"/>
      <c r="AR87" s="478"/>
      <c r="AS87" s="478"/>
      <c r="AT87" s="478"/>
      <c r="AU87" s="478"/>
      <c r="AV87" s="478"/>
      <c r="AW87" s="478"/>
      <c r="AX87" s="478"/>
      <c r="AY87" s="478"/>
      <c r="AZ87" s="478"/>
      <c r="BA87" s="478"/>
      <c r="BB87" s="478"/>
    </row>
    <row r="88" spans="1:54" ht="17.149999999999999" customHeight="1" x14ac:dyDescent="0.35">
      <c r="A88" s="478"/>
      <c r="B88" s="478"/>
      <c r="C88" s="478"/>
      <c r="D88" s="489"/>
      <c r="E88" s="478"/>
      <c r="F88" s="478"/>
      <c r="G88" s="478"/>
      <c r="H88" s="478"/>
      <c r="I88" s="478"/>
      <c r="J88" s="478"/>
      <c r="K88" s="478"/>
      <c r="L88" s="478"/>
      <c r="M88" s="478"/>
      <c r="N88" s="478"/>
      <c r="O88" s="478"/>
      <c r="P88" s="478"/>
      <c r="Q88" s="478"/>
      <c r="R88" s="478"/>
      <c r="S88" s="478"/>
      <c r="T88" s="478"/>
      <c r="U88" s="478"/>
      <c r="V88" s="478"/>
      <c r="W88" s="478"/>
      <c r="X88" s="478"/>
      <c r="Y88" s="478"/>
      <c r="Z88" s="478"/>
      <c r="AA88" s="478"/>
      <c r="AB88" s="478"/>
      <c r="AC88" s="478"/>
      <c r="AD88" s="478"/>
      <c r="AE88" s="478"/>
      <c r="AF88" s="478"/>
      <c r="AG88" s="478"/>
      <c r="AH88" s="478"/>
      <c r="AI88" s="478"/>
      <c r="AJ88" s="478"/>
      <c r="AK88" s="478"/>
      <c r="AL88" s="478"/>
      <c r="AM88" s="478"/>
      <c r="AN88" s="478"/>
      <c r="AO88" s="478"/>
      <c r="AP88" s="478"/>
      <c r="AQ88" s="478"/>
      <c r="AR88" s="478"/>
      <c r="AS88" s="478"/>
      <c r="AT88" s="478"/>
      <c r="AU88" s="478"/>
      <c r="AV88" s="478"/>
      <c r="AW88" s="478"/>
      <c r="AX88" s="478"/>
      <c r="AY88" s="478"/>
      <c r="AZ88" s="478"/>
      <c r="BA88" s="478"/>
      <c r="BB88" s="478"/>
    </row>
    <row r="89" spans="1:54" ht="17.149999999999999" customHeight="1" x14ac:dyDescent="0.35">
      <c r="A89" s="478"/>
      <c r="B89" s="501" t="s">
        <v>483</v>
      </c>
      <c r="C89" s="1142">
        <v>50</v>
      </c>
      <c r="D89" s="478"/>
      <c r="E89" s="478"/>
      <c r="F89" s="478"/>
      <c r="G89" s="478"/>
      <c r="H89" s="478"/>
      <c r="I89" s="478"/>
      <c r="J89" s="478"/>
      <c r="K89" s="478"/>
      <c r="L89" s="478"/>
      <c r="M89" s="478"/>
      <c r="N89" s="478"/>
      <c r="O89" s="478"/>
      <c r="P89" s="478"/>
      <c r="Q89" s="478"/>
      <c r="R89" s="478"/>
      <c r="S89" s="478"/>
      <c r="T89" s="478"/>
      <c r="U89" s="478"/>
      <c r="V89" s="478"/>
      <c r="W89" s="478"/>
      <c r="X89" s="478"/>
      <c r="Y89" s="478"/>
      <c r="Z89" s="478"/>
      <c r="AA89" s="478"/>
      <c r="AB89" s="478"/>
      <c r="AC89" s="478"/>
      <c r="AD89" s="478"/>
      <c r="AE89" s="478"/>
      <c r="AF89" s="478"/>
      <c r="AG89" s="478"/>
      <c r="AH89" s="478"/>
      <c r="AI89" s="478"/>
      <c r="AJ89" s="478"/>
      <c r="AK89" s="478"/>
      <c r="AL89" s="478"/>
      <c r="AM89" s="478"/>
      <c r="AN89" s="478"/>
      <c r="AO89" s="478"/>
      <c r="AP89" s="478"/>
      <c r="AQ89" s="478"/>
      <c r="AR89" s="478"/>
      <c r="AS89" s="478"/>
      <c r="AT89" s="478"/>
      <c r="AU89" s="478"/>
      <c r="AV89" s="478"/>
      <c r="AW89" s="478"/>
      <c r="AX89" s="478"/>
      <c r="AY89" s="478"/>
      <c r="AZ89" s="478"/>
      <c r="BA89" s="478"/>
      <c r="BB89" s="478"/>
    </row>
    <row r="90" spans="1:54" s="478" customFormat="1" ht="17.149999999999999" customHeight="1" x14ac:dyDescent="0.35"/>
    <row r="91" spans="1:54" s="478" customFormat="1" ht="17.149999999999999" customHeight="1" x14ac:dyDescent="0.35"/>
    <row r="92" spans="1:54" s="478" customFormat="1" ht="17.149999999999999" customHeight="1" x14ac:dyDescent="0.35"/>
    <row r="93" spans="1:54" s="478" customFormat="1" ht="17.149999999999999" customHeight="1" x14ac:dyDescent="0.35"/>
    <row r="94" spans="1:54" s="478" customFormat="1" ht="17.149999999999999" customHeight="1" x14ac:dyDescent="0.35"/>
    <row r="95" spans="1:54" s="478" customFormat="1" ht="17.149999999999999" customHeight="1" x14ac:dyDescent="0.35"/>
    <row r="96" spans="1:54" s="478" customFormat="1" ht="17.149999999999999" customHeight="1" x14ac:dyDescent="0.35"/>
    <row r="97" s="478" customFormat="1" ht="17.149999999999999" customHeight="1" x14ac:dyDescent="0.35"/>
    <row r="98" s="478" customFormat="1" ht="17.149999999999999" customHeight="1" x14ac:dyDescent="0.35"/>
    <row r="99" s="478" customFormat="1" ht="17.149999999999999" customHeight="1" x14ac:dyDescent="0.35"/>
    <row r="100" s="478" customFormat="1" ht="17.149999999999999" customHeight="1" x14ac:dyDescent="0.35"/>
    <row r="101" s="478" customFormat="1" ht="17.149999999999999" customHeight="1" x14ac:dyDescent="0.35"/>
    <row r="102" s="478" customFormat="1" ht="17.149999999999999" customHeight="1" x14ac:dyDescent="0.35"/>
    <row r="103" s="478" customFormat="1" ht="17.149999999999999" customHeight="1" x14ac:dyDescent="0.35"/>
    <row r="104" s="478" customFormat="1" ht="17.149999999999999" customHeight="1" x14ac:dyDescent="0.35"/>
    <row r="105" s="478" customFormat="1" ht="17.149999999999999" customHeight="1" x14ac:dyDescent="0.35"/>
    <row r="106" s="478" customFormat="1" ht="17.149999999999999" customHeight="1" x14ac:dyDescent="0.35"/>
    <row r="107" s="478" customFormat="1" ht="17.149999999999999" customHeight="1" x14ac:dyDescent="0.35"/>
    <row r="108" s="478" customFormat="1" ht="17.149999999999999" customHeight="1" x14ac:dyDescent="0.35"/>
    <row r="109" s="478" customFormat="1" ht="17.149999999999999" customHeight="1" x14ac:dyDescent="0.35"/>
    <row r="110" s="478" customFormat="1" ht="17.149999999999999" customHeight="1" x14ac:dyDescent="0.35"/>
    <row r="111" s="478" customFormat="1" ht="17.149999999999999" customHeight="1" x14ac:dyDescent="0.35"/>
    <row r="112" s="478" customFormat="1" ht="17.149999999999999" customHeight="1" x14ac:dyDescent="0.35"/>
    <row r="113" s="478" customFormat="1" ht="17.149999999999999" customHeight="1" x14ac:dyDescent="0.35"/>
    <row r="114" s="478" customFormat="1" ht="17.149999999999999" customHeight="1" x14ac:dyDescent="0.35"/>
    <row r="115" s="478" customFormat="1" ht="17.149999999999999" customHeight="1" x14ac:dyDescent="0.35"/>
    <row r="116" s="478" customFormat="1" ht="17.149999999999999" customHeight="1" x14ac:dyDescent="0.35"/>
    <row r="117" s="478" customFormat="1" ht="17.149999999999999" customHeight="1" x14ac:dyDescent="0.35"/>
    <row r="118" s="478" customFormat="1" ht="17.149999999999999" customHeight="1" x14ac:dyDescent="0.35"/>
    <row r="119" s="478" customFormat="1" ht="17.149999999999999" customHeight="1" x14ac:dyDescent="0.35"/>
    <row r="120" s="478" customFormat="1" ht="17.149999999999999" customHeight="1" x14ac:dyDescent="0.35"/>
    <row r="121" s="478" customFormat="1" ht="17.149999999999999" customHeight="1" x14ac:dyDescent="0.35"/>
    <row r="122" s="478" customFormat="1" ht="17.149999999999999" customHeight="1" x14ac:dyDescent="0.35"/>
    <row r="123" s="478" customFormat="1" ht="17.149999999999999" customHeight="1" x14ac:dyDescent="0.35"/>
    <row r="124" s="478" customFormat="1" ht="17.149999999999999" customHeight="1" x14ac:dyDescent="0.35"/>
    <row r="125" s="478" customFormat="1" ht="17.149999999999999" customHeight="1" x14ac:dyDescent="0.35"/>
    <row r="126" s="478" customFormat="1" ht="17.149999999999999" customHeight="1" x14ac:dyDescent="0.35"/>
    <row r="127" s="478" customFormat="1" ht="17.149999999999999" customHeight="1" x14ac:dyDescent="0.35"/>
    <row r="128" s="478" customFormat="1" ht="17.149999999999999" customHeight="1" x14ac:dyDescent="0.35"/>
    <row r="129" s="478" customFormat="1" ht="17.149999999999999" customHeight="1" x14ac:dyDescent="0.35"/>
    <row r="130" s="478" customFormat="1" ht="17.149999999999999" customHeight="1" x14ac:dyDescent="0.35"/>
    <row r="131" s="478" customFormat="1" ht="17.149999999999999" customHeight="1" x14ac:dyDescent="0.35"/>
    <row r="132" s="478" customFormat="1" ht="17.149999999999999" customHeight="1" x14ac:dyDescent="0.35"/>
    <row r="133" s="478" customFormat="1" ht="17.149999999999999" customHeight="1" x14ac:dyDescent="0.35"/>
    <row r="134" s="478" customFormat="1" ht="17.149999999999999" customHeight="1" x14ac:dyDescent="0.35"/>
    <row r="135" s="478" customFormat="1" ht="17.149999999999999" customHeight="1" x14ac:dyDescent="0.35"/>
    <row r="136" s="478" customFormat="1" ht="17.149999999999999" customHeight="1" x14ac:dyDescent="0.35"/>
    <row r="137" s="478" customFormat="1" ht="17.149999999999999" customHeight="1" x14ac:dyDescent="0.35"/>
    <row r="138" s="478" customFormat="1" ht="17.149999999999999" customHeight="1" x14ac:dyDescent="0.35"/>
    <row r="139" s="478" customFormat="1" ht="17.149999999999999" customHeight="1" x14ac:dyDescent="0.35"/>
    <row r="140" s="478" customFormat="1" ht="17.149999999999999" customHeight="1" x14ac:dyDescent="0.35"/>
    <row r="141" s="478" customFormat="1" ht="17.149999999999999" customHeight="1" x14ac:dyDescent="0.35"/>
    <row r="142" s="478" customFormat="1" ht="17.149999999999999" customHeight="1" x14ac:dyDescent="0.35"/>
    <row r="143" s="478" customFormat="1" ht="17.149999999999999" customHeight="1" x14ac:dyDescent="0.35"/>
    <row r="144" s="478" customFormat="1" ht="17.149999999999999" customHeight="1" x14ac:dyDescent="0.35"/>
    <row r="145" s="478" customFormat="1" ht="17.149999999999999" customHeight="1" x14ac:dyDescent="0.35"/>
    <row r="146" s="478" customFormat="1" ht="17.149999999999999" customHeight="1" x14ac:dyDescent="0.35"/>
    <row r="147" s="478" customFormat="1" ht="17.149999999999999" customHeight="1" x14ac:dyDescent="0.35"/>
    <row r="148" s="478" customFormat="1" ht="17.149999999999999" customHeight="1" x14ac:dyDescent="0.35"/>
    <row r="149" s="478" customFormat="1" ht="17.149999999999999" customHeight="1" x14ac:dyDescent="0.35"/>
    <row r="150" s="478" customFormat="1" ht="17.149999999999999" customHeight="1" x14ac:dyDescent="0.35"/>
    <row r="151" s="478" customFormat="1" ht="17.149999999999999" customHeight="1" x14ac:dyDescent="0.35"/>
    <row r="152" s="478" customFormat="1" ht="17.149999999999999" customHeight="1" x14ac:dyDescent="0.35"/>
    <row r="153" s="478" customFormat="1" ht="17.149999999999999" customHeight="1" x14ac:dyDescent="0.35"/>
    <row r="154" s="478" customFormat="1" ht="17.149999999999999" customHeight="1" x14ac:dyDescent="0.35"/>
    <row r="155" s="478" customFormat="1" ht="17.149999999999999" customHeight="1" x14ac:dyDescent="0.35"/>
    <row r="156" s="478" customFormat="1" ht="17.149999999999999" customHeight="1" x14ac:dyDescent="0.35"/>
    <row r="157" s="478" customFormat="1" ht="17.149999999999999" customHeight="1" x14ac:dyDescent="0.35"/>
    <row r="158" s="478" customFormat="1" ht="17.149999999999999" customHeight="1" x14ac:dyDescent="0.35"/>
    <row r="159" s="478" customFormat="1" ht="17.149999999999999" customHeight="1" x14ac:dyDescent="0.35"/>
    <row r="160" s="478" customFormat="1" ht="17.149999999999999" customHeight="1" x14ac:dyDescent="0.35"/>
    <row r="161" s="478" customFormat="1" ht="17.149999999999999" customHeight="1" x14ac:dyDescent="0.35"/>
    <row r="162" s="478" customFormat="1" ht="17.149999999999999" customHeight="1" x14ac:dyDescent="0.35"/>
    <row r="163" s="478" customFormat="1" ht="17.149999999999999" customHeight="1" x14ac:dyDescent="0.35"/>
    <row r="164" s="478" customFormat="1" ht="17.149999999999999" customHeight="1" x14ac:dyDescent="0.35"/>
    <row r="165" s="478" customFormat="1" ht="17.149999999999999" customHeight="1" x14ac:dyDescent="0.35"/>
    <row r="166" s="478" customFormat="1" ht="17.149999999999999" customHeight="1" x14ac:dyDescent="0.35"/>
    <row r="167" s="478" customFormat="1" ht="17.149999999999999" customHeight="1" x14ac:dyDescent="0.35"/>
    <row r="168" s="478" customFormat="1" ht="17.149999999999999" customHeight="1" x14ac:dyDescent="0.35"/>
    <row r="169" s="478" customFormat="1" ht="17.149999999999999" customHeight="1" x14ac:dyDescent="0.35"/>
    <row r="170" s="478" customFormat="1" ht="17.149999999999999" customHeight="1" x14ac:dyDescent="0.35"/>
    <row r="171" s="478" customFormat="1" ht="17.149999999999999" customHeight="1" x14ac:dyDescent="0.35"/>
    <row r="172" s="478" customFormat="1" ht="17.149999999999999" customHeight="1" x14ac:dyDescent="0.35"/>
    <row r="173" s="478" customFormat="1" ht="17.149999999999999" customHeight="1" x14ac:dyDescent="0.35"/>
    <row r="174" s="478" customFormat="1" ht="17.149999999999999" customHeight="1" x14ac:dyDescent="0.35"/>
    <row r="175" s="478" customFormat="1" ht="17.149999999999999" customHeight="1" x14ac:dyDescent="0.35"/>
    <row r="176" s="478" customFormat="1" ht="17.149999999999999" customHeight="1" x14ac:dyDescent="0.35"/>
    <row r="177" s="478" customFormat="1" ht="17.149999999999999" customHeight="1" x14ac:dyDescent="0.35"/>
    <row r="178" s="478" customFormat="1" ht="17.149999999999999" customHeight="1" x14ac:dyDescent="0.35"/>
    <row r="179" s="478" customFormat="1" ht="17.149999999999999" customHeight="1" x14ac:dyDescent="0.35"/>
    <row r="180" s="478" customFormat="1" ht="17.149999999999999" customHeight="1" x14ac:dyDescent="0.35"/>
    <row r="181" s="478" customFormat="1" ht="17.149999999999999" customHeight="1" x14ac:dyDescent="0.35"/>
    <row r="182" s="478" customFormat="1" ht="17.149999999999999" customHeight="1" x14ac:dyDescent="0.35"/>
    <row r="183" s="478" customFormat="1" ht="17.149999999999999" customHeight="1" x14ac:dyDescent="0.35"/>
    <row r="184" s="478" customFormat="1" ht="17.149999999999999" customHeight="1" x14ac:dyDescent="0.35"/>
    <row r="185" s="478" customFormat="1" ht="17.149999999999999" customHeight="1" x14ac:dyDescent="0.35"/>
    <row r="186" s="478" customFormat="1" ht="17.149999999999999" customHeight="1" x14ac:dyDescent="0.35"/>
    <row r="187" s="478" customFormat="1" ht="17.149999999999999" customHeight="1" x14ac:dyDescent="0.35"/>
    <row r="188" s="478" customFormat="1" ht="17.149999999999999" customHeight="1" x14ac:dyDescent="0.35"/>
    <row r="189" s="478" customFormat="1" ht="17.149999999999999" customHeight="1" x14ac:dyDescent="0.35"/>
    <row r="190" s="478" customFormat="1" ht="17.149999999999999" customHeight="1" x14ac:dyDescent="0.35"/>
    <row r="191" s="478" customFormat="1" ht="17.149999999999999" customHeight="1" x14ac:dyDescent="0.35"/>
    <row r="192" s="478" customFormat="1" ht="17.149999999999999" customHeight="1" x14ac:dyDescent="0.35"/>
    <row r="193" s="478" customFormat="1" ht="17.149999999999999" customHeight="1" x14ac:dyDescent="0.35"/>
    <row r="194" s="478" customFormat="1" ht="17.149999999999999" customHeight="1" x14ac:dyDescent="0.35"/>
    <row r="195" s="478" customFormat="1" ht="17.149999999999999" customHeight="1" x14ac:dyDescent="0.35"/>
    <row r="196" s="478" customFormat="1" ht="17.149999999999999" customHeight="1" x14ac:dyDescent="0.35"/>
    <row r="197" s="478" customFormat="1" ht="17.149999999999999" customHeight="1" x14ac:dyDescent="0.35"/>
    <row r="198" s="478" customFormat="1" ht="17.149999999999999" customHeight="1" x14ac:dyDescent="0.35"/>
    <row r="199" s="478" customFormat="1" ht="17.149999999999999" customHeight="1" x14ac:dyDescent="0.35"/>
    <row r="200" s="478" customFormat="1" ht="17.149999999999999" customHeight="1" x14ac:dyDescent="0.35"/>
    <row r="201" s="478" customFormat="1" ht="17.149999999999999" customHeight="1" x14ac:dyDescent="0.35"/>
    <row r="202" s="478" customFormat="1" ht="17.149999999999999" customHeight="1" x14ac:dyDescent="0.35"/>
    <row r="203" s="478" customFormat="1" ht="17.149999999999999" customHeight="1" x14ac:dyDescent="0.35"/>
    <row r="204" s="478" customFormat="1" ht="17.149999999999999" customHeight="1" x14ac:dyDescent="0.35"/>
    <row r="205" s="478" customFormat="1" ht="17.149999999999999" customHeight="1" x14ac:dyDescent="0.35"/>
    <row r="206" s="478" customFormat="1" ht="17.149999999999999" customHeight="1" x14ac:dyDescent="0.35"/>
    <row r="207" s="478" customFormat="1" ht="17.149999999999999" customHeight="1" x14ac:dyDescent="0.35"/>
    <row r="208" s="478" customFormat="1" ht="17.149999999999999" customHeight="1" x14ac:dyDescent="0.35"/>
    <row r="209" s="478" customFormat="1" ht="17.149999999999999" customHeight="1" x14ac:dyDescent="0.35"/>
    <row r="210" s="478" customFormat="1" ht="17.149999999999999" customHeight="1" x14ac:dyDescent="0.35"/>
    <row r="211" s="478" customFormat="1" ht="17.149999999999999" customHeight="1" x14ac:dyDescent="0.35"/>
    <row r="212" s="478" customFormat="1" ht="17.149999999999999" customHeight="1" x14ac:dyDescent="0.35"/>
    <row r="213" s="478" customFormat="1" ht="17.149999999999999" customHeight="1" x14ac:dyDescent="0.35"/>
    <row r="214" s="478" customFormat="1" ht="17.149999999999999" customHeight="1" x14ac:dyDescent="0.35"/>
    <row r="215" s="478" customFormat="1" ht="17.149999999999999" customHeight="1" x14ac:dyDescent="0.35"/>
    <row r="216" s="478" customFormat="1" ht="17.149999999999999" customHeight="1" x14ac:dyDescent="0.35"/>
    <row r="217" s="478" customFormat="1" ht="17.149999999999999" customHeight="1" x14ac:dyDescent="0.35"/>
    <row r="218" s="478" customFormat="1" ht="17.149999999999999" customHeight="1" x14ac:dyDescent="0.35"/>
    <row r="219" s="478" customFormat="1" ht="17.149999999999999" customHeight="1" x14ac:dyDescent="0.35"/>
    <row r="220" s="478" customFormat="1" ht="17.149999999999999" customHeight="1" x14ac:dyDescent="0.35"/>
    <row r="221" s="478" customFormat="1" ht="17.149999999999999" customHeight="1" x14ac:dyDescent="0.35"/>
    <row r="222" s="478" customFormat="1" ht="17.149999999999999" customHeight="1" x14ac:dyDescent="0.35"/>
    <row r="223" s="478" customFormat="1" ht="17.149999999999999" customHeight="1" x14ac:dyDescent="0.35"/>
    <row r="224" s="478" customFormat="1" ht="17.149999999999999" customHeight="1" x14ac:dyDescent="0.35"/>
    <row r="225" s="478" customFormat="1" ht="17.149999999999999" customHeight="1" x14ac:dyDescent="0.35"/>
    <row r="226" s="478" customFormat="1" ht="17.149999999999999" customHeight="1" x14ac:dyDescent="0.35"/>
    <row r="227" s="478" customFormat="1" ht="17.149999999999999" customHeight="1" x14ac:dyDescent="0.35"/>
    <row r="228" s="478" customFormat="1" ht="17.149999999999999" customHeight="1" x14ac:dyDescent="0.35"/>
    <row r="229" s="478" customFormat="1" ht="17.149999999999999" customHeight="1" x14ac:dyDescent="0.35"/>
    <row r="230" s="478" customFormat="1" ht="17.149999999999999" customHeight="1" x14ac:dyDescent="0.35"/>
    <row r="231" s="478" customFormat="1" ht="17.149999999999999" customHeight="1" x14ac:dyDescent="0.35"/>
    <row r="232" s="478" customFormat="1" ht="17.149999999999999" customHeight="1" x14ac:dyDescent="0.35"/>
    <row r="233" s="478" customFormat="1" ht="17.149999999999999" customHeight="1" x14ac:dyDescent="0.35"/>
    <row r="234" s="478" customFormat="1" ht="17.149999999999999" customHeight="1" x14ac:dyDescent="0.35"/>
    <row r="235" s="478" customFormat="1" ht="17.149999999999999" customHeight="1" x14ac:dyDescent="0.35"/>
    <row r="236" s="478" customFormat="1" ht="17.149999999999999" customHeight="1" x14ac:dyDescent="0.35"/>
    <row r="237" s="478" customFormat="1" ht="17.149999999999999" customHeight="1" x14ac:dyDescent="0.35"/>
    <row r="238" s="478" customFormat="1" ht="17.149999999999999" customHeight="1" x14ac:dyDescent="0.35"/>
    <row r="239" s="478" customFormat="1" ht="17.149999999999999" customHeight="1" x14ac:dyDescent="0.35"/>
    <row r="240" s="478" customFormat="1" ht="17.149999999999999" customHeight="1" x14ac:dyDescent="0.35"/>
    <row r="241" s="478" customFormat="1" ht="17.149999999999999" customHeight="1" x14ac:dyDescent="0.35"/>
    <row r="242" s="478" customFormat="1" ht="17.149999999999999" customHeight="1" x14ac:dyDescent="0.35"/>
    <row r="243" s="478" customFormat="1" ht="17.149999999999999" customHeight="1" x14ac:dyDescent="0.35"/>
    <row r="244" s="478" customFormat="1" ht="17.149999999999999" customHeight="1" x14ac:dyDescent="0.35"/>
    <row r="245" s="478" customFormat="1" ht="17.149999999999999" customHeight="1" x14ac:dyDescent="0.35"/>
    <row r="246" s="478" customFormat="1" ht="17.149999999999999" customHeight="1" x14ac:dyDescent="0.35"/>
    <row r="247" s="478" customFormat="1" ht="17.149999999999999" customHeight="1" x14ac:dyDescent="0.35"/>
    <row r="248" s="478" customFormat="1" ht="17.149999999999999" customHeight="1" x14ac:dyDescent="0.35"/>
    <row r="249" s="478" customFormat="1" ht="17.149999999999999" customHeight="1" x14ac:dyDescent="0.35"/>
    <row r="250" s="478" customFormat="1" ht="17.149999999999999" customHeight="1" x14ac:dyDescent="0.35"/>
    <row r="251" s="478" customFormat="1" ht="17.149999999999999" customHeight="1" x14ac:dyDescent="0.35"/>
    <row r="252" s="478" customFormat="1" ht="17.149999999999999" customHeight="1" x14ac:dyDescent="0.35"/>
    <row r="253" s="478" customFormat="1" ht="17.149999999999999" customHeight="1" x14ac:dyDescent="0.35"/>
    <row r="254" s="478" customFormat="1" ht="17.149999999999999" customHeight="1" x14ac:dyDescent="0.35"/>
    <row r="255" s="478" customFormat="1" ht="17.149999999999999" customHeight="1" x14ac:dyDescent="0.35"/>
    <row r="256" s="478" customFormat="1" ht="17.149999999999999" customHeight="1" x14ac:dyDescent="0.35"/>
    <row r="257" s="478" customFormat="1" ht="17.149999999999999" customHeight="1" x14ac:dyDescent="0.35"/>
    <row r="258" s="478" customFormat="1" ht="17.149999999999999" customHeight="1" x14ac:dyDescent="0.35"/>
    <row r="259" s="478" customFormat="1" ht="17.149999999999999" customHeight="1" x14ac:dyDescent="0.35"/>
    <row r="260" s="478" customFormat="1" ht="17.149999999999999" customHeight="1" x14ac:dyDescent="0.35"/>
    <row r="261" s="478" customFormat="1" ht="17.149999999999999" customHeight="1" x14ac:dyDescent="0.35"/>
    <row r="262" s="478" customFormat="1" ht="17.149999999999999" customHeight="1" x14ac:dyDescent="0.35"/>
    <row r="263" s="478" customFormat="1" ht="17.149999999999999" customHeight="1" x14ac:dyDescent="0.35"/>
    <row r="264" s="478" customFormat="1" ht="17.149999999999999" customHeight="1" x14ac:dyDescent="0.35"/>
    <row r="265" s="478" customFormat="1" ht="17.149999999999999" customHeight="1" x14ac:dyDescent="0.35"/>
    <row r="266" s="478" customFormat="1" ht="17.149999999999999" customHeight="1" x14ac:dyDescent="0.35"/>
    <row r="267" s="478" customFormat="1" ht="17.149999999999999" customHeight="1" x14ac:dyDescent="0.35"/>
    <row r="268" s="478" customFormat="1" ht="17.149999999999999" customHeight="1" x14ac:dyDescent="0.35"/>
    <row r="269" s="478" customFormat="1" ht="17.149999999999999" customHeight="1" x14ac:dyDescent="0.35"/>
    <row r="270" s="478" customFormat="1" ht="17.149999999999999" customHeight="1" x14ac:dyDescent="0.35"/>
    <row r="271" s="478" customFormat="1" ht="17.149999999999999" customHeight="1" x14ac:dyDescent="0.35"/>
    <row r="272" s="478" customFormat="1" ht="17.149999999999999" customHeight="1" x14ac:dyDescent="0.35"/>
    <row r="273" s="478" customFormat="1" ht="17.149999999999999" customHeight="1" x14ac:dyDescent="0.35"/>
    <row r="274" s="478" customFormat="1" ht="17.149999999999999" customHeight="1" x14ac:dyDescent="0.35"/>
    <row r="275" s="478" customFormat="1" ht="17.149999999999999" customHeight="1" x14ac:dyDescent="0.35"/>
    <row r="276" s="478" customFormat="1" ht="17.149999999999999" customHeight="1" x14ac:dyDescent="0.35"/>
    <row r="277" s="478" customFormat="1" ht="17.149999999999999" customHeight="1" x14ac:dyDescent="0.35"/>
    <row r="278" s="478" customFormat="1" ht="17.149999999999999" customHeight="1" x14ac:dyDescent="0.35"/>
    <row r="279" s="478" customFormat="1" ht="17.149999999999999" customHeight="1" x14ac:dyDescent="0.35"/>
    <row r="280" s="478" customFormat="1" ht="17.149999999999999" customHeight="1" x14ac:dyDescent="0.35"/>
    <row r="281" s="478" customFormat="1" ht="17.149999999999999" customHeight="1" x14ac:dyDescent="0.35"/>
    <row r="282" s="478" customFormat="1" ht="17.149999999999999" customHeight="1" x14ac:dyDescent="0.35"/>
    <row r="283" s="478" customFormat="1" ht="17.149999999999999" customHeight="1" x14ac:dyDescent="0.35"/>
    <row r="284" s="478" customFormat="1" ht="17.149999999999999" customHeight="1" x14ac:dyDescent="0.35"/>
    <row r="285" s="478" customFormat="1" ht="17.149999999999999" customHeight="1" x14ac:dyDescent="0.35"/>
    <row r="286" s="478" customFormat="1" ht="17.149999999999999" customHeight="1" x14ac:dyDescent="0.35"/>
    <row r="287" s="478" customFormat="1" ht="17.149999999999999" customHeight="1" x14ac:dyDescent="0.35"/>
    <row r="288" s="478" customFormat="1" ht="17.149999999999999" customHeight="1" x14ac:dyDescent="0.35"/>
    <row r="289" s="478" customFormat="1" ht="17.149999999999999" customHeight="1" x14ac:dyDescent="0.35"/>
    <row r="290" s="478" customFormat="1" ht="17.149999999999999" customHeight="1" x14ac:dyDescent="0.35"/>
    <row r="291" s="478" customFormat="1" ht="17.149999999999999" customHeight="1" x14ac:dyDescent="0.35"/>
    <row r="292" s="478" customFormat="1" ht="17.149999999999999" customHeight="1" x14ac:dyDescent="0.35"/>
    <row r="293" s="478" customFormat="1" ht="17.149999999999999" customHeight="1" x14ac:dyDescent="0.35"/>
    <row r="294" s="478" customFormat="1" ht="17.149999999999999" customHeight="1" x14ac:dyDescent="0.35"/>
    <row r="295" s="478" customFormat="1" ht="17.149999999999999" customHeight="1" x14ac:dyDescent="0.35"/>
    <row r="296" s="478" customFormat="1" ht="17.149999999999999" customHeight="1" x14ac:dyDescent="0.35"/>
    <row r="297" s="478" customFormat="1" ht="17.149999999999999" customHeight="1" x14ac:dyDescent="0.35"/>
    <row r="298" s="478" customFormat="1" ht="17.149999999999999" customHeight="1" x14ac:dyDescent="0.35"/>
    <row r="299" s="478" customFormat="1" ht="17.149999999999999" customHeight="1" x14ac:dyDescent="0.35"/>
    <row r="300" s="478" customFormat="1" ht="17.149999999999999" customHeight="1" x14ac:dyDescent="0.35"/>
    <row r="301" s="478" customFormat="1" ht="17.149999999999999" customHeight="1" x14ac:dyDescent="0.35"/>
    <row r="302" s="478" customFormat="1" ht="17.149999999999999" customHeight="1" x14ac:dyDescent="0.35"/>
    <row r="303" s="478" customFormat="1" ht="17.149999999999999" customHeight="1" x14ac:dyDescent="0.35"/>
    <row r="304" s="478" customFormat="1" ht="17.149999999999999" customHeight="1" x14ac:dyDescent="0.35"/>
    <row r="305" s="478" customFormat="1" ht="17.149999999999999" customHeight="1" x14ac:dyDescent="0.35"/>
    <row r="306" s="478" customFormat="1" ht="17.149999999999999" customHeight="1" x14ac:dyDescent="0.35"/>
    <row r="307" s="478" customFormat="1" ht="17.149999999999999" customHeight="1" x14ac:dyDescent="0.35"/>
    <row r="308" s="478" customFormat="1" ht="17.149999999999999" customHeight="1" x14ac:dyDescent="0.35"/>
    <row r="309" s="478" customFormat="1" ht="17.149999999999999" customHeight="1" x14ac:dyDescent="0.35"/>
    <row r="310" s="478" customFormat="1" ht="17.149999999999999" customHeight="1" x14ac:dyDescent="0.35"/>
    <row r="311" s="478" customFormat="1" ht="17.149999999999999" customHeight="1" x14ac:dyDescent="0.35"/>
    <row r="312" s="478" customFormat="1" ht="17.149999999999999" customHeight="1" x14ac:dyDescent="0.35"/>
    <row r="313" s="478" customFormat="1" ht="17.149999999999999" customHeight="1" x14ac:dyDescent="0.35"/>
    <row r="314" s="478" customFormat="1" ht="17.149999999999999" customHeight="1" x14ac:dyDescent="0.35"/>
    <row r="315" s="478" customFormat="1" ht="17.149999999999999" customHeight="1" x14ac:dyDescent="0.35"/>
    <row r="316" s="478" customFormat="1" ht="17.149999999999999" customHeight="1" x14ac:dyDescent="0.35"/>
    <row r="317" s="478" customFormat="1" ht="17.149999999999999" customHeight="1" x14ac:dyDescent="0.35"/>
    <row r="318" s="478" customFormat="1" ht="17.149999999999999" customHeight="1" x14ac:dyDescent="0.35"/>
    <row r="319" s="478" customFormat="1" ht="17.149999999999999" customHeight="1" x14ac:dyDescent="0.35"/>
    <row r="320" s="478" customFormat="1" ht="17.149999999999999" customHeight="1" x14ac:dyDescent="0.35"/>
    <row r="321" s="478" customFormat="1" ht="17.149999999999999" customHeight="1" x14ac:dyDescent="0.35"/>
    <row r="322" s="478" customFormat="1" ht="17.149999999999999" customHeight="1" x14ac:dyDescent="0.35"/>
    <row r="323" s="478" customFormat="1" ht="17.149999999999999" customHeight="1" x14ac:dyDescent="0.35"/>
    <row r="324" s="478" customFormat="1" ht="17.149999999999999" customHeight="1" x14ac:dyDescent="0.35"/>
    <row r="325" s="478" customFormat="1" ht="17.149999999999999" customHeight="1" x14ac:dyDescent="0.35"/>
    <row r="326" s="478" customFormat="1" ht="17.149999999999999" customHeight="1" x14ac:dyDescent="0.35"/>
    <row r="327" s="478" customFormat="1" ht="17.149999999999999" customHeight="1" x14ac:dyDescent="0.35"/>
    <row r="328" s="478" customFormat="1" ht="17.149999999999999" customHeight="1" x14ac:dyDescent="0.35"/>
    <row r="329" s="478" customFormat="1" ht="17.149999999999999" customHeight="1" x14ac:dyDescent="0.35"/>
    <row r="330" s="478" customFormat="1" ht="17.149999999999999" customHeight="1" x14ac:dyDescent="0.35"/>
    <row r="331" s="478" customFormat="1" ht="17.149999999999999" customHeight="1" x14ac:dyDescent="0.35"/>
    <row r="332" s="478" customFormat="1" ht="17.149999999999999" customHeight="1" x14ac:dyDescent="0.35"/>
    <row r="333" s="478" customFormat="1" ht="17.149999999999999" customHeight="1" x14ac:dyDescent="0.35"/>
    <row r="334" s="478" customFormat="1" ht="17.149999999999999" customHeight="1" x14ac:dyDescent="0.35"/>
    <row r="335" s="478" customFormat="1" ht="17.149999999999999" customHeight="1" x14ac:dyDescent="0.35"/>
    <row r="336" s="478" customFormat="1" ht="17.149999999999999" customHeight="1" x14ac:dyDescent="0.35"/>
    <row r="337" s="478" customFormat="1" ht="17.149999999999999" customHeight="1" x14ac:dyDescent="0.35"/>
    <row r="338" s="478" customFormat="1" ht="17.149999999999999" customHeight="1" x14ac:dyDescent="0.35"/>
    <row r="339" s="478" customFormat="1" ht="17.149999999999999" customHeight="1" x14ac:dyDescent="0.35"/>
    <row r="340" s="478" customFormat="1" ht="17.149999999999999" customHeight="1" x14ac:dyDescent="0.35"/>
    <row r="341" s="478" customFormat="1" ht="17.149999999999999" customHeight="1" x14ac:dyDescent="0.35"/>
    <row r="342" s="478" customFormat="1" ht="17.149999999999999" customHeight="1" x14ac:dyDescent="0.35"/>
    <row r="343" s="478" customFormat="1" ht="17.149999999999999" customHeight="1" x14ac:dyDescent="0.35"/>
    <row r="344" s="478" customFormat="1" ht="17.149999999999999" customHeight="1" x14ac:dyDescent="0.35"/>
    <row r="345" s="478" customFormat="1" ht="17.149999999999999" customHeight="1" x14ac:dyDescent="0.35"/>
    <row r="346" s="478" customFormat="1" ht="17.149999999999999" customHeight="1" x14ac:dyDescent="0.35"/>
    <row r="347" s="478" customFormat="1" ht="17.149999999999999" customHeight="1" x14ac:dyDescent="0.35"/>
    <row r="348" s="478" customFormat="1" ht="17.149999999999999" customHeight="1" x14ac:dyDescent="0.35"/>
    <row r="349" s="478" customFormat="1" ht="17.149999999999999" customHeight="1" x14ac:dyDescent="0.35"/>
    <row r="350" s="478" customFormat="1" ht="17.149999999999999" customHeight="1" x14ac:dyDescent="0.35"/>
    <row r="351" s="478" customFormat="1" ht="17.149999999999999" customHeight="1" x14ac:dyDescent="0.35"/>
    <row r="352" s="478" customFormat="1" ht="17.149999999999999" customHeight="1" x14ac:dyDescent="0.35"/>
    <row r="353" ht="17.149999999999999" customHeight="1" x14ac:dyDescent="0.35"/>
    <row r="354" ht="17.149999999999999" customHeight="1" x14ac:dyDescent="0.35"/>
  </sheetData>
  <sheetProtection password="C8C1" sheet="1" objects="1" scenarios="1" selectLockedCells="1"/>
  <mergeCells count="21">
    <mergeCell ref="B53:B54"/>
    <mergeCell ref="B31:B32"/>
    <mergeCell ref="B69:B71"/>
    <mergeCell ref="C69:G69"/>
    <mergeCell ref="D70:F70"/>
    <mergeCell ref="G70:G72"/>
    <mergeCell ref="C31:D31"/>
    <mergeCell ref="C53:D53"/>
    <mergeCell ref="E31:H31"/>
    <mergeCell ref="C70:C71"/>
    <mergeCell ref="H72:K72"/>
    <mergeCell ref="K31:O31"/>
    <mergeCell ref="K53:O53"/>
    <mergeCell ref="E53:H53"/>
    <mergeCell ref="L69:M69"/>
    <mergeCell ref="L70:L72"/>
    <mergeCell ref="M70:M72"/>
    <mergeCell ref="N70:N72"/>
    <mergeCell ref="H70:K71"/>
    <mergeCell ref="O70:O72"/>
    <mergeCell ref="D71:E71"/>
  </mergeCells>
  <conditionalFormatting sqref="D57">
    <cfRule type="expression" dxfId="540" priority="125">
      <formula>AND(C57=0,SUM(D58:D59)=0)</formula>
    </cfRule>
    <cfRule type="expression" dxfId="539" priority="126">
      <formula>AND(C57=0,SUM(D58:D59)&gt;0)</formula>
    </cfRule>
    <cfRule type="expression" dxfId="538" priority="127">
      <formula>AND(C57&gt;0,SUM(D58:D59)&gt;1)</formula>
    </cfRule>
    <cfRule type="expression" dxfId="537" priority="128">
      <formula>AND(C57&gt;0,SUM(D58:D59)&lt;1)</formula>
    </cfRule>
    <cfRule type="expression" dxfId="536" priority="129">
      <formula>SUM(D58:D59)=1</formula>
    </cfRule>
  </conditionalFormatting>
  <conditionalFormatting sqref="D38">
    <cfRule type="expression" dxfId="535" priority="120">
      <formula>AND(C38=0,SUM(D39:D41)=0)</formula>
    </cfRule>
    <cfRule type="expression" dxfId="534" priority="121">
      <formula>AND(C38=0,SUM(D39:D41)&gt;0)</formula>
    </cfRule>
    <cfRule type="expression" dxfId="533" priority="122">
      <formula>AND(C38&gt;0,SUM(D39:D41)&gt;1)</formula>
    </cfRule>
    <cfRule type="expression" dxfId="532" priority="123">
      <formula>AND(C38&gt;0,SUM(D39:D41)&lt;1)</formula>
    </cfRule>
    <cfRule type="expression" dxfId="531" priority="124">
      <formula>SUM(D39:D41)=1</formula>
    </cfRule>
  </conditionalFormatting>
  <conditionalFormatting sqref="D35">
    <cfRule type="expression" dxfId="530" priority="115">
      <formula>AND(C35=0,SUM(D36:D37)=0)</formula>
    </cfRule>
    <cfRule type="expression" dxfId="529" priority="116">
      <formula>AND(C35=0,SUM(D36:D37)&gt;0)</formula>
    </cfRule>
    <cfRule type="expression" dxfId="528" priority="117">
      <formula>AND(C35&gt;0,SUM(D36:D37)&gt;1)</formula>
    </cfRule>
    <cfRule type="expression" dxfId="527" priority="118">
      <formula>AND(C35&gt;0,SUM(D36:D37)&lt;1)</formula>
    </cfRule>
    <cfRule type="expression" dxfId="526" priority="119">
      <formula>SUM(D36:D37)=1</formula>
    </cfRule>
  </conditionalFormatting>
  <conditionalFormatting sqref="I33:I34">
    <cfRule type="expression" dxfId="525" priority="108">
      <formula>AND(C33&gt;0,H33&lt;1)</formula>
    </cfRule>
    <cfRule type="expression" dxfId="524" priority="109">
      <formula>H33=1</formula>
    </cfRule>
  </conditionalFormatting>
  <conditionalFormatting sqref="I62:I63">
    <cfRule type="expression" dxfId="523" priority="316">
      <formula>AND(D62=0,H62&gt;0)</formula>
    </cfRule>
  </conditionalFormatting>
  <conditionalFormatting sqref="I62:I63">
    <cfRule type="expression" dxfId="522" priority="320">
      <formula>AND(D62&gt;0,H62&lt;1)</formula>
    </cfRule>
    <cfRule type="expression" dxfId="521" priority="321">
      <formula>H62=1</formula>
    </cfRule>
  </conditionalFormatting>
  <conditionalFormatting sqref="C44">
    <cfRule type="expression" dxfId="520" priority="73">
      <formula>C43=0</formula>
    </cfRule>
    <cfRule type="expression" dxfId="519" priority="74">
      <formula>C43&lt;1</formula>
    </cfRule>
    <cfRule type="expression" dxfId="518" priority="75">
      <formula>C43=1</formula>
    </cfRule>
  </conditionalFormatting>
  <conditionalFormatting sqref="C66">
    <cfRule type="expression" dxfId="517" priority="67">
      <formula>C65=0</formula>
    </cfRule>
    <cfRule type="expression" dxfId="516" priority="68">
      <formula>C65&lt;1</formula>
    </cfRule>
    <cfRule type="expression" dxfId="515" priority="69">
      <formula>C65=1</formula>
    </cfRule>
  </conditionalFormatting>
  <conditionalFormatting sqref="D60">
    <cfRule type="expression" dxfId="514" priority="57">
      <formula>AND(C60=0,SUM(D61:D63)=0)</formula>
    </cfRule>
    <cfRule type="expression" dxfId="513" priority="58">
      <formula>AND(C60=0,SUM(D61:D63)&gt;0)</formula>
    </cfRule>
    <cfRule type="expression" dxfId="512" priority="59">
      <formula>AND(C60&gt;0,SUM(D61:D63)&gt;1)</formula>
    </cfRule>
    <cfRule type="expression" dxfId="511" priority="60">
      <formula>AND(C60&gt;0,SUM(D61:D63)&lt;1)</formula>
    </cfRule>
    <cfRule type="expression" dxfId="510" priority="61">
      <formula>SUM(D61:D63)=1</formula>
    </cfRule>
  </conditionalFormatting>
  <conditionalFormatting sqref="I61">
    <cfRule type="expression" dxfId="509" priority="54">
      <formula>AND(D61=0,H61&gt;0)</formula>
    </cfRule>
  </conditionalFormatting>
  <conditionalFormatting sqref="I61">
    <cfRule type="expression" dxfId="508" priority="55">
      <formula>AND(D61&gt;0,H61&lt;1)</formula>
    </cfRule>
    <cfRule type="expression" dxfId="507" priority="56">
      <formula>H61=1</formula>
    </cfRule>
  </conditionalFormatting>
  <conditionalFormatting sqref="I55:I56">
    <cfRule type="expression" dxfId="506" priority="51">
      <formula>AND(C55=0,H55&gt;0)</formula>
    </cfRule>
  </conditionalFormatting>
  <conditionalFormatting sqref="I55:I56">
    <cfRule type="expression" dxfId="505" priority="52">
      <formula>AND(C55&gt;0,H55&lt;1)</formula>
    </cfRule>
    <cfRule type="expression" dxfId="504" priority="53">
      <formula>H55=1</formula>
    </cfRule>
  </conditionalFormatting>
  <conditionalFormatting sqref="I58:I59">
    <cfRule type="expression" dxfId="503" priority="48">
      <formula>AND(D58=0,H58&gt;0)</formula>
    </cfRule>
  </conditionalFormatting>
  <conditionalFormatting sqref="I58:I59">
    <cfRule type="expression" dxfId="502" priority="49">
      <formula>AND(D58&gt;0,H58&lt;1)</formula>
    </cfRule>
    <cfRule type="expression" dxfId="501" priority="50">
      <formula>H58=1</formula>
    </cfRule>
  </conditionalFormatting>
  <conditionalFormatting sqref="P58:P59 P62:P63 P40:P41">
    <cfRule type="expression" dxfId="500" priority="353">
      <formula>AND(D40=0,O40&gt;0)</formula>
    </cfRule>
    <cfRule type="expression" dxfId="499" priority="354">
      <formula>AND(D40&gt;0,O40&lt;1)</formula>
    </cfRule>
    <cfRule type="expression" dxfId="498" priority="355">
      <formula>O40=1</formula>
    </cfRule>
  </conditionalFormatting>
  <conditionalFormatting sqref="P59">
    <cfRule type="expression" dxfId="497" priority="35">
      <formula>O59&gt;1</formula>
    </cfRule>
  </conditionalFormatting>
  <conditionalFormatting sqref="P58">
    <cfRule type="expression" dxfId="496" priority="34">
      <formula>O58&gt;1</formula>
    </cfRule>
  </conditionalFormatting>
  <conditionalFormatting sqref="P62:P63">
    <cfRule type="expression" dxfId="495" priority="33">
      <formula>O62&gt;1</formula>
    </cfRule>
  </conditionalFormatting>
  <conditionalFormatting sqref="P36:P37">
    <cfRule type="expression" dxfId="494" priority="30">
      <formula>AND(D36=0,O36&gt;0)</formula>
    </cfRule>
    <cfRule type="expression" dxfId="493" priority="31">
      <formula>AND(D36&gt;0,O36&lt;1)</formula>
    </cfRule>
    <cfRule type="expression" dxfId="492" priority="32">
      <formula>O36=1</formula>
    </cfRule>
  </conditionalFormatting>
  <conditionalFormatting sqref="P37">
    <cfRule type="expression" dxfId="491" priority="29">
      <formula>O37&gt;1</formula>
    </cfRule>
  </conditionalFormatting>
  <conditionalFormatting sqref="P36">
    <cfRule type="expression" dxfId="490" priority="28">
      <formula>O36&gt;1</formula>
    </cfRule>
  </conditionalFormatting>
  <conditionalFormatting sqref="P40:P41">
    <cfRule type="expression" dxfId="489" priority="27">
      <formula>O40&gt;1</formula>
    </cfRule>
  </conditionalFormatting>
  <conditionalFormatting sqref="I36:I37 I39:I41">
    <cfRule type="expression" dxfId="488" priority="24">
      <formula>AND(D36=0,H36&gt;0)</formula>
    </cfRule>
  </conditionalFormatting>
  <conditionalFormatting sqref="I36:I37 I39:I41">
    <cfRule type="expression" dxfId="487" priority="25">
      <formula>AND(D36&gt;0,H36&lt;1)</formula>
    </cfRule>
    <cfRule type="expression" dxfId="486" priority="26">
      <formula>H36=1</formula>
    </cfRule>
  </conditionalFormatting>
  <conditionalFormatting sqref="C74:F74">
    <cfRule type="expression" dxfId="485" priority="23">
      <formula>$E$33=0</formula>
    </cfRule>
  </conditionalFormatting>
  <conditionalFormatting sqref="C75:E75">
    <cfRule type="expression" dxfId="484" priority="22">
      <formula>$F$33=0</formula>
    </cfRule>
  </conditionalFormatting>
  <conditionalFormatting sqref="C77:F77">
    <cfRule type="expression" dxfId="483" priority="21">
      <formula>$E$34=0</formula>
    </cfRule>
  </conditionalFormatting>
  <conditionalFormatting sqref="C78:F78">
    <cfRule type="expression" dxfId="482" priority="20">
      <formula>$F$34=0</formula>
    </cfRule>
  </conditionalFormatting>
  <conditionalFormatting sqref="C80:E80">
    <cfRule type="expression" dxfId="481" priority="19">
      <formula>SUM($E$36:$E$37)=0</formula>
    </cfRule>
  </conditionalFormatting>
  <conditionalFormatting sqref="C81:F81">
    <cfRule type="expression" dxfId="480" priority="18">
      <formula>SUM($F$36:$F$37)=0</formula>
    </cfRule>
  </conditionalFormatting>
  <conditionalFormatting sqref="C82">
    <cfRule type="expression" dxfId="479" priority="17">
      <formula>$G$37=0</formula>
    </cfRule>
  </conditionalFormatting>
  <conditionalFormatting sqref="C84:F84">
    <cfRule type="expression" dxfId="478" priority="16">
      <formula>SUM($E$39:$E$41)=0</formula>
    </cfRule>
  </conditionalFormatting>
  <conditionalFormatting sqref="C85:F85">
    <cfRule type="expression" dxfId="477" priority="15">
      <formula>SUM($F$39:$F$41)=0</formula>
    </cfRule>
  </conditionalFormatting>
  <conditionalFormatting sqref="C86">
    <cfRule type="expression" dxfId="476" priority="14">
      <formula>$G$41=0</formula>
    </cfRule>
  </conditionalFormatting>
  <conditionalFormatting sqref="C87">
    <cfRule type="expression" dxfId="475" priority="13">
      <formula>$C$42=0</formula>
    </cfRule>
  </conditionalFormatting>
  <conditionalFormatting sqref="C89">
    <cfRule type="expression" dxfId="474" priority="12">
      <formula>$C$38=0</formula>
    </cfRule>
  </conditionalFormatting>
  <conditionalFormatting sqref="F75">
    <cfRule type="expression" dxfId="473" priority="10">
      <formula>$E$33=0</formula>
    </cfRule>
  </conditionalFormatting>
  <conditionalFormatting sqref="F80">
    <cfRule type="expression" dxfId="472" priority="8">
      <formula>$E$33=0</formula>
    </cfRule>
  </conditionalFormatting>
  <conditionalFormatting sqref="D82:E82">
    <cfRule type="expression" dxfId="471" priority="7">
      <formula>$G$37=0</formula>
    </cfRule>
  </conditionalFormatting>
  <conditionalFormatting sqref="I33">
    <cfRule type="expression" dxfId="470" priority="6">
      <formula>$H$33&gt;1</formula>
    </cfRule>
  </conditionalFormatting>
  <conditionalFormatting sqref="I34">
    <cfRule type="expression" dxfId="469" priority="5">
      <formula>$H$34&gt;1</formula>
    </cfRule>
  </conditionalFormatting>
  <conditionalFormatting sqref="I36:I37">
    <cfRule type="expression" dxfId="468" priority="4">
      <formula>H36&gt;1</formula>
    </cfRule>
  </conditionalFormatting>
  <conditionalFormatting sqref="I39:I41">
    <cfRule type="expression" dxfId="467" priority="2">
      <formula>H39&gt;1</formula>
    </cfRule>
  </conditionalFormatting>
  <conditionalFormatting sqref="I55:I63">
    <cfRule type="expression" dxfId="466" priority="1">
      <formula>H55&gt;1</formula>
    </cfRule>
  </conditionalFormatting>
  <pageMargins left="0.7" right="0.7" top="0.75" bottom="0.75" header="0.3" footer="0.3"/>
  <pageSetup paperSize="9" orientation="portrait" r:id="rId1"/>
  <ignoredErrors>
    <ignoredError sqref="H58:H59 H62:H63 H36:H39 H40:H41 H61:I61" formulaRange="1"/>
    <ignoredError sqref="D60 F76:F79 F74:F75 F80:F85" unlockedFormula="1"/>
  </ignoredErrors>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B050"/>
  </sheetPr>
  <dimension ref="A1:AG126"/>
  <sheetViews>
    <sheetView showGridLines="0" showRowColHeaders="0" topLeftCell="A3" zoomScale="80" zoomScaleNormal="80" workbookViewId="0">
      <pane ySplit="3" topLeftCell="A6" activePane="bottomLeft" state="frozen"/>
      <selection activeCell="A3" sqref="A3"/>
      <selection pane="bottomLeft" activeCell="D57" sqref="D57"/>
    </sheetView>
  </sheetViews>
  <sheetFormatPr defaultColWidth="9.1796875" defaultRowHeight="13" x14ac:dyDescent="0.35"/>
  <cols>
    <col min="1" max="1" width="3.26953125" style="478" customWidth="1"/>
    <col min="2" max="2" width="45.7265625" style="3" customWidth="1"/>
    <col min="3" max="4" width="18.7265625" style="3" customWidth="1"/>
    <col min="5" max="5" width="16.7265625" style="4" customWidth="1"/>
    <col min="6" max="6" width="16.7265625" style="369" customWidth="1"/>
    <col min="7" max="9" width="16.7265625" style="3" customWidth="1"/>
    <col min="10" max="10" width="8.7265625" style="3" customWidth="1"/>
    <col min="11" max="16" width="16.7265625" style="3" customWidth="1"/>
    <col min="17" max="17" width="3.7265625" style="3" customWidth="1"/>
    <col min="18" max="16384" width="9.1796875" style="3"/>
  </cols>
  <sheetData>
    <row r="1" spans="1:33" ht="15.75" hidden="1" customHeight="1" x14ac:dyDescent="0.35">
      <c r="B1" s="167"/>
      <c r="C1" s="167"/>
      <c r="D1" s="167"/>
      <c r="E1" s="366"/>
      <c r="F1" s="367"/>
      <c r="G1" s="167"/>
      <c r="H1" s="167"/>
      <c r="I1" s="167"/>
      <c r="J1" s="167"/>
      <c r="K1" s="167"/>
      <c r="L1" s="167"/>
      <c r="M1" s="167"/>
      <c r="N1" s="167"/>
      <c r="O1" s="167"/>
      <c r="P1" s="167"/>
      <c r="Q1" s="167"/>
    </row>
    <row r="2" spans="1:33" s="476" customFormat="1" ht="23.25" hidden="1" customHeight="1" x14ac:dyDescent="0.35">
      <c r="A2" s="478"/>
      <c r="B2" s="518" t="e">
        <f>Overview_SLUDGE!#REF!</f>
        <v>#REF!</v>
      </c>
      <c r="E2" s="516"/>
      <c r="F2" s="517"/>
    </row>
    <row r="3" spans="1:33" s="476" customFormat="1" ht="36.75" customHeight="1" x14ac:dyDescent="0.45">
      <c r="B3" s="828" t="str">
        <f>Overview_SLUDGE!B1</f>
        <v>Any city in , the world</v>
      </c>
      <c r="E3" s="516"/>
      <c r="F3" s="517"/>
    </row>
    <row r="4" spans="1:33" s="185" customFormat="1" ht="10.5" hidden="1" x14ac:dyDescent="0.35">
      <c r="A4" s="519"/>
      <c r="B4" s="375"/>
      <c r="C4" s="374"/>
      <c r="D4" s="374"/>
      <c r="E4" s="374"/>
      <c r="F4" s="374"/>
      <c r="G4" s="374"/>
      <c r="H4" s="374"/>
      <c r="I4" s="374"/>
      <c r="J4" s="374"/>
      <c r="K4" s="374"/>
      <c r="L4" s="374"/>
      <c r="M4" s="374"/>
      <c r="N4" s="374"/>
      <c r="O4" s="374"/>
      <c r="P4" s="374"/>
    </row>
    <row r="5" spans="1:33" s="504" customFormat="1" ht="57.75" customHeight="1" thickBot="1" x14ac:dyDescent="0.4">
      <c r="A5" s="670"/>
      <c r="B5" s="1284" t="s">
        <v>484</v>
      </c>
      <c r="E5" s="559"/>
      <c r="F5" s="560"/>
    </row>
    <row r="6" spans="1:33" s="478" customFormat="1" ht="17.149999999999999" customHeight="1" x14ac:dyDescent="0.35">
      <c r="A6" s="1084"/>
      <c r="E6" s="523"/>
      <c r="F6" s="524"/>
    </row>
    <row r="7" spans="1:33" s="478" customFormat="1" ht="17.149999999999999" hidden="1" customHeight="1" x14ac:dyDescent="0.35">
      <c r="E7" s="523"/>
      <c r="F7" s="524"/>
    </row>
    <row r="8" spans="1:33" ht="17.149999999999999" customHeight="1" x14ac:dyDescent="0.35">
      <c r="B8" s="501" t="s">
        <v>403</v>
      </c>
      <c r="C8" s="871">
        <v>42978</v>
      </c>
      <c r="D8" s="1225" t="s">
        <v>485</v>
      </c>
      <c r="E8" s="523"/>
      <c r="F8" s="525"/>
      <c r="G8" s="478"/>
      <c r="H8" s="478"/>
      <c r="I8" s="478"/>
      <c r="J8" s="478"/>
      <c r="K8" s="478"/>
      <c r="L8" s="478"/>
      <c r="M8" s="478"/>
      <c r="N8" s="478"/>
      <c r="O8" s="478"/>
      <c r="P8" s="478"/>
      <c r="Q8" s="478"/>
      <c r="R8" s="478"/>
      <c r="S8" s="478"/>
      <c r="T8" s="478"/>
      <c r="U8" s="478"/>
      <c r="V8" s="478"/>
      <c r="W8" s="478"/>
      <c r="X8" s="478"/>
      <c r="Y8" s="478"/>
      <c r="Z8" s="478"/>
      <c r="AA8" s="478"/>
      <c r="AB8" s="478"/>
      <c r="AC8" s="478"/>
      <c r="AD8" s="478"/>
      <c r="AE8" s="478"/>
      <c r="AF8" s="478"/>
    </row>
    <row r="9" spans="1:33" ht="17.149999999999999" customHeight="1" x14ac:dyDescent="0.35">
      <c r="B9" s="478"/>
      <c r="C9" s="478"/>
      <c r="D9" s="478"/>
      <c r="E9" s="523"/>
      <c r="F9" s="524"/>
      <c r="G9" s="478"/>
      <c r="H9" s="478"/>
      <c r="I9" s="478"/>
      <c r="J9" s="478"/>
      <c r="K9" s="478"/>
      <c r="L9" s="478"/>
      <c r="M9" s="478"/>
      <c r="N9" s="478"/>
      <c r="O9" s="478"/>
      <c r="P9" s="478"/>
      <c r="Q9" s="478"/>
      <c r="R9" s="478"/>
      <c r="S9" s="478"/>
      <c r="T9" s="478"/>
      <c r="U9" s="478"/>
      <c r="V9" s="478"/>
      <c r="W9" s="478"/>
      <c r="X9" s="478"/>
      <c r="Y9" s="478"/>
      <c r="Z9" s="478"/>
      <c r="AA9" s="478"/>
      <c r="AB9" s="478"/>
      <c r="AC9" s="478"/>
      <c r="AD9" s="478"/>
      <c r="AE9" s="478"/>
      <c r="AF9" s="478"/>
      <c r="AG9" s="478"/>
    </row>
    <row r="10" spans="1:33" ht="17.149999999999999" customHeight="1" x14ac:dyDescent="0.35">
      <c r="B10" s="501" t="s">
        <v>404</v>
      </c>
      <c r="C10" s="876" t="str">
        <f>'User interface_RES'!C10</f>
        <v>Any city</v>
      </c>
      <c r="D10" s="526"/>
      <c r="E10" s="523"/>
      <c r="F10" s="524"/>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8"/>
      <c r="AE10" s="478"/>
      <c r="AF10" s="478"/>
      <c r="AG10" s="478"/>
    </row>
    <row r="11" spans="1:33" ht="17.149999999999999" customHeight="1" x14ac:dyDescent="0.35">
      <c r="B11" s="501" t="s">
        <v>486</v>
      </c>
      <c r="C11" s="876">
        <f>'User interface_RES'!C11</f>
        <v>0</v>
      </c>
      <c r="D11" s="526"/>
      <c r="E11" s="523"/>
      <c r="F11" s="524"/>
      <c r="G11" s="478"/>
      <c r="H11" s="478"/>
      <c r="I11" s="478"/>
      <c r="J11" s="478"/>
      <c r="K11" s="478"/>
      <c r="L11" s="478"/>
      <c r="M11" s="478"/>
      <c r="N11" s="478"/>
      <c r="O11" s="478"/>
      <c r="P11" s="478"/>
      <c r="Q11" s="478"/>
      <c r="R11" s="478"/>
      <c r="S11" s="478"/>
      <c r="T11" s="478"/>
      <c r="U11" s="478"/>
      <c r="V11" s="478"/>
      <c r="W11" s="478"/>
      <c r="X11" s="478"/>
      <c r="Y11" s="478"/>
      <c r="Z11" s="478"/>
      <c r="AA11" s="478"/>
      <c r="AB11" s="478"/>
      <c r="AC11" s="540" t="s">
        <v>406</v>
      </c>
      <c r="AD11" s="540" t="s">
        <v>407</v>
      </c>
      <c r="AE11" s="541" t="str">
        <f>C10&amp;AC11&amp;C11&amp;AD11&amp;C12</f>
        <v>Any city in 0, the world</v>
      </c>
      <c r="AF11" s="540"/>
      <c r="AG11" s="478"/>
    </row>
    <row r="12" spans="1:33" ht="17.149999999999999" customHeight="1" x14ac:dyDescent="0.35">
      <c r="B12" s="501" t="s">
        <v>408</v>
      </c>
      <c r="C12" s="876" t="str">
        <f>'User interface_RES'!C12</f>
        <v>the world</v>
      </c>
      <c r="D12" s="526"/>
      <c r="E12" s="523"/>
      <c r="F12" s="527" t="s">
        <v>487</v>
      </c>
      <c r="G12" s="1286">
        <f>'User interface_RES'!H16</f>
        <v>3.2199999999999999E-2</v>
      </c>
      <c r="H12" s="478"/>
      <c r="I12" s="478"/>
      <c r="J12" s="478"/>
      <c r="K12" s="478"/>
      <c r="L12" s="478"/>
      <c r="M12" s="478"/>
      <c r="N12" s="478"/>
      <c r="O12" s="478"/>
      <c r="P12" s="478"/>
      <c r="Q12" s="478"/>
      <c r="R12" s="478"/>
      <c r="S12" s="478"/>
      <c r="T12" s="478"/>
      <c r="U12" s="478"/>
      <c r="V12" s="478"/>
      <c r="W12" s="478"/>
      <c r="X12" s="478"/>
      <c r="Y12" s="478"/>
      <c r="Z12" s="478"/>
      <c r="AA12" s="478"/>
      <c r="AB12" s="478"/>
      <c r="AC12" s="478"/>
      <c r="AD12" s="478"/>
      <c r="AE12" s="478"/>
      <c r="AF12" s="478"/>
      <c r="AG12" s="478"/>
    </row>
    <row r="13" spans="1:33" ht="17.149999999999999" customHeight="1" x14ac:dyDescent="0.35">
      <c r="B13" s="478"/>
      <c r="C13" s="478"/>
      <c r="D13" s="478"/>
      <c r="E13" s="523"/>
      <c r="F13" s="524"/>
      <c r="G13" s="478"/>
      <c r="H13" s="478"/>
      <c r="I13" s="478"/>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row>
    <row r="14" spans="1:33" ht="17.149999999999999" customHeight="1" x14ac:dyDescent="0.35">
      <c r="B14" s="501" t="s">
        <v>409</v>
      </c>
      <c r="C14" s="1285" t="s">
        <v>411</v>
      </c>
      <c r="D14" s="871">
        <v>42369</v>
      </c>
      <c r="E14" s="1477" t="s">
        <v>415</v>
      </c>
      <c r="F14" s="1148" t="s">
        <v>488</v>
      </c>
      <c r="G14" s="478"/>
      <c r="H14" s="478"/>
      <c r="I14" s="478"/>
      <c r="J14" s="478"/>
      <c r="K14" s="478"/>
      <c r="L14" s="478"/>
      <c r="M14" s="478"/>
      <c r="N14" s="478"/>
      <c r="O14" s="478"/>
      <c r="P14" s="478"/>
      <c r="Q14" s="478"/>
      <c r="R14" s="478"/>
      <c r="S14" s="478"/>
      <c r="T14" s="478"/>
      <c r="U14" s="478"/>
      <c r="V14" s="478"/>
      <c r="W14" s="478"/>
      <c r="X14" s="478"/>
      <c r="Y14" s="478"/>
      <c r="Z14" s="478"/>
      <c r="AA14" s="478"/>
      <c r="AB14" s="478"/>
      <c r="AC14" s="478"/>
      <c r="AD14" s="478"/>
      <c r="AE14" s="478"/>
      <c r="AF14" s="478"/>
      <c r="AG14" s="478"/>
    </row>
    <row r="15" spans="1:33" ht="17.149999999999999" customHeight="1" x14ac:dyDescent="0.35">
      <c r="B15" s="478"/>
      <c r="C15" s="478"/>
      <c r="D15" s="478"/>
      <c r="E15" s="528"/>
      <c r="F15" s="478"/>
      <c r="G15" s="478"/>
      <c r="H15" s="478"/>
      <c r="I15" s="478"/>
      <c r="J15" s="478"/>
      <c r="K15" s="478"/>
      <c r="L15" s="478"/>
      <c r="M15" s="478"/>
      <c r="N15" s="478"/>
      <c r="O15" s="478"/>
      <c r="P15" s="478"/>
      <c r="Q15" s="478"/>
      <c r="R15" s="478"/>
      <c r="S15" s="478"/>
      <c r="T15" s="478"/>
      <c r="U15" s="478"/>
      <c r="V15" s="478"/>
      <c r="W15" s="478"/>
      <c r="X15" s="478"/>
      <c r="Y15" s="478"/>
      <c r="Z15" s="478"/>
      <c r="AA15" s="478"/>
      <c r="AB15" s="478"/>
      <c r="AC15" s="478"/>
      <c r="AD15" s="478"/>
      <c r="AE15" s="478"/>
      <c r="AF15" s="478"/>
      <c r="AG15" s="478"/>
    </row>
    <row r="16" spans="1:33" ht="31.5" customHeight="1" x14ac:dyDescent="0.35">
      <c r="B16" s="501" t="s">
        <v>409</v>
      </c>
      <c r="C16" s="1496" t="s">
        <v>489</v>
      </c>
      <c r="D16" s="1473" t="s">
        <v>490</v>
      </c>
      <c r="E16" s="489"/>
      <c r="F16" s="489"/>
      <c r="G16" s="489"/>
      <c r="H16" s="478"/>
      <c r="I16" s="478"/>
      <c r="J16" s="478"/>
      <c r="K16" s="478"/>
      <c r="L16" s="478"/>
      <c r="M16" s="478"/>
      <c r="N16" s="478"/>
      <c r="O16" s="478"/>
      <c r="P16" s="478"/>
      <c r="Q16" s="478"/>
      <c r="R16" s="478"/>
      <c r="S16" s="478"/>
      <c r="T16" s="478"/>
      <c r="U16" s="478"/>
      <c r="V16" s="478"/>
      <c r="W16" s="478"/>
      <c r="X16" s="478"/>
      <c r="Y16" s="478"/>
      <c r="Z16" s="478"/>
      <c r="AA16" s="478"/>
      <c r="AB16" s="478"/>
      <c r="AC16" s="478"/>
      <c r="AD16" s="478"/>
      <c r="AE16" s="478"/>
      <c r="AF16" s="478"/>
      <c r="AG16" s="478"/>
    </row>
    <row r="17" spans="1:33" ht="4.5" customHeight="1" x14ac:dyDescent="0.35">
      <c r="A17" s="489"/>
      <c r="B17" s="531"/>
      <c r="C17" s="531"/>
      <c r="D17" s="531"/>
      <c r="E17" s="489"/>
      <c r="F17" s="489"/>
      <c r="G17" s="489"/>
      <c r="H17" s="478"/>
      <c r="I17" s="478"/>
      <c r="J17" s="478"/>
      <c r="K17" s="478"/>
      <c r="L17" s="478"/>
      <c r="M17" s="478"/>
      <c r="N17" s="478"/>
      <c r="O17" s="478"/>
      <c r="P17" s="478"/>
      <c r="Q17" s="478"/>
      <c r="R17" s="478"/>
      <c r="S17" s="478"/>
      <c r="T17" s="478"/>
      <c r="U17" s="478"/>
      <c r="V17" s="478"/>
      <c r="W17" s="478"/>
      <c r="X17" s="478"/>
      <c r="Y17" s="478"/>
      <c r="Z17" s="478"/>
      <c r="AA17" s="478"/>
      <c r="AB17" s="478"/>
      <c r="AC17" s="478"/>
      <c r="AD17" s="478"/>
      <c r="AE17" s="478"/>
      <c r="AF17" s="478"/>
      <c r="AG17" s="478"/>
    </row>
    <row r="18" spans="1:33" ht="17.149999999999999" customHeight="1" x14ac:dyDescent="0.35">
      <c r="B18" s="1218" t="s">
        <v>229</v>
      </c>
      <c r="C18" s="1219"/>
      <c r="D18" s="1220"/>
      <c r="E18" s="1226" t="s">
        <v>491</v>
      </c>
      <c r="F18" s="489"/>
      <c r="G18" s="532"/>
      <c r="H18" s="478"/>
      <c r="I18" s="478"/>
      <c r="J18" s="478"/>
      <c r="K18" s="478"/>
      <c r="L18" s="478"/>
      <c r="M18" s="478"/>
      <c r="N18" s="478"/>
      <c r="O18" s="478"/>
      <c r="P18" s="478"/>
      <c r="Q18" s="478"/>
      <c r="R18" s="478"/>
      <c r="S18" s="478"/>
      <c r="T18" s="478"/>
      <c r="U18" s="478"/>
      <c r="V18" s="478"/>
      <c r="W18" s="478"/>
      <c r="X18" s="478"/>
      <c r="Y18" s="478"/>
      <c r="Z18" s="478"/>
      <c r="AA18" s="478"/>
      <c r="AB18" s="478"/>
      <c r="AC18" s="478"/>
      <c r="AD18" s="478"/>
      <c r="AE18" s="478"/>
      <c r="AF18" s="478"/>
      <c r="AG18" s="478"/>
    </row>
    <row r="19" spans="1:33" ht="4.5" customHeight="1" x14ac:dyDescent="0.35">
      <c r="A19" s="489"/>
      <c r="B19" s="533"/>
      <c r="C19" s="534"/>
      <c r="D19" s="531"/>
      <c r="E19" s="532"/>
      <c r="F19" s="489"/>
      <c r="G19" s="532"/>
      <c r="H19" s="478"/>
      <c r="I19" s="478"/>
      <c r="J19" s="478"/>
      <c r="K19" s="478"/>
      <c r="L19" s="478"/>
      <c r="M19" s="478"/>
      <c r="N19" s="478"/>
      <c r="O19" s="478"/>
      <c r="P19" s="478"/>
      <c r="Q19" s="478"/>
      <c r="R19" s="478"/>
      <c r="S19" s="478"/>
      <c r="T19" s="478"/>
      <c r="U19" s="478"/>
      <c r="V19" s="478"/>
      <c r="W19" s="478"/>
      <c r="X19" s="478"/>
      <c r="Y19" s="478"/>
      <c r="Z19" s="478"/>
      <c r="AA19" s="478"/>
      <c r="AB19" s="478"/>
      <c r="AC19" s="478"/>
      <c r="AD19" s="478"/>
      <c r="AE19" s="478"/>
      <c r="AF19" s="478"/>
      <c r="AG19" s="478"/>
    </row>
    <row r="20" spans="1:33" ht="17.149999999999999" customHeight="1" x14ac:dyDescent="0.35">
      <c r="B20" s="501" t="s">
        <v>492</v>
      </c>
      <c r="C20" s="536"/>
      <c r="D20" s="537"/>
      <c r="E20" s="489"/>
      <c r="F20" s="489"/>
      <c r="G20" s="489"/>
      <c r="H20" s="478"/>
      <c r="I20" s="478"/>
      <c r="J20" s="478"/>
      <c r="K20" s="478"/>
      <c r="L20" s="478"/>
      <c r="M20" s="478"/>
      <c r="N20" s="478"/>
      <c r="O20" s="478"/>
      <c r="P20" s="478"/>
      <c r="Q20" s="478"/>
      <c r="R20" s="478"/>
      <c r="S20" s="478"/>
      <c r="T20" s="478"/>
      <c r="U20" s="478"/>
      <c r="V20" s="478"/>
      <c r="W20" s="478"/>
      <c r="X20" s="478"/>
      <c r="Y20" s="478"/>
      <c r="Z20" s="478"/>
      <c r="AA20" s="478"/>
      <c r="AB20" s="478"/>
      <c r="AC20" s="478"/>
      <c r="AD20" s="478"/>
      <c r="AE20" s="478"/>
      <c r="AF20" s="478"/>
      <c r="AG20" s="478"/>
    </row>
    <row r="21" spans="1:33" ht="17.149999999999999" customHeight="1" x14ac:dyDescent="0.35">
      <c r="B21" s="482" t="s">
        <v>493</v>
      </c>
      <c r="C21" s="1349"/>
      <c r="D21" s="873"/>
      <c r="E21" s="1226" t="s">
        <v>494</v>
      </c>
      <c r="F21" s="489"/>
      <c r="G21" s="1217"/>
      <c r="H21" s="478"/>
      <c r="I21" s="478"/>
      <c r="J21" s="478"/>
      <c r="K21" s="478"/>
      <c r="L21" s="478"/>
      <c r="M21" s="478"/>
      <c r="N21" s="478"/>
      <c r="O21" s="478"/>
      <c r="P21" s="478"/>
      <c r="Q21" s="478"/>
      <c r="R21" s="478"/>
      <c r="S21" s="478"/>
      <c r="T21" s="478"/>
      <c r="U21" s="478"/>
      <c r="V21" s="478"/>
      <c r="W21" s="478"/>
      <c r="X21" s="478"/>
      <c r="Y21" s="478"/>
      <c r="Z21" s="478"/>
      <c r="AA21" s="478"/>
      <c r="AB21" s="478"/>
      <c r="AC21" s="478"/>
      <c r="AD21" s="478"/>
      <c r="AE21" s="478"/>
      <c r="AF21" s="478"/>
      <c r="AG21" s="478"/>
    </row>
    <row r="22" spans="1:33" ht="17.149999999999999" customHeight="1" x14ac:dyDescent="0.35">
      <c r="B22" s="482" t="s">
        <v>495</v>
      </c>
      <c r="C22" s="872">
        <f>365*900</f>
        <v>328500</v>
      </c>
      <c r="D22" s="873"/>
      <c r="E22" s="489"/>
      <c r="F22" s="489"/>
      <c r="G22" s="489"/>
      <c r="H22" s="530"/>
      <c r="I22" s="478"/>
      <c r="J22" s="478"/>
      <c r="K22" s="478"/>
      <c r="L22" s="478"/>
      <c r="M22" s="478"/>
      <c r="N22" s="478"/>
      <c r="O22" s="478"/>
      <c r="P22" s="478"/>
      <c r="Q22" s="478"/>
      <c r="R22" s="478"/>
      <c r="S22" s="478"/>
      <c r="T22" s="478"/>
      <c r="U22" s="478"/>
      <c r="V22" s="478"/>
      <c r="W22" s="478"/>
      <c r="X22" s="478"/>
      <c r="Y22" s="478"/>
      <c r="Z22" s="478"/>
      <c r="AA22" s="478"/>
      <c r="AB22" s="478"/>
      <c r="AC22" s="478"/>
      <c r="AD22" s="478"/>
      <c r="AE22" s="478"/>
      <c r="AF22" s="478"/>
      <c r="AG22" s="478"/>
    </row>
    <row r="23" spans="1:33" ht="17.149999999999999" customHeight="1" x14ac:dyDescent="0.35">
      <c r="B23" s="501" t="s">
        <v>496</v>
      </c>
      <c r="C23" s="536">
        <f>SUM(C24:C27)</f>
        <v>80175</v>
      </c>
      <c r="D23" s="537"/>
      <c r="E23" s="489"/>
      <c r="F23" s="489"/>
      <c r="G23" s="489"/>
      <c r="H23" s="478"/>
      <c r="I23" s="478"/>
      <c r="J23" s="478"/>
      <c r="K23" s="478"/>
      <c r="L23" s="478"/>
      <c r="M23" s="478"/>
      <c r="N23" s="478"/>
      <c r="O23" s="478"/>
      <c r="P23" s="478"/>
      <c r="Q23" s="478"/>
      <c r="R23" s="478"/>
      <c r="S23" s="478"/>
      <c r="T23" s="478"/>
      <c r="U23" s="478"/>
      <c r="V23" s="478"/>
      <c r="W23" s="478"/>
      <c r="X23" s="478"/>
      <c r="Y23" s="478"/>
      <c r="Z23" s="478"/>
      <c r="AA23" s="478"/>
      <c r="AB23" s="478"/>
      <c r="AC23" s="478"/>
      <c r="AD23" s="478"/>
      <c r="AE23" s="478"/>
      <c r="AF23" s="478"/>
      <c r="AG23" s="478"/>
    </row>
    <row r="24" spans="1:33" ht="17.149999999999999" customHeight="1" x14ac:dyDescent="0.35">
      <c r="B24" s="482" t="s">
        <v>497</v>
      </c>
      <c r="C24" s="872">
        <v>80175</v>
      </c>
      <c r="D24" s="873"/>
      <c r="E24" s="1226" t="s">
        <v>494</v>
      </c>
      <c r="F24" s="489"/>
      <c r="G24" s="1217"/>
      <c r="H24" s="530"/>
      <c r="I24" s="478"/>
      <c r="J24" s="478"/>
      <c r="K24" s="478"/>
      <c r="L24" s="478"/>
      <c r="M24" s="478"/>
      <c r="N24" s="478"/>
      <c r="O24" s="478"/>
      <c r="P24" s="478"/>
      <c r="Q24" s="478"/>
      <c r="R24" s="478"/>
      <c r="S24" s="478"/>
      <c r="T24" s="478"/>
      <c r="U24" s="478"/>
      <c r="V24" s="478"/>
      <c r="W24" s="478"/>
      <c r="X24" s="478"/>
      <c r="Y24" s="478"/>
      <c r="Z24" s="478"/>
      <c r="AA24" s="478"/>
      <c r="AB24" s="478"/>
      <c r="AC24" s="478"/>
      <c r="AD24" s="478"/>
      <c r="AE24" s="478"/>
      <c r="AF24" s="478"/>
      <c r="AG24" s="478"/>
    </row>
    <row r="25" spans="1:33" ht="17.149999999999999" customHeight="1" x14ac:dyDescent="0.35">
      <c r="B25" s="482" t="s">
        <v>498</v>
      </c>
      <c r="C25" s="872"/>
      <c r="D25" s="873"/>
      <c r="E25" s="1217"/>
      <c r="F25" s="489"/>
      <c r="G25" s="1217"/>
      <c r="H25" s="478"/>
      <c r="I25" s="478"/>
      <c r="J25" s="478"/>
      <c r="K25" s="478"/>
      <c r="L25" s="478"/>
      <c r="M25" s="478"/>
      <c r="N25" s="478"/>
      <c r="O25" s="478"/>
      <c r="P25" s="478"/>
      <c r="Q25" s="478"/>
      <c r="R25" s="478"/>
      <c r="S25" s="478"/>
      <c r="T25" s="478"/>
      <c r="U25" s="478"/>
      <c r="V25" s="478"/>
      <c r="W25" s="478"/>
      <c r="X25" s="478"/>
      <c r="Y25" s="478"/>
      <c r="Z25" s="478"/>
      <c r="AA25" s="478"/>
      <c r="AB25" s="478"/>
      <c r="AC25" s="478"/>
      <c r="AD25" s="478"/>
      <c r="AE25" s="478"/>
      <c r="AF25" s="478"/>
      <c r="AG25" s="478"/>
    </row>
    <row r="26" spans="1:33" ht="17.149999999999999" customHeight="1" x14ac:dyDescent="0.35">
      <c r="B26" s="482" t="s">
        <v>499</v>
      </c>
      <c r="C26" s="872"/>
      <c r="D26" s="873"/>
      <c r="E26" s="489"/>
      <c r="F26" s="489"/>
      <c r="G26" s="489"/>
      <c r="H26" s="478"/>
      <c r="I26" s="478"/>
      <c r="J26" s="478"/>
      <c r="K26" s="478"/>
      <c r="L26" s="478"/>
      <c r="M26" s="478"/>
      <c r="N26" s="478"/>
      <c r="O26" s="478"/>
      <c r="P26" s="478"/>
      <c r="Q26" s="478"/>
      <c r="R26" s="478"/>
      <c r="S26" s="478"/>
      <c r="T26" s="478"/>
      <c r="U26" s="478"/>
      <c r="V26" s="478"/>
      <c r="W26" s="478"/>
      <c r="X26" s="478"/>
      <c r="Y26" s="478"/>
      <c r="Z26" s="478"/>
      <c r="AA26" s="478"/>
      <c r="AB26" s="478"/>
      <c r="AC26" s="478"/>
      <c r="AD26" s="478"/>
      <c r="AE26" s="478"/>
      <c r="AF26" s="478"/>
      <c r="AG26" s="478"/>
    </row>
    <row r="27" spans="1:33" ht="17.149999999999999" customHeight="1" x14ac:dyDescent="0.35">
      <c r="B27" s="482" t="s">
        <v>500</v>
      </c>
      <c r="C27" s="872"/>
      <c r="D27" s="873"/>
      <c r="E27" s="489"/>
      <c r="F27" s="489"/>
      <c r="G27" s="489"/>
      <c r="H27" s="478"/>
      <c r="I27" s="478"/>
      <c r="J27" s="478"/>
      <c r="K27" s="478"/>
      <c r="L27" s="478"/>
      <c r="M27" s="478"/>
      <c r="N27" s="478"/>
      <c r="O27" s="478"/>
      <c r="P27" s="478"/>
      <c r="Q27" s="478"/>
      <c r="R27" s="478"/>
      <c r="S27" s="478"/>
      <c r="T27" s="478"/>
      <c r="U27" s="478"/>
      <c r="V27" s="478"/>
      <c r="W27" s="478"/>
      <c r="X27" s="478"/>
      <c r="Y27" s="478"/>
      <c r="Z27" s="478"/>
      <c r="AA27" s="478"/>
      <c r="AB27" s="478"/>
      <c r="AC27" s="478"/>
      <c r="AD27" s="478"/>
      <c r="AE27" s="478"/>
      <c r="AF27" s="478"/>
      <c r="AG27" s="478"/>
    </row>
    <row r="28" spans="1:33" ht="17.149999999999999" customHeight="1" x14ac:dyDescent="0.35">
      <c r="B28" s="478"/>
      <c r="C28" s="478"/>
      <c r="D28" s="478"/>
      <c r="E28" s="523"/>
      <c r="F28" s="524"/>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478"/>
      <c r="AE28" s="478"/>
      <c r="AF28" s="478"/>
      <c r="AG28" s="478"/>
    </row>
    <row r="29" spans="1:33" ht="17.149999999999999" customHeight="1" x14ac:dyDescent="0.35">
      <c r="B29" s="478"/>
      <c r="C29" s="478"/>
      <c r="D29" s="478"/>
      <c r="E29" s="523"/>
      <c r="F29" s="524"/>
      <c r="G29" s="478"/>
      <c r="H29" s="478"/>
      <c r="I29" s="478"/>
      <c r="J29" s="478"/>
      <c r="K29" s="478"/>
      <c r="L29" s="478"/>
      <c r="M29" s="478"/>
      <c r="N29" s="478"/>
      <c r="O29" s="478"/>
      <c r="P29" s="478"/>
      <c r="Q29" s="478"/>
      <c r="R29" s="478"/>
      <c r="S29" s="478"/>
      <c r="T29" s="478"/>
      <c r="U29" s="478"/>
      <c r="V29" s="478"/>
      <c r="W29" s="478"/>
      <c r="X29" s="478"/>
      <c r="Y29" s="478"/>
      <c r="Z29" s="478"/>
      <c r="AA29" s="478"/>
      <c r="AB29" s="478"/>
      <c r="AC29" s="478"/>
      <c r="AD29" s="478"/>
      <c r="AE29" s="478"/>
      <c r="AF29" s="478"/>
      <c r="AG29" s="478"/>
    </row>
    <row r="30" spans="1:33" ht="17.149999999999999" customHeight="1" x14ac:dyDescent="0.35">
      <c r="B30" s="926" t="s">
        <v>418</v>
      </c>
      <c r="C30" s="478"/>
      <c r="D30" s="478"/>
      <c r="E30" s="523"/>
      <c r="F30" s="524"/>
      <c r="G30" s="478"/>
      <c r="H30" s="478"/>
      <c r="I30" s="478"/>
      <c r="J30" s="478"/>
      <c r="K30" s="478"/>
      <c r="L30" s="478"/>
      <c r="M30" s="478"/>
      <c r="N30" s="478"/>
      <c r="O30" s="478"/>
      <c r="P30" s="478"/>
      <c r="Q30" s="478"/>
      <c r="R30" s="478"/>
      <c r="S30" s="478"/>
      <c r="T30" s="478"/>
      <c r="U30" s="478"/>
      <c r="V30" s="478"/>
      <c r="W30" s="478"/>
      <c r="X30" s="478"/>
      <c r="Y30" s="478"/>
      <c r="Z30" s="478"/>
      <c r="AA30" s="478"/>
      <c r="AB30" s="478"/>
      <c r="AC30" s="478"/>
      <c r="AD30" s="478"/>
      <c r="AE30" s="478"/>
      <c r="AF30" s="478"/>
      <c r="AG30" s="478"/>
    </row>
    <row r="31" spans="1:33" ht="17.149999999999999" customHeight="1" x14ac:dyDescent="0.35">
      <c r="B31" s="1667" t="s">
        <v>419</v>
      </c>
      <c r="C31" s="1677" t="s">
        <v>420</v>
      </c>
      <c r="D31" s="1678"/>
      <c r="E31" s="1677" t="s">
        <v>421</v>
      </c>
      <c r="F31" s="1679"/>
      <c r="G31" s="1679"/>
      <c r="H31" s="1678"/>
      <c r="I31" s="478"/>
      <c r="J31" s="478"/>
      <c r="K31" s="1682" t="s">
        <v>422</v>
      </c>
      <c r="L31" s="1682"/>
      <c r="M31" s="1682"/>
      <c r="N31" s="1682"/>
      <c r="O31" s="1682"/>
      <c r="P31" s="478"/>
      <c r="Q31" s="478"/>
      <c r="R31" s="478"/>
      <c r="S31" s="478"/>
      <c r="T31" s="478"/>
      <c r="U31" s="478"/>
      <c r="V31" s="478"/>
      <c r="W31" s="478"/>
      <c r="X31" s="478"/>
      <c r="Y31" s="478"/>
      <c r="Z31" s="478"/>
      <c r="AA31" s="478"/>
      <c r="AB31" s="478"/>
      <c r="AC31" s="478"/>
      <c r="AD31" s="478"/>
      <c r="AE31" s="478"/>
      <c r="AF31" s="478"/>
      <c r="AG31" s="478"/>
    </row>
    <row r="32" spans="1:33" ht="50.15" customHeight="1" x14ac:dyDescent="0.35">
      <c r="B32" s="1667"/>
      <c r="C32" s="927" t="s">
        <v>423</v>
      </c>
      <c r="D32" s="927" t="s">
        <v>424</v>
      </c>
      <c r="E32" s="928" t="s">
        <v>425</v>
      </c>
      <c r="F32" s="928" t="s">
        <v>426</v>
      </c>
      <c r="G32" s="928" t="s">
        <v>427</v>
      </c>
      <c r="H32" s="927" t="s">
        <v>428</v>
      </c>
      <c r="I32" s="489"/>
      <c r="J32" s="478"/>
      <c r="K32" s="928" t="s">
        <v>429</v>
      </c>
      <c r="L32" s="928" t="s">
        <v>452</v>
      </c>
      <c r="M32" s="928" t="s">
        <v>431</v>
      </c>
      <c r="N32" s="928" t="s">
        <v>432</v>
      </c>
      <c r="O32" s="927" t="s">
        <v>428</v>
      </c>
      <c r="P32" s="478"/>
      <c r="Q32" s="478"/>
      <c r="R32" s="478"/>
      <c r="S32" s="478"/>
      <c r="T32" s="478"/>
      <c r="U32" s="478"/>
      <c r="V32" s="478"/>
      <c r="W32" s="478"/>
      <c r="X32" s="478"/>
      <c r="Y32" s="478"/>
      <c r="Z32" s="478"/>
      <c r="AA32" s="478"/>
      <c r="AB32" s="478"/>
      <c r="AC32" s="478"/>
      <c r="AD32" s="478"/>
      <c r="AE32" s="478"/>
      <c r="AF32" s="478"/>
      <c r="AG32" s="478"/>
    </row>
    <row r="33" spans="2:33" ht="17.149999999999999" customHeight="1" x14ac:dyDescent="0.35">
      <c r="B33" s="1305" t="s">
        <v>433</v>
      </c>
      <c r="C33" s="1216">
        <v>0.05</v>
      </c>
      <c r="D33" s="924"/>
      <c r="E33" s="874">
        <v>1</v>
      </c>
      <c r="F33" s="874"/>
      <c r="G33" s="924"/>
      <c r="H33" s="492">
        <f>SUM(E33:G33)</f>
        <v>1</v>
      </c>
      <c r="I33" s="631" t="str">
        <f>IF(AND(C33=0,H33=0),"",IF(H33=1,"OK","Not OK"))</f>
        <v>OK</v>
      </c>
      <c r="J33" s="489"/>
      <c r="K33" s="874">
        <v>0</v>
      </c>
      <c r="L33" s="624"/>
      <c r="M33" s="629"/>
      <c r="N33" s="629"/>
      <c r="O33" s="629"/>
      <c r="P33" s="489"/>
      <c r="Q33" s="478"/>
      <c r="R33" s="478"/>
      <c r="S33" s="478"/>
      <c r="T33" s="478"/>
      <c r="U33" s="478"/>
      <c r="V33" s="478"/>
      <c r="W33" s="478"/>
      <c r="X33" s="478"/>
      <c r="Y33" s="478"/>
      <c r="Z33" s="478"/>
      <c r="AA33" s="478"/>
      <c r="AB33" s="478"/>
      <c r="AC33" s="478"/>
      <c r="AD33" s="478"/>
      <c r="AE33" s="478"/>
      <c r="AF33" s="478"/>
      <c r="AG33" s="478"/>
    </row>
    <row r="34" spans="2:33" ht="17.149999999999999" customHeight="1" x14ac:dyDescent="0.35">
      <c r="B34" s="1305" t="s">
        <v>434</v>
      </c>
      <c r="C34" s="1216"/>
      <c r="D34" s="924"/>
      <c r="E34" s="874"/>
      <c r="F34" s="874"/>
      <c r="G34" s="924"/>
      <c r="H34" s="492">
        <f>SUM(E34:G34)</f>
        <v>0</v>
      </c>
      <c r="I34" s="631" t="str">
        <f>IF(AND(C34=0,H34=0),"",IF(H34=1,"OK","Not OK"))</f>
        <v/>
      </c>
      <c r="J34" s="489"/>
      <c r="K34" s="479"/>
      <c r="L34" s="626"/>
      <c r="M34" s="479"/>
      <c r="N34" s="479"/>
      <c r="O34" s="479"/>
      <c r="P34" s="489"/>
      <c r="Q34" s="478"/>
      <c r="R34" s="478"/>
      <c r="S34" s="478"/>
      <c r="T34" s="478"/>
      <c r="U34" s="478"/>
      <c r="V34" s="478"/>
      <c r="W34" s="478"/>
      <c r="X34" s="478"/>
      <c r="Y34" s="478"/>
      <c r="Z34" s="478"/>
      <c r="AA34" s="478"/>
      <c r="AB34" s="478"/>
      <c r="AC34" s="478"/>
      <c r="AD34" s="478"/>
      <c r="AE34" s="478"/>
      <c r="AF34" s="478"/>
      <c r="AG34" s="478"/>
    </row>
    <row r="35" spans="2:33" ht="17.149999999999999" customHeight="1" x14ac:dyDescent="0.35">
      <c r="B35" s="1305" t="s">
        <v>453</v>
      </c>
      <c r="C35" s="1216">
        <v>0.5</v>
      </c>
      <c r="D35" s="175" t="str">
        <f>IF(AND(C35=0,SUM(D36:D37)=0),"OK",IF(AND(C35&gt;0,SUM(D36:D37)=1),"OK","Not OK"))</f>
        <v>OK</v>
      </c>
      <c r="E35" s="924"/>
      <c r="F35" s="924"/>
      <c r="G35" s="924"/>
      <c r="H35" s="918"/>
      <c r="I35" s="478"/>
      <c r="J35" s="489"/>
      <c r="K35" s="479"/>
      <c r="L35" s="625"/>
      <c r="M35" s="630"/>
      <c r="N35" s="630"/>
      <c r="O35" s="630"/>
      <c r="P35" s="489"/>
      <c r="Q35" s="478"/>
      <c r="R35" s="478"/>
      <c r="S35" s="478"/>
      <c r="T35" s="478"/>
      <c r="U35" s="478"/>
      <c r="V35" s="478"/>
      <c r="W35" s="478"/>
      <c r="X35" s="478"/>
      <c r="Y35" s="478"/>
      <c r="Z35" s="478"/>
      <c r="AA35" s="478"/>
      <c r="AB35" s="478"/>
      <c r="AC35" s="478"/>
      <c r="AD35" s="478"/>
      <c r="AE35" s="478"/>
      <c r="AF35" s="478"/>
      <c r="AG35" s="478"/>
    </row>
    <row r="36" spans="2:33" ht="17.149999999999999" customHeight="1" x14ac:dyDescent="0.35">
      <c r="B36" s="482" t="s">
        <v>436</v>
      </c>
      <c r="C36" s="924"/>
      <c r="D36" s="874"/>
      <c r="E36" s="874"/>
      <c r="F36" s="874"/>
      <c r="G36" s="924"/>
      <c r="H36" s="492">
        <f>SUM(E36:G36)</f>
        <v>0</v>
      </c>
      <c r="I36" s="919" t="str">
        <f>IF(AND(D36=0,H36=0),"",IF(AND(D36&gt;0,H36=1),"OK","Not OK"))</f>
        <v/>
      </c>
      <c r="J36" s="478"/>
      <c r="K36" s="479"/>
      <c r="L36" s="874"/>
      <c r="M36" s="874"/>
      <c r="N36" s="874"/>
      <c r="O36" s="493">
        <f>SUM(L36:N36)</f>
        <v>0</v>
      </c>
      <c r="P36" s="919" t="str">
        <f>IF(AND(D36=0,O36&gt;0),"Not OK",IF(AND(D36=0,O36=0),"",IF(O36=1,"OK","Not OK")))</f>
        <v/>
      </c>
      <c r="Q36" s="478"/>
      <c r="R36" s="478"/>
      <c r="S36" s="478"/>
      <c r="T36" s="478"/>
      <c r="U36" s="478"/>
      <c r="V36" s="478"/>
      <c r="W36" s="478"/>
      <c r="X36" s="478"/>
      <c r="Y36" s="478"/>
      <c r="Z36" s="478"/>
      <c r="AA36" s="478"/>
      <c r="AB36" s="478"/>
      <c r="AC36" s="478"/>
      <c r="AD36" s="478"/>
      <c r="AE36" s="478"/>
      <c r="AF36" s="478"/>
      <c r="AG36" s="478"/>
    </row>
    <row r="37" spans="2:33" ht="17.149999999999999" customHeight="1" x14ac:dyDescent="0.35">
      <c r="B37" s="482" t="s">
        <v>454</v>
      </c>
      <c r="C37" s="924"/>
      <c r="D37" s="874">
        <v>1</v>
      </c>
      <c r="E37" s="874"/>
      <c r="F37" s="874">
        <v>1</v>
      </c>
      <c r="G37" s="874"/>
      <c r="H37" s="492">
        <f>SUM(E37:G37)</f>
        <v>1</v>
      </c>
      <c r="I37" s="919" t="str">
        <f>IF(AND(D37=0,H37=0),"",IF(AND(D37&gt;0,H37=1),"OK","Not OK"))</f>
        <v>OK</v>
      </c>
      <c r="J37" s="478"/>
      <c r="K37" s="479"/>
      <c r="L37" s="874">
        <v>0.05</v>
      </c>
      <c r="M37" s="874">
        <v>0.95</v>
      </c>
      <c r="N37" s="874"/>
      <c r="O37" s="493">
        <f>SUM(L37:N37)</f>
        <v>1</v>
      </c>
      <c r="P37" s="919" t="str">
        <f>IF(AND(D37=0,O37&gt;0),"Not OK",IF(AND(D37=0,O37=0),"",IF(O37=1,"OK","Not OK")))</f>
        <v>OK</v>
      </c>
      <c r="Q37" s="478"/>
      <c r="R37" s="478"/>
      <c r="S37" s="478"/>
      <c r="T37" s="478"/>
      <c r="U37" s="478"/>
      <c r="V37" s="478"/>
      <c r="W37" s="478"/>
      <c r="X37" s="478"/>
      <c r="Y37" s="478"/>
      <c r="Z37" s="478"/>
      <c r="AA37" s="478"/>
      <c r="AB37" s="478"/>
      <c r="AC37" s="478"/>
      <c r="AD37" s="478"/>
      <c r="AE37" s="478"/>
      <c r="AF37" s="478"/>
      <c r="AG37" s="478"/>
    </row>
    <row r="38" spans="2:33" ht="17.149999999999999" customHeight="1" x14ac:dyDescent="0.35">
      <c r="B38" s="1305" t="s">
        <v>501</v>
      </c>
      <c r="C38" s="874">
        <v>0.25</v>
      </c>
      <c r="D38" s="175" t="str">
        <f>IF(AND(C38=0,SUM(D39:D41)=0),"OK",IF(AND(C38&gt;0,SUM(D39:D41)=1),"OK","Not OK"))</f>
        <v>OK</v>
      </c>
      <c r="E38" s="924"/>
      <c r="F38" s="924"/>
      <c r="G38" s="924"/>
      <c r="H38" s="918"/>
      <c r="I38" s="478"/>
      <c r="J38" s="489"/>
      <c r="K38" s="479"/>
      <c r="L38" s="624"/>
      <c r="M38" s="629"/>
      <c r="N38" s="629"/>
      <c r="O38" s="921"/>
      <c r="P38" s="489"/>
      <c r="Q38" s="478"/>
      <c r="R38" s="478"/>
      <c r="S38" s="478"/>
      <c r="T38" s="478"/>
      <c r="U38" s="478"/>
      <c r="V38" s="478"/>
      <c r="W38" s="478"/>
      <c r="X38" s="478"/>
      <c r="Y38" s="478"/>
      <c r="Z38" s="478"/>
      <c r="AA38" s="478"/>
      <c r="AB38" s="478"/>
      <c r="AC38" s="478"/>
      <c r="AD38" s="478"/>
      <c r="AE38" s="478"/>
      <c r="AF38" s="478"/>
      <c r="AG38" s="478"/>
    </row>
    <row r="39" spans="2:33" ht="17.149999999999999" customHeight="1" x14ac:dyDescent="0.35">
      <c r="B39" s="482" t="s">
        <v>440</v>
      </c>
      <c r="C39" s="924"/>
      <c r="D39" s="874">
        <v>0.5</v>
      </c>
      <c r="E39" s="874"/>
      <c r="F39" s="874">
        <v>1</v>
      </c>
      <c r="G39" s="924"/>
      <c r="H39" s="492">
        <f>SUM(E39:G39)</f>
        <v>1</v>
      </c>
      <c r="I39" s="631" t="str">
        <f>IF(AND(D39=0,H39=0),"",IF(AND(D39&gt;0,H39=1),"OK","Not OK"))</f>
        <v>OK</v>
      </c>
      <c r="J39" s="489"/>
      <c r="K39" s="479"/>
      <c r="L39" s="626"/>
      <c r="M39" s="479"/>
      <c r="N39" s="479"/>
      <c r="O39" s="922"/>
      <c r="P39" s="489"/>
      <c r="Q39" s="478"/>
      <c r="R39" s="478"/>
      <c r="S39" s="478"/>
      <c r="T39" s="478"/>
      <c r="U39" s="478"/>
      <c r="V39" s="478"/>
      <c r="W39" s="478"/>
      <c r="X39" s="478"/>
      <c r="Y39" s="478"/>
      <c r="Z39" s="478"/>
      <c r="AA39" s="478"/>
      <c r="AB39" s="478"/>
      <c r="AC39" s="478"/>
      <c r="AD39" s="478"/>
      <c r="AE39" s="478"/>
      <c r="AF39" s="478"/>
      <c r="AG39" s="478"/>
    </row>
    <row r="40" spans="2:33" ht="17.149999999999999" customHeight="1" x14ac:dyDescent="0.35">
      <c r="B40" s="482" t="s">
        <v>441</v>
      </c>
      <c r="C40" s="924"/>
      <c r="D40" s="874">
        <v>0.5</v>
      </c>
      <c r="E40" s="874"/>
      <c r="F40" s="874">
        <v>1</v>
      </c>
      <c r="G40" s="924"/>
      <c r="H40" s="492">
        <f>SUM(E40:G40)</f>
        <v>1</v>
      </c>
      <c r="I40" s="631" t="str">
        <f>IF(AND(D40=0,H40=0),"",IF(AND(D40&gt;0,H40=1),"OK","Not OK"))</f>
        <v>OK</v>
      </c>
      <c r="J40" s="489"/>
      <c r="K40" s="479"/>
      <c r="L40" s="874"/>
      <c r="M40" s="874"/>
      <c r="N40" s="874">
        <v>1</v>
      </c>
      <c r="O40" s="493">
        <f>SUM(L40:N40)</f>
        <v>1</v>
      </c>
      <c r="P40" s="919" t="str">
        <f>IF(AND(D40=0,O40&gt;0),"Not OK",IF(AND(D40=0,O40=0),"",IF(O40=1,"OK","Not OK")))</f>
        <v>OK</v>
      </c>
      <c r="Q40" s="478"/>
      <c r="R40" s="478"/>
      <c r="S40" s="478"/>
      <c r="T40" s="478"/>
      <c r="U40" s="478"/>
      <c r="V40" s="478"/>
      <c r="W40" s="478"/>
      <c r="X40" s="478"/>
      <c r="Y40" s="478"/>
      <c r="Z40" s="478"/>
      <c r="AA40" s="478"/>
      <c r="AB40" s="478"/>
      <c r="AC40" s="478"/>
      <c r="AD40" s="478"/>
      <c r="AE40" s="478"/>
      <c r="AF40" s="478"/>
      <c r="AG40" s="478"/>
    </row>
    <row r="41" spans="2:33" ht="17.149999999999999" customHeight="1" x14ac:dyDescent="0.35">
      <c r="B41" s="482" t="s">
        <v>442</v>
      </c>
      <c r="C41" s="924"/>
      <c r="D41" s="874"/>
      <c r="E41" s="874"/>
      <c r="F41" s="874"/>
      <c r="G41" s="874"/>
      <c r="H41" s="492">
        <f>SUM(E41:G41)</f>
        <v>0</v>
      </c>
      <c r="I41" s="631" t="str">
        <f>IF(AND(D41=0,H41=0),"",IF(AND(D41&gt;0,H41=1),"OK","Not OK"))</f>
        <v/>
      </c>
      <c r="J41" s="478"/>
      <c r="K41" s="630"/>
      <c r="L41" s="874"/>
      <c r="M41" s="874"/>
      <c r="N41" s="874"/>
      <c r="O41" s="493">
        <f>SUM(L41:N41)</f>
        <v>0</v>
      </c>
      <c r="P41" s="919" t="str">
        <f>IF(AND(D41=0,O41&gt;0),"Not OK",IF(AND(D41=0,O41=0),"",IF(O41=1,"OK","Not OK")))</f>
        <v/>
      </c>
      <c r="Q41" s="478"/>
      <c r="R41" s="478"/>
      <c r="S41" s="478"/>
      <c r="T41" s="478"/>
      <c r="U41" s="478"/>
      <c r="V41" s="478"/>
      <c r="W41" s="478"/>
      <c r="X41" s="478"/>
      <c r="Y41" s="478"/>
      <c r="Z41" s="478"/>
      <c r="AA41" s="478"/>
      <c r="AB41" s="478"/>
      <c r="AC41" s="478"/>
      <c r="AD41" s="478"/>
      <c r="AE41" s="478"/>
      <c r="AF41" s="478"/>
      <c r="AG41" s="478"/>
    </row>
    <row r="42" spans="2:33" ht="17.149999999999999" customHeight="1" x14ac:dyDescent="0.35">
      <c r="B42" s="1305" t="s">
        <v>443</v>
      </c>
      <c r="C42" s="874">
        <v>0.2</v>
      </c>
      <c r="D42" s="494"/>
      <c r="E42" s="498"/>
      <c r="F42" s="498"/>
      <c r="G42" s="498"/>
      <c r="H42" s="488"/>
      <c r="I42" s="497"/>
      <c r="J42" s="489"/>
      <c r="K42" s="489"/>
      <c r="L42" s="498"/>
      <c r="M42" s="508"/>
      <c r="N42" s="508"/>
      <c r="O42" s="508"/>
      <c r="P42" s="478"/>
      <c r="Q42" s="478"/>
      <c r="R42" s="478"/>
      <c r="S42" s="478"/>
      <c r="T42" s="478"/>
      <c r="U42" s="478"/>
      <c r="V42" s="478"/>
      <c r="W42" s="478"/>
      <c r="X42" s="478"/>
      <c r="Y42" s="478"/>
      <c r="Z42" s="478"/>
      <c r="AA42" s="478"/>
      <c r="AB42" s="478"/>
      <c r="AC42" s="478"/>
      <c r="AD42" s="478"/>
      <c r="AE42" s="478"/>
      <c r="AF42" s="478"/>
      <c r="AG42" s="478"/>
    </row>
    <row r="43" spans="2:33" ht="17.149999999999999" customHeight="1" x14ac:dyDescent="0.35">
      <c r="B43" s="478"/>
      <c r="C43" s="486">
        <f>SUM(C33:C42)</f>
        <v>1</v>
      </c>
      <c r="D43" s="487">
        <f>(D36*C35)+(D40*C38)</f>
        <v>0.125</v>
      </c>
      <c r="E43" s="490" t="s">
        <v>444</v>
      </c>
      <c r="F43" s="497"/>
      <c r="G43" s="497"/>
      <c r="H43" s="497"/>
      <c r="I43" s="489"/>
      <c r="J43" s="489"/>
      <c r="K43" s="489"/>
      <c r="L43" s="497"/>
      <c r="M43" s="489"/>
      <c r="N43" s="489"/>
      <c r="O43" s="489"/>
      <c r="P43" s="478"/>
      <c r="Q43" s="478"/>
      <c r="R43" s="478"/>
      <c r="S43" s="478"/>
      <c r="T43" s="478"/>
      <c r="U43" s="478"/>
      <c r="V43" s="478"/>
      <c r="W43" s="478"/>
      <c r="X43" s="478"/>
      <c r="Y43" s="478"/>
      <c r="Z43" s="478"/>
      <c r="AA43" s="478"/>
      <c r="AB43" s="478"/>
      <c r="AC43" s="478"/>
      <c r="AD43" s="478"/>
      <c r="AE43" s="478"/>
      <c r="AF43" s="478"/>
      <c r="AG43" s="478"/>
    </row>
    <row r="44" spans="2:33" ht="17.149999999999999" customHeight="1" x14ac:dyDescent="0.35">
      <c r="B44" s="478"/>
      <c r="C44" s="174" t="str">
        <f>IF(C43=0,"",IF(C43=1,"OK","Not OK"))</f>
        <v>OK</v>
      </c>
      <c r="D44" s="487">
        <f>(D37*C35)+(D41*C38)</f>
        <v>0.5</v>
      </c>
      <c r="E44" s="490" t="s">
        <v>445</v>
      </c>
      <c r="F44" s="478"/>
      <c r="G44" s="478"/>
      <c r="H44" s="478"/>
      <c r="I44" s="489"/>
      <c r="J44" s="489"/>
      <c r="K44" s="489"/>
      <c r="L44" s="489"/>
      <c r="M44" s="489"/>
      <c r="N44" s="489"/>
      <c r="O44" s="489"/>
      <c r="P44" s="478"/>
      <c r="Q44" s="478"/>
      <c r="R44" s="478"/>
      <c r="S44" s="478"/>
      <c r="T44" s="478"/>
      <c r="U44" s="478"/>
      <c r="V44" s="478"/>
      <c r="W44" s="478"/>
      <c r="X44" s="478"/>
      <c r="Y44" s="478"/>
      <c r="Z44" s="478"/>
      <c r="AA44" s="478"/>
      <c r="AB44" s="478"/>
      <c r="AC44" s="478"/>
      <c r="AD44" s="478"/>
      <c r="AE44" s="478"/>
      <c r="AF44" s="478"/>
      <c r="AG44" s="478"/>
    </row>
    <row r="45" spans="2:33" ht="17.149999999999999" customHeight="1" x14ac:dyDescent="0.35">
      <c r="B45" s="478"/>
      <c r="C45" s="478"/>
      <c r="D45" s="478"/>
      <c r="E45" s="478"/>
      <c r="F45" s="478"/>
      <c r="G45" s="478"/>
      <c r="H45" s="478"/>
      <c r="I45" s="478"/>
      <c r="J45" s="478"/>
      <c r="K45" s="478"/>
      <c r="L45" s="478"/>
      <c r="M45" s="478"/>
      <c r="N45" s="478"/>
      <c r="O45" s="478"/>
      <c r="P45" s="478"/>
      <c r="Q45" s="478"/>
      <c r="R45" s="478"/>
      <c r="S45" s="478"/>
      <c r="T45" s="478"/>
      <c r="U45" s="478"/>
      <c r="V45" s="478"/>
      <c r="W45" s="478"/>
      <c r="X45" s="478"/>
      <c r="Y45" s="478"/>
      <c r="Z45" s="478"/>
      <c r="AA45" s="478"/>
      <c r="AB45" s="478"/>
      <c r="AC45" s="478"/>
      <c r="AD45" s="478"/>
      <c r="AE45" s="478"/>
      <c r="AF45" s="478"/>
      <c r="AG45" s="478"/>
    </row>
    <row r="46" spans="2:33" ht="17.149999999999999" customHeight="1" x14ac:dyDescent="0.35">
      <c r="B46" s="478"/>
      <c r="C46" s="478"/>
      <c r="D46" s="478"/>
      <c r="E46" s="478"/>
      <c r="F46" s="478"/>
      <c r="G46" s="478"/>
      <c r="H46" s="478"/>
      <c r="I46" s="478"/>
      <c r="J46" s="478"/>
      <c r="K46" s="478"/>
      <c r="L46" s="478"/>
      <c r="M46" s="478"/>
      <c r="N46" s="478"/>
      <c r="O46" s="478"/>
      <c r="P46" s="478"/>
      <c r="Q46" s="478"/>
      <c r="R46" s="478"/>
      <c r="S46" s="478"/>
      <c r="T46" s="478"/>
      <c r="U46" s="478"/>
      <c r="V46" s="478"/>
      <c r="W46" s="478"/>
      <c r="X46" s="478"/>
      <c r="Y46" s="478"/>
      <c r="Z46" s="478"/>
      <c r="AA46" s="478"/>
      <c r="AB46" s="478"/>
      <c r="AC46" s="478"/>
      <c r="AD46" s="478"/>
      <c r="AE46" s="478"/>
      <c r="AF46" s="478"/>
      <c r="AG46" s="478"/>
    </row>
    <row r="47" spans="2:33" ht="17.149999999999999" customHeight="1" x14ac:dyDescent="0.35">
      <c r="B47" s="926" t="s">
        <v>451</v>
      </c>
      <c r="C47" s="478"/>
      <c r="D47" s="478"/>
      <c r="E47" s="478"/>
      <c r="F47" s="478"/>
      <c r="G47" s="478"/>
      <c r="H47" s="478"/>
      <c r="I47" s="478"/>
      <c r="J47" s="478"/>
      <c r="K47" s="478"/>
      <c r="L47" s="478"/>
      <c r="M47" s="478"/>
      <c r="N47" s="478"/>
      <c r="O47" s="478"/>
      <c r="P47" s="478"/>
      <c r="Q47" s="478"/>
      <c r="R47" s="478"/>
      <c r="S47" s="478"/>
      <c r="T47" s="478"/>
      <c r="U47" s="478"/>
      <c r="V47" s="478"/>
      <c r="W47" s="478"/>
      <c r="X47" s="478"/>
      <c r="Y47" s="478"/>
      <c r="Z47" s="478"/>
      <c r="AA47" s="478"/>
      <c r="AB47" s="478"/>
      <c r="AC47" s="478"/>
      <c r="AD47" s="478"/>
      <c r="AE47" s="478"/>
      <c r="AF47" s="478"/>
      <c r="AG47" s="478"/>
    </row>
    <row r="48" spans="2:33" ht="17.149999999999999" customHeight="1" x14ac:dyDescent="0.35">
      <c r="B48" s="1667" t="s">
        <v>419</v>
      </c>
      <c r="C48" s="1677" t="s">
        <v>420</v>
      </c>
      <c r="D48" s="1678"/>
      <c r="E48" s="1677" t="s">
        <v>421</v>
      </c>
      <c r="F48" s="1679"/>
      <c r="G48" s="1679"/>
      <c r="H48" s="1678"/>
      <c r="I48" s="478"/>
      <c r="J48" s="478"/>
      <c r="K48" s="1682" t="s">
        <v>422</v>
      </c>
      <c r="L48" s="1682"/>
      <c r="M48" s="1682"/>
      <c r="N48" s="1682"/>
      <c r="O48" s="1682"/>
      <c r="P48" s="478"/>
      <c r="Q48" s="478"/>
      <c r="R48" s="478"/>
      <c r="S48" s="478"/>
      <c r="T48" s="478"/>
      <c r="U48" s="478"/>
      <c r="V48" s="478"/>
      <c r="W48" s="478"/>
      <c r="X48" s="478"/>
      <c r="Y48" s="478"/>
      <c r="Z48" s="478"/>
      <c r="AA48" s="478"/>
      <c r="AB48" s="478"/>
      <c r="AC48" s="478"/>
      <c r="AD48" s="478"/>
      <c r="AE48" s="478"/>
      <c r="AF48" s="478"/>
      <c r="AG48" s="478"/>
    </row>
    <row r="49" spans="2:33" ht="50.15" customHeight="1" x14ac:dyDescent="0.35">
      <c r="B49" s="1667"/>
      <c r="C49" s="927" t="s">
        <v>423</v>
      </c>
      <c r="D49" s="927" t="s">
        <v>424</v>
      </c>
      <c r="E49" s="928" t="s">
        <v>425</v>
      </c>
      <c r="F49" s="928" t="s">
        <v>426</v>
      </c>
      <c r="G49" s="928" t="s">
        <v>427</v>
      </c>
      <c r="H49" s="927" t="s">
        <v>428</v>
      </c>
      <c r="I49" s="489"/>
      <c r="J49" s="478"/>
      <c r="K49" s="928" t="s">
        <v>429</v>
      </c>
      <c r="L49" s="928" t="s">
        <v>452</v>
      </c>
      <c r="M49" s="928" t="s">
        <v>431</v>
      </c>
      <c r="N49" s="928" t="s">
        <v>432</v>
      </c>
      <c r="O49" s="927" t="s">
        <v>428</v>
      </c>
      <c r="P49" s="478"/>
      <c r="Q49" s="478"/>
      <c r="R49" s="478"/>
      <c r="S49" s="478"/>
      <c r="T49" s="478"/>
      <c r="U49" s="478"/>
      <c r="V49" s="478"/>
      <c r="W49" s="478"/>
      <c r="X49" s="478"/>
      <c r="Y49" s="478"/>
      <c r="Z49" s="478"/>
      <c r="AA49" s="478"/>
      <c r="AB49" s="478"/>
      <c r="AC49" s="478"/>
      <c r="AD49" s="478"/>
      <c r="AE49" s="478"/>
      <c r="AF49" s="478"/>
      <c r="AG49" s="478"/>
    </row>
    <row r="50" spans="2:33" ht="17.149999999999999" customHeight="1" x14ac:dyDescent="0.35">
      <c r="B50" s="1305" t="s">
        <v>433</v>
      </c>
      <c r="C50" s="874">
        <v>0.2</v>
      </c>
      <c r="D50" s="924"/>
      <c r="E50" s="874">
        <v>1</v>
      </c>
      <c r="F50" s="874"/>
      <c r="G50" s="924"/>
      <c r="H50" s="492">
        <f>SUM(E50:G50)</f>
        <v>1</v>
      </c>
      <c r="I50" s="631" t="str">
        <f>IF(AND(C50=0,H50=0),"",IF(H50=1,"OK","Not OK"))</f>
        <v>OK</v>
      </c>
      <c r="J50" s="489"/>
      <c r="K50" s="874">
        <v>0</v>
      </c>
      <c r="L50" s="624"/>
      <c r="M50" s="629"/>
      <c r="N50" s="629"/>
      <c r="O50" s="629"/>
      <c r="P50" s="489"/>
      <c r="Q50" s="478"/>
      <c r="R50" s="478"/>
      <c r="S50" s="478"/>
      <c r="T50" s="478"/>
      <c r="U50" s="478"/>
      <c r="V50" s="478"/>
      <c r="W50" s="478"/>
      <c r="X50" s="478"/>
      <c r="Y50" s="478"/>
      <c r="Z50" s="478"/>
      <c r="AA50" s="478"/>
      <c r="AB50" s="478"/>
      <c r="AC50" s="478"/>
      <c r="AD50" s="478"/>
      <c r="AE50" s="478"/>
      <c r="AF50" s="478"/>
      <c r="AG50" s="478"/>
    </row>
    <row r="51" spans="2:33" ht="17.149999999999999" customHeight="1" x14ac:dyDescent="0.35">
      <c r="B51" s="1305" t="s">
        <v>434</v>
      </c>
      <c r="C51" s="874"/>
      <c r="D51" s="924"/>
      <c r="E51" s="874"/>
      <c r="F51" s="874"/>
      <c r="G51" s="924"/>
      <c r="H51" s="492">
        <f>SUM(E51:G51)</f>
        <v>0</v>
      </c>
      <c r="I51" s="631" t="str">
        <f>IF(AND(C51=0,H51=0),"",IF(H51=1,"OK","Not OK"))</f>
        <v/>
      </c>
      <c r="J51" s="489"/>
      <c r="K51" s="479"/>
      <c r="L51" s="626"/>
      <c r="M51" s="479"/>
      <c r="N51" s="479"/>
      <c r="O51" s="479"/>
      <c r="P51" s="489"/>
      <c r="Q51" s="489"/>
      <c r="R51" s="478"/>
      <c r="S51" s="478"/>
      <c r="T51" s="478"/>
      <c r="U51" s="478"/>
      <c r="V51" s="478"/>
      <c r="W51" s="478"/>
      <c r="X51" s="478"/>
      <c r="Y51" s="478"/>
      <c r="Z51" s="478"/>
      <c r="AA51" s="478"/>
      <c r="AB51" s="478"/>
      <c r="AC51" s="478"/>
      <c r="AD51" s="478"/>
      <c r="AE51" s="478"/>
      <c r="AF51" s="478"/>
      <c r="AG51" s="478"/>
    </row>
    <row r="52" spans="2:33" ht="17.149999999999999" customHeight="1" x14ac:dyDescent="0.35">
      <c r="B52" s="1305" t="s">
        <v>453</v>
      </c>
      <c r="C52" s="874">
        <v>0.6</v>
      </c>
      <c r="D52" s="175" t="str">
        <f>IF(AND(C52=0,SUM(D53:D54)=0),"OK",IF(AND(C52&gt;0,SUM(D53:D54)=1),"OK","Not OK"))</f>
        <v>OK</v>
      </c>
      <c r="E52" s="924"/>
      <c r="F52" s="924"/>
      <c r="G52" s="924"/>
      <c r="H52" s="918"/>
      <c r="I52" s="631"/>
      <c r="J52" s="489"/>
      <c r="K52" s="479"/>
      <c r="L52" s="625"/>
      <c r="M52" s="630"/>
      <c r="N52" s="630"/>
      <c r="O52" s="630"/>
      <c r="P52" s="489"/>
      <c r="Q52" s="489"/>
      <c r="R52" s="478"/>
      <c r="S52" s="478"/>
      <c r="T52" s="478"/>
      <c r="U52" s="478"/>
      <c r="V52" s="478"/>
      <c r="W52" s="478"/>
      <c r="X52" s="478"/>
      <c r="Y52" s="478"/>
      <c r="Z52" s="478"/>
      <c r="AA52" s="478"/>
      <c r="AB52" s="478"/>
      <c r="AC52" s="478"/>
      <c r="AD52" s="478"/>
      <c r="AE52" s="478"/>
      <c r="AF52" s="478"/>
      <c r="AG52" s="478"/>
    </row>
    <row r="53" spans="2:33" ht="17.149999999999999" customHeight="1" x14ac:dyDescent="0.35">
      <c r="B53" s="482" t="s">
        <v>436</v>
      </c>
      <c r="C53" s="924"/>
      <c r="D53" s="874">
        <v>0.25</v>
      </c>
      <c r="E53" s="874">
        <v>0.5</v>
      </c>
      <c r="F53" s="874">
        <v>0.5</v>
      </c>
      <c r="G53" s="924"/>
      <c r="H53" s="492">
        <f>SUM(E53:G53)</f>
        <v>1</v>
      </c>
      <c r="I53" s="919" t="str">
        <f>IF(AND(D53=0,H53=0),"",IF(AND(D53&gt;0,H53=1),"OK","Not OK"))</f>
        <v>OK</v>
      </c>
      <c r="J53" s="478"/>
      <c r="K53" s="479"/>
      <c r="L53" s="874"/>
      <c r="M53" s="874"/>
      <c r="N53" s="874">
        <v>1</v>
      </c>
      <c r="O53" s="493">
        <f>SUM(L53:N53)</f>
        <v>1</v>
      </c>
      <c r="P53" s="919" t="str">
        <f>IF(AND(D53=0,O53&gt;0),"Not OK",IF(AND(D53=0,O53=0),"",IF(O53=1,"OK","Not OK")))</f>
        <v>OK</v>
      </c>
      <c r="Q53" s="489"/>
      <c r="R53" s="478"/>
      <c r="S53" s="478"/>
      <c r="T53" s="478"/>
      <c r="U53" s="478"/>
      <c r="V53" s="478"/>
      <c r="W53" s="478"/>
      <c r="X53" s="478"/>
      <c r="Y53" s="478"/>
      <c r="Z53" s="478"/>
      <c r="AA53" s="478"/>
      <c r="AB53" s="478"/>
      <c r="AC53" s="478"/>
      <c r="AD53" s="478"/>
      <c r="AE53" s="478"/>
      <c r="AF53" s="478"/>
      <c r="AG53" s="478"/>
    </row>
    <row r="54" spans="2:33" ht="17.149999999999999" customHeight="1" x14ac:dyDescent="0.35">
      <c r="B54" s="482" t="s">
        <v>454</v>
      </c>
      <c r="C54" s="924"/>
      <c r="D54" s="874">
        <v>0.75</v>
      </c>
      <c r="E54" s="874"/>
      <c r="F54" s="874">
        <v>1</v>
      </c>
      <c r="G54" s="874"/>
      <c r="H54" s="492">
        <f>SUM(E54:G54)</f>
        <v>1</v>
      </c>
      <c r="I54" s="919" t="str">
        <f>IF(AND(D54=0,H54=0),"",IF(AND(D54&gt;0,H54=1),"OK","Not OK"))</f>
        <v>OK</v>
      </c>
      <c r="J54" s="478"/>
      <c r="K54" s="479"/>
      <c r="L54" s="874"/>
      <c r="M54" s="874"/>
      <c r="N54" s="874">
        <v>1</v>
      </c>
      <c r="O54" s="493">
        <f>SUM(L54:N54)</f>
        <v>1</v>
      </c>
      <c r="P54" s="919" t="str">
        <f>IF(AND(D54=0,O54&gt;0),"Not OK",IF(AND(D54=0,O54=0),"",IF(O54=1,"OK","Not OK")))</f>
        <v>OK</v>
      </c>
      <c r="Q54" s="489"/>
      <c r="R54" s="478"/>
      <c r="S54" s="478"/>
      <c r="T54" s="478"/>
      <c r="U54" s="478"/>
      <c r="V54" s="478"/>
      <c r="W54" s="478"/>
      <c r="X54" s="478"/>
      <c r="Y54" s="478"/>
      <c r="Z54" s="478"/>
      <c r="AA54" s="478"/>
      <c r="AB54" s="478"/>
      <c r="AC54" s="478"/>
      <c r="AD54" s="478"/>
      <c r="AE54" s="478"/>
      <c r="AF54" s="478"/>
      <c r="AG54" s="478"/>
    </row>
    <row r="55" spans="2:33" ht="17.149999999999999" customHeight="1" x14ac:dyDescent="0.35">
      <c r="B55" s="1305" t="s">
        <v>501</v>
      </c>
      <c r="C55" s="874">
        <v>0.2</v>
      </c>
      <c r="D55" s="175" t="str">
        <f>IF(AND(C55=0,SUM(D56:D58)=0),"OK",IF(AND(C55&gt;0,SUM(D56:D58)=1),"OK","Not OK"))</f>
        <v>OK</v>
      </c>
      <c r="E55" s="924"/>
      <c r="F55" s="924"/>
      <c r="G55" s="924"/>
      <c r="H55" s="920"/>
      <c r="I55" s="631"/>
      <c r="J55" s="489"/>
      <c r="K55" s="479"/>
      <c r="L55" s="624"/>
      <c r="M55" s="629"/>
      <c r="N55" s="629"/>
      <c r="O55" s="921"/>
      <c r="P55" s="489"/>
      <c r="Q55" s="489"/>
      <c r="R55" s="478"/>
      <c r="S55" s="478"/>
      <c r="T55" s="478"/>
      <c r="U55" s="478"/>
      <c r="V55" s="478"/>
      <c r="W55" s="478"/>
      <c r="X55" s="478"/>
      <c r="Y55" s="478"/>
      <c r="Z55" s="478"/>
      <c r="AA55" s="478"/>
      <c r="AB55" s="478"/>
      <c r="AC55" s="478"/>
      <c r="AD55" s="478"/>
      <c r="AE55" s="478"/>
      <c r="AF55" s="478"/>
      <c r="AG55" s="478"/>
    </row>
    <row r="56" spans="2:33" ht="17.149999999999999" customHeight="1" x14ac:dyDescent="0.35">
      <c r="B56" s="482" t="s">
        <v>440</v>
      </c>
      <c r="C56" s="924"/>
      <c r="D56" s="1352">
        <v>0.5</v>
      </c>
      <c r="E56" s="874"/>
      <c r="F56" s="874">
        <v>1</v>
      </c>
      <c r="G56" s="924"/>
      <c r="H56" s="920"/>
      <c r="I56" s="631"/>
      <c r="J56" s="489"/>
      <c r="K56" s="479"/>
      <c r="L56" s="626"/>
      <c r="M56" s="479"/>
      <c r="N56" s="479"/>
      <c r="O56" s="922"/>
      <c r="P56" s="489"/>
      <c r="Q56" s="489"/>
      <c r="R56" s="478"/>
      <c r="S56" s="478"/>
      <c r="T56" s="478"/>
      <c r="U56" s="478"/>
      <c r="V56" s="478"/>
      <c r="W56" s="478"/>
      <c r="X56" s="478"/>
      <c r="Y56" s="478"/>
      <c r="Z56" s="478"/>
      <c r="AA56" s="478"/>
      <c r="AB56" s="478"/>
      <c r="AC56" s="478"/>
      <c r="AD56" s="478"/>
      <c r="AE56" s="478"/>
      <c r="AF56" s="478"/>
      <c r="AG56" s="478"/>
    </row>
    <row r="57" spans="2:33" ht="17.149999999999999" customHeight="1" x14ac:dyDescent="0.35">
      <c r="B57" s="482" t="s">
        <v>441</v>
      </c>
      <c r="C57" s="924"/>
      <c r="D57" s="874">
        <v>0.5</v>
      </c>
      <c r="E57" s="874"/>
      <c r="F57" s="874">
        <v>1</v>
      </c>
      <c r="G57" s="924"/>
      <c r="H57" s="492">
        <f>SUM(E57:G57)</f>
        <v>1</v>
      </c>
      <c r="I57" s="631" t="str">
        <f>IF(AND(D57=0,H57=0),"",IF(AND(D57&gt;0,H57=1),"OK","Not OK"))</f>
        <v>OK</v>
      </c>
      <c r="J57" s="489"/>
      <c r="K57" s="479"/>
      <c r="L57" s="874"/>
      <c r="M57" s="874"/>
      <c r="N57" s="874">
        <v>1</v>
      </c>
      <c r="O57" s="493">
        <f>SUM(L57:N57)</f>
        <v>1</v>
      </c>
      <c r="P57" s="919" t="str">
        <f>IF(AND(D57=0,O57&gt;0),"Not OK",IF(AND(D57=0,O57=0),"",IF(O57=1,"OK","Not OK")))</f>
        <v>OK</v>
      </c>
      <c r="Q57" s="489"/>
      <c r="R57" s="478"/>
      <c r="S57" s="478"/>
      <c r="T57" s="478"/>
      <c r="U57" s="478"/>
      <c r="V57" s="478"/>
      <c r="W57" s="478"/>
      <c r="X57" s="478"/>
      <c r="Y57" s="478"/>
      <c r="Z57" s="478"/>
      <c r="AA57" s="478"/>
      <c r="AB57" s="478"/>
      <c r="AC57" s="478"/>
      <c r="AD57" s="478"/>
      <c r="AE57" s="478"/>
      <c r="AF57" s="478"/>
      <c r="AG57" s="478"/>
    </row>
    <row r="58" spans="2:33" ht="17.149999999999999" customHeight="1" x14ac:dyDescent="0.35">
      <c r="B58" s="482" t="s">
        <v>442</v>
      </c>
      <c r="C58" s="924"/>
      <c r="D58" s="874"/>
      <c r="E58" s="874"/>
      <c r="F58" s="874"/>
      <c r="G58" s="874"/>
      <c r="H58" s="492">
        <f>SUM(E58:G58)</f>
        <v>0</v>
      </c>
      <c r="I58" s="631" t="str">
        <f>IF(AND(D58=0,H58=0),"",IF(AND(D58&gt;0,H58=1),"OK","Not OK"))</f>
        <v/>
      </c>
      <c r="J58" s="478"/>
      <c r="K58" s="630"/>
      <c r="L58" s="874"/>
      <c r="M58" s="874"/>
      <c r="N58" s="874"/>
      <c r="O58" s="493">
        <f>SUM(L58:N58)</f>
        <v>0</v>
      </c>
      <c r="P58" s="919" t="str">
        <f>IF(AND(D58=0,O58&gt;0),"Not OK",IF(AND(D58=0,O58=0),"",IF(O58=1,"OK","Not OK")))</f>
        <v/>
      </c>
      <c r="Q58" s="489"/>
      <c r="R58" s="478"/>
      <c r="S58" s="478"/>
      <c r="T58" s="478"/>
      <c r="U58" s="478"/>
      <c r="V58" s="478"/>
      <c r="W58" s="478"/>
      <c r="X58" s="478"/>
      <c r="Y58" s="478"/>
      <c r="Z58" s="478"/>
      <c r="AA58" s="478"/>
      <c r="AB58" s="478"/>
      <c r="AC58" s="478"/>
      <c r="AD58" s="478"/>
      <c r="AE58" s="478"/>
      <c r="AF58" s="478"/>
      <c r="AG58" s="478"/>
    </row>
    <row r="59" spans="2:33" ht="17.149999999999999" customHeight="1" x14ac:dyDescent="0.35">
      <c r="B59" s="1305" t="s">
        <v>443</v>
      </c>
      <c r="C59" s="874">
        <v>0</v>
      </c>
      <c r="D59" s="494"/>
      <c r="E59" s="498"/>
      <c r="F59" s="498"/>
      <c r="G59" s="498"/>
      <c r="H59" s="488"/>
      <c r="I59" s="497"/>
      <c r="J59" s="489"/>
      <c r="K59" s="489"/>
      <c r="L59" s="489"/>
      <c r="M59" s="508"/>
      <c r="N59" s="508"/>
      <c r="O59" s="508"/>
      <c r="P59" s="489"/>
      <c r="Q59" s="489"/>
      <c r="R59" s="478"/>
      <c r="S59" s="478"/>
      <c r="T59" s="478"/>
      <c r="U59" s="478"/>
      <c r="V59" s="478"/>
      <c r="W59" s="478"/>
      <c r="X59" s="478"/>
      <c r="Y59" s="478"/>
      <c r="Z59" s="478"/>
      <c r="AA59" s="478"/>
      <c r="AB59" s="478"/>
      <c r="AC59" s="478"/>
      <c r="AD59" s="478"/>
      <c r="AE59" s="478"/>
      <c r="AF59" s="478"/>
      <c r="AG59" s="478"/>
    </row>
    <row r="60" spans="2:33" ht="17.149999999999999" customHeight="1" x14ac:dyDescent="0.35">
      <c r="B60" s="478"/>
      <c r="C60" s="486">
        <f>SUM(C50:C59)</f>
        <v>1</v>
      </c>
      <c r="D60" s="487">
        <f>(D53*C52)+(D57*C55)</f>
        <v>0.25</v>
      </c>
      <c r="E60" s="490" t="s">
        <v>444</v>
      </c>
      <c r="F60" s="497"/>
      <c r="G60" s="497"/>
      <c r="H60" s="497"/>
      <c r="I60" s="489"/>
      <c r="J60" s="489"/>
      <c r="K60" s="489"/>
      <c r="L60" s="489"/>
      <c r="M60" s="489"/>
      <c r="N60" s="489"/>
      <c r="O60" s="489"/>
      <c r="P60" s="478"/>
      <c r="Q60" s="478"/>
      <c r="R60" s="478"/>
      <c r="S60" s="478"/>
      <c r="T60" s="478"/>
      <c r="U60" s="478"/>
      <c r="V60" s="478"/>
      <c r="W60" s="478"/>
      <c r="X60" s="478"/>
      <c r="Y60" s="478"/>
      <c r="Z60" s="478"/>
      <c r="AA60" s="478"/>
      <c r="AB60" s="478"/>
      <c r="AC60" s="478"/>
      <c r="AD60" s="478"/>
      <c r="AE60" s="478"/>
      <c r="AF60" s="478"/>
      <c r="AG60" s="478"/>
    </row>
    <row r="61" spans="2:33" ht="17.149999999999999" customHeight="1" x14ac:dyDescent="0.35">
      <c r="B61" s="478"/>
      <c r="C61" s="174" t="str">
        <f>IF(C60=0,"",IF(C60=1,"OK","Not OK"))</f>
        <v>OK</v>
      </c>
      <c r="D61" s="487">
        <f>(D54*C52)+(D58*C55)</f>
        <v>0.44999999999999996</v>
      </c>
      <c r="E61" s="490" t="s">
        <v>445</v>
      </c>
      <c r="F61" s="478"/>
      <c r="G61" s="478"/>
      <c r="H61" s="478"/>
      <c r="I61" s="489"/>
      <c r="J61" s="478"/>
      <c r="K61" s="478"/>
      <c r="L61" s="478"/>
      <c r="M61" s="478"/>
      <c r="N61" s="478"/>
      <c r="O61" s="478"/>
      <c r="P61" s="478"/>
      <c r="Q61" s="478"/>
      <c r="R61" s="478"/>
      <c r="S61" s="478"/>
      <c r="T61" s="478"/>
      <c r="U61" s="478"/>
      <c r="V61" s="478"/>
      <c r="W61" s="478"/>
      <c r="X61" s="478"/>
      <c r="Y61" s="478"/>
      <c r="Z61" s="478"/>
      <c r="AA61" s="478"/>
      <c r="AB61" s="478"/>
      <c r="AC61" s="478"/>
      <c r="AD61" s="478"/>
      <c r="AE61" s="478"/>
      <c r="AF61" s="478"/>
      <c r="AG61" s="478"/>
    </row>
    <row r="62" spans="2:33" ht="17.149999999999999" customHeight="1" x14ac:dyDescent="0.35">
      <c r="B62" s="478"/>
      <c r="C62" s="478"/>
      <c r="D62" s="478"/>
      <c r="E62" s="478"/>
      <c r="F62" s="478"/>
      <c r="G62" s="478"/>
      <c r="H62" s="478"/>
      <c r="I62" s="478"/>
      <c r="J62" s="478"/>
      <c r="K62" s="478"/>
      <c r="L62" s="478"/>
      <c r="M62" s="478"/>
      <c r="N62" s="478"/>
      <c r="O62" s="478"/>
      <c r="P62" s="478"/>
      <c r="Q62" s="478"/>
      <c r="R62" s="478"/>
      <c r="S62" s="478"/>
      <c r="T62" s="478"/>
      <c r="U62" s="478"/>
      <c r="V62" s="478"/>
      <c r="W62" s="478"/>
      <c r="X62" s="478"/>
      <c r="Y62" s="478"/>
      <c r="Z62" s="478"/>
      <c r="AA62" s="478"/>
      <c r="AB62" s="478"/>
      <c r="AC62" s="478"/>
      <c r="AD62" s="478"/>
      <c r="AE62" s="478"/>
      <c r="AF62" s="478"/>
      <c r="AG62" s="478"/>
    </row>
    <row r="63" spans="2:33" ht="17.149999999999999" customHeight="1" x14ac:dyDescent="0.35">
      <c r="B63" s="478"/>
      <c r="C63" s="478"/>
      <c r="D63" s="478"/>
      <c r="E63" s="478"/>
      <c r="F63" s="478"/>
      <c r="G63" s="478"/>
      <c r="H63" s="478"/>
      <c r="I63" s="478"/>
      <c r="J63" s="478"/>
      <c r="K63" s="478"/>
      <c r="L63" s="478"/>
      <c r="M63" s="478"/>
      <c r="N63" s="478"/>
      <c r="O63" s="478"/>
      <c r="P63" s="478"/>
      <c r="Q63" s="478"/>
      <c r="R63" s="478"/>
      <c r="S63" s="478"/>
      <c r="T63" s="478"/>
      <c r="U63" s="478"/>
      <c r="V63" s="478"/>
      <c r="W63" s="478"/>
      <c r="X63" s="478"/>
      <c r="Y63" s="478"/>
      <c r="Z63" s="478"/>
      <c r="AA63" s="478"/>
      <c r="AB63" s="478"/>
      <c r="AC63" s="478"/>
      <c r="AD63" s="478"/>
      <c r="AE63" s="478"/>
      <c r="AF63" s="478"/>
      <c r="AG63" s="478"/>
    </row>
    <row r="64" spans="2:33" ht="17.149999999999999" customHeight="1" x14ac:dyDescent="0.35">
      <c r="B64" s="926" t="s">
        <v>455</v>
      </c>
      <c r="C64" s="478"/>
      <c r="D64" s="478"/>
      <c r="E64" s="478"/>
      <c r="F64" s="478"/>
      <c r="G64" s="478"/>
      <c r="H64" s="478"/>
      <c r="I64" s="478"/>
      <c r="J64" s="478"/>
      <c r="K64" s="478"/>
      <c r="L64" s="478"/>
      <c r="M64" s="478"/>
      <c r="N64" s="478"/>
      <c r="O64" s="478"/>
      <c r="P64" s="478"/>
      <c r="Q64" s="478"/>
      <c r="R64" s="478"/>
      <c r="S64" s="478"/>
      <c r="T64" s="478"/>
      <c r="U64" s="478"/>
      <c r="V64" s="478"/>
      <c r="W64" s="478"/>
      <c r="X64" s="478"/>
      <c r="Y64" s="478"/>
      <c r="Z64" s="478"/>
      <c r="AA64" s="478"/>
      <c r="AB64" s="478"/>
      <c r="AC64" s="478"/>
      <c r="AD64" s="478"/>
      <c r="AE64" s="478"/>
      <c r="AF64" s="478"/>
      <c r="AG64" s="478"/>
    </row>
    <row r="65" spans="2:33" ht="17.149999999999999" customHeight="1" x14ac:dyDescent="0.35">
      <c r="B65" s="1689" t="s">
        <v>419</v>
      </c>
      <c r="C65" s="1670" t="s">
        <v>456</v>
      </c>
      <c r="D65" s="1671"/>
      <c r="E65" s="1671"/>
      <c r="F65" s="1671"/>
      <c r="G65" s="1672"/>
      <c r="H65" s="509"/>
      <c r="I65" s="489"/>
      <c r="J65" s="489"/>
      <c r="K65" s="489"/>
      <c r="L65" s="1670" t="s">
        <v>457</v>
      </c>
      <c r="M65" s="1672"/>
      <c r="N65" s="1496" t="s">
        <v>458</v>
      </c>
      <c r="O65" s="1496" t="s">
        <v>459</v>
      </c>
      <c r="P65" s="478"/>
      <c r="Q65" s="478"/>
      <c r="R65" s="478"/>
      <c r="S65" s="478"/>
      <c r="T65" s="478"/>
      <c r="U65" s="478"/>
      <c r="V65" s="478"/>
      <c r="W65" s="478"/>
      <c r="X65" s="478"/>
      <c r="Y65" s="478"/>
      <c r="Z65" s="478"/>
      <c r="AA65" s="478"/>
      <c r="AB65" s="478"/>
      <c r="AC65" s="478"/>
      <c r="AD65" s="478"/>
      <c r="AE65" s="478"/>
      <c r="AF65" s="478"/>
      <c r="AG65" s="478"/>
    </row>
    <row r="66" spans="2:33" ht="17.149999999999999" customHeight="1" x14ac:dyDescent="0.35">
      <c r="B66" s="1690"/>
      <c r="C66" s="1660" t="s">
        <v>460</v>
      </c>
      <c r="D66" s="1666" t="s">
        <v>461</v>
      </c>
      <c r="E66" s="1666"/>
      <c r="F66" s="1666"/>
      <c r="G66" s="1660" t="s">
        <v>462</v>
      </c>
      <c r="H66" s="1686" t="s">
        <v>463</v>
      </c>
      <c r="I66" s="1687"/>
      <c r="J66" s="1687"/>
      <c r="K66" s="1688"/>
      <c r="L66" s="1683" t="s">
        <v>464</v>
      </c>
      <c r="M66" s="1660" t="s">
        <v>465</v>
      </c>
      <c r="N66" s="1660" t="s">
        <v>465</v>
      </c>
      <c r="O66" s="1666" t="s">
        <v>465</v>
      </c>
      <c r="P66" s="478"/>
      <c r="Q66" s="478"/>
      <c r="R66" s="478"/>
      <c r="S66" s="478"/>
      <c r="T66" s="478"/>
      <c r="U66" s="478"/>
      <c r="V66" s="478"/>
      <c r="W66" s="478"/>
      <c r="X66" s="478"/>
      <c r="Y66" s="478"/>
      <c r="Z66" s="478"/>
      <c r="AA66" s="478"/>
      <c r="AB66" s="478"/>
      <c r="AC66" s="478"/>
      <c r="AD66" s="478"/>
      <c r="AE66" s="478"/>
      <c r="AF66" s="478"/>
      <c r="AG66" s="478"/>
    </row>
    <row r="67" spans="2:33" ht="17.149999999999999" customHeight="1" x14ac:dyDescent="0.35">
      <c r="B67" s="1690"/>
      <c r="C67" s="1662"/>
      <c r="D67" s="1666" t="s">
        <v>223</v>
      </c>
      <c r="E67" s="1666"/>
      <c r="F67" s="1478" t="s">
        <v>466</v>
      </c>
      <c r="G67" s="1661"/>
      <c r="H67" s="1686"/>
      <c r="I67" s="1687"/>
      <c r="J67" s="1687"/>
      <c r="K67" s="1688"/>
      <c r="L67" s="1684"/>
      <c r="M67" s="1661"/>
      <c r="N67" s="1661"/>
      <c r="O67" s="1666"/>
      <c r="P67" s="478"/>
      <c r="Q67" s="478"/>
      <c r="R67" s="478"/>
      <c r="S67" s="478"/>
      <c r="T67" s="478"/>
      <c r="U67" s="478"/>
      <c r="V67" s="478"/>
      <c r="W67" s="478"/>
      <c r="X67" s="478"/>
      <c r="Y67" s="478"/>
      <c r="Z67" s="478"/>
      <c r="AA67" s="478"/>
      <c r="AB67" s="478"/>
      <c r="AC67" s="478"/>
      <c r="AD67" s="478"/>
      <c r="AE67" s="478"/>
      <c r="AF67" s="478"/>
      <c r="AG67" s="478"/>
    </row>
    <row r="68" spans="2:33" ht="95.15" customHeight="1" x14ac:dyDescent="0.35">
      <c r="B68" s="1691"/>
      <c r="C68" s="800" t="s">
        <v>467</v>
      </c>
      <c r="D68" s="800" t="s">
        <v>468</v>
      </c>
      <c r="E68" s="800" t="s">
        <v>469</v>
      </c>
      <c r="F68" s="800" t="s">
        <v>470</v>
      </c>
      <c r="G68" s="1662"/>
      <c r="H68" s="1686" t="s">
        <v>471</v>
      </c>
      <c r="I68" s="1687"/>
      <c r="J68" s="1687"/>
      <c r="K68" s="1688"/>
      <c r="L68" s="1685"/>
      <c r="M68" s="1662"/>
      <c r="N68" s="1662"/>
      <c r="O68" s="1666"/>
      <c r="P68" s="478"/>
      <c r="Q68" s="478"/>
      <c r="R68" s="478"/>
      <c r="S68" s="478"/>
      <c r="T68" s="478"/>
      <c r="U68" s="478"/>
      <c r="V68" s="478"/>
      <c r="W68" s="478"/>
      <c r="X68" s="478"/>
      <c r="Y68" s="478"/>
      <c r="Z68" s="478"/>
      <c r="AA68" s="478"/>
      <c r="AB68" s="478"/>
      <c r="AC68" s="478"/>
      <c r="AD68" s="478"/>
      <c r="AE68" s="478"/>
      <c r="AF68" s="478"/>
      <c r="AG68" s="478"/>
    </row>
    <row r="69" spans="2:33" ht="17.149999999999999" customHeight="1" x14ac:dyDescent="0.35">
      <c r="B69" s="1303" t="s">
        <v>433</v>
      </c>
      <c r="C69" s="1304"/>
      <c r="D69" s="1304"/>
      <c r="E69" s="1304"/>
      <c r="F69" s="1304"/>
      <c r="G69" s="1304"/>
      <c r="H69" s="1300"/>
      <c r="I69" s="1301"/>
      <c r="J69" s="1301"/>
      <c r="K69" s="1302"/>
      <c r="L69" s="1304"/>
      <c r="M69" s="1304"/>
      <c r="N69" s="1304"/>
      <c r="O69" s="1304"/>
      <c r="P69" s="489"/>
      <c r="Q69" s="489"/>
      <c r="R69" s="489"/>
      <c r="S69" s="478"/>
      <c r="T69" s="478"/>
      <c r="U69" s="478"/>
      <c r="V69" s="478"/>
      <c r="W69" s="478"/>
      <c r="X69" s="478"/>
      <c r="Y69" s="478"/>
      <c r="Z69" s="478"/>
      <c r="AA69" s="478"/>
      <c r="AB69" s="478"/>
      <c r="AC69" s="478"/>
      <c r="AD69" s="478"/>
      <c r="AE69" s="478"/>
      <c r="AF69" s="478"/>
      <c r="AG69" s="478"/>
    </row>
    <row r="70" spans="2:33" ht="17.149999999999999" customHeight="1" x14ac:dyDescent="0.35">
      <c r="B70" s="817" t="s">
        <v>472</v>
      </c>
      <c r="C70" s="875">
        <v>0.2</v>
      </c>
      <c r="D70" s="875">
        <v>7</v>
      </c>
      <c r="E70" s="875">
        <v>5</v>
      </c>
      <c r="F70" s="875">
        <f>'User interface_RES'!F74</f>
        <v>72.8</v>
      </c>
      <c r="G70" s="511">
        <f>C70+(D70*E70)+F70</f>
        <v>108</v>
      </c>
      <c r="H70" s="1223">
        <f>G70/8*10</f>
        <v>135</v>
      </c>
      <c r="I70" s="1223"/>
      <c r="J70" s="1223"/>
      <c r="K70" s="1224"/>
      <c r="L70" s="801">
        <f>C70*2</f>
        <v>0.4</v>
      </c>
      <c r="M70" s="802">
        <f>IF(G70=0,0,L70/G70)</f>
        <v>3.7037037037037038E-3</v>
      </c>
      <c r="N70" s="802">
        <f>IF(G70=0,0,IF((G70-L70)/G70&lt;0,0,(G70-L70)/G70))</f>
        <v>0.99629629629629624</v>
      </c>
      <c r="O70" s="802">
        <v>1</v>
      </c>
      <c r="P70" s="478"/>
      <c r="Q70" s="478"/>
      <c r="R70" s="478"/>
      <c r="S70" s="478"/>
      <c r="T70" s="478"/>
      <c r="U70" s="478"/>
      <c r="V70" s="478"/>
      <c r="W70" s="478"/>
      <c r="X70" s="478"/>
      <c r="Y70" s="478"/>
      <c r="Z70" s="478"/>
      <c r="AA70" s="478"/>
      <c r="AB70" s="478"/>
      <c r="AC70" s="478"/>
      <c r="AD70" s="478"/>
      <c r="AE70" s="478"/>
      <c r="AF70" s="478"/>
      <c r="AG70" s="478"/>
    </row>
    <row r="71" spans="2:33" ht="17.149999999999999" customHeight="1" x14ac:dyDescent="0.35">
      <c r="B71" s="482" t="s">
        <v>473</v>
      </c>
      <c r="C71" s="875"/>
      <c r="D71" s="875"/>
      <c r="E71" s="875"/>
      <c r="F71" s="875"/>
      <c r="G71" s="511">
        <f>C71+(D71*E71)+F71</f>
        <v>0</v>
      </c>
      <c r="H71" s="1223">
        <f>G71/8*10</f>
        <v>0</v>
      </c>
      <c r="I71" s="1223"/>
      <c r="J71" s="1223"/>
      <c r="K71" s="1224"/>
      <c r="L71" s="801">
        <f>C71*2</f>
        <v>0</v>
      </c>
      <c r="M71" s="802">
        <f>IF(G71=0,0,L71/G71)</f>
        <v>0</v>
      </c>
      <c r="N71" s="802">
        <f>IF(G71=0,0,IF((G71-L71)/G71&lt;0,0,(G71-L71)/G71))</f>
        <v>0</v>
      </c>
      <c r="O71" s="802">
        <v>1</v>
      </c>
      <c r="P71" s="478"/>
      <c r="Q71" s="478"/>
      <c r="R71" s="478"/>
      <c r="S71" s="478"/>
      <c r="T71" s="478"/>
      <c r="U71" s="478"/>
      <c r="V71" s="478"/>
      <c r="W71" s="478"/>
      <c r="X71" s="478"/>
      <c r="Y71" s="478"/>
      <c r="Z71" s="478"/>
      <c r="AA71" s="478"/>
      <c r="AB71" s="478"/>
      <c r="AC71" s="478"/>
      <c r="AD71" s="478"/>
      <c r="AE71" s="478"/>
      <c r="AF71" s="478"/>
      <c r="AG71" s="478"/>
    </row>
    <row r="72" spans="2:33" ht="17.149999999999999" customHeight="1" x14ac:dyDescent="0.35">
      <c r="B72" s="1303" t="s">
        <v>474</v>
      </c>
      <c r="C72" s="1304"/>
      <c r="D72" s="1304"/>
      <c r="E72" s="1304"/>
      <c r="F72" s="1304"/>
      <c r="G72" s="1304"/>
      <c r="H72" s="1222"/>
      <c r="I72" s="1223"/>
      <c r="J72" s="1223"/>
      <c r="K72" s="1224"/>
      <c r="L72" s="1304"/>
      <c r="M72" s="1304"/>
      <c r="N72" s="1304"/>
      <c r="O72" s="1304"/>
      <c r="P72" s="489"/>
      <c r="Q72" s="478"/>
      <c r="R72" s="478"/>
      <c r="S72" s="478"/>
      <c r="T72" s="478"/>
      <c r="U72" s="478"/>
      <c r="V72" s="478"/>
      <c r="W72" s="478"/>
      <c r="X72" s="478"/>
      <c r="Y72" s="478"/>
      <c r="Z72" s="478"/>
      <c r="AA72" s="478"/>
      <c r="AB72" s="478"/>
      <c r="AC72" s="478"/>
      <c r="AD72" s="478"/>
      <c r="AE72" s="478"/>
      <c r="AF72" s="478"/>
      <c r="AG72" s="478"/>
    </row>
    <row r="73" spans="2:33" ht="17.149999999999999" customHeight="1" x14ac:dyDescent="0.35">
      <c r="B73" s="482" t="s">
        <v>475</v>
      </c>
      <c r="C73" s="875"/>
      <c r="D73" s="1141"/>
      <c r="E73" s="1141"/>
      <c r="F73" s="1141"/>
      <c r="G73" s="511">
        <f>C73+(D73*E73)+F73</f>
        <v>0</v>
      </c>
      <c r="H73" s="1222"/>
      <c r="I73" s="1223"/>
      <c r="J73" s="1223"/>
      <c r="K73" s="1224"/>
      <c r="L73" s="801">
        <f>C73*2</f>
        <v>0</v>
      </c>
      <c r="M73" s="802">
        <f>IF(G73=0,0,L73/G73)</f>
        <v>0</v>
      </c>
      <c r="N73" s="802">
        <f>IF(G73=0,0,IF((G73-L73)/G73&lt;0,0,(G73-L73)/G73))</f>
        <v>0</v>
      </c>
      <c r="O73" s="802">
        <v>1</v>
      </c>
      <c r="P73" s="478"/>
      <c r="Q73" s="478"/>
      <c r="R73" s="478"/>
      <c r="S73" s="478"/>
      <c r="T73" s="478"/>
      <c r="U73" s="478"/>
      <c r="V73" s="478"/>
      <c r="W73" s="478"/>
      <c r="X73" s="478"/>
      <c r="Y73" s="478"/>
      <c r="Z73" s="478"/>
      <c r="AA73" s="478"/>
      <c r="AB73" s="478"/>
      <c r="AC73" s="478"/>
      <c r="AD73" s="478"/>
      <c r="AE73" s="478"/>
      <c r="AF73" s="478"/>
      <c r="AG73" s="478"/>
    </row>
    <row r="74" spans="2:33" ht="17.149999999999999" customHeight="1" x14ac:dyDescent="0.35">
      <c r="B74" s="482" t="s">
        <v>476</v>
      </c>
      <c r="C74" s="875"/>
      <c r="D74" s="1141"/>
      <c r="E74" s="1141"/>
      <c r="F74" s="1141"/>
      <c r="G74" s="511">
        <f>C74+(D74*E74)+F74</f>
        <v>0</v>
      </c>
      <c r="H74" s="510"/>
      <c r="I74" s="489"/>
      <c r="J74" s="489"/>
      <c r="K74" s="489"/>
      <c r="L74" s="801">
        <f>C74*2</f>
        <v>0</v>
      </c>
      <c r="M74" s="802">
        <f>IF(G74=0,0,L74/G74)</f>
        <v>0</v>
      </c>
      <c r="N74" s="802">
        <f>IF(G74=0,0,IF((G74-L74)/G74&lt;0,0,(G74-L74)/G74))</f>
        <v>0</v>
      </c>
      <c r="O74" s="802">
        <v>1</v>
      </c>
      <c r="P74" s="478"/>
      <c r="Q74" s="478"/>
      <c r="R74" s="478"/>
      <c r="S74" s="478"/>
      <c r="T74" s="478"/>
      <c r="U74" s="478"/>
      <c r="V74" s="478"/>
      <c r="W74" s="478"/>
      <c r="X74" s="478"/>
      <c r="Y74" s="478"/>
      <c r="Z74" s="478"/>
      <c r="AA74" s="478"/>
      <c r="AB74" s="478"/>
      <c r="AC74" s="478"/>
      <c r="AD74" s="478"/>
      <c r="AE74" s="478"/>
      <c r="AF74" s="478"/>
      <c r="AG74" s="478"/>
    </row>
    <row r="75" spans="2:33" ht="17.149999999999999" customHeight="1" x14ac:dyDescent="0.35">
      <c r="B75" s="1305" t="s">
        <v>435</v>
      </c>
      <c r="C75" s="1304"/>
      <c r="D75" s="1304"/>
      <c r="E75" s="1304"/>
      <c r="F75" s="1304"/>
      <c r="G75" s="1304"/>
      <c r="H75" s="510"/>
      <c r="I75" s="489"/>
      <c r="J75" s="489"/>
      <c r="K75" s="489"/>
      <c r="L75" s="1304"/>
      <c r="M75" s="1304"/>
      <c r="N75" s="1304"/>
      <c r="O75" s="1304"/>
      <c r="P75" s="489"/>
      <c r="Q75" s="478"/>
      <c r="R75" s="478"/>
      <c r="S75" s="478"/>
      <c r="T75" s="478"/>
      <c r="U75" s="478"/>
      <c r="V75" s="478"/>
      <c r="W75" s="478"/>
      <c r="X75" s="478"/>
      <c r="Y75" s="478"/>
      <c r="Z75" s="478"/>
      <c r="AA75" s="478"/>
      <c r="AB75" s="478"/>
      <c r="AC75" s="478"/>
      <c r="AD75" s="478"/>
      <c r="AE75" s="478"/>
      <c r="AF75" s="478"/>
      <c r="AG75" s="478"/>
    </row>
    <row r="76" spans="2:33" ht="17.149999999999999" customHeight="1" x14ac:dyDescent="0.35">
      <c r="B76" s="482" t="s">
        <v>477</v>
      </c>
      <c r="C76" s="875"/>
      <c r="D76" s="875"/>
      <c r="E76" s="875"/>
      <c r="F76" s="875"/>
      <c r="G76" s="511">
        <f>C76+(D76*E76)+F76</f>
        <v>0</v>
      </c>
      <c r="H76" s="510"/>
      <c r="I76" s="489"/>
      <c r="J76" s="489"/>
      <c r="K76" s="489"/>
      <c r="L76" s="801">
        <f>C76*2</f>
        <v>0</v>
      </c>
      <c r="M76" s="802">
        <f>IF(G76=0,0,L76/G76)</f>
        <v>0</v>
      </c>
      <c r="N76" s="802">
        <f>IF(G76=0,0,IF((G76-L76)/G76&lt;0,0,(G76-L76)/G76))</f>
        <v>0</v>
      </c>
      <c r="O76" s="802">
        <v>1</v>
      </c>
      <c r="P76" s="478"/>
      <c r="Q76" s="478"/>
      <c r="R76" s="478"/>
      <c r="S76" s="478"/>
      <c r="T76" s="478"/>
      <c r="U76" s="478"/>
      <c r="V76" s="478"/>
      <c r="W76" s="478"/>
      <c r="X76" s="478"/>
      <c r="Y76" s="478"/>
      <c r="Z76" s="478"/>
      <c r="AA76" s="478"/>
      <c r="AB76" s="478"/>
      <c r="AC76" s="478"/>
      <c r="AD76" s="478"/>
      <c r="AE76" s="478"/>
      <c r="AF76" s="478"/>
      <c r="AG76" s="478"/>
    </row>
    <row r="77" spans="2:33" ht="17.149999999999999" customHeight="1" x14ac:dyDescent="0.35">
      <c r="B77" s="482" t="s">
        <v>478</v>
      </c>
      <c r="C77" s="875">
        <v>0.2</v>
      </c>
      <c r="D77" s="875">
        <v>4</v>
      </c>
      <c r="E77" s="1345">
        <v>4</v>
      </c>
      <c r="F77" s="875">
        <v>0</v>
      </c>
      <c r="G77" s="511">
        <f>C77+(D77*E77)+F77</f>
        <v>16.2</v>
      </c>
      <c r="H77" s="510"/>
      <c r="I77" s="489"/>
      <c r="J77" s="489"/>
      <c r="K77" s="489"/>
      <c r="L77" s="801">
        <f>C77*2</f>
        <v>0.4</v>
      </c>
      <c r="M77" s="802">
        <f>IF(G77=0,0,L77/G77)</f>
        <v>2.469135802469136E-2</v>
      </c>
      <c r="N77" s="802">
        <f>IF(G77=0,0,IF((G77-L77)/G77&lt;0,0,(G77-L77)/G77))</f>
        <v>0.97530864197530864</v>
      </c>
      <c r="O77" s="802">
        <v>1</v>
      </c>
      <c r="P77" s="478"/>
      <c r="Q77" s="478"/>
      <c r="R77" s="478"/>
      <c r="S77" s="478"/>
      <c r="T77" s="478"/>
      <c r="U77" s="478"/>
      <c r="V77" s="478"/>
      <c r="W77" s="478"/>
      <c r="X77" s="478"/>
      <c r="Y77" s="478"/>
      <c r="Z77" s="478"/>
      <c r="AA77" s="478"/>
      <c r="AB77" s="478"/>
      <c r="AC77" s="478"/>
      <c r="AD77" s="478"/>
      <c r="AE77" s="478"/>
      <c r="AF77" s="478"/>
      <c r="AG77" s="478"/>
    </row>
    <row r="78" spans="2:33" ht="17.149999999999999" customHeight="1" x14ac:dyDescent="0.35">
      <c r="B78" s="482" t="s">
        <v>479</v>
      </c>
      <c r="C78" s="875"/>
      <c r="D78" s="802"/>
      <c r="E78" s="802"/>
      <c r="F78" s="802"/>
      <c r="G78" s="511">
        <f>C78+(D78*E78)+F78</f>
        <v>0</v>
      </c>
      <c r="H78" s="510"/>
      <c r="I78" s="489"/>
      <c r="J78" s="489"/>
      <c r="K78" s="489"/>
      <c r="L78" s="801">
        <f>C78*2</f>
        <v>0</v>
      </c>
      <c r="M78" s="802">
        <f>IF(G78=0,0,L78/G78)</f>
        <v>0</v>
      </c>
      <c r="N78" s="802">
        <f>IF(G78=0,0,IF((G78-L78)/G78&lt;0,0,(G78-L78)/G78))</f>
        <v>0</v>
      </c>
      <c r="O78" s="802">
        <v>1</v>
      </c>
      <c r="P78" s="478"/>
      <c r="Q78" s="478"/>
      <c r="R78" s="478"/>
      <c r="S78" s="478"/>
      <c r="T78" s="478"/>
      <c r="U78" s="478"/>
      <c r="V78" s="478"/>
      <c r="W78" s="478"/>
      <c r="X78" s="478"/>
      <c r="Y78" s="478"/>
      <c r="Z78" s="478"/>
      <c r="AA78" s="478"/>
      <c r="AB78" s="478"/>
      <c r="AC78" s="478"/>
      <c r="AD78" s="478"/>
      <c r="AE78" s="478"/>
      <c r="AF78" s="478"/>
      <c r="AG78" s="478"/>
    </row>
    <row r="79" spans="2:33" ht="17.149999999999999" customHeight="1" x14ac:dyDescent="0.35">
      <c r="B79" s="1305" t="s">
        <v>501</v>
      </c>
      <c r="C79" s="1304"/>
      <c r="D79" s="1304"/>
      <c r="E79" s="1304"/>
      <c r="F79" s="1304"/>
      <c r="G79" s="1304"/>
      <c r="H79" s="510"/>
      <c r="I79" s="489"/>
      <c r="J79" s="489"/>
      <c r="K79" s="489"/>
      <c r="L79" s="1304"/>
      <c r="M79" s="1304"/>
      <c r="N79" s="1304"/>
      <c r="O79" s="1304"/>
      <c r="P79" s="489"/>
      <c r="Q79" s="478"/>
      <c r="R79" s="478"/>
      <c r="S79" s="478"/>
      <c r="T79" s="478"/>
      <c r="U79" s="478"/>
      <c r="V79" s="478"/>
      <c r="W79" s="478"/>
      <c r="X79" s="478"/>
      <c r="Y79" s="478"/>
      <c r="Z79" s="478"/>
      <c r="AA79" s="478"/>
      <c r="AB79" s="478"/>
      <c r="AC79" s="478"/>
      <c r="AD79" s="478"/>
      <c r="AE79" s="478"/>
      <c r="AF79" s="478"/>
      <c r="AG79" s="478"/>
    </row>
    <row r="80" spans="2:33" ht="17.149999999999999" customHeight="1" x14ac:dyDescent="0.35">
      <c r="B80" s="482" t="s">
        <v>480</v>
      </c>
      <c r="C80" s="875"/>
      <c r="D80" s="875"/>
      <c r="E80" s="875"/>
      <c r="F80" s="875"/>
      <c r="G80" s="511">
        <f>C80+(D80*E80)+F80</f>
        <v>0</v>
      </c>
      <c r="H80" s="510"/>
      <c r="I80" s="489"/>
      <c r="J80" s="489"/>
      <c r="K80" s="489"/>
      <c r="L80" s="801">
        <f>C80*2</f>
        <v>0</v>
      </c>
      <c r="M80" s="802">
        <f>IF(G80=0,0,L80/G80)</f>
        <v>0</v>
      </c>
      <c r="N80" s="802">
        <f>IF(G80=0,0,IF((G80-L80)/G80&lt;0,0,(G80-L80)/G80))</f>
        <v>0</v>
      </c>
      <c r="O80" s="802">
        <v>1</v>
      </c>
      <c r="P80" s="478"/>
      <c r="Q80" s="478"/>
      <c r="R80" s="478"/>
      <c r="S80" s="478"/>
      <c r="T80" s="478"/>
      <c r="U80" s="478"/>
      <c r="V80" s="478"/>
      <c r="W80" s="478"/>
      <c r="X80" s="478"/>
      <c r="Y80" s="478"/>
      <c r="Z80" s="478"/>
      <c r="AA80" s="478"/>
      <c r="AB80" s="478"/>
      <c r="AC80" s="478"/>
      <c r="AD80" s="478"/>
      <c r="AE80" s="478"/>
      <c r="AF80" s="478"/>
      <c r="AG80" s="478"/>
    </row>
    <row r="81" spans="2:33" ht="17.149999999999999" customHeight="1" x14ac:dyDescent="0.35">
      <c r="B81" s="482" t="s">
        <v>481</v>
      </c>
      <c r="C81" s="875">
        <v>0.2</v>
      </c>
      <c r="D81" s="875">
        <v>4</v>
      </c>
      <c r="E81" s="1345">
        <v>4</v>
      </c>
      <c r="F81" s="875">
        <v>5</v>
      </c>
      <c r="G81" s="511">
        <f>C81+(D81*E81)+F81</f>
        <v>21.2</v>
      </c>
      <c r="H81" s="510"/>
      <c r="I81" s="489"/>
      <c r="J81" s="489"/>
      <c r="K81" s="489"/>
      <c r="L81" s="801">
        <f>D81*2</f>
        <v>8</v>
      </c>
      <c r="M81" s="802">
        <f>IF(G81=0,0,L81/G81)</f>
        <v>0.37735849056603776</v>
      </c>
      <c r="N81" s="802">
        <f>IF(G81=0,0,IF((G81-L81)/G81&lt;0,0,(G81-L81)/G81))</f>
        <v>0.62264150943396224</v>
      </c>
      <c r="O81" s="802">
        <v>1</v>
      </c>
      <c r="P81" s="478"/>
      <c r="Q81" s="478"/>
      <c r="R81" s="478"/>
      <c r="S81" s="478"/>
      <c r="T81" s="478"/>
      <c r="U81" s="478"/>
      <c r="V81" s="478"/>
      <c r="W81" s="478"/>
      <c r="X81" s="478"/>
      <c r="Y81" s="478"/>
      <c r="Z81" s="478"/>
      <c r="AA81" s="478"/>
      <c r="AB81" s="478"/>
      <c r="AC81" s="478"/>
      <c r="AD81" s="478"/>
      <c r="AE81" s="478"/>
      <c r="AF81" s="478"/>
      <c r="AG81" s="478"/>
    </row>
    <row r="82" spans="2:33" ht="17.149999999999999" customHeight="1" x14ac:dyDescent="0.35">
      <c r="B82" s="482" t="s">
        <v>482</v>
      </c>
      <c r="C82" s="875"/>
      <c r="D82" s="802"/>
      <c r="E82" s="802"/>
      <c r="F82" s="802"/>
      <c r="G82" s="511">
        <f>C82+(D82*E82)+F82</f>
        <v>0</v>
      </c>
      <c r="H82" s="510"/>
      <c r="I82" s="489"/>
      <c r="J82" s="489"/>
      <c r="K82" s="489"/>
      <c r="L82" s="801">
        <f>C82*2</f>
        <v>0</v>
      </c>
      <c r="M82" s="802">
        <f>IF(G82=0,0,L82/G82)</f>
        <v>0</v>
      </c>
      <c r="N82" s="802">
        <f>IF(G82=0,0,IF((G82-L82)/G82&lt;0,0,(G82-L82)/G82))</f>
        <v>0</v>
      </c>
      <c r="O82" s="802">
        <v>1</v>
      </c>
      <c r="P82" s="478"/>
      <c r="Q82" s="478"/>
      <c r="R82" s="478"/>
      <c r="S82" s="478"/>
      <c r="T82" s="478"/>
      <c r="U82" s="478"/>
      <c r="V82" s="478"/>
      <c r="W82" s="478"/>
      <c r="X82" s="478"/>
      <c r="Y82" s="478"/>
      <c r="Z82" s="478"/>
      <c r="AA82" s="478"/>
      <c r="AB82" s="478"/>
      <c r="AC82" s="478"/>
      <c r="AD82" s="478"/>
      <c r="AE82" s="478"/>
      <c r="AF82" s="478"/>
      <c r="AG82" s="478"/>
    </row>
    <row r="83" spans="2:33" ht="17.149999999999999" customHeight="1" x14ac:dyDescent="0.35">
      <c r="B83" s="1305" t="s">
        <v>443</v>
      </c>
      <c r="C83" s="875">
        <v>0.2</v>
      </c>
      <c r="D83" s="802"/>
      <c r="E83" s="802"/>
      <c r="F83" s="802"/>
      <c r="G83" s="511">
        <f>C83+(D83*E83)+F83</f>
        <v>0.2</v>
      </c>
      <c r="H83" s="510"/>
      <c r="I83" s="489"/>
      <c r="J83" s="489"/>
      <c r="K83" s="489"/>
      <c r="L83" s="801">
        <f>C83</f>
        <v>0.2</v>
      </c>
      <c r="M83" s="801"/>
      <c r="N83" s="801"/>
      <c r="O83" s="801"/>
      <c r="P83" s="478"/>
      <c r="Q83" s="478"/>
      <c r="R83" s="478"/>
      <c r="S83" s="478"/>
      <c r="T83" s="478"/>
      <c r="U83" s="478"/>
      <c r="V83" s="478"/>
      <c r="W83" s="478"/>
      <c r="X83" s="478"/>
      <c r="Y83" s="478"/>
      <c r="Z83" s="478"/>
      <c r="AA83" s="478"/>
      <c r="AB83" s="478"/>
      <c r="AC83" s="478"/>
      <c r="AD83" s="478"/>
      <c r="AE83" s="478"/>
      <c r="AF83" s="478"/>
      <c r="AG83" s="478"/>
    </row>
    <row r="84" spans="2:33" ht="17.149999999999999" customHeight="1" x14ac:dyDescent="0.35">
      <c r="B84" s="478"/>
      <c r="C84" s="478"/>
      <c r="D84" s="489"/>
      <c r="E84" s="523"/>
      <c r="F84" s="524"/>
      <c r="G84" s="478"/>
      <c r="H84" s="510"/>
      <c r="I84" s="489"/>
      <c r="J84" s="489"/>
      <c r="K84" s="489"/>
      <c r="L84" s="478"/>
      <c r="M84" s="478"/>
      <c r="N84" s="478"/>
      <c r="O84" s="478"/>
      <c r="P84" s="478"/>
      <c r="Q84" s="478"/>
      <c r="R84" s="478"/>
      <c r="S84" s="478"/>
      <c r="T84" s="478"/>
      <c r="U84" s="478"/>
      <c r="V84" s="478"/>
      <c r="W84" s="478"/>
      <c r="X84" s="478"/>
      <c r="Y84" s="478"/>
      <c r="Z84" s="478"/>
      <c r="AA84" s="478"/>
      <c r="AB84" s="478"/>
      <c r="AC84" s="478"/>
      <c r="AD84" s="478"/>
      <c r="AE84" s="478"/>
      <c r="AF84" s="478"/>
      <c r="AG84" s="478"/>
    </row>
    <row r="85" spans="2:33" x14ac:dyDescent="0.35">
      <c r="B85" s="478"/>
      <c r="C85" s="478"/>
      <c r="D85" s="478"/>
      <c r="E85" s="523"/>
      <c r="F85" s="524"/>
      <c r="G85" s="478"/>
      <c r="H85" s="478"/>
      <c r="I85" s="478"/>
      <c r="J85" s="478"/>
      <c r="K85" s="478"/>
      <c r="L85" s="478"/>
      <c r="M85" s="478"/>
      <c r="N85" s="478"/>
      <c r="O85" s="478"/>
      <c r="P85" s="478"/>
      <c r="Q85" s="478"/>
      <c r="R85" s="478"/>
      <c r="S85" s="478"/>
      <c r="T85" s="478"/>
      <c r="U85" s="478"/>
      <c r="V85" s="478"/>
      <c r="W85" s="478"/>
      <c r="X85" s="478"/>
      <c r="Y85" s="478"/>
      <c r="Z85" s="478"/>
      <c r="AA85" s="478"/>
      <c r="AB85" s="478"/>
      <c r="AC85" s="478"/>
      <c r="AD85" s="478"/>
      <c r="AE85" s="478"/>
      <c r="AF85" s="478"/>
      <c r="AG85" s="478"/>
    </row>
    <row r="86" spans="2:33" x14ac:dyDescent="0.35">
      <c r="B86" s="478"/>
      <c r="C86" s="478"/>
      <c r="D86" s="478"/>
      <c r="E86" s="523"/>
      <c r="F86" s="524"/>
      <c r="G86" s="478"/>
      <c r="H86" s="478"/>
      <c r="I86" s="478"/>
      <c r="J86" s="478"/>
      <c r="K86" s="478"/>
      <c r="L86" s="478"/>
      <c r="M86" s="478"/>
      <c r="N86" s="478"/>
      <c r="O86" s="478"/>
      <c r="P86" s="478"/>
      <c r="Q86" s="478"/>
      <c r="R86" s="478"/>
      <c r="S86" s="478"/>
      <c r="T86" s="478"/>
      <c r="U86" s="478"/>
      <c r="V86" s="478"/>
      <c r="W86" s="478"/>
      <c r="X86" s="478"/>
      <c r="Y86" s="478"/>
      <c r="Z86" s="478"/>
      <c r="AA86" s="478"/>
      <c r="AB86" s="478"/>
      <c r="AC86" s="478"/>
      <c r="AD86" s="478"/>
      <c r="AE86" s="478"/>
      <c r="AF86" s="478"/>
      <c r="AG86" s="478"/>
    </row>
    <row r="87" spans="2:33" x14ac:dyDescent="0.35">
      <c r="B87" s="478"/>
      <c r="C87" s="478"/>
      <c r="D87" s="478"/>
      <c r="E87" s="523"/>
      <c r="F87" s="524"/>
      <c r="G87" s="478"/>
      <c r="H87" s="478"/>
      <c r="I87" s="478"/>
      <c r="J87" s="478"/>
      <c r="K87" s="478"/>
      <c r="L87" s="478"/>
      <c r="M87" s="478"/>
      <c r="N87" s="478"/>
      <c r="O87" s="478"/>
      <c r="P87" s="478"/>
      <c r="Q87" s="478"/>
      <c r="R87" s="478"/>
      <c r="S87" s="478"/>
      <c r="T87" s="478"/>
      <c r="U87" s="478"/>
      <c r="V87" s="478"/>
      <c r="W87" s="478"/>
      <c r="X87" s="478"/>
      <c r="Y87" s="478"/>
      <c r="Z87" s="478"/>
      <c r="AA87" s="478"/>
      <c r="AB87" s="478"/>
      <c r="AC87" s="478"/>
      <c r="AD87" s="478"/>
      <c r="AE87" s="478"/>
      <c r="AF87" s="478"/>
      <c r="AG87" s="478"/>
    </row>
    <row r="88" spans="2:33" x14ac:dyDescent="0.35">
      <c r="B88" s="478"/>
      <c r="C88" s="478"/>
      <c r="D88" s="478"/>
      <c r="E88" s="523"/>
      <c r="F88" s="524"/>
      <c r="G88" s="478"/>
      <c r="H88" s="478"/>
      <c r="I88" s="478"/>
      <c r="J88" s="478"/>
      <c r="K88" s="478"/>
      <c r="L88" s="478"/>
      <c r="M88" s="478"/>
      <c r="N88" s="478"/>
      <c r="O88" s="478"/>
      <c r="P88" s="478"/>
      <c r="Q88" s="478"/>
      <c r="R88" s="478"/>
      <c r="S88" s="478"/>
      <c r="T88" s="478"/>
      <c r="U88" s="478"/>
      <c r="V88" s="478"/>
      <c r="W88" s="478"/>
      <c r="X88" s="478"/>
      <c r="Y88" s="478"/>
      <c r="Z88" s="478"/>
      <c r="AA88" s="478"/>
      <c r="AB88" s="478"/>
      <c r="AC88" s="478"/>
      <c r="AD88" s="478"/>
      <c r="AE88" s="478"/>
      <c r="AF88" s="478"/>
      <c r="AG88" s="478"/>
    </row>
    <row r="89" spans="2:33" x14ac:dyDescent="0.35">
      <c r="B89" s="478"/>
      <c r="C89" s="478"/>
      <c r="D89" s="478"/>
      <c r="E89" s="523"/>
      <c r="F89" s="524"/>
      <c r="G89" s="478"/>
      <c r="H89" s="478"/>
      <c r="I89" s="478"/>
      <c r="J89" s="478"/>
      <c r="K89" s="478"/>
      <c r="L89" s="478"/>
      <c r="M89" s="478"/>
      <c r="N89" s="478"/>
      <c r="O89" s="478"/>
      <c r="P89" s="478"/>
      <c r="Q89" s="478"/>
      <c r="R89" s="478"/>
      <c r="S89" s="478"/>
      <c r="T89" s="478"/>
      <c r="U89" s="478"/>
      <c r="V89" s="478"/>
      <c r="W89" s="478"/>
      <c r="X89" s="478"/>
      <c r="Y89" s="478"/>
      <c r="Z89" s="478"/>
      <c r="AA89" s="478"/>
      <c r="AB89" s="478"/>
      <c r="AC89" s="478"/>
      <c r="AD89" s="478"/>
      <c r="AE89" s="478"/>
      <c r="AF89" s="478"/>
      <c r="AG89" s="478"/>
    </row>
    <row r="90" spans="2:33" x14ac:dyDescent="0.35">
      <c r="B90" s="478"/>
      <c r="C90" s="478"/>
      <c r="D90" s="478"/>
      <c r="E90" s="523"/>
      <c r="F90" s="524"/>
      <c r="G90" s="478"/>
      <c r="H90" s="478"/>
      <c r="I90" s="478"/>
      <c r="J90" s="478"/>
      <c r="K90" s="478"/>
      <c r="L90" s="478"/>
      <c r="M90" s="478"/>
      <c r="N90" s="478"/>
      <c r="O90" s="478"/>
      <c r="P90" s="478"/>
      <c r="Q90" s="478"/>
      <c r="R90" s="478"/>
      <c r="S90" s="478"/>
      <c r="T90" s="478"/>
      <c r="U90" s="478"/>
      <c r="V90" s="478"/>
      <c r="W90" s="478"/>
      <c r="X90" s="478"/>
      <c r="Y90" s="478"/>
      <c r="Z90" s="478"/>
      <c r="AA90" s="478"/>
      <c r="AB90" s="478"/>
      <c r="AC90" s="478"/>
      <c r="AD90" s="478"/>
      <c r="AE90" s="478"/>
      <c r="AF90" s="478"/>
      <c r="AG90" s="478"/>
    </row>
    <row r="91" spans="2:33" x14ac:dyDescent="0.35">
      <c r="B91" s="478"/>
      <c r="C91" s="478"/>
      <c r="D91" s="478"/>
      <c r="E91" s="523"/>
      <c r="F91" s="524"/>
      <c r="G91" s="478"/>
      <c r="H91" s="478"/>
      <c r="I91" s="478"/>
      <c r="J91" s="478"/>
      <c r="K91" s="478"/>
      <c r="L91" s="478"/>
      <c r="M91" s="478"/>
      <c r="N91" s="478"/>
      <c r="O91" s="478"/>
      <c r="P91" s="478"/>
      <c r="Q91" s="478"/>
      <c r="R91" s="478"/>
      <c r="S91" s="478"/>
      <c r="T91" s="478"/>
      <c r="U91" s="478"/>
      <c r="V91" s="478"/>
      <c r="W91" s="478"/>
      <c r="X91" s="478"/>
      <c r="Y91" s="478"/>
      <c r="Z91" s="478"/>
      <c r="AA91" s="478"/>
      <c r="AB91" s="478"/>
      <c r="AC91" s="478"/>
      <c r="AD91" s="478"/>
      <c r="AE91" s="478"/>
      <c r="AF91" s="478"/>
      <c r="AG91" s="478"/>
    </row>
    <row r="92" spans="2:33" x14ac:dyDescent="0.35">
      <c r="B92" s="478"/>
      <c r="C92" s="478"/>
      <c r="D92" s="478"/>
      <c r="E92" s="523"/>
      <c r="F92" s="524"/>
      <c r="G92" s="478"/>
      <c r="H92" s="478"/>
      <c r="I92" s="478"/>
      <c r="J92" s="478"/>
      <c r="K92" s="478"/>
      <c r="L92" s="478"/>
      <c r="M92" s="478"/>
      <c r="N92" s="478"/>
      <c r="O92" s="478"/>
      <c r="P92" s="478"/>
      <c r="Q92" s="478"/>
      <c r="R92" s="478"/>
      <c r="S92" s="478"/>
      <c r="T92" s="478"/>
      <c r="U92" s="478"/>
      <c r="V92" s="478"/>
      <c r="W92" s="478"/>
      <c r="X92" s="478"/>
      <c r="Y92" s="478"/>
      <c r="Z92" s="478"/>
      <c r="AA92" s="478"/>
      <c r="AB92" s="478"/>
      <c r="AC92" s="478"/>
      <c r="AD92" s="478"/>
      <c r="AE92" s="478"/>
      <c r="AF92" s="478"/>
      <c r="AG92" s="478"/>
    </row>
    <row r="93" spans="2:33" x14ac:dyDescent="0.35">
      <c r="B93" s="478"/>
      <c r="C93" s="478"/>
      <c r="D93" s="478"/>
      <c r="E93" s="523"/>
      <c r="F93" s="524"/>
      <c r="G93" s="478"/>
      <c r="H93" s="478"/>
      <c r="I93" s="478"/>
      <c r="J93" s="478"/>
      <c r="K93" s="478"/>
      <c r="L93" s="478"/>
      <c r="M93" s="478"/>
      <c r="N93" s="478"/>
      <c r="O93" s="478"/>
      <c r="P93" s="478"/>
      <c r="Q93" s="478"/>
      <c r="R93" s="478"/>
      <c r="S93" s="478"/>
      <c r="T93" s="478"/>
      <c r="U93" s="478"/>
      <c r="V93" s="478"/>
      <c r="W93" s="478"/>
      <c r="X93" s="478"/>
      <c r="Y93" s="478"/>
      <c r="Z93" s="478"/>
      <c r="AA93" s="478"/>
      <c r="AB93" s="478"/>
      <c r="AC93" s="478"/>
      <c r="AD93" s="478"/>
      <c r="AE93" s="478"/>
      <c r="AF93" s="478"/>
      <c r="AG93" s="478"/>
    </row>
    <row r="94" spans="2:33" x14ac:dyDescent="0.35">
      <c r="B94" s="478"/>
      <c r="C94" s="478"/>
      <c r="D94" s="478"/>
      <c r="E94" s="523"/>
      <c r="F94" s="524"/>
      <c r="G94" s="478"/>
      <c r="H94" s="478"/>
      <c r="I94" s="478"/>
      <c r="J94" s="478"/>
      <c r="K94" s="478"/>
      <c r="L94" s="478"/>
      <c r="M94" s="478"/>
      <c r="N94" s="478"/>
      <c r="O94" s="478"/>
      <c r="P94" s="478"/>
      <c r="Q94" s="478"/>
      <c r="R94" s="478"/>
      <c r="S94" s="478"/>
      <c r="T94" s="478"/>
      <c r="U94" s="478"/>
      <c r="V94" s="478"/>
      <c r="W94" s="478"/>
      <c r="X94" s="478"/>
      <c r="Y94" s="478"/>
      <c r="Z94" s="478"/>
      <c r="AA94" s="478"/>
      <c r="AB94" s="478"/>
      <c r="AC94" s="478"/>
      <c r="AD94" s="478"/>
      <c r="AE94" s="478"/>
      <c r="AF94" s="478"/>
      <c r="AG94" s="478"/>
    </row>
    <row r="95" spans="2:33" x14ac:dyDescent="0.35">
      <c r="B95" s="478"/>
      <c r="C95" s="478"/>
      <c r="D95" s="478"/>
      <c r="E95" s="523"/>
      <c r="F95" s="524"/>
      <c r="G95" s="478"/>
      <c r="H95" s="478"/>
      <c r="I95" s="478"/>
      <c r="J95" s="478"/>
      <c r="K95" s="478"/>
      <c r="L95" s="478"/>
      <c r="M95" s="478"/>
      <c r="N95" s="478"/>
      <c r="O95" s="478"/>
      <c r="P95" s="478"/>
      <c r="Q95" s="478"/>
      <c r="R95" s="478"/>
      <c r="S95" s="478"/>
      <c r="T95" s="478"/>
      <c r="U95" s="478"/>
      <c r="V95" s="478"/>
      <c r="W95" s="478"/>
      <c r="X95" s="478"/>
      <c r="Y95" s="478"/>
      <c r="Z95" s="478"/>
      <c r="AA95" s="478"/>
      <c r="AB95" s="478"/>
      <c r="AC95" s="478"/>
      <c r="AD95" s="478"/>
      <c r="AE95" s="478"/>
      <c r="AF95" s="478"/>
      <c r="AG95" s="478"/>
    </row>
    <row r="96" spans="2:33" x14ac:dyDescent="0.35">
      <c r="B96" s="478"/>
      <c r="C96" s="478"/>
      <c r="D96" s="478"/>
      <c r="E96" s="523"/>
      <c r="F96" s="524"/>
      <c r="G96" s="478"/>
      <c r="H96" s="478"/>
      <c r="I96" s="478"/>
      <c r="J96" s="478"/>
      <c r="K96" s="478"/>
      <c r="L96" s="478"/>
      <c r="M96" s="478"/>
      <c r="N96" s="478"/>
      <c r="O96" s="478"/>
      <c r="P96" s="478"/>
      <c r="Q96" s="478"/>
      <c r="R96" s="478"/>
      <c r="S96" s="478"/>
      <c r="T96" s="478"/>
      <c r="U96" s="478"/>
      <c r="V96" s="478"/>
      <c r="W96" s="478"/>
      <c r="X96" s="478"/>
      <c r="Y96" s="478"/>
      <c r="Z96" s="478"/>
      <c r="AA96" s="478"/>
      <c r="AB96" s="478"/>
      <c r="AC96" s="478"/>
      <c r="AD96" s="478"/>
      <c r="AE96" s="478"/>
      <c r="AF96" s="478"/>
      <c r="AG96" s="478"/>
    </row>
    <row r="97" spans="2:33" x14ac:dyDescent="0.35">
      <c r="B97" s="478"/>
      <c r="C97" s="478"/>
      <c r="D97" s="478"/>
      <c r="E97" s="523"/>
      <c r="F97" s="524"/>
      <c r="G97" s="478"/>
      <c r="H97" s="478"/>
      <c r="I97" s="478"/>
      <c r="J97" s="478"/>
      <c r="K97" s="478"/>
      <c r="L97" s="478"/>
      <c r="M97" s="478"/>
      <c r="N97" s="478"/>
      <c r="O97" s="478"/>
      <c r="P97" s="478"/>
      <c r="Q97" s="478"/>
      <c r="R97" s="478"/>
      <c r="S97" s="478"/>
      <c r="T97" s="478"/>
      <c r="U97" s="478"/>
      <c r="V97" s="478"/>
      <c r="W97" s="478"/>
      <c r="X97" s="478"/>
      <c r="Y97" s="478"/>
      <c r="Z97" s="478"/>
      <c r="AA97" s="478"/>
      <c r="AB97" s="478"/>
      <c r="AC97" s="478"/>
      <c r="AD97" s="478"/>
      <c r="AE97" s="478"/>
      <c r="AF97" s="478"/>
      <c r="AG97" s="478"/>
    </row>
    <row r="98" spans="2:33" x14ac:dyDescent="0.35">
      <c r="B98" s="478"/>
      <c r="C98" s="478"/>
      <c r="D98" s="478"/>
      <c r="E98" s="523"/>
      <c r="F98" s="524"/>
      <c r="G98" s="478"/>
      <c r="H98" s="478"/>
      <c r="I98" s="478"/>
      <c r="J98" s="478"/>
      <c r="K98" s="478"/>
      <c r="L98" s="478"/>
      <c r="M98" s="478"/>
      <c r="N98" s="478"/>
      <c r="O98" s="478"/>
      <c r="P98" s="478"/>
      <c r="Q98" s="478"/>
      <c r="R98" s="478"/>
      <c r="S98" s="478"/>
      <c r="T98" s="478"/>
      <c r="U98" s="478"/>
      <c r="V98" s="478"/>
      <c r="W98" s="478"/>
      <c r="X98" s="478"/>
      <c r="Y98" s="478"/>
      <c r="Z98" s="478"/>
      <c r="AA98" s="478"/>
      <c r="AB98" s="478"/>
      <c r="AC98" s="478"/>
      <c r="AD98" s="478"/>
      <c r="AE98" s="478"/>
      <c r="AF98" s="478"/>
      <c r="AG98" s="478"/>
    </row>
    <row r="99" spans="2:33" x14ac:dyDescent="0.35">
      <c r="B99" s="478"/>
      <c r="C99" s="478"/>
      <c r="D99" s="478"/>
      <c r="E99" s="523"/>
      <c r="F99" s="524"/>
      <c r="G99" s="478"/>
      <c r="H99" s="478"/>
      <c r="I99" s="478"/>
      <c r="J99" s="478"/>
      <c r="K99" s="478"/>
      <c r="L99" s="478"/>
      <c r="M99" s="478"/>
      <c r="N99" s="478"/>
      <c r="O99" s="478"/>
      <c r="P99" s="478"/>
      <c r="Q99" s="478"/>
      <c r="R99" s="478"/>
      <c r="S99" s="478"/>
      <c r="T99" s="478"/>
      <c r="U99" s="478"/>
      <c r="V99" s="478"/>
      <c r="W99" s="478"/>
      <c r="X99" s="478"/>
      <c r="Y99" s="478"/>
      <c r="Z99" s="478"/>
      <c r="AA99" s="478"/>
      <c r="AB99" s="478"/>
      <c r="AC99" s="478"/>
      <c r="AD99" s="478"/>
      <c r="AE99" s="478"/>
      <c r="AF99" s="478"/>
      <c r="AG99" s="478"/>
    </row>
    <row r="100" spans="2:33" x14ac:dyDescent="0.35">
      <c r="B100" s="478"/>
      <c r="C100" s="478"/>
      <c r="D100" s="478"/>
      <c r="E100" s="523"/>
      <c r="F100" s="524"/>
      <c r="G100" s="478"/>
      <c r="H100" s="478"/>
      <c r="I100" s="478"/>
      <c r="J100" s="478"/>
      <c r="K100" s="478"/>
      <c r="L100" s="478"/>
      <c r="M100" s="478"/>
      <c r="N100" s="478"/>
      <c r="O100" s="478"/>
      <c r="P100" s="478"/>
      <c r="Q100" s="478"/>
      <c r="R100" s="478"/>
      <c r="S100" s="478"/>
      <c r="T100" s="478"/>
      <c r="U100" s="478"/>
      <c r="V100" s="478"/>
      <c r="W100" s="478"/>
      <c r="X100" s="478"/>
      <c r="Y100" s="478"/>
      <c r="Z100" s="478"/>
      <c r="AA100" s="478"/>
      <c r="AB100" s="478"/>
      <c r="AC100" s="478"/>
      <c r="AD100" s="478"/>
      <c r="AE100" s="478"/>
      <c r="AF100" s="478"/>
      <c r="AG100" s="478"/>
    </row>
    <row r="101" spans="2:33" x14ac:dyDescent="0.35">
      <c r="B101" s="478"/>
      <c r="C101" s="478"/>
      <c r="D101" s="478"/>
      <c r="E101" s="523"/>
      <c r="F101" s="524"/>
      <c r="G101" s="478"/>
      <c r="H101" s="478"/>
      <c r="I101" s="478"/>
      <c r="J101" s="478"/>
      <c r="K101" s="478"/>
      <c r="L101" s="478"/>
      <c r="M101" s="478"/>
      <c r="N101" s="478"/>
      <c r="O101" s="478"/>
      <c r="P101" s="478"/>
      <c r="Q101" s="478"/>
      <c r="R101" s="478"/>
      <c r="S101" s="478"/>
      <c r="T101" s="478"/>
      <c r="U101" s="478"/>
      <c r="V101" s="478"/>
      <c r="W101" s="478"/>
      <c r="X101" s="478"/>
      <c r="Y101" s="478"/>
      <c r="Z101" s="478"/>
      <c r="AA101" s="478"/>
      <c r="AB101" s="478"/>
      <c r="AC101" s="478"/>
      <c r="AD101" s="478"/>
      <c r="AE101" s="478"/>
      <c r="AF101" s="478"/>
      <c r="AG101" s="478"/>
    </row>
    <row r="102" spans="2:33" x14ac:dyDescent="0.35">
      <c r="B102" s="478"/>
      <c r="C102" s="478"/>
      <c r="D102" s="478"/>
      <c r="E102" s="523"/>
      <c r="F102" s="524"/>
      <c r="G102" s="478"/>
      <c r="H102" s="478"/>
      <c r="I102" s="478"/>
      <c r="J102" s="478"/>
      <c r="K102" s="478"/>
      <c r="L102" s="478"/>
      <c r="M102" s="478"/>
      <c r="N102" s="478"/>
      <c r="O102" s="478"/>
      <c r="P102" s="478"/>
      <c r="Q102" s="478"/>
      <c r="R102" s="478"/>
      <c r="S102" s="478"/>
      <c r="T102" s="478"/>
      <c r="U102" s="478"/>
      <c r="V102" s="478"/>
      <c r="W102" s="478"/>
      <c r="X102" s="478"/>
      <c r="Y102" s="478"/>
      <c r="Z102" s="478"/>
      <c r="AA102" s="478"/>
      <c r="AB102" s="478"/>
      <c r="AC102" s="478"/>
      <c r="AD102" s="478"/>
      <c r="AE102" s="478"/>
      <c r="AF102" s="478"/>
      <c r="AG102" s="478"/>
    </row>
    <row r="103" spans="2:33" x14ac:dyDescent="0.35">
      <c r="B103" s="478"/>
      <c r="C103" s="478"/>
      <c r="D103" s="478"/>
      <c r="E103" s="523"/>
      <c r="F103" s="524"/>
      <c r="G103" s="478"/>
      <c r="H103" s="478"/>
      <c r="I103" s="478"/>
      <c r="J103" s="478"/>
      <c r="K103" s="478"/>
      <c r="L103" s="478"/>
      <c r="M103" s="478"/>
      <c r="N103" s="478"/>
      <c r="O103" s="478"/>
      <c r="P103" s="478"/>
      <c r="Q103" s="478"/>
      <c r="R103" s="478"/>
      <c r="S103" s="478"/>
      <c r="T103" s="478"/>
      <c r="U103" s="478"/>
      <c r="V103" s="478"/>
      <c r="W103" s="478"/>
      <c r="X103" s="478"/>
      <c r="Y103" s="478"/>
      <c r="Z103" s="478"/>
      <c r="AA103" s="478"/>
      <c r="AB103" s="478"/>
      <c r="AC103" s="478"/>
      <c r="AD103" s="478"/>
      <c r="AE103" s="478"/>
      <c r="AF103" s="478"/>
      <c r="AG103" s="478"/>
    </row>
    <row r="104" spans="2:33" x14ac:dyDescent="0.35">
      <c r="B104" s="478"/>
      <c r="C104" s="478"/>
      <c r="D104" s="478"/>
      <c r="E104" s="523"/>
      <c r="F104" s="524"/>
      <c r="G104" s="478"/>
      <c r="H104" s="478"/>
      <c r="I104" s="478"/>
      <c r="J104" s="478"/>
      <c r="K104" s="478"/>
      <c r="L104" s="478"/>
      <c r="M104" s="478"/>
      <c r="N104" s="478"/>
      <c r="O104" s="478"/>
      <c r="P104" s="478"/>
      <c r="Q104" s="478"/>
      <c r="R104" s="478"/>
      <c r="S104" s="478"/>
      <c r="T104" s="478"/>
      <c r="U104" s="478"/>
      <c r="V104" s="478"/>
      <c r="W104" s="478"/>
      <c r="X104" s="478"/>
      <c r="Y104" s="478"/>
      <c r="Z104" s="478"/>
      <c r="AA104" s="478"/>
      <c r="AB104" s="478"/>
      <c r="AC104" s="478"/>
      <c r="AD104" s="478"/>
      <c r="AE104" s="478"/>
      <c r="AF104" s="478"/>
      <c r="AG104" s="478"/>
    </row>
    <row r="105" spans="2:33" x14ac:dyDescent="0.35">
      <c r="B105" s="478"/>
      <c r="C105" s="478"/>
      <c r="D105" s="478"/>
      <c r="E105" s="523"/>
      <c r="F105" s="524"/>
      <c r="G105" s="478"/>
      <c r="H105" s="478"/>
      <c r="I105" s="478"/>
      <c r="J105" s="478"/>
      <c r="K105" s="478"/>
      <c r="L105" s="478"/>
      <c r="M105" s="478"/>
      <c r="N105" s="478"/>
      <c r="O105" s="478"/>
      <c r="P105" s="478"/>
      <c r="Q105" s="478"/>
      <c r="R105" s="478"/>
      <c r="S105" s="478"/>
      <c r="T105" s="478"/>
      <c r="U105" s="478"/>
      <c r="V105" s="478"/>
      <c r="W105" s="478"/>
      <c r="X105" s="478"/>
      <c r="Y105" s="478"/>
      <c r="Z105" s="478"/>
      <c r="AA105" s="478"/>
      <c r="AB105" s="478"/>
      <c r="AC105" s="478"/>
      <c r="AD105" s="478"/>
      <c r="AE105" s="478"/>
      <c r="AF105" s="478"/>
      <c r="AG105" s="478"/>
    </row>
    <row r="106" spans="2:33" x14ac:dyDescent="0.35">
      <c r="B106" s="478"/>
      <c r="C106" s="478"/>
      <c r="D106" s="478"/>
      <c r="E106" s="523"/>
      <c r="F106" s="524"/>
      <c r="G106" s="478"/>
      <c r="H106" s="478"/>
      <c r="I106" s="478"/>
      <c r="J106" s="478"/>
      <c r="K106" s="478"/>
      <c r="L106" s="478"/>
      <c r="M106" s="478"/>
      <c r="N106" s="478"/>
      <c r="O106" s="478"/>
      <c r="P106" s="478"/>
      <c r="Q106" s="478"/>
      <c r="R106" s="478"/>
      <c r="S106" s="478"/>
      <c r="T106" s="478"/>
      <c r="U106" s="478"/>
      <c r="V106" s="478"/>
      <c r="W106" s="478"/>
      <c r="X106" s="478"/>
      <c r="Y106" s="478"/>
      <c r="Z106" s="478"/>
      <c r="AA106" s="478"/>
      <c r="AB106" s="478"/>
      <c r="AC106" s="478"/>
      <c r="AD106" s="478"/>
      <c r="AE106" s="478"/>
      <c r="AF106" s="478"/>
      <c r="AG106" s="478"/>
    </row>
    <row r="107" spans="2:33" x14ac:dyDescent="0.35">
      <c r="B107" s="478"/>
      <c r="C107" s="478"/>
      <c r="D107" s="478"/>
      <c r="E107" s="523"/>
      <c r="F107" s="524"/>
      <c r="G107" s="478"/>
      <c r="H107" s="478"/>
      <c r="I107" s="478"/>
      <c r="J107" s="478"/>
      <c r="K107" s="478"/>
      <c r="L107" s="478"/>
      <c r="M107" s="478"/>
      <c r="N107" s="478"/>
      <c r="O107" s="478"/>
      <c r="P107" s="478"/>
      <c r="Q107" s="478"/>
      <c r="R107" s="478"/>
      <c r="S107" s="478"/>
      <c r="T107" s="478"/>
      <c r="U107" s="478"/>
      <c r="V107" s="478"/>
      <c r="W107" s="478"/>
      <c r="X107" s="478"/>
      <c r="Y107" s="478"/>
      <c r="Z107" s="478"/>
      <c r="AA107" s="478"/>
      <c r="AB107" s="478"/>
      <c r="AC107" s="478"/>
      <c r="AD107" s="478"/>
      <c r="AE107" s="478"/>
      <c r="AF107" s="478"/>
      <c r="AG107" s="478"/>
    </row>
    <row r="108" spans="2:33" x14ac:dyDescent="0.35">
      <c r="B108" s="478"/>
      <c r="C108" s="478"/>
      <c r="D108" s="478"/>
      <c r="E108" s="523"/>
      <c r="F108" s="524"/>
      <c r="G108" s="478"/>
      <c r="H108" s="478"/>
      <c r="I108" s="478"/>
      <c r="J108" s="478"/>
      <c r="K108" s="478"/>
      <c r="L108" s="478"/>
      <c r="M108" s="478"/>
      <c r="N108" s="478"/>
      <c r="O108" s="478"/>
      <c r="P108" s="478"/>
      <c r="Q108" s="478"/>
      <c r="R108" s="478"/>
      <c r="S108" s="478"/>
      <c r="T108" s="478"/>
      <c r="U108" s="478"/>
      <c r="V108" s="478"/>
      <c r="W108" s="478"/>
      <c r="X108" s="478"/>
      <c r="Y108" s="478"/>
      <c r="Z108" s="478"/>
      <c r="AA108" s="478"/>
      <c r="AB108" s="478"/>
      <c r="AC108" s="478"/>
      <c r="AD108" s="478"/>
      <c r="AE108" s="478"/>
      <c r="AF108" s="478"/>
      <c r="AG108" s="478"/>
    </row>
    <row r="109" spans="2:33" x14ac:dyDescent="0.35">
      <c r="B109" s="478"/>
      <c r="C109" s="478"/>
      <c r="D109" s="478"/>
      <c r="E109" s="523"/>
      <c r="F109" s="524"/>
      <c r="G109" s="478"/>
      <c r="H109" s="478"/>
      <c r="I109" s="478"/>
      <c r="J109" s="478"/>
      <c r="K109" s="478"/>
      <c r="L109" s="478"/>
      <c r="M109" s="478"/>
      <c r="N109" s="478"/>
      <c r="O109" s="478"/>
      <c r="P109" s="478"/>
      <c r="Q109" s="478"/>
      <c r="R109" s="478"/>
      <c r="S109" s="478"/>
      <c r="T109" s="478"/>
      <c r="U109" s="478"/>
      <c r="V109" s="478"/>
      <c r="W109" s="478"/>
      <c r="X109" s="478"/>
      <c r="Y109" s="478"/>
      <c r="Z109" s="478"/>
      <c r="AA109" s="478"/>
      <c r="AB109" s="478"/>
      <c r="AC109" s="478"/>
      <c r="AD109" s="478"/>
      <c r="AE109" s="478"/>
      <c r="AF109" s="478"/>
      <c r="AG109" s="478"/>
    </row>
    <row r="110" spans="2:33" x14ac:dyDescent="0.35">
      <c r="B110" s="478"/>
      <c r="C110" s="478"/>
      <c r="D110" s="478"/>
      <c r="E110" s="523"/>
      <c r="F110" s="524"/>
      <c r="G110" s="478"/>
      <c r="H110" s="478"/>
      <c r="I110" s="478"/>
      <c r="J110" s="478"/>
      <c r="K110" s="478"/>
      <c r="L110" s="478"/>
      <c r="M110" s="478"/>
      <c r="N110" s="478"/>
      <c r="O110" s="478"/>
      <c r="P110" s="478"/>
      <c r="Q110" s="478"/>
      <c r="R110" s="478"/>
      <c r="S110" s="478"/>
      <c r="T110" s="478"/>
      <c r="U110" s="478"/>
      <c r="V110" s="478"/>
      <c r="W110" s="478"/>
      <c r="X110" s="478"/>
      <c r="Y110" s="478"/>
      <c r="Z110" s="478"/>
      <c r="AA110" s="478"/>
      <c r="AB110" s="478"/>
      <c r="AC110" s="478"/>
      <c r="AD110" s="478"/>
      <c r="AE110" s="478"/>
      <c r="AF110" s="478"/>
      <c r="AG110" s="478"/>
    </row>
    <row r="111" spans="2:33" x14ac:dyDescent="0.35">
      <c r="B111" s="478"/>
      <c r="C111" s="478"/>
      <c r="D111" s="478"/>
      <c r="E111" s="523"/>
      <c r="F111" s="524"/>
      <c r="G111" s="478"/>
      <c r="H111" s="478"/>
      <c r="I111" s="478"/>
      <c r="J111" s="478"/>
      <c r="K111" s="478"/>
      <c r="L111" s="478"/>
      <c r="M111" s="478"/>
      <c r="N111" s="478"/>
      <c r="O111" s="478"/>
      <c r="P111" s="478"/>
      <c r="Q111" s="478"/>
      <c r="R111" s="478"/>
      <c r="S111" s="478"/>
      <c r="T111" s="478"/>
      <c r="U111" s="478"/>
      <c r="V111" s="478"/>
      <c r="W111" s="478"/>
      <c r="X111" s="478"/>
      <c r="Y111" s="478"/>
      <c r="Z111" s="478"/>
      <c r="AA111" s="478"/>
      <c r="AB111" s="478"/>
      <c r="AC111" s="478"/>
      <c r="AD111" s="478"/>
      <c r="AE111" s="478"/>
      <c r="AF111" s="478"/>
      <c r="AG111" s="478"/>
    </row>
    <row r="112" spans="2:33" x14ac:dyDescent="0.35">
      <c r="B112" s="478"/>
      <c r="C112" s="478"/>
      <c r="D112" s="478"/>
      <c r="E112" s="523"/>
      <c r="F112" s="524"/>
      <c r="G112" s="478"/>
      <c r="H112" s="478"/>
      <c r="I112" s="478"/>
      <c r="J112" s="478"/>
      <c r="K112" s="478"/>
      <c r="L112" s="478"/>
      <c r="M112" s="478"/>
      <c r="N112" s="478"/>
      <c r="O112" s="478"/>
      <c r="P112" s="478"/>
      <c r="Q112" s="478"/>
      <c r="R112" s="478"/>
      <c r="S112" s="478"/>
      <c r="T112" s="478"/>
      <c r="U112" s="478"/>
      <c r="V112" s="478"/>
      <c r="W112" s="478"/>
      <c r="X112" s="478"/>
      <c r="Y112" s="478"/>
      <c r="Z112" s="478"/>
      <c r="AA112" s="478"/>
      <c r="AB112" s="478"/>
      <c r="AC112" s="478"/>
      <c r="AD112" s="478"/>
      <c r="AE112" s="478"/>
      <c r="AF112" s="478"/>
      <c r="AG112" s="478"/>
    </row>
    <row r="113" spans="2:33" x14ac:dyDescent="0.35">
      <c r="B113" s="478"/>
      <c r="C113" s="478"/>
      <c r="D113" s="478"/>
      <c r="E113" s="523"/>
      <c r="F113" s="524"/>
      <c r="G113" s="478"/>
      <c r="H113" s="478"/>
      <c r="I113" s="478"/>
      <c r="J113" s="478"/>
      <c r="K113" s="478"/>
      <c r="L113" s="478"/>
      <c r="M113" s="478"/>
      <c r="N113" s="478"/>
      <c r="O113" s="478"/>
      <c r="P113" s="478"/>
      <c r="Q113" s="478"/>
      <c r="R113" s="478"/>
      <c r="S113" s="478"/>
      <c r="T113" s="478"/>
      <c r="U113" s="478"/>
      <c r="V113" s="478"/>
      <c r="W113" s="478"/>
      <c r="X113" s="478"/>
      <c r="Y113" s="478"/>
      <c r="Z113" s="478"/>
      <c r="AA113" s="478"/>
      <c r="AB113" s="478"/>
      <c r="AC113" s="478"/>
      <c r="AD113" s="478"/>
      <c r="AE113" s="478"/>
      <c r="AF113" s="478"/>
      <c r="AG113" s="478"/>
    </row>
    <row r="114" spans="2:33" x14ac:dyDescent="0.35">
      <c r="B114" s="478"/>
      <c r="C114" s="478"/>
      <c r="D114" s="478"/>
      <c r="E114" s="523"/>
      <c r="F114" s="524"/>
      <c r="G114" s="478"/>
      <c r="H114" s="478"/>
      <c r="I114" s="478"/>
      <c r="J114" s="478"/>
      <c r="K114" s="478"/>
      <c r="L114" s="478"/>
      <c r="M114" s="478"/>
      <c r="N114" s="478"/>
      <c r="O114" s="478"/>
      <c r="P114" s="478"/>
      <c r="Q114" s="478"/>
      <c r="R114" s="478"/>
      <c r="S114" s="478"/>
      <c r="T114" s="478"/>
      <c r="U114" s="478"/>
      <c r="V114" s="478"/>
      <c r="W114" s="478"/>
      <c r="X114" s="478"/>
      <c r="Y114" s="478"/>
      <c r="Z114" s="478"/>
      <c r="AA114" s="478"/>
      <c r="AB114" s="478"/>
      <c r="AC114" s="478"/>
      <c r="AD114" s="478"/>
      <c r="AE114" s="478"/>
      <c r="AF114" s="478"/>
      <c r="AG114" s="478"/>
    </row>
    <row r="115" spans="2:33" x14ac:dyDescent="0.35">
      <c r="B115" s="478"/>
      <c r="C115" s="478"/>
      <c r="D115" s="478"/>
      <c r="E115" s="523"/>
      <c r="F115" s="524"/>
      <c r="G115" s="478"/>
      <c r="H115" s="478"/>
      <c r="I115" s="478"/>
      <c r="J115" s="478"/>
      <c r="K115" s="478"/>
      <c r="L115" s="478"/>
      <c r="M115" s="478"/>
      <c r="N115" s="478"/>
      <c r="O115" s="478"/>
      <c r="P115" s="478"/>
      <c r="Q115" s="478"/>
      <c r="R115" s="478"/>
      <c r="S115" s="478"/>
      <c r="T115" s="478"/>
      <c r="U115" s="478"/>
      <c r="V115" s="478"/>
      <c r="W115" s="478"/>
      <c r="X115" s="478"/>
      <c r="Y115" s="478"/>
      <c r="Z115" s="478"/>
      <c r="AA115" s="478"/>
      <c r="AB115" s="478"/>
      <c r="AC115" s="478"/>
      <c r="AD115" s="478"/>
      <c r="AE115" s="478"/>
      <c r="AF115" s="478"/>
      <c r="AG115" s="478"/>
    </row>
    <row r="116" spans="2:33" x14ac:dyDescent="0.35">
      <c r="B116" s="478"/>
      <c r="C116" s="478"/>
      <c r="D116" s="478"/>
      <c r="E116" s="523"/>
      <c r="F116" s="524"/>
      <c r="G116" s="478"/>
      <c r="H116" s="478"/>
      <c r="I116" s="478"/>
      <c r="J116" s="478"/>
      <c r="K116" s="478"/>
      <c r="L116" s="478"/>
      <c r="M116" s="478"/>
      <c r="N116" s="478"/>
      <c r="O116" s="478"/>
      <c r="P116" s="478"/>
      <c r="Q116" s="478"/>
      <c r="R116" s="478"/>
      <c r="S116" s="478"/>
      <c r="T116" s="478"/>
      <c r="U116" s="478"/>
      <c r="V116" s="478"/>
      <c r="W116" s="478"/>
      <c r="X116" s="478"/>
      <c r="Y116" s="478"/>
      <c r="Z116" s="478"/>
      <c r="AA116" s="478"/>
      <c r="AB116" s="478"/>
      <c r="AC116" s="478"/>
      <c r="AD116" s="478"/>
      <c r="AE116" s="478"/>
      <c r="AF116" s="478"/>
      <c r="AG116" s="478"/>
    </row>
    <row r="117" spans="2:33" x14ac:dyDescent="0.35">
      <c r="B117" s="478"/>
      <c r="C117" s="478"/>
      <c r="D117" s="478"/>
      <c r="E117" s="523"/>
      <c r="F117" s="524"/>
      <c r="G117" s="478"/>
      <c r="H117" s="478"/>
      <c r="I117" s="478"/>
      <c r="J117" s="478"/>
      <c r="K117" s="478"/>
      <c r="L117" s="478"/>
      <c r="M117" s="478"/>
      <c r="N117" s="478"/>
      <c r="O117" s="478"/>
      <c r="P117" s="478"/>
      <c r="Q117" s="478"/>
      <c r="R117" s="478"/>
      <c r="S117" s="478"/>
      <c r="T117" s="478"/>
      <c r="U117" s="478"/>
      <c r="V117" s="478"/>
      <c r="W117" s="478"/>
      <c r="X117" s="478"/>
      <c r="Y117" s="478"/>
      <c r="Z117" s="478"/>
      <c r="AA117" s="478"/>
      <c r="AB117" s="478"/>
      <c r="AC117" s="478"/>
      <c r="AD117" s="478"/>
      <c r="AE117" s="478"/>
      <c r="AF117" s="478"/>
      <c r="AG117" s="478"/>
    </row>
    <row r="118" spans="2:33" x14ac:dyDescent="0.35">
      <c r="B118" s="478"/>
      <c r="C118" s="478"/>
      <c r="D118" s="478"/>
      <c r="E118" s="523"/>
      <c r="F118" s="524"/>
      <c r="G118" s="478"/>
      <c r="H118" s="478"/>
      <c r="I118" s="478"/>
      <c r="J118" s="478"/>
      <c r="K118" s="478"/>
      <c r="L118" s="478"/>
      <c r="M118" s="478"/>
      <c r="N118" s="478"/>
      <c r="O118" s="478"/>
      <c r="P118" s="478"/>
      <c r="Q118" s="478"/>
      <c r="R118" s="478"/>
      <c r="S118" s="478"/>
      <c r="T118" s="478"/>
      <c r="U118" s="478"/>
      <c r="V118" s="478"/>
      <c r="W118" s="478"/>
      <c r="X118" s="478"/>
      <c r="Y118" s="478"/>
      <c r="Z118" s="478"/>
      <c r="AA118" s="478"/>
      <c r="AB118" s="478"/>
      <c r="AC118" s="478"/>
      <c r="AD118" s="478"/>
      <c r="AE118" s="478"/>
      <c r="AF118" s="478"/>
      <c r="AG118" s="478"/>
    </row>
    <row r="119" spans="2:33" x14ac:dyDescent="0.35">
      <c r="B119" s="478"/>
      <c r="C119" s="478"/>
      <c r="D119" s="478"/>
      <c r="E119" s="523"/>
      <c r="F119" s="524"/>
      <c r="G119" s="478"/>
      <c r="H119" s="478"/>
      <c r="I119" s="478"/>
      <c r="J119" s="478"/>
      <c r="K119" s="478"/>
      <c r="L119" s="478"/>
      <c r="M119" s="478"/>
      <c r="N119" s="478"/>
      <c r="O119" s="478"/>
      <c r="P119" s="478"/>
      <c r="Q119" s="478"/>
      <c r="R119" s="478"/>
      <c r="S119" s="478"/>
      <c r="T119" s="478"/>
      <c r="U119" s="478"/>
      <c r="V119" s="478"/>
      <c r="W119" s="478"/>
      <c r="X119" s="478"/>
      <c r="Y119" s="478"/>
      <c r="Z119" s="478"/>
      <c r="AA119" s="478"/>
      <c r="AB119" s="478"/>
      <c r="AC119" s="478"/>
      <c r="AD119" s="478"/>
      <c r="AE119" s="478"/>
      <c r="AF119" s="478"/>
      <c r="AG119" s="478"/>
    </row>
    <row r="120" spans="2:33" x14ac:dyDescent="0.35">
      <c r="B120" s="478"/>
      <c r="C120" s="478"/>
      <c r="D120" s="478"/>
      <c r="E120" s="523"/>
      <c r="F120" s="524"/>
      <c r="G120" s="478"/>
      <c r="H120" s="478"/>
      <c r="I120" s="478"/>
      <c r="J120" s="478"/>
      <c r="K120" s="478"/>
      <c r="L120" s="478"/>
      <c r="M120" s="478"/>
      <c r="N120" s="478"/>
      <c r="O120" s="478"/>
      <c r="P120" s="478"/>
      <c r="Q120" s="478"/>
      <c r="R120" s="478"/>
      <c r="S120" s="478"/>
      <c r="T120" s="478"/>
      <c r="U120" s="478"/>
      <c r="V120" s="478"/>
      <c r="W120" s="478"/>
      <c r="X120" s="478"/>
      <c r="Y120" s="478"/>
      <c r="Z120" s="478"/>
      <c r="AA120" s="478"/>
      <c r="AB120" s="478"/>
      <c r="AC120" s="478"/>
      <c r="AD120" s="478"/>
      <c r="AE120" s="478"/>
      <c r="AF120" s="478"/>
      <c r="AG120" s="478"/>
    </row>
    <row r="121" spans="2:33" x14ac:dyDescent="0.35">
      <c r="B121" s="478"/>
      <c r="C121" s="478"/>
      <c r="D121" s="478"/>
      <c r="E121" s="523"/>
      <c r="F121" s="524"/>
      <c r="G121" s="478"/>
      <c r="H121" s="478"/>
      <c r="I121" s="478"/>
      <c r="J121" s="478"/>
      <c r="K121" s="478"/>
      <c r="L121" s="478"/>
      <c r="M121" s="478"/>
      <c r="N121" s="478"/>
      <c r="O121" s="478"/>
      <c r="P121" s="478"/>
      <c r="Q121" s="478"/>
      <c r="R121" s="478"/>
      <c r="S121" s="478"/>
      <c r="T121" s="478"/>
      <c r="U121" s="478"/>
      <c r="V121" s="478"/>
      <c r="W121" s="478"/>
      <c r="X121" s="478"/>
      <c r="Y121" s="478"/>
      <c r="Z121" s="478"/>
      <c r="AA121" s="478"/>
      <c r="AB121" s="478"/>
      <c r="AC121" s="478"/>
      <c r="AD121" s="478"/>
      <c r="AE121" s="478"/>
      <c r="AF121" s="478"/>
      <c r="AG121" s="478"/>
    </row>
    <row r="122" spans="2:33" x14ac:dyDescent="0.35">
      <c r="B122" s="478"/>
      <c r="C122" s="478"/>
      <c r="D122" s="478"/>
      <c r="E122" s="523"/>
      <c r="F122" s="524"/>
      <c r="G122" s="478"/>
      <c r="H122" s="478"/>
      <c r="I122" s="478"/>
      <c r="J122" s="478"/>
      <c r="K122" s="478"/>
      <c r="L122" s="478"/>
      <c r="M122" s="478"/>
      <c r="N122" s="478"/>
      <c r="O122" s="478"/>
      <c r="P122" s="478"/>
      <c r="Q122" s="478"/>
      <c r="R122" s="478"/>
      <c r="S122" s="478"/>
      <c r="T122" s="478"/>
      <c r="U122" s="478"/>
      <c r="V122" s="478"/>
      <c r="W122" s="478"/>
      <c r="X122" s="478"/>
      <c r="Y122" s="478"/>
      <c r="Z122" s="478"/>
      <c r="AA122" s="478"/>
      <c r="AB122" s="478"/>
      <c r="AC122" s="478"/>
      <c r="AD122" s="478"/>
      <c r="AE122" s="478"/>
      <c r="AF122" s="478"/>
      <c r="AG122" s="478"/>
    </row>
    <row r="123" spans="2:33" x14ac:dyDescent="0.35">
      <c r="B123" s="478"/>
      <c r="C123" s="478"/>
      <c r="D123" s="478"/>
      <c r="E123" s="523"/>
      <c r="F123" s="524"/>
      <c r="G123" s="478"/>
      <c r="H123" s="478"/>
      <c r="I123" s="478"/>
      <c r="J123" s="478"/>
      <c r="K123" s="478"/>
      <c r="L123" s="478"/>
      <c r="M123" s="478"/>
      <c r="N123" s="478"/>
      <c r="O123" s="478"/>
      <c r="P123" s="478"/>
      <c r="Q123" s="478"/>
      <c r="R123" s="478"/>
      <c r="S123" s="478"/>
      <c r="T123" s="478"/>
      <c r="U123" s="478"/>
      <c r="V123" s="478"/>
      <c r="W123" s="478"/>
      <c r="X123" s="478"/>
      <c r="Y123" s="478"/>
      <c r="Z123" s="478"/>
      <c r="AA123" s="478"/>
      <c r="AB123" s="478"/>
      <c r="AC123" s="478"/>
      <c r="AD123" s="478"/>
      <c r="AE123" s="478"/>
      <c r="AF123" s="478"/>
      <c r="AG123" s="478"/>
    </row>
    <row r="124" spans="2:33" x14ac:dyDescent="0.35">
      <c r="B124" s="478"/>
      <c r="C124" s="478"/>
      <c r="D124" s="478"/>
      <c r="E124" s="523"/>
      <c r="F124" s="524"/>
      <c r="G124" s="478"/>
      <c r="H124" s="478"/>
      <c r="I124" s="478"/>
      <c r="J124" s="478"/>
      <c r="K124" s="478"/>
      <c r="L124" s="478"/>
      <c r="M124" s="478"/>
      <c r="N124" s="478"/>
      <c r="O124" s="478"/>
      <c r="P124" s="478"/>
      <c r="Q124" s="478"/>
      <c r="R124" s="478"/>
      <c r="S124" s="478"/>
      <c r="T124" s="478"/>
      <c r="U124" s="478"/>
      <c r="V124" s="478"/>
      <c r="W124" s="478"/>
      <c r="X124" s="478"/>
      <c r="Y124" s="478"/>
      <c r="Z124" s="478"/>
      <c r="AA124" s="478"/>
      <c r="AB124" s="478"/>
      <c r="AC124" s="478"/>
      <c r="AD124" s="478"/>
      <c r="AE124" s="478"/>
      <c r="AF124" s="478"/>
      <c r="AG124" s="478"/>
    </row>
    <row r="125" spans="2:33" x14ac:dyDescent="0.35">
      <c r="B125" s="478"/>
      <c r="C125" s="478"/>
      <c r="D125" s="478"/>
      <c r="E125" s="523"/>
      <c r="F125" s="524"/>
      <c r="G125" s="478"/>
      <c r="H125" s="478"/>
      <c r="I125" s="478"/>
      <c r="J125" s="478"/>
      <c r="K125" s="478"/>
      <c r="L125" s="478"/>
      <c r="M125" s="478"/>
      <c r="N125" s="478"/>
      <c r="O125" s="478"/>
      <c r="P125" s="478"/>
      <c r="Q125" s="478"/>
      <c r="R125" s="478"/>
      <c r="S125" s="478"/>
      <c r="T125" s="478"/>
      <c r="U125" s="478"/>
      <c r="V125" s="478"/>
      <c r="W125" s="478"/>
      <c r="X125" s="478"/>
      <c r="Y125" s="478"/>
      <c r="Z125" s="478"/>
      <c r="AA125" s="478"/>
      <c r="AB125" s="478"/>
      <c r="AC125" s="478"/>
      <c r="AD125" s="478"/>
      <c r="AE125" s="478"/>
      <c r="AF125" s="478"/>
      <c r="AG125" s="478"/>
    </row>
    <row r="126" spans="2:33" x14ac:dyDescent="0.35">
      <c r="B126" s="478"/>
      <c r="C126" s="478"/>
      <c r="D126" s="478"/>
      <c r="E126" s="523"/>
      <c r="F126" s="524"/>
      <c r="G126" s="478"/>
      <c r="H126" s="478"/>
      <c r="I126" s="478"/>
      <c r="J126" s="478"/>
      <c r="K126" s="478"/>
      <c r="L126" s="478"/>
      <c r="M126" s="478"/>
      <c r="N126" s="478"/>
      <c r="O126" s="478"/>
      <c r="P126" s="478"/>
      <c r="Q126" s="478"/>
      <c r="R126" s="478"/>
      <c r="S126" s="478"/>
      <c r="T126" s="478"/>
      <c r="U126" s="478"/>
      <c r="V126" s="478"/>
      <c r="W126" s="478"/>
      <c r="X126" s="478"/>
      <c r="Y126" s="478"/>
      <c r="Z126" s="478"/>
      <c r="AA126" s="478"/>
      <c r="AB126" s="478"/>
      <c r="AC126" s="478"/>
      <c r="AD126" s="478"/>
      <c r="AE126" s="478"/>
      <c r="AF126" s="478"/>
      <c r="AG126" s="478"/>
    </row>
  </sheetData>
  <sheetProtection password="C8C1" sheet="1" objects="1" scenarios="1" selectLockedCells="1"/>
  <mergeCells count="21">
    <mergeCell ref="B48:B49"/>
    <mergeCell ref="B31:B32"/>
    <mergeCell ref="C66:C67"/>
    <mergeCell ref="D66:F66"/>
    <mergeCell ref="G66:G68"/>
    <mergeCell ref="D67:E67"/>
    <mergeCell ref="B65:B68"/>
    <mergeCell ref="C65:G65"/>
    <mergeCell ref="C48:D48"/>
    <mergeCell ref="E48:H48"/>
    <mergeCell ref="C31:D31"/>
    <mergeCell ref="E31:H31"/>
    <mergeCell ref="H68:K68"/>
    <mergeCell ref="K31:O31"/>
    <mergeCell ref="K48:O48"/>
    <mergeCell ref="O66:O68"/>
    <mergeCell ref="M66:M68"/>
    <mergeCell ref="N66:N68"/>
    <mergeCell ref="L65:M65"/>
    <mergeCell ref="L66:L68"/>
    <mergeCell ref="H66:K67"/>
  </mergeCells>
  <conditionalFormatting sqref="C44">
    <cfRule type="expression" dxfId="465" priority="81">
      <formula>C43=0</formula>
    </cfRule>
    <cfRule type="expression" dxfId="464" priority="118">
      <formula>C43&lt;1</formula>
    </cfRule>
    <cfRule type="expression" dxfId="463" priority="119">
      <formula>C43=1</formula>
    </cfRule>
  </conditionalFormatting>
  <conditionalFormatting sqref="D38">
    <cfRule type="expression" dxfId="462" priority="99">
      <formula>AND(C38=0,SUM(D39:D41)=0)</formula>
    </cfRule>
    <cfRule type="expression" dxfId="461" priority="100">
      <formula>AND(C38=0,SUM(D39:D41)&gt;0)</formula>
    </cfRule>
    <cfRule type="expression" dxfId="460" priority="101">
      <formula>AND(C38&gt;0,SUM(D39:D41)&gt;1)</formula>
    </cfRule>
    <cfRule type="expression" dxfId="459" priority="102">
      <formula>AND(C38&gt;0,SUM(D39:D41)&lt;1)</formula>
    </cfRule>
    <cfRule type="expression" dxfId="458" priority="103">
      <formula>SUM(D39:D41)=1</formula>
    </cfRule>
  </conditionalFormatting>
  <conditionalFormatting sqref="D35">
    <cfRule type="expression" dxfId="457" priority="94">
      <formula>AND(C35=0,SUM(D36:D37)=0)</formula>
    </cfRule>
    <cfRule type="expression" dxfId="456" priority="95">
      <formula>AND(C35=0,SUM(D36:D37)&gt;0)</formula>
    </cfRule>
    <cfRule type="expression" dxfId="455" priority="96">
      <formula>AND(C35&gt;0,SUM(D36:D37)&gt;1)</formula>
    </cfRule>
    <cfRule type="expression" dxfId="454" priority="97">
      <formula>AND(C35&gt;0,SUM(D36:D37)&lt;1)</formula>
    </cfRule>
    <cfRule type="expression" dxfId="453" priority="98">
      <formula>SUM(D36:D37)=1</formula>
    </cfRule>
  </conditionalFormatting>
  <conditionalFormatting sqref="I33:I34 I50:I51">
    <cfRule type="expression" dxfId="452" priority="92">
      <formula>AND(C33&gt;0,H33&lt;1)</formula>
    </cfRule>
    <cfRule type="expression" dxfId="451" priority="93">
      <formula>H33=1</formula>
    </cfRule>
  </conditionalFormatting>
  <conditionalFormatting sqref="I40:I41 I57:I58">
    <cfRule type="expression" dxfId="450" priority="341">
      <formula>AND(D40=0,H40&gt;0)</formula>
    </cfRule>
  </conditionalFormatting>
  <conditionalFormatting sqref="I40:I41 I57:I58">
    <cfRule type="expression" dxfId="449" priority="345">
      <formula>AND(D40&gt;0,H40&lt;1)</formula>
    </cfRule>
    <cfRule type="expression" dxfId="448" priority="346">
      <formula>H40=1</formula>
    </cfRule>
  </conditionalFormatting>
  <conditionalFormatting sqref="I39">
    <cfRule type="expression" dxfId="447" priority="72">
      <formula>AND(D39=0,H39&gt;0)</formula>
    </cfRule>
  </conditionalFormatting>
  <conditionalFormatting sqref="I39">
    <cfRule type="expression" dxfId="446" priority="73">
      <formula>AND(D39&gt;0,H39&lt;1)</formula>
    </cfRule>
    <cfRule type="expression" dxfId="445" priority="74">
      <formula>H39=1</formula>
    </cfRule>
  </conditionalFormatting>
  <conditionalFormatting sqref="D56">
    <cfRule type="expression" dxfId="444" priority="67">
      <formula>AND(C56=0,SUM(D58:D59)=0)</formula>
    </cfRule>
    <cfRule type="expression" dxfId="443" priority="68">
      <formula>AND(C56=0,SUM(D58:D59)&gt;0)</formula>
    </cfRule>
    <cfRule type="expression" dxfId="442" priority="69">
      <formula>AND(C56&gt;0,SUM(D58:D59)&gt;1)</formula>
    </cfRule>
    <cfRule type="expression" dxfId="441" priority="70">
      <formula>AND(C56&gt;0,SUM(D58:D59)&lt;1)</formula>
    </cfRule>
    <cfRule type="expression" dxfId="440" priority="71">
      <formula>SUM(D58:D59)=1</formula>
    </cfRule>
  </conditionalFormatting>
  <conditionalFormatting sqref="D52">
    <cfRule type="expression" dxfId="439" priority="62">
      <formula>AND(C52=0,SUM(D53:D54)=0)</formula>
    </cfRule>
    <cfRule type="expression" dxfId="438" priority="63">
      <formula>AND(C52=0,SUM(D53:D54)&gt;0)</formula>
    </cfRule>
    <cfRule type="expression" dxfId="437" priority="64">
      <formula>AND(C52&gt;0,SUM(D53:D54)&gt;1)</formula>
    </cfRule>
    <cfRule type="expression" dxfId="436" priority="65">
      <formula>AND(C52&gt;0,SUM(D53:D54)&lt;1)</formula>
    </cfRule>
    <cfRule type="expression" dxfId="435" priority="66">
      <formula>SUM(D53:D54)=1</formula>
    </cfRule>
  </conditionalFormatting>
  <conditionalFormatting sqref="C61">
    <cfRule type="expression" dxfId="434" priority="59">
      <formula>C60=0</formula>
    </cfRule>
    <cfRule type="expression" dxfId="433" priority="60">
      <formula>C60&lt;1</formula>
    </cfRule>
    <cfRule type="expression" dxfId="432" priority="61">
      <formula>C60=1</formula>
    </cfRule>
  </conditionalFormatting>
  <conditionalFormatting sqref="P36:P37 P40:P41 P57:P58">
    <cfRule type="expression" dxfId="431" priority="47">
      <formula>AND(D36=0,O36&gt;0)</formula>
    </cfRule>
    <cfRule type="expression" dxfId="430" priority="48">
      <formula>AND(D36&gt;0,O36&lt;1)</formula>
    </cfRule>
    <cfRule type="expression" dxfId="429" priority="49">
      <formula>O36=1</formula>
    </cfRule>
  </conditionalFormatting>
  <conditionalFormatting sqref="P37">
    <cfRule type="expression" dxfId="428" priority="46">
      <formula>O37&gt;1</formula>
    </cfRule>
  </conditionalFormatting>
  <conditionalFormatting sqref="P36">
    <cfRule type="expression" dxfId="427" priority="45">
      <formula>O36&gt;1</formula>
    </cfRule>
  </conditionalFormatting>
  <conditionalFormatting sqref="P40:P41">
    <cfRule type="expression" dxfId="426" priority="44">
      <formula>O40&gt;1</formula>
    </cfRule>
  </conditionalFormatting>
  <conditionalFormatting sqref="P53:P54">
    <cfRule type="expression" dxfId="425" priority="41">
      <formula>AND(D53=0,O53&gt;0)</formula>
    </cfRule>
    <cfRule type="expression" dxfId="424" priority="42">
      <formula>AND(D53&gt;0,O53&lt;1)</formula>
    </cfRule>
    <cfRule type="expression" dxfId="423" priority="43">
      <formula>O53=1</formula>
    </cfRule>
  </conditionalFormatting>
  <conditionalFormatting sqref="P54">
    <cfRule type="expression" dxfId="422" priority="40">
      <formula>O54&gt;1</formula>
    </cfRule>
  </conditionalFormatting>
  <conditionalFormatting sqref="P53">
    <cfRule type="expression" dxfId="421" priority="39">
      <formula>O53&gt;1</formula>
    </cfRule>
  </conditionalFormatting>
  <conditionalFormatting sqref="P57:P58">
    <cfRule type="expression" dxfId="420" priority="38">
      <formula>O57&gt;1</formula>
    </cfRule>
  </conditionalFormatting>
  <conditionalFormatting sqref="I36:I37">
    <cfRule type="expression" dxfId="419" priority="35">
      <formula>AND(D36=0,H36&gt;0)</formula>
    </cfRule>
  </conditionalFormatting>
  <conditionalFormatting sqref="I36:I37">
    <cfRule type="expression" dxfId="418" priority="36">
      <formula>AND(D36&gt;0,H36&lt;1)</formula>
    </cfRule>
    <cfRule type="expression" dxfId="417" priority="37">
      <formula>H36=1</formula>
    </cfRule>
  </conditionalFormatting>
  <conditionalFormatting sqref="I53:I54">
    <cfRule type="expression" dxfId="416" priority="32">
      <formula>AND(D53=0,H53&gt;0)</formula>
    </cfRule>
  </conditionalFormatting>
  <conditionalFormatting sqref="I53:I54">
    <cfRule type="expression" dxfId="415" priority="33">
      <formula>AND(D53&gt;0,H53&lt;1)</formula>
    </cfRule>
    <cfRule type="expression" dxfId="414" priority="34">
      <formula>H53=1</formula>
    </cfRule>
  </conditionalFormatting>
  <conditionalFormatting sqref="C70:F70">
    <cfRule type="expression" dxfId="413" priority="20">
      <formula>$E$33=0</formula>
    </cfRule>
  </conditionalFormatting>
  <conditionalFormatting sqref="C71:F71">
    <cfRule type="expression" dxfId="412" priority="19">
      <formula>$F$33=0</formula>
    </cfRule>
  </conditionalFormatting>
  <conditionalFormatting sqref="C73:F73">
    <cfRule type="expression" dxfId="411" priority="18">
      <formula>$E$34=0</formula>
    </cfRule>
  </conditionalFormatting>
  <conditionalFormatting sqref="C74:F74">
    <cfRule type="expression" dxfId="410" priority="17">
      <formula>$F$34=0</formula>
    </cfRule>
  </conditionalFormatting>
  <conditionalFormatting sqref="C76:F76">
    <cfRule type="expression" dxfId="409" priority="16">
      <formula>SUM($E$36:$E$37)=0</formula>
    </cfRule>
  </conditionalFormatting>
  <conditionalFormatting sqref="C78">
    <cfRule type="expression" dxfId="408" priority="14">
      <formula>$G$37=0</formula>
    </cfRule>
  </conditionalFormatting>
  <conditionalFormatting sqref="C80:F80">
    <cfRule type="expression" dxfId="407" priority="13">
      <formula>SUM($E$39:$E$41)=0</formula>
    </cfRule>
  </conditionalFormatting>
  <conditionalFormatting sqref="C82">
    <cfRule type="expression" dxfId="406" priority="11">
      <formula>$G$41=0</formula>
    </cfRule>
  </conditionalFormatting>
  <conditionalFormatting sqref="C83">
    <cfRule type="expression" dxfId="405" priority="10">
      <formula>$C$42=0</formula>
    </cfRule>
  </conditionalFormatting>
  <conditionalFormatting sqref="C77:F77">
    <cfRule type="expression" dxfId="404" priority="9">
      <formula>SUM($F$36:$F$37)=0</formula>
    </cfRule>
  </conditionalFormatting>
  <conditionalFormatting sqref="C81:F81">
    <cfRule type="expression" dxfId="403" priority="8">
      <formula>SUM($F$39:$F$41)=0</formula>
    </cfRule>
  </conditionalFormatting>
  <conditionalFormatting sqref="D55">
    <cfRule type="expression" dxfId="402" priority="3">
      <formula>AND(C55=0,SUM(D56:D58)=0)</formula>
    </cfRule>
    <cfRule type="expression" dxfId="401" priority="4">
      <formula>AND(C55=0,SUM(D56:D58)&gt;0)</formula>
    </cfRule>
    <cfRule type="expression" dxfId="400" priority="5">
      <formula>AND(C55&gt;0,SUM(D56:D58)&gt;1)</formula>
    </cfRule>
    <cfRule type="expression" dxfId="399" priority="6">
      <formula>AND(C55&gt;0,SUM(D56:D58)&lt;1)</formula>
    </cfRule>
    <cfRule type="expression" dxfId="398" priority="7">
      <formula>SUM(D56:D58)=1</formula>
    </cfRule>
  </conditionalFormatting>
  <conditionalFormatting sqref="I33:I41">
    <cfRule type="expression" dxfId="397" priority="2">
      <formula>H33&gt;1</formula>
    </cfRule>
  </conditionalFormatting>
  <conditionalFormatting sqref="I50:I58">
    <cfRule type="expression" dxfId="396" priority="1">
      <formula>H50&gt;1</formula>
    </cfRule>
  </conditionalFormatting>
  <pageMargins left="0.7" right="0.7" top="0.75" bottom="0.75" header="0.3" footer="0.3"/>
  <pageSetup paperSize="9" orientation="portrait" r:id="rId1"/>
  <ignoredErrors>
    <ignoredError sqref="H38 H55 H53:H54 H57:H58 H36:H37 H40:H41" formulaRange="1"/>
    <ignoredError sqref="G12 C11:C12 F72:F75 C22" unlockedFormula="1"/>
  </ignoredError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B050"/>
    <pageSetUpPr fitToPage="1"/>
  </sheetPr>
  <dimension ref="A1:BI191"/>
  <sheetViews>
    <sheetView showGridLines="0" showRowColHeaders="0" topLeftCell="A2" zoomScale="80" zoomScaleNormal="80" workbookViewId="0">
      <selection activeCell="S37" sqref="S37"/>
    </sheetView>
  </sheetViews>
  <sheetFormatPr defaultColWidth="9.1796875" defaultRowHeight="14.5" x14ac:dyDescent="0.35"/>
  <cols>
    <col min="1" max="1" width="3.26953125" style="17" customWidth="1"/>
    <col min="2" max="2" width="50" style="17" customWidth="1"/>
    <col min="3" max="9" width="16.7265625" style="17" customWidth="1"/>
    <col min="10" max="10" width="8.7265625" style="17" customWidth="1"/>
    <col min="11" max="15" width="16.7265625" style="17" customWidth="1"/>
    <col min="16" max="16" width="8.7265625" style="17" customWidth="1"/>
    <col min="17" max="25" width="16.7265625" style="17" customWidth="1"/>
    <col min="26" max="26" width="66.26953125" style="17" bestFit="1" customWidth="1"/>
    <col min="27" max="47" width="16.7265625" style="17" customWidth="1"/>
    <col min="48" max="16384" width="9.1796875" style="17"/>
  </cols>
  <sheetData>
    <row r="1" spans="1:61" ht="18.5" hidden="1" x14ac:dyDescent="0.35">
      <c r="B1" s="13" t="e">
        <f>Overview_SLUDGE!#REF!</f>
        <v>#REF!</v>
      </c>
    </row>
    <row r="2" spans="1:61" s="561" customFormat="1" ht="36.75" customHeight="1" x14ac:dyDescent="0.45">
      <c r="B2" s="824" t="str">
        <f>'User interface_RES'!AJ11</f>
        <v>Any city in , the world</v>
      </c>
    </row>
    <row r="3" spans="1:61" s="185" customFormat="1" ht="10.5" hidden="1" x14ac:dyDescent="0.35"/>
    <row r="4" spans="1:61" s="658" customFormat="1" ht="57" customHeight="1" thickBot="1" x14ac:dyDescent="0.4">
      <c r="B4" s="1497" t="s">
        <v>275</v>
      </c>
    </row>
    <row r="5" spans="1:61" ht="17.149999999999999" customHeight="1" x14ac:dyDescent="0.35">
      <c r="A5" s="899"/>
      <c r="B5" s="563"/>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c r="AD5" s="544"/>
      <c r="AE5" s="544"/>
      <c r="AF5" s="544"/>
      <c r="AG5" s="544"/>
      <c r="AH5" s="544"/>
      <c r="AI5" s="544"/>
      <c r="AJ5" s="544"/>
      <c r="AK5" s="544"/>
      <c r="AL5" s="544"/>
      <c r="AM5" s="544"/>
      <c r="AN5" s="544"/>
      <c r="AO5" s="544"/>
      <c r="AP5" s="544"/>
      <c r="AQ5" s="544"/>
      <c r="AR5" s="544"/>
      <c r="AS5" s="544"/>
      <c r="AT5" s="544"/>
      <c r="AU5" s="544"/>
      <c r="AV5" s="544"/>
      <c r="AW5" s="544"/>
      <c r="AX5" s="544"/>
      <c r="AY5" s="544"/>
      <c r="AZ5" s="544"/>
      <c r="BA5" s="544"/>
      <c r="BB5" s="544"/>
      <c r="BC5" s="544"/>
      <c r="BD5" s="544"/>
      <c r="BE5" s="544"/>
      <c r="BF5" s="544"/>
      <c r="BG5" s="544"/>
      <c r="BH5" s="544"/>
      <c r="BI5" s="544"/>
    </row>
    <row r="6" spans="1:61" ht="17.149999999999999" hidden="1" customHeight="1" x14ac:dyDescent="0.35">
      <c r="A6" s="563"/>
      <c r="B6" s="563"/>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c r="AM6" s="544"/>
      <c r="AN6" s="544"/>
      <c r="AO6" s="544"/>
      <c r="AP6" s="544"/>
      <c r="AQ6" s="544"/>
      <c r="AR6" s="544"/>
      <c r="AS6" s="544"/>
      <c r="AT6" s="544"/>
      <c r="AU6" s="544"/>
      <c r="AV6" s="544"/>
      <c r="AW6" s="544"/>
      <c r="AX6" s="544"/>
      <c r="AY6" s="544"/>
      <c r="AZ6" s="544"/>
      <c r="BA6" s="544"/>
      <c r="BB6" s="544"/>
      <c r="BC6" s="544"/>
      <c r="BD6" s="544"/>
      <c r="BE6" s="544"/>
      <c r="BF6" s="544"/>
      <c r="BG6" s="544"/>
      <c r="BH6" s="544"/>
      <c r="BI6" s="544"/>
    </row>
    <row r="7" spans="1:61" ht="17.149999999999999" customHeight="1" x14ac:dyDescent="0.35">
      <c r="A7" s="563"/>
      <c r="B7" s="564" t="s">
        <v>276</v>
      </c>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c r="AD7" s="544"/>
      <c r="AE7" s="544"/>
      <c r="AF7" s="544"/>
      <c r="AG7" s="544"/>
      <c r="AH7" s="544"/>
      <c r="AI7" s="544"/>
      <c r="AJ7" s="544"/>
      <c r="AK7" s="544"/>
      <c r="AL7" s="544"/>
      <c r="AM7" s="544"/>
      <c r="AN7" s="544"/>
      <c r="AO7" s="544"/>
      <c r="AP7" s="544"/>
      <c r="AQ7" s="544"/>
      <c r="AR7" s="544"/>
      <c r="AS7" s="544"/>
      <c r="AT7" s="544"/>
      <c r="AU7" s="544"/>
      <c r="AV7" s="544"/>
      <c r="AW7" s="544"/>
      <c r="AX7" s="544"/>
      <c r="AY7" s="544"/>
      <c r="AZ7" s="544"/>
      <c r="BA7" s="544"/>
      <c r="BB7" s="544"/>
      <c r="BC7" s="544"/>
      <c r="BD7" s="544"/>
      <c r="BE7" s="544"/>
      <c r="BF7" s="544"/>
      <c r="BG7" s="544"/>
      <c r="BH7" s="544"/>
      <c r="BI7" s="544"/>
    </row>
    <row r="8" spans="1:61" ht="17.149999999999999" customHeight="1" x14ac:dyDescent="0.35">
      <c r="A8" s="563"/>
      <c r="B8" s="544"/>
      <c r="C8" s="544"/>
      <c r="D8" s="544"/>
      <c r="E8" s="544"/>
      <c r="F8" s="544"/>
      <c r="G8" s="1396" t="s">
        <v>277</v>
      </c>
      <c r="H8" s="544"/>
      <c r="I8" s="544"/>
      <c r="J8" s="544"/>
      <c r="K8" s="544"/>
      <c r="L8" s="544"/>
      <c r="M8" s="544"/>
      <c r="N8" s="544"/>
      <c r="O8" s="544"/>
      <c r="P8" s="544"/>
      <c r="Q8" s="544"/>
      <c r="R8" s="544"/>
      <c r="S8" s="544"/>
      <c r="T8" s="544"/>
      <c r="U8" s="544"/>
      <c r="V8" s="544"/>
      <c r="W8" s="544"/>
      <c r="X8" s="544"/>
      <c r="Y8" s="544"/>
      <c r="Z8" s="544"/>
      <c r="AA8" s="544"/>
      <c r="AB8" s="544"/>
      <c r="AC8" s="544"/>
      <c r="AD8" s="544"/>
      <c r="AE8" s="544"/>
      <c r="AF8" s="544"/>
      <c r="AG8" s="544"/>
      <c r="AH8" s="544"/>
      <c r="AI8" s="544"/>
      <c r="AJ8" s="544"/>
      <c r="AK8" s="544"/>
      <c r="AL8" s="544"/>
      <c r="AM8" s="544"/>
      <c r="AN8" s="544"/>
      <c r="AO8" s="544"/>
      <c r="AP8" s="544"/>
      <c r="AQ8" s="544"/>
      <c r="AR8" s="544"/>
      <c r="AS8" s="544"/>
      <c r="AT8" s="544"/>
      <c r="AU8" s="544"/>
      <c r="AV8" s="544"/>
      <c r="AW8" s="544"/>
      <c r="AX8" s="544"/>
      <c r="AY8" s="544"/>
      <c r="AZ8" s="544"/>
      <c r="BA8" s="544"/>
      <c r="BB8" s="544"/>
      <c r="BC8" s="544"/>
      <c r="BD8" s="544"/>
      <c r="BE8" s="544"/>
      <c r="BF8" s="544"/>
      <c r="BG8" s="544"/>
      <c r="BH8" s="544"/>
      <c r="BI8" s="544"/>
    </row>
    <row r="9" spans="1:61" ht="21.75" customHeight="1" x14ac:dyDescent="0.35">
      <c r="A9" s="563"/>
      <c r="B9" s="566" t="s">
        <v>278</v>
      </c>
      <c r="C9" s="1484" t="s">
        <v>279</v>
      </c>
      <c r="D9" s="1484" t="s">
        <v>280</v>
      </c>
      <c r="E9" s="544"/>
      <c r="F9" s="638" t="s">
        <v>281</v>
      </c>
      <c r="G9" s="1489">
        <f>'Emptying volumes'!B97</f>
        <v>-150</v>
      </c>
      <c r="H9" s="1395" t="str">
        <f>IF(G9&lt;0,"CHECK EMPTYING RELATED INPUTS; More SLUDGE is emptied than contained in onsite pits and tanks","")</f>
        <v>CHECK EMPTYING RELATED INPUTS; More SLUDGE is emptied than contained in onsite pits and tanks</v>
      </c>
      <c r="I9" s="544"/>
      <c r="J9" s="544"/>
      <c r="K9" s="544"/>
      <c r="L9" s="544"/>
      <c r="M9" s="544"/>
      <c r="N9" s="544"/>
      <c r="O9" s="544"/>
      <c r="P9" s="544"/>
      <c r="Q9" s="544"/>
      <c r="R9" s="544"/>
      <c r="S9" s="544"/>
      <c r="T9" s="544"/>
      <c r="U9" s="544"/>
      <c r="V9" s="544"/>
      <c r="W9" s="544"/>
      <c r="X9" s="544"/>
      <c r="Y9" s="544"/>
      <c r="Z9" s="544"/>
      <c r="AA9" s="544"/>
      <c r="AB9" s="544"/>
      <c r="AC9" s="544"/>
      <c r="AD9" s="544"/>
      <c r="AE9" s="544"/>
      <c r="AF9" s="544"/>
      <c r="AG9" s="544"/>
      <c r="AH9" s="544"/>
      <c r="AI9" s="544"/>
      <c r="AJ9" s="544"/>
      <c r="AK9" s="544"/>
      <c r="AL9" s="544"/>
      <c r="AM9" s="544"/>
      <c r="AN9" s="544"/>
      <c r="AO9" s="544"/>
      <c r="AP9" s="544"/>
      <c r="AQ9" s="544"/>
      <c r="AR9" s="544"/>
      <c r="AS9" s="544"/>
      <c r="AT9" s="544"/>
      <c r="AU9" s="544"/>
      <c r="AV9" s="544"/>
      <c r="AW9" s="544"/>
      <c r="AX9" s="544"/>
      <c r="AY9" s="544"/>
      <c r="AZ9" s="544"/>
      <c r="BA9" s="544"/>
      <c r="BB9" s="544"/>
      <c r="BC9" s="544"/>
      <c r="BD9" s="544"/>
      <c r="BE9" s="544"/>
      <c r="BF9" s="544"/>
      <c r="BG9" s="544"/>
      <c r="BH9" s="544"/>
      <c r="BI9" s="544"/>
    </row>
    <row r="10" spans="1:61" s="3" customFormat="1" ht="17.149999999999999" customHeight="1" x14ac:dyDescent="0.35">
      <c r="A10" s="563"/>
      <c r="B10" s="482" t="s">
        <v>282</v>
      </c>
      <c r="C10" s="892">
        <v>2100</v>
      </c>
      <c r="D10" s="892">
        <v>700</v>
      </c>
      <c r="E10" s="1394"/>
      <c r="F10" s="478"/>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8"/>
      <c r="AE10" s="478"/>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8"/>
      <c r="BC10" s="478"/>
      <c r="BD10" s="478"/>
      <c r="BE10" s="478"/>
      <c r="BF10" s="478"/>
      <c r="BG10" s="478"/>
      <c r="BH10" s="478"/>
      <c r="BI10" s="478"/>
    </row>
    <row r="11" spans="1:61" s="3" customFormat="1" ht="17.149999999999999" customHeight="1" x14ac:dyDescent="0.35">
      <c r="A11" s="563"/>
      <c r="B11" s="482" t="s">
        <v>283</v>
      </c>
      <c r="C11" s="887">
        <v>0.65</v>
      </c>
      <c r="D11" s="887">
        <v>0.65</v>
      </c>
      <c r="E11" s="1394" t="s">
        <v>284</v>
      </c>
      <c r="F11" s="478"/>
      <c r="G11" s="478"/>
      <c r="H11" s="478"/>
      <c r="I11" s="478"/>
      <c r="J11" s="478"/>
      <c r="K11" s="478"/>
      <c r="L11" s="478"/>
      <c r="M11" s="478"/>
      <c r="N11" s="478"/>
      <c r="O11" s="478"/>
      <c r="P11" s="478"/>
      <c r="Q11" s="478"/>
      <c r="R11" s="478"/>
      <c r="S11" s="478"/>
      <c r="T11" s="478"/>
      <c r="U11" s="478"/>
      <c r="V11" s="478"/>
      <c r="W11" s="478"/>
      <c r="X11" s="478"/>
      <c r="Y11" s="478"/>
      <c r="Z11" s="478"/>
      <c r="AA11" s="478"/>
      <c r="AB11" s="478"/>
      <c r="AC11" s="478"/>
      <c r="AD11" s="478"/>
      <c r="AE11" s="478"/>
      <c r="AF11" s="478"/>
      <c r="AG11" s="478"/>
      <c r="AH11" s="478"/>
      <c r="AI11" s="478"/>
      <c r="AJ11" s="478"/>
      <c r="AK11" s="478"/>
      <c r="AL11" s="478"/>
      <c r="AM11" s="478"/>
      <c r="AN11" s="478"/>
      <c r="AO11" s="478"/>
      <c r="AP11" s="478"/>
      <c r="AQ11" s="478"/>
      <c r="AR11" s="478"/>
      <c r="AS11" s="478"/>
      <c r="AT11" s="478"/>
      <c r="AU11" s="478"/>
      <c r="AV11" s="478"/>
      <c r="AW11" s="478"/>
      <c r="AX11" s="478"/>
      <c r="AY11" s="478"/>
      <c r="AZ11" s="478"/>
      <c r="BA11" s="478"/>
      <c r="BB11" s="478"/>
      <c r="BC11" s="478"/>
      <c r="BD11" s="478"/>
      <c r="BE11" s="478"/>
      <c r="BF11" s="478"/>
      <c r="BG11" s="478"/>
      <c r="BH11" s="478"/>
      <c r="BI11" s="478"/>
    </row>
    <row r="12" spans="1:61" s="3" customFormat="1" ht="17.149999999999999" customHeight="1" x14ac:dyDescent="0.35">
      <c r="A12" s="563"/>
      <c r="B12" s="478"/>
      <c r="C12" s="478"/>
      <c r="D12" s="478"/>
      <c r="E12" s="568"/>
      <c r="F12" s="478"/>
      <c r="G12" s="478"/>
      <c r="H12" s="478"/>
      <c r="I12" s="478"/>
      <c r="J12" s="478"/>
      <c r="K12" s="478"/>
      <c r="L12" s="478"/>
      <c r="M12" s="478"/>
      <c r="N12" s="478"/>
      <c r="O12" s="478"/>
      <c r="P12" s="478"/>
      <c r="Q12" s="478"/>
      <c r="R12" s="478"/>
      <c r="S12" s="478"/>
      <c r="T12" s="478"/>
      <c r="U12" s="478"/>
      <c r="V12" s="478"/>
      <c r="W12" s="478"/>
      <c r="X12" s="478"/>
      <c r="Y12" s="478"/>
      <c r="Z12" s="478"/>
      <c r="AA12" s="478"/>
      <c r="AB12" s="478"/>
      <c r="AC12" s="478"/>
      <c r="AD12" s="478"/>
      <c r="AE12" s="478"/>
      <c r="AF12" s="478"/>
      <c r="AG12" s="478"/>
      <c r="AH12" s="478"/>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478"/>
      <c r="BF12" s="478"/>
      <c r="BG12" s="478"/>
      <c r="BH12" s="478"/>
      <c r="BI12" s="478"/>
    </row>
    <row r="13" spans="1:61" s="3" customFormat="1" ht="17.149999999999999" customHeight="1" x14ac:dyDescent="0.35">
      <c r="A13" s="563"/>
      <c r="B13" s="478"/>
      <c r="C13" s="478"/>
      <c r="D13" s="478"/>
      <c r="E13" s="478"/>
      <c r="F13" s="478"/>
      <c r="G13" s="478"/>
      <c r="H13" s="478"/>
      <c r="I13" s="478"/>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row>
    <row r="14" spans="1:61" ht="32.25" customHeight="1" x14ac:dyDescent="0.35">
      <c r="A14" s="563"/>
      <c r="B14" s="859" t="s">
        <v>285</v>
      </c>
      <c r="C14" s="699"/>
      <c r="D14" s="699"/>
      <c r="E14" s="699"/>
      <c r="F14" s="699"/>
      <c r="G14" s="699"/>
      <c r="H14" s="699"/>
      <c r="I14" s="699"/>
      <c r="J14" s="699"/>
      <c r="K14" s="808"/>
      <c r="L14" s="699"/>
      <c r="M14" s="699"/>
      <c r="N14" s="699"/>
      <c r="O14" s="798" t="s">
        <v>286</v>
      </c>
      <c r="P14" s="697"/>
      <c r="Q14" s="697"/>
      <c r="R14" s="697"/>
      <c r="S14" s="697"/>
      <c r="T14" s="697"/>
      <c r="U14" s="697"/>
      <c r="V14" s="697"/>
      <c r="W14" s="697"/>
      <c r="X14" s="697"/>
      <c r="Y14" s="544"/>
      <c r="Z14" s="799" t="s">
        <v>287</v>
      </c>
      <c r="AA14" s="697"/>
      <c r="AB14" s="697"/>
      <c r="AC14" s="697"/>
      <c r="AD14" s="697"/>
      <c r="AE14" s="697"/>
      <c r="AF14" s="697"/>
      <c r="AG14" s="697"/>
      <c r="AH14" s="697"/>
      <c r="AI14" s="697"/>
      <c r="AJ14" s="697"/>
      <c r="AK14" s="697"/>
      <c r="AL14" s="697"/>
      <c r="AM14" s="697"/>
      <c r="AN14" s="697"/>
      <c r="AO14" s="697"/>
      <c r="AP14" s="697"/>
      <c r="AQ14" s="697"/>
      <c r="AR14" s="697"/>
      <c r="AS14" s="697"/>
      <c r="AT14" s="544"/>
      <c r="AU14" s="544"/>
      <c r="AV14" s="544"/>
      <c r="AW14" s="544"/>
      <c r="AX14" s="544"/>
      <c r="AY14" s="544"/>
      <c r="AZ14" s="544"/>
      <c r="BA14" s="544"/>
      <c r="BB14" s="544"/>
      <c r="BC14" s="544"/>
      <c r="BD14" s="544"/>
      <c r="BE14" s="544"/>
      <c r="BF14" s="544"/>
      <c r="BG14" s="544"/>
      <c r="BH14" s="544"/>
      <c r="BI14" s="544"/>
    </row>
    <row r="15" spans="1:61" ht="17.149999999999999" customHeight="1" x14ac:dyDescent="0.35">
      <c r="A15" s="563"/>
      <c r="B15" s="544"/>
      <c r="C15" s="544"/>
      <c r="D15" s="544"/>
      <c r="E15" s="544"/>
      <c r="F15" s="544"/>
      <c r="G15" s="544"/>
      <c r="H15" s="544"/>
      <c r="I15" s="544"/>
      <c r="J15" s="544"/>
      <c r="K15" s="544"/>
      <c r="L15" s="544"/>
      <c r="M15" s="544"/>
      <c r="N15" s="544"/>
      <c r="O15" s="544"/>
      <c r="P15" s="544"/>
      <c r="Q15" s="544"/>
      <c r="R15" s="544"/>
      <c r="S15" s="544"/>
      <c r="T15" s="544"/>
      <c r="U15" s="544"/>
      <c r="V15" s="544"/>
      <c r="W15" s="544"/>
      <c r="X15" s="544"/>
      <c r="Y15" s="544"/>
      <c r="Z15" s="544"/>
      <c r="AA15" s="544"/>
      <c r="AB15" s="544"/>
      <c r="AC15" s="544"/>
      <c r="AD15" s="544"/>
      <c r="AE15" s="544"/>
      <c r="AF15" s="544"/>
      <c r="AG15" s="544"/>
      <c r="AH15" s="544"/>
      <c r="AI15" s="544"/>
      <c r="AJ15" s="544"/>
      <c r="AK15" s="544"/>
      <c r="AL15" s="544"/>
      <c r="AM15" s="544"/>
      <c r="AN15" s="544"/>
      <c r="AO15" s="544"/>
      <c r="AP15" s="544"/>
      <c r="AQ15" s="544"/>
      <c r="AR15" s="544"/>
      <c r="AS15" s="544"/>
      <c r="AT15" s="544"/>
      <c r="AU15" s="544"/>
      <c r="AV15" s="544"/>
      <c r="AW15" s="544"/>
      <c r="AX15" s="544"/>
      <c r="AY15" s="544"/>
      <c r="AZ15" s="544"/>
      <c r="BA15" s="544"/>
      <c r="BB15" s="544"/>
      <c r="BC15" s="544"/>
      <c r="BD15" s="544"/>
      <c r="BE15" s="544"/>
      <c r="BF15" s="544"/>
      <c r="BG15" s="544"/>
      <c r="BH15" s="544"/>
      <c r="BI15" s="544"/>
    </row>
    <row r="16" spans="1:61" ht="17.149999999999999" customHeight="1" x14ac:dyDescent="0.35">
      <c r="A16" s="563"/>
      <c r="B16" s="569" t="s">
        <v>288</v>
      </c>
      <c r="C16" s="544"/>
      <c r="D16" s="544"/>
      <c r="E16" s="544"/>
      <c r="F16" s="544"/>
      <c r="G16" s="544"/>
      <c r="H16" s="544"/>
      <c r="I16" s="544"/>
      <c r="J16" s="551"/>
      <c r="K16" s="551"/>
      <c r="L16" s="565"/>
      <c r="M16" s="565"/>
      <c r="N16" s="544"/>
      <c r="O16" s="544"/>
      <c r="P16" s="544"/>
      <c r="Q16" s="544"/>
      <c r="R16" s="544"/>
      <c r="S16" s="544"/>
      <c r="T16" s="544"/>
      <c r="U16" s="544"/>
      <c r="V16" s="544"/>
      <c r="W16" s="544"/>
      <c r="X16" s="544"/>
      <c r="Y16" s="544"/>
      <c r="Z16" s="544"/>
      <c r="AA16" s="544"/>
      <c r="AB16" s="544"/>
      <c r="AC16" s="544"/>
      <c r="AD16" s="544"/>
      <c r="AE16" s="544"/>
      <c r="AF16" s="544"/>
      <c r="AG16" s="544"/>
      <c r="AH16" s="544"/>
      <c r="AI16" s="544"/>
      <c r="AJ16" s="544"/>
      <c r="AK16" s="544"/>
      <c r="AL16" s="544"/>
      <c r="AM16" s="544"/>
      <c r="AN16" s="544"/>
      <c r="AO16" s="544"/>
      <c r="AP16" s="544"/>
      <c r="AQ16" s="544"/>
      <c r="AR16" s="544"/>
      <c r="AS16" s="544"/>
      <c r="AT16" s="544"/>
      <c r="AU16" s="544"/>
      <c r="AV16" s="544"/>
      <c r="AW16" s="544"/>
      <c r="AX16" s="544"/>
      <c r="AY16" s="544"/>
      <c r="AZ16" s="544"/>
      <c r="BA16" s="544"/>
      <c r="BB16" s="544"/>
      <c r="BC16" s="544"/>
      <c r="BD16" s="544"/>
      <c r="BE16" s="544"/>
      <c r="BF16" s="544"/>
      <c r="BG16" s="544"/>
      <c r="BH16" s="544"/>
      <c r="BI16" s="544"/>
    </row>
    <row r="17" spans="1:61" ht="17.149999999999999" customHeight="1" x14ac:dyDescent="0.35">
      <c r="A17" s="563"/>
      <c r="B17" s="544"/>
      <c r="C17" s="544"/>
      <c r="D17" s="544"/>
      <c r="E17" s="544"/>
      <c r="F17" s="544"/>
      <c r="G17" s="544"/>
      <c r="H17" s="544"/>
      <c r="I17" s="544"/>
      <c r="J17" s="544"/>
      <c r="K17" s="574" t="s">
        <v>289</v>
      </c>
      <c r="L17" s="544"/>
      <c r="M17" s="544"/>
      <c r="N17" s="544"/>
      <c r="O17" s="544"/>
      <c r="P17" s="544"/>
      <c r="Q17" s="544"/>
      <c r="R17" s="544"/>
      <c r="S17" s="544"/>
      <c r="T17" s="544"/>
      <c r="U17" s="544"/>
      <c r="V17" s="544"/>
      <c r="W17" s="544"/>
      <c r="X17" s="544"/>
      <c r="Y17" s="544"/>
      <c r="Z17" s="544"/>
      <c r="AA17" s="544"/>
      <c r="AB17" s="544"/>
      <c r="AC17" s="544"/>
      <c r="AD17" s="544"/>
      <c r="AE17" s="544"/>
      <c r="AF17" s="544"/>
      <c r="AG17" s="544"/>
      <c r="AH17" s="544"/>
      <c r="AI17" s="544"/>
      <c r="AJ17" s="544"/>
      <c r="AK17" s="544"/>
      <c r="AL17" s="544"/>
      <c r="AM17" s="544"/>
      <c r="AN17" s="544"/>
      <c r="AO17" s="544"/>
      <c r="AP17" s="544"/>
      <c r="AQ17" s="544"/>
      <c r="AR17" s="544"/>
      <c r="AS17" s="544"/>
      <c r="AT17" s="544"/>
      <c r="AU17" s="544"/>
      <c r="AV17" s="544"/>
      <c r="AW17" s="544"/>
      <c r="AX17" s="544"/>
      <c r="AY17" s="544"/>
      <c r="AZ17" s="544"/>
      <c r="BA17" s="544"/>
      <c r="BB17" s="544"/>
      <c r="BC17" s="544"/>
      <c r="BD17" s="544"/>
      <c r="BE17" s="544"/>
      <c r="BF17" s="544"/>
      <c r="BG17" s="544"/>
      <c r="BH17" s="544"/>
      <c r="BI17" s="544"/>
    </row>
    <row r="18" spans="1:61" ht="17.149999999999999" customHeight="1" x14ac:dyDescent="0.35">
      <c r="A18" s="563"/>
      <c r="B18" s="815"/>
      <c r="C18" s="1724" t="s">
        <v>290</v>
      </c>
      <c r="D18" s="1724"/>
      <c r="E18" s="1724"/>
      <c r="F18" s="1724"/>
      <c r="G18" s="1724"/>
      <c r="H18" s="544"/>
      <c r="I18" s="544"/>
      <c r="J18" s="544"/>
      <c r="K18" s="1697" t="s">
        <v>291</v>
      </c>
      <c r="L18" s="1698"/>
      <c r="M18" s="1698"/>
      <c r="N18" s="1698"/>
      <c r="O18" s="1699"/>
      <c r="P18" s="544"/>
      <c r="Q18" s="544"/>
      <c r="R18" s="1697" t="s">
        <v>292</v>
      </c>
      <c r="S18" s="1698"/>
      <c r="T18" s="1698"/>
      <c r="U18" s="1698"/>
      <c r="V18" s="1699"/>
      <c r="W18" s="544"/>
      <c r="X18" s="544"/>
      <c r="Y18" s="544"/>
      <c r="Z18" s="602"/>
      <c r="AA18" s="1721" t="s">
        <v>293</v>
      </c>
      <c r="AB18" s="1722"/>
      <c r="AC18" s="1722"/>
      <c r="AD18" s="1722"/>
      <c r="AE18" s="1722"/>
      <c r="AF18" s="1722"/>
      <c r="AG18" s="1722"/>
      <c r="AH18" s="1722"/>
      <c r="AI18" s="1722"/>
      <c r="AJ18" s="1722"/>
      <c r="AK18" s="1723"/>
      <c r="AL18" s="1692" t="s">
        <v>294</v>
      </c>
      <c r="AM18" s="1692"/>
      <c r="AN18" s="1692"/>
      <c r="AO18" s="1692"/>
      <c r="AP18" s="1692"/>
      <c r="AQ18" s="1692"/>
      <c r="AR18" s="1692"/>
      <c r="AS18" s="1692"/>
      <c r="AT18" s="544"/>
      <c r="AU18" s="544"/>
      <c r="AV18" s="544"/>
      <c r="AW18" s="544"/>
      <c r="AX18" s="544"/>
      <c r="AY18" s="544"/>
      <c r="AZ18" s="544"/>
      <c r="BA18" s="544"/>
      <c r="BB18" s="544"/>
      <c r="BC18" s="544"/>
      <c r="BD18" s="544"/>
      <c r="BE18" s="544"/>
      <c r="BF18" s="544"/>
      <c r="BG18" s="544"/>
      <c r="BH18" s="544"/>
      <c r="BI18" s="544"/>
    </row>
    <row r="19" spans="1:61" ht="58" x14ac:dyDescent="0.35">
      <c r="A19" s="563"/>
      <c r="B19" s="816" t="s">
        <v>295</v>
      </c>
      <c r="C19" s="1704" t="s">
        <v>296</v>
      </c>
      <c r="D19" s="1705"/>
      <c r="E19" s="552" t="s">
        <v>297</v>
      </c>
      <c r="F19" s="552" t="s">
        <v>298</v>
      </c>
      <c r="G19" s="552" t="s">
        <v>299</v>
      </c>
      <c r="H19" s="544"/>
      <c r="I19" s="544"/>
      <c r="J19" s="544"/>
      <c r="K19" s="552" t="s">
        <v>300</v>
      </c>
      <c r="L19" s="552" t="s">
        <v>301</v>
      </c>
      <c r="M19" s="552" t="s">
        <v>302</v>
      </c>
      <c r="N19" s="552" t="s">
        <v>303</v>
      </c>
      <c r="O19" s="552" t="s">
        <v>304</v>
      </c>
      <c r="P19" s="544"/>
      <c r="Q19" s="544"/>
      <c r="R19" s="1487" t="s">
        <v>305</v>
      </c>
      <c r="S19" s="1728" t="s">
        <v>306</v>
      </c>
      <c r="T19" s="1729"/>
      <c r="U19" s="1729"/>
      <c r="V19" s="1730"/>
      <c r="W19" s="544"/>
      <c r="X19" s="544"/>
      <c r="Y19" s="544"/>
      <c r="Z19" s="603" t="s">
        <v>307</v>
      </c>
      <c r="AA19" s="1492" t="s">
        <v>308</v>
      </c>
      <c r="AB19" s="1492" t="s">
        <v>309</v>
      </c>
      <c r="AC19" s="1492" t="s">
        <v>310</v>
      </c>
      <c r="AD19" s="1492" t="s">
        <v>311</v>
      </c>
      <c r="AE19" s="1492" t="s">
        <v>312</v>
      </c>
      <c r="AF19" s="1731" t="s">
        <v>313</v>
      </c>
      <c r="AG19" s="1732"/>
      <c r="AH19" s="1731" t="s">
        <v>314</v>
      </c>
      <c r="AI19" s="1732"/>
      <c r="AJ19" s="1731" t="s">
        <v>315</v>
      </c>
      <c r="AK19" s="1732"/>
      <c r="AL19" s="552" t="s">
        <v>316</v>
      </c>
      <c r="AM19" s="552" t="s">
        <v>317</v>
      </c>
      <c r="AN19" s="1704" t="s">
        <v>318</v>
      </c>
      <c r="AO19" s="1705"/>
      <c r="AP19" s="1704" t="s">
        <v>319</v>
      </c>
      <c r="AQ19" s="1705"/>
      <c r="AR19" s="1704" t="s">
        <v>315</v>
      </c>
      <c r="AS19" s="1705"/>
      <c r="AT19" s="544"/>
      <c r="AU19" s="544"/>
      <c r="AV19" s="544"/>
      <c r="AW19" s="544"/>
      <c r="AX19" s="544"/>
      <c r="AY19" s="544"/>
      <c r="AZ19" s="544"/>
      <c r="BA19" s="544"/>
      <c r="BB19" s="544"/>
      <c r="BC19" s="544"/>
      <c r="BD19" s="544"/>
      <c r="BE19" s="544"/>
      <c r="BF19" s="544"/>
      <c r="BG19" s="544"/>
      <c r="BH19" s="544"/>
      <c r="BI19" s="544"/>
    </row>
    <row r="20" spans="1:61" ht="17.149999999999999" customHeight="1" x14ac:dyDescent="0.35">
      <c r="A20" s="563"/>
      <c r="B20" s="553" t="s">
        <v>320</v>
      </c>
      <c r="C20" s="543"/>
      <c r="D20" s="546"/>
      <c r="E20" s="547"/>
      <c r="F20" s="547"/>
      <c r="G20" s="548"/>
      <c r="H20" s="549"/>
      <c r="I20" s="549"/>
      <c r="J20" s="549"/>
      <c r="K20" s="548"/>
      <c r="L20" s="548"/>
      <c r="M20" s="548"/>
      <c r="N20" s="548"/>
      <c r="O20" s="548"/>
      <c r="P20" s="549"/>
      <c r="Q20" s="549"/>
      <c r="R20" s="545"/>
      <c r="S20" s="545"/>
      <c r="T20" s="545"/>
      <c r="U20" s="545"/>
      <c r="V20" s="545"/>
      <c r="W20" s="549"/>
      <c r="X20" s="549"/>
      <c r="Y20" s="550"/>
      <c r="Z20" s="594" t="s">
        <v>320</v>
      </c>
      <c r="AA20" s="580"/>
      <c r="AB20" s="604"/>
      <c r="AC20" s="604"/>
      <c r="AD20" s="604"/>
      <c r="AE20" s="604"/>
      <c r="AF20" s="1706"/>
      <c r="AG20" s="1706"/>
      <c r="AH20" s="1707"/>
      <c r="AI20" s="1707"/>
      <c r="AJ20" s="1707"/>
      <c r="AK20" s="1707"/>
      <c r="AL20" s="1483"/>
      <c r="AM20" s="1483"/>
      <c r="AN20" s="1706"/>
      <c r="AO20" s="1706"/>
      <c r="AP20" s="1707"/>
      <c r="AQ20" s="1707"/>
      <c r="AR20" s="1707"/>
      <c r="AS20" s="1708"/>
      <c r="AT20" s="549"/>
      <c r="AU20" s="544"/>
      <c r="AV20" s="544"/>
      <c r="AW20" s="544"/>
      <c r="AX20" s="544"/>
      <c r="AY20" s="544"/>
      <c r="AZ20" s="544"/>
      <c r="BA20" s="544"/>
      <c r="BB20" s="544"/>
      <c r="BC20" s="544"/>
      <c r="BD20" s="544"/>
      <c r="BE20" s="544"/>
      <c r="BF20" s="544"/>
      <c r="BG20" s="544"/>
      <c r="BH20" s="544"/>
      <c r="BI20" s="544"/>
    </row>
    <row r="21" spans="1:61" ht="17.149999999999999" customHeight="1" x14ac:dyDescent="0.35">
      <c r="A21" s="563"/>
      <c r="B21" s="817" t="s">
        <v>321</v>
      </c>
      <c r="C21" s="1725" t="s">
        <v>322</v>
      </c>
      <c r="D21" s="1725"/>
      <c r="E21" s="890"/>
      <c r="F21" s="890"/>
      <c r="G21" s="891">
        <v>1</v>
      </c>
      <c r="H21" s="544"/>
      <c r="I21" s="544"/>
      <c r="J21" s="544"/>
      <c r="K21" s="1288"/>
      <c r="L21" s="1287"/>
      <c r="M21" s="1288"/>
      <c r="N21" s="1287"/>
      <c r="O21" s="1287"/>
      <c r="P21" s="544"/>
      <c r="Q21" s="544"/>
      <c r="R21" s="1287"/>
      <c r="S21" s="1290"/>
      <c r="T21" s="1291"/>
      <c r="U21" s="1291"/>
      <c r="V21" s="1293"/>
      <c r="W21" s="544"/>
      <c r="X21" s="544"/>
      <c r="Y21" s="544"/>
      <c r="Z21" s="482" t="s">
        <v>321</v>
      </c>
      <c r="AA21" s="615" t="s">
        <v>323</v>
      </c>
      <c r="AB21" s="889"/>
      <c r="AC21" s="617"/>
      <c r="AD21" s="619"/>
      <c r="AE21" s="619"/>
      <c r="AF21" s="1726"/>
      <c r="AG21" s="1727"/>
      <c r="AH21" s="1700"/>
      <c r="AI21" s="1700"/>
      <c r="AJ21" s="1701"/>
      <c r="AK21" s="1702"/>
      <c r="AL21" s="896"/>
      <c r="AM21" s="889"/>
      <c r="AN21" s="1700"/>
      <c r="AO21" s="1700"/>
      <c r="AP21" s="1700"/>
      <c r="AQ21" s="1700"/>
      <c r="AR21" s="1700"/>
      <c r="AS21" s="1700"/>
      <c r="AT21" s="544"/>
      <c r="AU21" s="544"/>
      <c r="AV21" s="544"/>
      <c r="AW21" s="544"/>
      <c r="AX21" s="544"/>
      <c r="AY21" s="544"/>
      <c r="AZ21" s="544"/>
      <c r="BA21" s="544"/>
      <c r="BB21" s="544"/>
      <c r="BC21" s="544"/>
      <c r="BD21" s="544"/>
      <c r="BE21" s="544"/>
      <c r="BF21" s="544"/>
      <c r="BG21" s="544"/>
      <c r="BH21" s="544"/>
      <c r="BI21" s="544"/>
    </row>
    <row r="22" spans="1:61" ht="17.149999999999999" customHeight="1" x14ac:dyDescent="0.35">
      <c r="A22" s="563"/>
      <c r="B22" s="555"/>
      <c r="C22" s="1718"/>
      <c r="D22" s="1718"/>
      <c r="E22" s="556"/>
      <c r="F22" s="556"/>
      <c r="G22" s="557"/>
      <c r="H22" s="549"/>
      <c r="I22" s="549"/>
      <c r="J22" s="549"/>
      <c r="K22" s="558"/>
      <c r="L22" s="1485"/>
      <c r="M22" s="558"/>
      <c r="N22" s="1485"/>
      <c r="O22" s="1485"/>
      <c r="P22" s="549"/>
      <c r="Q22" s="549"/>
      <c r="R22" s="1485"/>
      <c r="S22" s="1485"/>
      <c r="T22" s="554"/>
      <c r="U22" s="554"/>
      <c r="V22" s="554"/>
      <c r="W22" s="549"/>
      <c r="X22" s="549"/>
      <c r="Y22" s="550"/>
      <c r="Z22" s="482" t="s">
        <v>321</v>
      </c>
      <c r="AA22" s="615" t="s">
        <v>324</v>
      </c>
      <c r="AB22" s="617"/>
      <c r="AC22" s="618">
        <f>1-AB21</f>
        <v>1</v>
      </c>
      <c r="AD22" s="895"/>
      <c r="AE22" s="895"/>
      <c r="AF22" s="1726"/>
      <c r="AG22" s="1727"/>
      <c r="AH22" s="1700"/>
      <c r="AI22" s="1700"/>
      <c r="AJ22" s="1701"/>
      <c r="AK22" s="1702"/>
      <c r="AL22" s="896"/>
      <c r="AM22" s="889"/>
      <c r="AN22" s="1701"/>
      <c r="AO22" s="1702"/>
      <c r="AP22" s="1701"/>
      <c r="AQ22" s="1702"/>
      <c r="AR22" s="1701"/>
      <c r="AS22" s="1702"/>
      <c r="AT22" s="544"/>
      <c r="AU22" s="544"/>
      <c r="AV22" s="544"/>
      <c r="AW22" s="544"/>
      <c r="AX22" s="544"/>
      <c r="AY22" s="544"/>
      <c r="AZ22" s="544"/>
      <c r="BA22" s="544"/>
      <c r="BB22" s="544"/>
      <c r="BC22" s="544"/>
      <c r="BD22" s="544"/>
      <c r="BE22" s="544"/>
      <c r="BF22" s="544"/>
      <c r="BG22" s="544"/>
      <c r="BH22" s="544"/>
      <c r="BI22" s="544"/>
    </row>
    <row r="23" spans="1:61" ht="17.149999999999999" customHeight="1" x14ac:dyDescent="0.35">
      <c r="A23" s="563"/>
      <c r="B23" s="482" t="s">
        <v>325</v>
      </c>
      <c r="C23" s="1725" t="s">
        <v>322</v>
      </c>
      <c r="D23" s="1725"/>
      <c r="E23" s="1334"/>
      <c r="F23" s="890"/>
      <c r="G23" s="891">
        <v>1</v>
      </c>
      <c r="H23" s="544"/>
      <c r="I23" s="544"/>
      <c r="J23" s="544"/>
      <c r="K23" s="1287"/>
      <c r="L23" s="1287"/>
      <c r="M23" s="1287"/>
      <c r="N23" s="1287"/>
      <c r="O23" s="1287"/>
      <c r="P23" s="544"/>
      <c r="Q23" s="544"/>
      <c r="R23" s="1287"/>
      <c r="S23" s="1290"/>
      <c r="T23" s="1291"/>
      <c r="U23" s="1291"/>
      <c r="V23" s="1293"/>
      <c r="W23" s="544"/>
      <c r="X23" s="544"/>
      <c r="Y23" s="544"/>
      <c r="Z23" s="567" t="s">
        <v>326</v>
      </c>
      <c r="AA23" s="615" t="s">
        <v>323</v>
      </c>
      <c r="AB23" s="889"/>
      <c r="AC23" s="618"/>
      <c r="AD23" s="620"/>
      <c r="AE23" s="620"/>
      <c r="AF23" s="1726"/>
      <c r="AG23" s="1727"/>
      <c r="AH23" s="1700"/>
      <c r="AI23" s="1700"/>
      <c r="AJ23" s="1701"/>
      <c r="AK23" s="1702"/>
      <c r="AL23" s="896"/>
      <c r="AM23" s="889"/>
      <c r="AN23" s="1700"/>
      <c r="AO23" s="1700"/>
      <c r="AP23" s="1700"/>
      <c r="AQ23" s="1700"/>
      <c r="AR23" s="1700"/>
      <c r="AS23" s="1700"/>
      <c r="AT23" s="544"/>
      <c r="AU23" s="544"/>
      <c r="AV23" s="544"/>
      <c r="AW23" s="544"/>
      <c r="AX23" s="544"/>
      <c r="AY23" s="544"/>
      <c r="AZ23" s="544"/>
      <c r="BA23" s="544"/>
      <c r="BB23" s="544"/>
      <c r="BC23" s="544"/>
      <c r="BD23" s="544"/>
      <c r="BE23" s="544"/>
      <c r="BF23" s="544"/>
      <c r="BG23" s="544"/>
      <c r="BH23" s="544"/>
      <c r="BI23" s="544"/>
    </row>
    <row r="24" spans="1:61" ht="17.149999999999999" customHeight="1" x14ac:dyDescent="0.35">
      <c r="A24" s="563"/>
      <c r="B24" s="555"/>
      <c r="C24" s="1718"/>
      <c r="D24" s="1718"/>
      <c r="E24" s="556"/>
      <c r="F24" s="556"/>
      <c r="G24" s="557"/>
      <c r="H24" s="549"/>
      <c r="I24" s="549"/>
      <c r="J24" s="549"/>
      <c r="K24" s="558"/>
      <c r="L24" s="1485"/>
      <c r="M24" s="558"/>
      <c r="N24" s="1485"/>
      <c r="O24" s="1485"/>
      <c r="P24" s="549"/>
      <c r="Q24" s="549"/>
      <c r="R24" s="1485"/>
      <c r="S24" s="554"/>
      <c r="T24" s="554"/>
      <c r="U24" s="554"/>
      <c r="V24" s="554"/>
      <c r="W24" s="549"/>
      <c r="X24" s="549"/>
      <c r="Y24" s="550"/>
      <c r="Z24" s="567" t="s">
        <v>326</v>
      </c>
      <c r="AA24" s="615" t="s">
        <v>324</v>
      </c>
      <c r="AB24" s="617"/>
      <c r="AC24" s="618">
        <f>1-AB23</f>
        <v>1</v>
      </c>
      <c r="AD24" s="895"/>
      <c r="AE24" s="895"/>
      <c r="AF24" s="1726"/>
      <c r="AG24" s="1727"/>
      <c r="AH24" s="1700"/>
      <c r="AI24" s="1700"/>
      <c r="AJ24" s="1701"/>
      <c r="AK24" s="1702"/>
      <c r="AL24" s="889"/>
      <c r="AM24" s="889"/>
      <c r="AN24" s="1701"/>
      <c r="AO24" s="1702"/>
      <c r="AP24" s="1701"/>
      <c r="AQ24" s="1702"/>
      <c r="AR24" s="1701"/>
      <c r="AS24" s="1702"/>
      <c r="AT24" s="544"/>
      <c r="AU24" s="544"/>
      <c r="AV24" s="544"/>
      <c r="AW24" s="544"/>
      <c r="AX24" s="544"/>
      <c r="AY24" s="544"/>
      <c r="AZ24" s="544"/>
      <c r="BA24" s="544"/>
      <c r="BB24" s="544"/>
      <c r="BC24" s="544"/>
      <c r="BD24" s="544"/>
      <c r="BE24" s="544"/>
      <c r="BF24" s="544"/>
      <c r="BG24" s="544"/>
      <c r="BH24" s="544"/>
      <c r="BI24" s="544"/>
    </row>
    <row r="25" spans="1:61" ht="17.149999999999999" customHeight="1" x14ac:dyDescent="0.35">
      <c r="A25" s="563"/>
      <c r="B25" s="482" t="s">
        <v>325</v>
      </c>
      <c r="C25" s="1725" t="s">
        <v>327</v>
      </c>
      <c r="D25" s="1725"/>
      <c r="E25" s="890"/>
      <c r="F25" s="890"/>
      <c r="G25" s="891">
        <v>1</v>
      </c>
      <c r="H25" s="544"/>
      <c r="I25" s="544"/>
      <c r="J25" s="544"/>
      <c r="K25" s="1288"/>
      <c r="L25" s="1287"/>
      <c r="M25" s="1288"/>
      <c r="N25" s="1287"/>
      <c r="O25" s="1287"/>
      <c r="P25" s="544"/>
      <c r="Q25" s="544"/>
      <c r="R25" s="1287"/>
      <c r="S25" s="1290"/>
      <c r="T25" s="1291"/>
      <c r="U25" s="1291"/>
      <c r="V25" s="1293"/>
      <c r="W25" s="544"/>
      <c r="X25" s="544"/>
      <c r="Y25" s="544"/>
      <c r="Z25" s="482" t="s">
        <v>328</v>
      </c>
      <c r="AA25" s="615" t="s">
        <v>323</v>
      </c>
      <c r="AB25" s="889"/>
      <c r="AC25" s="618"/>
      <c r="AD25" s="620"/>
      <c r="AE25" s="620"/>
      <c r="AF25" s="1726"/>
      <c r="AG25" s="1727"/>
      <c r="AH25" s="1700"/>
      <c r="AI25" s="1700"/>
      <c r="AJ25" s="1701"/>
      <c r="AK25" s="1702"/>
      <c r="AL25" s="889"/>
      <c r="AM25" s="889"/>
      <c r="AN25" s="1700"/>
      <c r="AO25" s="1700"/>
      <c r="AP25" s="1700"/>
      <c r="AQ25" s="1700"/>
      <c r="AR25" s="1700"/>
      <c r="AS25" s="1700"/>
      <c r="AT25" s="544"/>
      <c r="AU25" s="544"/>
      <c r="AV25" s="544"/>
      <c r="AW25" s="544"/>
      <c r="AX25" s="544"/>
      <c r="AY25" s="544"/>
      <c r="AZ25" s="544"/>
      <c r="BA25" s="544"/>
      <c r="BB25" s="544"/>
      <c r="BC25" s="544"/>
      <c r="BD25" s="544"/>
      <c r="BE25" s="544"/>
      <c r="BF25" s="544"/>
      <c r="BG25" s="544"/>
      <c r="BH25" s="544"/>
      <c r="BI25" s="544"/>
    </row>
    <row r="26" spans="1:61" ht="17.149999999999999" customHeight="1" x14ac:dyDescent="0.35">
      <c r="A26" s="563"/>
      <c r="B26" s="555"/>
      <c r="C26" s="1718"/>
      <c r="D26" s="1718"/>
      <c r="E26" s="556"/>
      <c r="F26" s="556"/>
      <c r="G26" s="557"/>
      <c r="H26" s="549"/>
      <c r="I26" s="549"/>
      <c r="J26" s="549"/>
      <c r="K26" s="558"/>
      <c r="L26" s="1485"/>
      <c r="M26" s="558"/>
      <c r="N26" s="1485"/>
      <c r="O26" s="1485"/>
      <c r="P26" s="549"/>
      <c r="Q26" s="549"/>
      <c r="R26" s="1485"/>
      <c r="S26" s="554"/>
      <c r="T26" s="554"/>
      <c r="U26" s="554"/>
      <c r="V26" s="554"/>
      <c r="W26" s="549"/>
      <c r="X26" s="549"/>
      <c r="Y26" s="550"/>
      <c r="Z26" s="482" t="s">
        <v>328</v>
      </c>
      <c r="AA26" s="615" t="s">
        <v>324</v>
      </c>
      <c r="AB26" s="617"/>
      <c r="AC26" s="618">
        <f>1-AB25</f>
        <v>1</v>
      </c>
      <c r="AD26" s="895"/>
      <c r="AE26" s="895"/>
      <c r="AF26" s="1726"/>
      <c r="AG26" s="1727"/>
      <c r="AH26" s="1700"/>
      <c r="AI26" s="1700"/>
      <c r="AJ26" s="1701"/>
      <c r="AK26" s="1702"/>
      <c r="AL26" s="896"/>
      <c r="AM26" s="889"/>
      <c r="AN26" s="1701"/>
      <c r="AO26" s="1702"/>
      <c r="AP26" s="1701"/>
      <c r="AQ26" s="1702"/>
      <c r="AR26" s="1701"/>
      <c r="AS26" s="1702"/>
      <c r="AT26" s="544"/>
      <c r="AU26" s="544"/>
      <c r="AV26" s="544"/>
      <c r="AW26" s="544"/>
      <c r="AX26" s="544"/>
      <c r="AY26" s="544"/>
      <c r="AZ26" s="544"/>
      <c r="BA26" s="544"/>
      <c r="BB26" s="544"/>
      <c r="BC26" s="544"/>
      <c r="BD26" s="544"/>
      <c r="BE26" s="544"/>
      <c r="BF26" s="544"/>
      <c r="BG26" s="544"/>
      <c r="BH26" s="544"/>
      <c r="BI26" s="544"/>
    </row>
    <row r="27" spans="1:61" ht="17.149999999999999" customHeight="1" x14ac:dyDescent="0.35">
      <c r="A27" s="563"/>
      <c r="B27" s="482" t="s">
        <v>329</v>
      </c>
      <c r="C27" s="1700"/>
      <c r="D27" s="1700"/>
      <c r="E27" s="890"/>
      <c r="F27" s="890"/>
      <c r="G27" s="891">
        <v>1</v>
      </c>
      <c r="H27" s="544"/>
      <c r="I27" s="544"/>
      <c r="J27" s="544"/>
      <c r="K27" s="1287"/>
      <c r="L27" s="1287"/>
      <c r="M27" s="1287"/>
      <c r="N27" s="1287"/>
      <c r="O27" s="1287"/>
      <c r="P27" s="544"/>
      <c r="Q27" s="544"/>
      <c r="R27" s="1287"/>
      <c r="S27" s="1290"/>
      <c r="T27" s="1291"/>
      <c r="U27" s="1291"/>
      <c r="V27" s="1293"/>
      <c r="W27" s="544"/>
      <c r="X27" s="544"/>
      <c r="Y27" s="544"/>
      <c r="Z27" s="567" t="s">
        <v>329</v>
      </c>
      <c r="AA27" s="615" t="s">
        <v>323</v>
      </c>
      <c r="AB27" s="889"/>
      <c r="AC27" s="618"/>
      <c r="AD27" s="620"/>
      <c r="AE27" s="620"/>
      <c r="AF27" s="1726"/>
      <c r="AG27" s="1727"/>
      <c r="AH27" s="1700"/>
      <c r="AI27" s="1700"/>
      <c r="AJ27" s="1701"/>
      <c r="AK27" s="1702"/>
      <c r="AL27" s="896"/>
      <c r="AM27" s="889"/>
      <c r="AN27" s="1700"/>
      <c r="AO27" s="1700"/>
      <c r="AP27" s="1700"/>
      <c r="AQ27" s="1700"/>
      <c r="AR27" s="1700"/>
      <c r="AS27" s="1700"/>
      <c r="AT27" s="544"/>
      <c r="AU27" s="544"/>
      <c r="AV27" s="544"/>
      <c r="AW27" s="544"/>
      <c r="AX27" s="544"/>
      <c r="AY27" s="544"/>
      <c r="AZ27" s="544"/>
      <c r="BA27" s="544"/>
      <c r="BB27" s="544"/>
      <c r="BC27" s="544"/>
      <c r="BD27" s="544"/>
      <c r="BE27" s="544"/>
      <c r="BF27" s="544"/>
      <c r="BG27" s="544"/>
      <c r="BH27" s="544"/>
      <c r="BI27" s="544"/>
    </row>
    <row r="28" spans="1:61" ht="17.149999999999999" customHeight="1" x14ac:dyDescent="0.35">
      <c r="A28" s="563"/>
      <c r="B28" s="508"/>
      <c r="C28" s="1719"/>
      <c r="D28" s="1719"/>
      <c r="E28" s="586"/>
      <c r="F28" s="586"/>
      <c r="G28" s="587"/>
      <c r="H28" s="549"/>
      <c r="I28" s="549"/>
      <c r="J28" s="549"/>
      <c r="K28" s="588"/>
      <c r="L28" s="1486"/>
      <c r="M28" s="588"/>
      <c r="N28" s="1486"/>
      <c r="O28" s="1486"/>
      <c r="P28" s="549"/>
      <c r="Q28" s="549"/>
      <c r="R28" s="1486"/>
      <c r="S28" s="1486"/>
      <c r="T28" s="589"/>
      <c r="U28" s="589"/>
      <c r="V28" s="589"/>
      <c r="W28" s="549"/>
      <c r="X28" s="549"/>
      <c r="Y28" s="550"/>
      <c r="Z28" s="567" t="s">
        <v>329</v>
      </c>
      <c r="AA28" s="615" t="s">
        <v>324</v>
      </c>
      <c r="AB28" s="617"/>
      <c r="AC28" s="618">
        <f>1-AB27</f>
        <v>1</v>
      </c>
      <c r="AD28" s="895"/>
      <c r="AE28" s="895"/>
      <c r="AF28" s="1726"/>
      <c r="AG28" s="1727"/>
      <c r="AH28" s="1700"/>
      <c r="AI28" s="1700"/>
      <c r="AJ28" s="1701"/>
      <c r="AK28" s="1702"/>
      <c r="AL28" s="889"/>
      <c r="AM28" s="889"/>
      <c r="AN28" s="1701"/>
      <c r="AO28" s="1702"/>
      <c r="AP28" s="1701"/>
      <c r="AQ28" s="1702"/>
      <c r="AR28" s="1701"/>
      <c r="AS28" s="1702"/>
      <c r="AT28" s="544"/>
      <c r="AU28" s="544"/>
      <c r="AV28" s="544"/>
      <c r="AW28" s="544"/>
      <c r="AX28" s="544"/>
      <c r="AY28" s="544"/>
      <c r="AZ28" s="544"/>
      <c r="BA28" s="544"/>
      <c r="BB28" s="544"/>
      <c r="BC28" s="544"/>
      <c r="BD28" s="544"/>
      <c r="BE28" s="544"/>
      <c r="BF28" s="544"/>
      <c r="BG28" s="544"/>
      <c r="BH28" s="544"/>
      <c r="BI28" s="544"/>
    </row>
    <row r="29" spans="1:61" ht="17.149999999999999" customHeight="1" x14ac:dyDescent="0.3">
      <c r="A29" s="563"/>
      <c r="B29" s="572"/>
      <c r="C29" s="551"/>
      <c r="D29" s="551"/>
      <c r="E29" s="551"/>
      <c r="F29" s="565"/>
      <c r="G29" s="565"/>
      <c r="H29" s="565"/>
      <c r="I29" s="544"/>
      <c r="J29" s="544"/>
      <c r="K29" s="544"/>
      <c r="L29" s="544"/>
      <c r="M29" s="544"/>
      <c r="N29" s="544"/>
      <c r="O29" s="544"/>
      <c r="P29" s="544"/>
      <c r="Q29" s="544"/>
      <c r="R29" s="544"/>
      <c r="S29" s="544"/>
      <c r="T29" s="544"/>
      <c r="U29" s="544"/>
      <c r="V29" s="544"/>
      <c r="W29" s="544"/>
      <c r="X29" s="544"/>
      <c r="Y29" s="544"/>
      <c r="Z29" s="571"/>
      <c r="AA29" s="571"/>
      <c r="AB29" s="571"/>
      <c r="AC29" s="571"/>
      <c r="AD29" s="571"/>
      <c r="AE29" s="571"/>
      <c r="AF29" s="571"/>
      <c r="AG29" s="571"/>
      <c r="AH29" s="571"/>
      <c r="AI29" s="571"/>
      <c r="AJ29" s="571"/>
      <c r="AK29" s="571"/>
      <c r="AL29" s="571"/>
      <c r="AM29" s="571"/>
      <c r="AN29" s="571"/>
      <c r="AO29" s="571"/>
      <c r="AP29" s="571"/>
      <c r="AQ29" s="571"/>
      <c r="AR29" s="571"/>
      <c r="AS29" s="571"/>
      <c r="AT29" s="544"/>
      <c r="AU29" s="544"/>
      <c r="AV29" s="544"/>
      <c r="AW29" s="544"/>
      <c r="AX29" s="544"/>
      <c r="AY29" s="544"/>
      <c r="AZ29" s="544"/>
      <c r="BA29" s="544"/>
      <c r="BB29" s="544"/>
      <c r="BC29" s="544"/>
      <c r="BD29" s="544"/>
      <c r="BE29" s="544"/>
      <c r="BF29" s="544"/>
      <c r="BG29" s="544"/>
      <c r="BH29" s="544"/>
      <c r="BI29" s="544"/>
    </row>
    <row r="30" spans="1:61" ht="17.149999999999999" customHeight="1" x14ac:dyDescent="0.3">
      <c r="A30" s="563"/>
      <c r="B30" s="572"/>
      <c r="C30" s="565"/>
      <c r="D30" s="565"/>
      <c r="E30" s="565"/>
      <c r="F30" s="565"/>
      <c r="G30" s="565"/>
      <c r="H30" s="565"/>
      <c r="I30" s="544"/>
      <c r="J30" s="544"/>
      <c r="K30" s="544"/>
      <c r="L30" s="544"/>
      <c r="M30" s="544"/>
      <c r="N30" s="544"/>
      <c r="O30" s="544"/>
      <c r="P30" s="544"/>
      <c r="Q30" s="544"/>
      <c r="R30" s="544"/>
      <c r="S30" s="544"/>
      <c r="T30" s="544"/>
      <c r="U30" s="544"/>
      <c r="V30" s="544"/>
      <c r="W30" s="544"/>
      <c r="X30" s="544"/>
      <c r="Y30" s="544"/>
      <c r="Z30" s="571"/>
      <c r="AA30" s="571"/>
      <c r="AB30" s="571"/>
      <c r="AC30" s="571"/>
      <c r="AD30" s="571"/>
      <c r="AE30" s="571"/>
      <c r="AF30" s="571"/>
      <c r="AG30" s="571"/>
      <c r="AH30" s="571"/>
      <c r="AI30" s="571"/>
      <c r="AJ30" s="571"/>
      <c r="AK30" s="571"/>
      <c r="AL30" s="571"/>
      <c r="AM30" s="571"/>
      <c r="AN30" s="571"/>
      <c r="AO30" s="571"/>
      <c r="AP30" s="571"/>
      <c r="AQ30" s="571"/>
      <c r="AR30" s="571"/>
      <c r="AS30" s="571"/>
      <c r="AT30" s="544"/>
      <c r="AU30" s="544"/>
      <c r="AV30" s="544"/>
      <c r="AW30" s="544"/>
      <c r="AX30" s="544"/>
      <c r="AY30" s="544"/>
      <c r="AZ30" s="544"/>
      <c r="BA30" s="544"/>
      <c r="BB30" s="544"/>
      <c r="BC30" s="544"/>
      <c r="BD30" s="544"/>
      <c r="BE30" s="544"/>
      <c r="BF30" s="544"/>
      <c r="BG30" s="544"/>
      <c r="BH30" s="544"/>
      <c r="BI30" s="544"/>
    </row>
    <row r="31" spans="1:61" ht="17.149999999999999" customHeight="1" x14ac:dyDescent="0.3">
      <c r="A31" s="563"/>
      <c r="B31" s="573" t="s">
        <v>330</v>
      </c>
      <c r="C31" s="565"/>
      <c r="D31" s="565"/>
      <c r="E31" s="565"/>
      <c r="F31" s="565"/>
      <c r="G31" s="565"/>
      <c r="H31" s="565"/>
      <c r="I31" s="544"/>
      <c r="J31" s="544"/>
      <c r="K31" s="551" t="s">
        <v>289</v>
      </c>
      <c r="L31" s="544"/>
      <c r="M31" s="544"/>
      <c r="N31" s="544"/>
      <c r="O31" s="544"/>
      <c r="P31" s="544"/>
      <c r="Q31" s="544"/>
      <c r="R31" s="544"/>
      <c r="S31" s="544"/>
      <c r="T31" s="544"/>
      <c r="U31" s="544"/>
      <c r="V31" s="544"/>
      <c r="W31" s="544"/>
      <c r="X31" s="544"/>
      <c r="Y31" s="544"/>
      <c r="Z31" s="571"/>
      <c r="AA31" s="616"/>
      <c r="AB31" s="616"/>
      <c r="AC31" s="616"/>
      <c r="AD31" s="616"/>
      <c r="AE31" s="616"/>
      <c r="AF31" s="616"/>
      <c r="AG31" s="616"/>
      <c r="AH31" s="616"/>
      <c r="AI31" s="616"/>
      <c r="AJ31" s="616"/>
      <c r="AK31" s="616"/>
      <c r="AL31" s="616"/>
      <c r="AM31" s="616"/>
      <c r="AN31" s="616"/>
      <c r="AO31" s="616"/>
      <c r="AP31" s="616"/>
      <c r="AQ31" s="616"/>
      <c r="AR31" s="616"/>
      <c r="AS31" s="616"/>
      <c r="AT31" s="544"/>
      <c r="AU31" s="544"/>
      <c r="AV31" s="544"/>
      <c r="AW31" s="544"/>
      <c r="AX31" s="544"/>
      <c r="AY31" s="544"/>
      <c r="AZ31" s="544"/>
      <c r="BA31" s="544"/>
      <c r="BB31" s="544"/>
      <c r="BC31" s="544"/>
      <c r="BD31" s="544"/>
      <c r="BE31" s="544"/>
      <c r="BF31" s="544"/>
      <c r="BG31" s="544"/>
      <c r="BH31" s="544"/>
      <c r="BI31" s="544"/>
    </row>
    <row r="32" spans="1:61" ht="17.149999999999999" customHeight="1" x14ac:dyDescent="0.3">
      <c r="A32" s="563"/>
      <c r="B32" s="572"/>
      <c r="C32" s="1697" t="s">
        <v>331</v>
      </c>
      <c r="D32" s="1698"/>
      <c r="E32" s="1698"/>
      <c r="F32" s="1698"/>
      <c r="G32" s="1698"/>
      <c r="H32" s="1698"/>
      <c r="I32" s="1699"/>
      <c r="J32" s="544"/>
      <c r="K32" s="1668" t="s">
        <v>291</v>
      </c>
      <c r="L32" s="1668"/>
      <c r="M32" s="1668"/>
      <c r="N32" s="1668"/>
      <c r="O32" s="1474" t="s">
        <v>332</v>
      </c>
      <c r="P32" s="544"/>
      <c r="Q32" s="1697" t="s">
        <v>292</v>
      </c>
      <c r="R32" s="1698"/>
      <c r="S32" s="1698"/>
      <c r="T32" s="1698"/>
      <c r="U32" s="1698"/>
      <c r="V32" s="1699"/>
      <c r="W32" s="1697" t="s">
        <v>333</v>
      </c>
      <c r="X32" s="1699"/>
      <c r="Y32" s="544"/>
      <c r="Z32" s="606"/>
      <c r="AA32" s="1721" t="s">
        <v>293</v>
      </c>
      <c r="AB32" s="1722"/>
      <c r="AC32" s="1722"/>
      <c r="AD32" s="1722"/>
      <c r="AE32" s="1722"/>
      <c r="AF32" s="1722"/>
      <c r="AG32" s="1722"/>
      <c r="AH32" s="1722"/>
      <c r="AI32" s="1722"/>
      <c r="AJ32" s="1722"/>
      <c r="AK32" s="1723"/>
      <c r="AL32" s="1721" t="s">
        <v>294</v>
      </c>
      <c r="AM32" s="1722"/>
      <c r="AN32" s="1722"/>
      <c r="AO32" s="1722"/>
      <c r="AP32" s="1722"/>
      <c r="AQ32" s="1722"/>
      <c r="AR32" s="1722"/>
      <c r="AS32" s="1723"/>
      <c r="AT32" s="571"/>
      <c r="AU32" s="544"/>
      <c r="AV32" s="544"/>
      <c r="AW32" s="544"/>
      <c r="AX32" s="544"/>
      <c r="AY32" s="544"/>
      <c r="AZ32" s="544"/>
      <c r="BA32" s="544"/>
      <c r="BB32" s="544"/>
      <c r="BC32" s="544"/>
      <c r="BD32" s="544"/>
      <c r="BE32" s="544"/>
      <c r="BF32" s="544"/>
      <c r="BG32" s="544"/>
      <c r="BH32" s="544"/>
      <c r="BI32" s="544"/>
    </row>
    <row r="33" spans="1:61" s="12" customFormat="1" ht="75" customHeight="1" x14ac:dyDescent="0.35">
      <c r="A33" s="563"/>
      <c r="B33" s="576" t="s">
        <v>334</v>
      </c>
      <c r="C33" s="1720" t="s">
        <v>296</v>
      </c>
      <c r="D33" s="1720"/>
      <c r="E33" s="1487" t="s">
        <v>335</v>
      </c>
      <c r="F33" s="1487" t="s">
        <v>336</v>
      </c>
      <c r="G33" s="1487" t="s">
        <v>337</v>
      </c>
      <c r="H33" s="1487" t="s">
        <v>338</v>
      </c>
      <c r="I33" s="552" t="s">
        <v>299</v>
      </c>
      <c r="J33" s="570"/>
      <c r="K33" s="1487" t="s">
        <v>300</v>
      </c>
      <c r="L33" s="1487" t="s">
        <v>301</v>
      </c>
      <c r="M33" s="1487" t="s">
        <v>302</v>
      </c>
      <c r="N33" s="1487" t="s">
        <v>339</v>
      </c>
      <c r="O33" s="1487" t="s">
        <v>304</v>
      </c>
      <c r="P33" s="570"/>
      <c r="Q33" s="1487" t="s">
        <v>340</v>
      </c>
      <c r="R33" s="1487" t="s">
        <v>341</v>
      </c>
      <c r="S33" s="1694" t="s">
        <v>306</v>
      </c>
      <c r="T33" s="1695"/>
      <c r="U33" s="1695"/>
      <c r="V33" s="1696"/>
      <c r="W33" s="1487" t="s">
        <v>342</v>
      </c>
      <c r="X33" s="1487" t="s">
        <v>343</v>
      </c>
      <c r="Y33" s="570"/>
      <c r="Z33" s="603" t="s">
        <v>344</v>
      </c>
      <c r="AA33" s="605" t="s">
        <v>345</v>
      </c>
      <c r="AB33" s="806"/>
      <c r="AC33" s="807"/>
      <c r="AD33" s="1492" t="s">
        <v>311</v>
      </c>
      <c r="AE33" s="1492" t="s">
        <v>312</v>
      </c>
      <c r="AF33" s="1697" t="s">
        <v>313</v>
      </c>
      <c r="AG33" s="1699"/>
      <c r="AH33" s="1697" t="s">
        <v>314</v>
      </c>
      <c r="AI33" s="1699"/>
      <c r="AJ33" s="1710" t="s">
        <v>346</v>
      </c>
      <c r="AK33" s="1711"/>
      <c r="AL33" s="552" t="s">
        <v>316</v>
      </c>
      <c r="AM33" s="552" t="s">
        <v>317</v>
      </c>
      <c r="AN33" s="1704" t="s">
        <v>318</v>
      </c>
      <c r="AO33" s="1705"/>
      <c r="AP33" s="1704" t="s">
        <v>319</v>
      </c>
      <c r="AQ33" s="1705"/>
      <c r="AR33" s="1704" t="s">
        <v>346</v>
      </c>
      <c r="AS33" s="1705"/>
      <c r="AT33" s="570"/>
      <c r="AU33" s="570"/>
      <c r="AV33" s="570"/>
      <c r="AW33" s="570"/>
      <c r="AX33" s="570"/>
      <c r="AY33" s="570"/>
      <c r="AZ33" s="570"/>
      <c r="BA33" s="570"/>
      <c r="BB33" s="570"/>
      <c r="BC33" s="570"/>
      <c r="BD33" s="570"/>
      <c r="BE33" s="570"/>
      <c r="BF33" s="570"/>
      <c r="BG33" s="570"/>
      <c r="BH33" s="570"/>
      <c r="BI33" s="570"/>
    </row>
    <row r="34" spans="1:61" ht="17.149999999999999" customHeight="1" x14ac:dyDescent="0.35">
      <c r="A34" s="563"/>
      <c r="B34" s="582" t="s">
        <v>320</v>
      </c>
      <c r="C34" s="580"/>
      <c r="D34" s="1483"/>
      <c r="E34" s="1483"/>
      <c r="F34" s="1483"/>
      <c r="G34" s="1483"/>
      <c r="H34" s="1483"/>
      <c r="I34" s="1483"/>
      <c r="J34" s="549"/>
      <c r="K34" s="545"/>
      <c r="L34" s="545"/>
      <c r="M34" s="545"/>
      <c r="N34" s="545"/>
      <c r="O34" s="1483"/>
      <c r="P34" s="584"/>
      <c r="Q34" s="545"/>
      <c r="R34" s="545"/>
      <c r="S34" s="610"/>
      <c r="T34" s="609"/>
      <c r="U34" s="609"/>
      <c r="V34" s="609"/>
      <c r="W34" s="545"/>
      <c r="X34" s="545"/>
      <c r="Y34" s="544"/>
      <c r="Z34" s="594" t="s">
        <v>320</v>
      </c>
      <c r="AA34" s="623"/>
      <c r="AB34" s="702"/>
      <c r="AC34" s="703"/>
      <c r="AD34" s="604"/>
      <c r="AE34" s="604"/>
      <c r="AF34" s="1718"/>
      <c r="AG34" s="1718"/>
      <c r="AH34" s="1718"/>
      <c r="AI34" s="1718"/>
      <c r="AJ34" s="1718"/>
      <c r="AK34" s="1718"/>
      <c r="AL34" s="1483"/>
      <c r="AM34" s="1483"/>
      <c r="AN34" s="1706"/>
      <c r="AO34" s="1706"/>
      <c r="AP34" s="1707"/>
      <c r="AQ34" s="1707"/>
      <c r="AR34" s="1707"/>
      <c r="AS34" s="1708"/>
      <c r="AT34" s="549"/>
      <c r="AU34" s="544"/>
      <c r="AV34" s="544"/>
      <c r="AW34" s="544"/>
      <c r="AX34" s="544"/>
      <c r="AY34" s="544"/>
      <c r="AZ34" s="544"/>
      <c r="BA34" s="544"/>
      <c r="BB34" s="544"/>
      <c r="BC34" s="544"/>
      <c r="BD34" s="544"/>
      <c r="BE34" s="544"/>
      <c r="BF34" s="544"/>
      <c r="BG34" s="544"/>
      <c r="BH34" s="544"/>
      <c r="BI34" s="544"/>
    </row>
    <row r="35" spans="1:61" ht="17.149999999999999" customHeight="1" x14ac:dyDescent="0.35">
      <c r="A35" s="563"/>
      <c r="B35" s="888" t="s">
        <v>347</v>
      </c>
      <c r="C35" s="1701"/>
      <c r="D35" s="1702"/>
      <c r="E35" s="1482"/>
      <c r="F35" s="1482"/>
      <c r="G35" s="1287"/>
      <c r="H35" s="1287"/>
      <c r="I35" s="889">
        <v>1</v>
      </c>
      <c r="J35" s="544"/>
      <c r="K35" s="1288"/>
      <c r="L35" s="1289"/>
      <c r="M35" s="1288"/>
      <c r="N35" s="1287"/>
      <c r="O35" s="1287"/>
      <c r="P35" s="478"/>
      <c r="Q35" s="1287"/>
      <c r="R35" s="1287"/>
      <c r="S35" s="1290"/>
      <c r="T35" s="1291"/>
      <c r="U35" s="1291"/>
      <c r="V35" s="1292"/>
      <c r="W35" s="1287"/>
      <c r="X35" s="1287"/>
      <c r="Y35" s="544"/>
      <c r="Z35" s="607" t="str">
        <f t="shared" ref="Z35:Z42" si="0">B35</f>
        <v>Public provider [Name]</v>
      </c>
      <c r="AA35" s="898"/>
      <c r="AB35" s="804"/>
      <c r="AC35" s="805"/>
      <c r="AD35" s="621"/>
      <c r="AE35" s="621"/>
      <c r="AF35" s="1701"/>
      <c r="AG35" s="1702"/>
      <c r="AH35" s="1712"/>
      <c r="AI35" s="1713"/>
      <c r="AJ35" s="1714"/>
      <c r="AK35" s="1715"/>
      <c r="AL35" s="614"/>
      <c r="AM35" s="579"/>
      <c r="AN35" s="1703"/>
      <c r="AO35" s="1703"/>
      <c r="AP35" s="1703"/>
      <c r="AQ35" s="1703"/>
      <c r="AR35" s="1703"/>
      <c r="AS35" s="1703"/>
      <c r="AT35" s="544"/>
      <c r="AU35" s="544"/>
      <c r="AV35" s="544"/>
      <c r="AW35" s="544"/>
      <c r="AX35" s="544"/>
      <c r="AY35" s="544"/>
      <c r="AZ35" s="544"/>
      <c r="BA35" s="544"/>
      <c r="BB35" s="544"/>
      <c r="BC35" s="544"/>
      <c r="BD35" s="544"/>
      <c r="BE35" s="544"/>
      <c r="BF35" s="544"/>
      <c r="BG35" s="544"/>
      <c r="BH35" s="544"/>
      <c r="BI35" s="544"/>
    </row>
    <row r="36" spans="1:61" ht="17.149999999999999" customHeight="1" x14ac:dyDescent="0.35">
      <c r="A36" s="563"/>
      <c r="B36" s="888" t="s">
        <v>347</v>
      </c>
      <c r="C36" s="1701"/>
      <c r="D36" s="1702"/>
      <c r="E36" s="1482"/>
      <c r="F36" s="1482"/>
      <c r="G36" s="1287"/>
      <c r="H36" s="1287"/>
      <c r="I36" s="889">
        <v>1</v>
      </c>
      <c r="J36" s="544"/>
      <c r="K36" s="1287"/>
      <c r="L36" s="1289"/>
      <c r="M36" s="1287"/>
      <c r="N36" s="1287"/>
      <c r="O36" s="1287"/>
      <c r="P36" s="478"/>
      <c r="Q36" s="1287"/>
      <c r="R36" s="1287"/>
      <c r="S36" s="1290"/>
      <c r="T36" s="1291"/>
      <c r="U36" s="1291"/>
      <c r="V36" s="1292"/>
      <c r="W36" s="1287"/>
      <c r="X36" s="1287"/>
      <c r="Y36" s="544"/>
      <c r="Z36" s="607" t="str">
        <f t="shared" si="0"/>
        <v>Public provider [Name]</v>
      </c>
      <c r="AA36" s="897"/>
      <c r="AB36" s="804"/>
      <c r="AC36" s="805"/>
      <c r="AD36" s="897"/>
      <c r="AE36" s="897"/>
      <c r="AF36" s="1701"/>
      <c r="AG36" s="1702"/>
      <c r="AH36" s="1701"/>
      <c r="AI36" s="1702"/>
      <c r="AJ36" s="1716"/>
      <c r="AK36" s="1717"/>
      <c r="AL36" s="896"/>
      <c r="AM36" s="889"/>
      <c r="AN36" s="1701"/>
      <c r="AO36" s="1702"/>
      <c r="AP36" s="1701"/>
      <c r="AQ36" s="1702"/>
      <c r="AR36" s="1701"/>
      <c r="AS36" s="1702"/>
      <c r="AT36" s="544"/>
      <c r="AU36" s="544"/>
      <c r="AV36" s="544"/>
      <c r="AW36" s="544"/>
      <c r="AX36" s="544"/>
      <c r="AY36" s="544"/>
      <c r="AZ36" s="544"/>
      <c r="BA36" s="544"/>
      <c r="BB36" s="544"/>
      <c r="BC36" s="544"/>
      <c r="BD36" s="544"/>
      <c r="BE36" s="544"/>
      <c r="BF36" s="544"/>
      <c r="BG36" s="544"/>
      <c r="BH36" s="544"/>
      <c r="BI36" s="544"/>
    </row>
    <row r="37" spans="1:61" ht="17.149999999999999" customHeight="1" x14ac:dyDescent="0.35">
      <c r="A37" s="563"/>
      <c r="B37" s="888" t="s">
        <v>348</v>
      </c>
      <c r="C37" s="1701" t="s">
        <v>349</v>
      </c>
      <c r="D37" s="1702"/>
      <c r="E37" s="1482">
        <f>405.175</f>
        <v>405.17500000000001</v>
      </c>
      <c r="F37" s="1482" t="s">
        <v>350</v>
      </c>
      <c r="G37" s="1287"/>
      <c r="H37" s="1287"/>
      <c r="I37" s="889">
        <v>1</v>
      </c>
      <c r="J37" s="544"/>
      <c r="K37" s="1288">
        <v>300</v>
      </c>
      <c r="L37" s="1289">
        <v>1500</v>
      </c>
      <c r="M37" s="1288">
        <v>500</v>
      </c>
      <c r="N37" s="1287" t="s">
        <v>324</v>
      </c>
      <c r="O37" s="1287" t="s">
        <v>351</v>
      </c>
      <c r="P37" s="478"/>
      <c r="Q37" s="1287" t="s">
        <v>323</v>
      </c>
      <c r="R37" s="1287" t="s">
        <v>323</v>
      </c>
      <c r="S37" s="1290" t="s">
        <v>352</v>
      </c>
      <c r="T37" s="1291"/>
      <c r="U37" s="1291"/>
      <c r="V37" s="1292"/>
      <c r="W37" s="1287" t="s">
        <v>353</v>
      </c>
      <c r="X37" s="1287">
        <f>300*2</f>
        <v>600</v>
      </c>
      <c r="Y37" s="544"/>
      <c r="Z37" s="607" t="str">
        <f t="shared" si="0"/>
        <v>300 providers (approx)</v>
      </c>
      <c r="AA37" s="897" t="s">
        <v>323</v>
      </c>
      <c r="AB37" s="804"/>
      <c r="AC37" s="805"/>
      <c r="AD37" s="622"/>
      <c r="AE37" s="622"/>
      <c r="AF37" s="1701"/>
      <c r="AG37" s="1702"/>
      <c r="AH37" s="1701" t="s">
        <v>354</v>
      </c>
      <c r="AI37" s="1702"/>
      <c r="AJ37" s="1716" t="s">
        <v>355</v>
      </c>
      <c r="AK37" s="1717"/>
      <c r="AL37" s="614"/>
      <c r="AM37" s="579"/>
      <c r="AN37" s="1703"/>
      <c r="AO37" s="1703"/>
      <c r="AP37" s="1703"/>
      <c r="AQ37" s="1703"/>
      <c r="AR37" s="1703"/>
      <c r="AS37" s="1703"/>
      <c r="AT37" s="544"/>
      <c r="AU37" s="544"/>
      <c r="AV37" s="544"/>
      <c r="AW37" s="544"/>
      <c r="AX37" s="544"/>
      <c r="AY37" s="544"/>
      <c r="AZ37" s="544"/>
      <c r="BA37" s="544"/>
      <c r="BB37" s="544"/>
      <c r="BC37" s="544"/>
      <c r="BD37" s="544"/>
      <c r="BE37" s="544"/>
      <c r="BF37" s="544"/>
      <c r="BG37" s="544"/>
      <c r="BH37" s="544"/>
      <c r="BI37" s="544"/>
    </row>
    <row r="38" spans="1:61" ht="17.149999999999999" customHeight="1" x14ac:dyDescent="0.35">
      <c r="A38" s="563"/>
      <c r="B38" s="888" t="s">
        <v>356</v>
      </c>
      <c r="C38" s="1701"/>
      <c r="D38" s="1702"/>
      <c r="E38" s="1482"/>
      <c r="F38" s="1482"/>
      <c r="G38" s="1287"/>
      <c r="H38" s="1287"/>
      <c r="I38" s="889">
        <v>1</v>
      </c>
      <c r="J38" s="544"/>
      <c r="K38" s="1287"/>
      <c r="L38" s="1289"/>
      <c r="M38" s="1287"/>
      <c r="N38" s="1287"/>
      <c r="O38" s="1287"/>
      <c r="P38" s="478"/>
      <c r="Q38" s="1287"/>
      <c r="R38" s="1287"/>
      <c r="S38" s="1290"/>
      <c r="T38" s="1291"/>
      <c r="U38" s="1291"/>
      <c r="V38" s="1292"/>
      <c r="W38" s="1287"/>
      <c r="X38" s="1287"/>
      <c r="Y38" s="544"/>
      <c r="Z38" s="607" t="str">
        <f t="shared" si="0"/>
        <v>Private provider 2 [Name]</v>
      </c>
      <c r="AA38" s="897"/>
      <c r="AB38" s="804"/>
      <c r="AC38" s="805"/>
      <c r="AD38" s="897"/>
      <c r="AE38" s="897"/>
      <c r="AF38" s="1701"/>
      <c r="AG38" s="1702"/>
      <c r="AH38" s="1701"/>
      <c r="AI38" s="1702"/>
      <c r="AJ38" s="1716"/>
      <c r="AK38" s="1717"/>
      <c r="AL38" s="889"/>
      <c r="AM38" s="889"/>
      <c r="AN38" s="1701"/>
      <c r="AO38" s="1702"/>
      <c r="AP38" s="1701"/>
      <c r="AQ38" s="1702"/>
      <c r="AR38" s="1701"/>
      <c r="AS38" s="1702"/>
      <c r="AT38" s="544"/>
      <c r="AU38" s="544"/>
      <c r="AV38" s="544"/>
      <c r="AW38" s="544"/>
      <c r="AX38" s="544"/>
      <c r="AY38" s="544"/>
      <c r="AZ38" s="544"/>
      <c r="BA38" s="544"/>
      <c r="BB38" s="544"/>
      <c r="BC38" s="544"/>
      <c r="BD38" s="544"/>
      <c r="BE38" s="544"/>
      <c r="BF38" s="544"/>
      <c r="BG38" s="544"/>
      <c r="BH38" s="544"/>
      <c r="BI38" s="544"/>
    </row>
    <row r="39" spans="1:61" ht="17.149999999999999" customHeight="1" x14ac:dyDescent="0.35">
      <c r="A39" s="563"/>
      <c r="B39" s="888" t="s">
        <v>357</v>
      </c>
      <c r="C39" s="1701"/>
      <c r="D39" s="1702"/>
      <c r="E39" s="1482"/>
      <c r="F39" s="1482"/>
      <c r="G39" s="1287"/>
      <c r="H39" s="1287"/>
      <c r="I39" s="889">
        <v>1</v>
      </c>
      <c r="J39" s="544"/>
      <c r="K39" s="1287"/>
      <c r="L39" s="1289"/>
      <c r="M39" s="1287"/>
      <c r="N39" s="1287"/>
      <c r="O39" s="1287"/>
      <c r="P39" s="478"/>
      <c r="Q39" s="1287"/>
      <c r="R39" s="1287"/>
      <c r="S39" s="1290"/>
      <c r="T39" s="1291"/>
      <c r="U39" s="1291"/>
      <c r="V39" s="1292"/>
      <c r="W39" s="1287"/>
      <c r="X39" s="1287"/>
      <c r="Y39" s="544"/>
      <c r="Z39" s="607" t="str">
        <f t="shared" si="0"/>
        <v>Private provider 3 [Name]</v>
      </c>
      <c r="AA39" s="897"/>
      <c r="AB39" s="804"/>
      <c r="AC39" s="805"/>
      <c r="AD39" s="897"/>
      <c r="AE39" s="897"/>
      <c r="AF39" s="1701"/>
      <c r="AG39" s="1702"/>
      <c r="AH39" s="1712"/>
      <c r="AI39" s="1713"/>
      <c r="AJ39" s="1714"/>
      <c r="AK39" s="1715"/>
      <c r="AL39" s="889"/>
      <c r="AM39" s="889"/>
      <c r="AN39" s="1700"/>
      <c r="AO39" s="1700"/>
      <c r="AP39" s="1700"/>
      <c r="AQ39" s="1700"/>
      <c r="AR39" s="1700"/>
      <c r="AS39" s="1700"/>
      <c r="AT39" s="544"/>
      <c r="AU39" s="544"/>
      <c r="AV39" s="544"/>
      <c r="AW39" s="544"/>
      <c r="AX39" s="544"/>
      <c r="AY39" s="544"/>
      <c r="AZ39" s="544"/>
      <c r="BA39" s="544"/>
      <c r="BB39" s="544"/>
      <c r="BC39" s="544"/>
      <c r="BD39" s="544"/>
      <c r="BE39" s="544"/>
      <c r="BF39" s="544"/>
      <c r="BG39" s="544"/>
      <c r="BH39" s="544"/>
      <c r="BI39" s="544"/>
    </row>
    <row r="40" spans="1:61" ht="17.149999999999999" customHeight="1" x14ac:dyDescent="0.35">
      <c r="A40" s="563"/>
      <c r="B40" s="888" t="s">
        <v>358</v>
      </c>
      <c r="C40" s="1701"/>
      <c r="D40" s="1702"/>
      <c r="E40" s="1482"/>
      <c r="F40" s="1482"/>
      <c r="G40" s="1287"/>
      <c r="H40" s="1287"/>
      <c r="I40" s="889">
        <v>1</v>
      </c>
      <c r="J40" s="544"/>
      <c r="K40" s="1287"/>
      <c r="L40" s="1289"/>
      <c r="M40" s="1287"/>
      <c r="N40" s="1287"/>
      <c r="O40" s="1287"/>
      <c r="P40" s="478"/>
      <c r="Q40" s="1287"/>
      <c r="R40" s="1287"/>
      <c r="S40" s="1290"/>
      <c r="T40" s="1291"/>
      <c r="U40" s="1291"/>
      <c r="V40" s="1292"/>
      <c r="W40" s="1287"/>
      <c r="X40" s="1287"/>
      <c r="Y40" s="544"/>
      <c r="Z40" s="607" t="str">
        <f t="shared" si="0"/>
        <v>Private provider 4 [Name]</v>
      </c>
      <c r="AA40" s="897"/>
      <c r="AB40" s="804"/>
      <c r="AC40" s="805"/>
      <c r="AD40" s="897"/>
      <c r="AE40" s="897"/>
      <c r="AF40" s="1701"/>
      <c r="AG40" s="1702"/>
      <c r="AH40" s="1701"/>
      <c r="AI40" s="1702"/>
      <c r="AJ40" s="1716"/>
      <c r="AK40" s="1717"/>
      <c r="AL40" s="896"/>
      <c r="AM40" s="889"/>
      <c r="AN40" s="1701"/>
      <c r="AO40" s="1702"/>
      <c r="AP40" s="1701"/>
      <c r="AQ40" s="1702"/>
      <c r="AR40" s="1701"/>
      <c r="AS40" s="1702"/>
      <c r="AT40" s="544"/>
      <c r="AU40" s="544"/>
      <c r="AV40" s="544"/>
      <c r="AW40" s="544"/>
      <c r="AX40" s="544"/>
      <c r="AY40" s="544"/>
      <c r="AZ40" s="544"/>
      <c r="BA40" s="544"/>
      <c r="BB40" s="544"/>
      <c r="BC40" s="544"/>
      <c r="BD40" s="544"/>
      <c r="BE40" s="544"/>
      <c r="BF40" s="544"/>
      <c r="BG40" s="544"/>
      <c r="BH40" s="544"/>
      <c r="BI40" s="544"/>
    </row>
    <row r="41" spans="1:61" ht="17.149999999999999" customHeight="1" x14ac:dyDescent="0.35">
      <c r="A41" s="563"/>
      <c r="B41" s="888" t="s">
        <v>359</v>
      </c>
      <c r="C41" s="1701"/>
      <c r="D41" s="1702"/>
      <c r="E41" s="1482"/>
      <c r="F41" s="1482"/>
      <c r="G41" s="1287"/>
      <c r="H41" s="1287"/>
      <c r="I41" s="889">
        <v>1</v>
      </c>
      <c r="J41" s="544"/>
      <c r="K41" s="1288"/>
      <c r="L41" s="1289"/>
      <c r="M41" s="1288"/>
      <c r="N41" s="1287"/>
      <c r="O41" s="1287"/>
      <c r="P41" s="478"/>
      <c r="Q41" s="1287"/>
      <c r="R41" s="1287"/>
      <c r="S41" s="1290"/>
      <c r="T41" s="1291"/>
      <c r="U41" s="1291"/>
      <c r="V41" s="1292"/>
      <c r="W41" s="1287"/>
      <c r="X41" s="1287"/>
      <c r="Y41" s="544"/>
      <c r="Z41" s="607" t="str">
        <f t="shared" si="0"/>
        <v>Private provider 5 [Name]</v>
      </c>
      <c r="AA41" s="897"/>
      <c r="AB41" s="804"/>
      <c r="AC41" s="805"/>
      <c r="AD41" s="897"/>
      <c r="AE41" s="897"/>
      <c r="AF41" s="1701"/>
      <c r="AG41" s="1702"/>
      <c r="AH41" s="1701"/>
      <c r="AI41" s="1702"/>
      <c r="AJ41" s="1716"/>
      <c r="AK41" s="1717"/>
      <c r="AL41" s="896"/>
      <c r="AM41" s="889"/>
      <c r="AN41" s="1700"/>
      <c r="AO41" s="1700"/>
      <c r="AP41" s="1700"/>
      <c r="AQ41" s="1700"/>
      <c r="AR41" s="1700"/>
      <c r="AS41" s="1700"/>
      <c r="AT41" s="544"/>
      <c r="AU41" s="544"/>
      <c r="AV41" s="544"/>
      <c r="AW41" s="544"/>
      <c r="AX41" s="544"/>
      <c r="AY41" s="544"/>
      <c r="AZ41" s="544"/>
      <c r="BA41" s="544"/>
      <c r="BB41" s="544"/>
      <c r="BC41" s="544"/>
      <c r="BD41" s="544"/>
      <c r="BE41" s="544"/>
      <c r="BF41" s="544"/>
      <c r="BG41" s="544"/>
      <c r="BH41" s="544"/>
      <c r="BI41" s="544"/>
    </row>
    <row r="42" spans="1:61" ht="17.149999999999999" customHeight="1" x14ac:dyDescent="0.35">
      <c r="A42" s="563"/>
      <c r="B42" s="888" t="s">
        <v>360</v>
      </c>
      <c r="C42" s="1701"/>
      <c r="D42" s="1702"/>
      <c r="E42" s="1482"/>
      <c r="F42" s="1482"/>
      <c r="G42" s="1287"/>
      <c r="H42" s="1287"/>
      <c r="I42" s="889">
        <v>1</v>
      </c>
      <c r="J42" s="544"/>
      <c r="K42" s="1287"/>
      <c r="L42" s="1289"/>
      <c r="M42" s="1287"/>
      <c r="N42" s="1287"/>
      <c r="O42" s="1287"/>
      <c r="P42" s="478"/>
      <c r="Q42" s="1287"/>
      <c r="R42" s="1287"/>
      <c r="S42" s="1290"/>
      <c r="T42" s="1291"/>
      <c r="U42" s="1291"/>
      <c r="V42" s="1292"/>
      <c r="W42" s="1287"/>
      <c r="X42" s="1287"/>
      <c r="Y42" s="544"/>
      <c r="Z42" s="607" t="str">
        <f t="shared" si="0"/>
        <v>Private provider 6 [Name]</v>
      </c>
      <c r="AA42" s="897"/>
      <c r="AB42" s="804"/>
      <c r="AC42" s="805"/>
      <c r="AD42" s="897"/>
      <c r="AE42" s="897"/>
      <c r="AF42" s="1701"/>
      <c r="AG42" s="1702"/>
      <c r="AH42" s="1701"/>
      <c r="AI42" s="1702"/>
      <c r="AJ42" s="1716"/>
      <c r="AK42" s="1717"/>
      <c r="AL42" s="889"/>
      <c r="AM42" s="889"/>
      <c r="AN42" s="1701"/>
      <c r="AO42" s="1702"/>
      <c r="AP42" s="1701"/>
      <c r="AQ42" s="1702"/>
      <c r="AR42" s="1701"/>
      <c r="AS42" s="1702"/>
      <c r="AT42" s="544"/>
      <c r="AU42" s="544"/>
      <c r="AV42" s="544"/>
      <c r="AW42" s="544"/>
      <c r="AX42" s="544"/>
      <c r="AY42" s="544"/>
      <c r="AZ42" s="544"/>
      <c r="BA42" s="544"/>
      <c r="BB42" s="544"/>
      <c r="BC42" s="544"/>
      <c r="BD42" s="544"/>
      <c r="BE42" s="544"/>
      <c r="BF42" s="544"/>
      <c r="BG42" s="544"/>
      <c r="BH42" s="544"/>
      <c r="BI42" s="544"/>
    </row>
    <row r="43" spans="1:61" ht="17.149999999999999" customHeight="1" x14ac:dyDescent="0.35">
      <c r="A43" s="563"/>
      <c r="B43" s="583" t="s">
        <v>361</v>
      </c>
      <c r="C43" s="1709"/>
      <c r="D43" s="1709"/>
      <c r="E43" s="1488">
        <f>SUM(E35:E38)</f>
        <v>405.17500000000001</v>
      </c>
      <c r="F43" s="1488"/>
      <c r="G43" s="1488">
        <f>SUM(G35:G38)</f>
        <v>0</v>
      </c>
      <c r="H43" s="581"/>
      <c r="I43" s="809"/>
      <c r="J43" s="549"/>
      <c r="K43" s="585"/>
      <c r="L43" s="585"/>
      <c r="M43" s="585"/>
      <c r="N43" s="585"/>
      <c r="O43" s="585"/>
      <c r="P43" s="590"/>
      <c r="Q43" s="611"/>
      <c r="R43" s="611"/>
      <c r="S43" s="612"/>
      <c r="T43" s="612"/>
      <c r="U43" s="612"/>
      <c r="V43" s="612"/>
      <c r="W43" s="611"/>
      <c r="X43" s="611"/>
      <c r="Y43" s="544"/>
      <c r="Z43" s="608"/>
      <c r="AA43" s="608"/>
      <c r="AB43" s="608"/>
      <c r="AC43" s="608"/>
      <c r="AD43" s="608"/>
      <c r="AE43" s="608"/>
      <c r="AF43" s="1693"/>
      <c r="AG43" s="1693"/>
      <c r="AH43" s="1693"/>
      <c r="AI43" s="1693"/>
      <c r="AJ43" s="1693"/>
      <c r="AK43" s="1693"/>
      <c r="AL43" s="608"/>
      <c r="AM43" s="608"/>
      <c r="AN43" s="1693"/>
      <c r="AO43" s="1693"/>
      <c r="AP43" s="1693"/>
      <c r="AQ43" s="1693"/>
      <c r="AR43" s="1693"/>
      <c r="AS43" s="1693"/>
      <c r="AT43" s="544"/>
      <c r="AU43" s="544"/>
      <c r="AV43" s="544"/>
      <c r="AW43" s="544"/>
      <c r="AX43" s="544"/>
      <c r="AY43" s="544"/>
      <c r="AZ43" s="544"/>
      <c r="BA43" s="544"/>
      <c r="BB43" s="544"/>
      <c r="BC43" s="544"/>
      <c r="BD43" s="544"/>
      <c r="BE43" s="544"/>
      <c r="BF43" s="544"/>
      <c r="BG43" s="544"/>
      <c r="BH43" s="544"/>
      <c r="BI43" s="544"/>
    </row>
    <row r="44" spans="1:61" s="3" customFormat="1" ht="17.149999999999999" customHeight="1" x14ac:dyDescent="0.35">
      <c r="A44" s="645"/>
      <c r="B44" s="650"/>
      <c r="C44" s="650"/>
      <c r="D44" s="650"/>
      <c r="E44" s="679"/>
      <c r="F44" s="679"/>
      <c r="G44" s="679"/>
      <c r="H44" s="679"/>
      <c r="I44" s="661"/>
      <c r="J44" s="661"/>
      <c r="K44" s="489"/>
      <c r="L44" s="489"/>
      <c r="M44" s="489"/>
      <c r="N44" s="489"/>
      <c r="O44" s="489"/>
      <c r="P44" s="478"/>
      <c r="Q44" s="478"/>
      <c r="R44" s="478"/>
      <c r="S44" s="478"/>
      <c r="T44" s="478"/>
      <c r="U44" s="478"/>
      <c r="V44" s="478"/>
      <c r="W44" s="478"/>
      <c r="X44" s="478"/>
      <c r="Y44" s="478"/>
      <c r="Z44" s="478"/>
      <c r="AA44" s="478"/>
      <c r="AB44" s="478"/>
      <c r="AC44" s="478"/>
      <c r="AD44" s="478"/>
      <c r="AE44" s="478"/>
      <c r="AF44" s="478"/>
      <c r="AG44" s="478"/>
      <c r="AH44" s="478"/>
      <c r="AI44" s="478"/>
      <c r="AJ44" s="478"/>
      <c r="AK44" s="478"/>
      <c r="AL44" s="478"/>
      <c r="AM44" s="478"/>
      <c r="AN44" s="478"/>
      <c r="AO44" s="478"/>
      <c r="AP44" s="478"/>
      <c r="AQ44" s="478"/>
      <c r="AR44" s="478"/>
      <c r="AS44" s="478"/>
      <c r="AT44" s="478"/>
      <c r="AU44" s="478"/>
      <c r="AV44" s="478"/>
      <c r="AW44" s="478"/>
      <c r="AX44" s="478"/>
      <c r="AY44" s="478"/>
      <c r="AZ44" s="478"/>
      <c r="BA44" s="478"/>
      <c r="BB44" s="478"/>
      <c r="BC44" s="478"/>
      <c r="BD44" s="478"/>
      <c r="BE44" s="478"/>
      <c r="BF44" s="478"/>
      <c r="BG44" s="478"/>
      <c r="BH44" s="478"/>
      <c r="BI44" s="478"/>
    </row>
    <row r="45" spans="1:61" s="3" customFormat="1" ht="17.149999999999999" customHeight="1" x14ac:dyDescent="0.35">
      <c r="A45" s="645"/>
      <c r="B45" s="650"/>
      <c r="C45" s="650"/>
      <c r="D45" s="650"/>
      <c r="E45" s="679"/>
      <c r="F45" s="679"/>
      <c r="G45" s="679"/>
      <c r="H45" s="679"/>
      <c r="I45" s="661"/>
      <c r="J45" s="661"/>
      <c r="K45" s="489"/>
      <c r="L45" s="489"/>
      <c r="M45" s="489"/>
      <c r="N45" s="489"/>
      <c r="O45" s="489"/>
      <c r="P45" s="478"/>
      <c r="Q45" s="478"/>
      <c r="R45" s="478"/>
      <c r="S45" s="478"/>
      <c r="T45" s="478"/>
      <c r="U45" s="478"/>
      <c r="V45" s="478"/>
      <c r="W45" s="478"/>
      <c r="X45" s="478"/>
      <c r="Y45" s="478"/>
      <c r="Z45" s="478"/>
      <c r="AA45" s="478"/>
      <c r="AB45" s="478"/>
      <c r="AC45" s="478"/>
      <c r="AD45" s="478"/>
      <c r="AE45" s="478"/>
      <c r="AF45" s="478"/>
      <c r="AG45" s="478"/>
      <c r="AH45" s="478"/>
      <c r="AI45" s="478"/>
      <c r="AJ45" s="478"/>
      <c r="AK45" s="478"/>
      <c r="AL45" s="478"/>
      <c r="AM45" s="478"/>
      <c r="AN45" s="478"/>
      <c r="AO45" s="478"/>
      <c r="AP45" s="478"/>
      <c r="AQ45" s="478"/>
      <c r="AR45" s="478"/>
      <c r="AS45" s="478"/>
      <c r="AT45" s="478"/>
      <c r="AU45" s="478"/>
      <c r="AV45" s="478"/>
      <c r="AW45" s="478"/>
      <c r="AX45" s="478"/>
      <c r="AY45" s="478"/>
      <c r="AZ45" s="478"/>
      <c r="BA45" s="478"/>
      <c r="BB45" s="478"/>
      <c r="BC45" s="478"/>
      <c r="BD45" s="478"/>
      <c r="BE45" s="478"/>
      <c r="BF45" s="478"/>
      <c r="BG45" s="478"/>
      <c r="BH45" s="478"/>
      <c r="BI45" s="478"/>
    </row>
    <row r="46" spans="1:61" s="3" customFormat="1" ht="17.149999999999999" customHeight="1" x14ac:dyDescent="0.35">
      <c r="A46" s="645"/>
      <c r="B46" s="478"/>
      <c r="C46" s="478"/>
      <c r="D46" s="478"/>
      <c r="E46" s="478"/>
      <c r="F46" s="478"/>
      <c r="G46" s="478"/>
      <c r="H46" s="478"/>
      <c r="I46" s="478"/>
      <c r="J46" s="478"/>
      <c r="K46" s="478"/>
      <c r="L46" s="478"/>
      <c r="M46" s="478"/>
      <c r="N46" s="478"/>
      <c r="O46" s="478"/>
      <c r="P46" s="478"/>
      <c r="Q46" s="478"/>
      <c r="R46" s="478"/>
      <c r="S46" s="478"/>
      <c r="T46" s="478"/>
      <c r="U46" s="478"/>
      <c r="V46" s="478"/>
      <c r="W46" s="478"/>
      <c r="X46" s="478"/>
      <c r="Y46" s="478"/>
      <c r="Z46" s="478"/>
      <c r="AA46" s="478"/>
      <c r="AB46" s="478"/>
      <c r="AC46" s="478"/>
      <c r="AD46" s="478"/>
      <c r="AE46" s="478"/>
      <c r="AF46" s="478"/>
      <c r="AG46" s="478"/>
      <c r="AH46" s="478"/>
      <c r="AI46" s="478"/>
      <c r="AJ46" s="478"/>
      <c r="AK46" s="478"/>
      <c r="AL46" s="478"/>
      <c r="AM46" s="478"/>
      <c r="AN46" s="478"/>
      <c r="AO46" s="478"/>
      <c r="AP46" s="478"/>
      <c r="AQ46" s="478"/>
      <c r="AR46" s="478"/>
      <c r="AS46" s="478"/>
      <c r="AT46" s="478"/>
      <c r="AU46" s="478"/>
      <c r="AV46" s="478"/>
      <c r="AW46" s="478"/>
      <c r="AX46" s="478"/>
      <c r="AY46" s="478"/>
      <c r="AZ46" s="478"/>
      <c r="BA46" s="478"/>
      <c r="BB46" s="478"/>
      <c r="BC46" s="478"/>
      <c r="BD46" s="478"/>
      <c r="BE46" s="478"/>
      <c r="BF46" s="478"/>
      <c r="BG46" s="478"/>
      <c r="BH46" s="478"/>
      <c r="BI46" s="478"/>
    </row>
    <row r="47" spans="1:61" ht="17.149999999999999" customHeight="1" x14ac:dyDescent="0.35">
      <c r="A47" s="563"/>
      <c r="B47" s="593" t="s">
        <v>362</v>
      </c>
      <c r="C47" s="1398" t="s">
        <v>9</v>
      </c>
      <c r="D47" s="544"/>
      <c r="E47" s="544"/>
      <c r="F47" s="544"/>
      <c r="G47" s="544"/>
      <c r="H47" s="544"/>
      <c r="I47" s="544"/>
      <c r="J47" s="544"/>
      <c r="K47" s="544"/>
      <c r="L47" s="544"/>
      <c r="M47" s="544"/>
      <c r="N47" s="544"/>
      <c r="O47" s="544"/>
      <c r="P47" s="544"/>
      <c r="Q47" s="544"/>
      <c r="R47" s="544"/>
      <c r="S47" s="544"/>
      <c r="T47" s="544"/>
      <c r="U47" s="544"/>
      <c r="V47" s="544"/>
      <c r="W47" s="544"/>
      <c r="X47" s="544"/>
      <c r="Y47" s="544"/>
      <c r="Z47" s="544"/>
      <c r="AA47" s="544"/>
      <c r="AB47" s="544"/>
      <c r="AC47" s="544"/>
      <c r="AD47" s="544"/>
      <c r="AE47" s="544"/>
      <c r="AF47" s="544"/>
      <c r="AG47" s="544"/>
      <c r="AH47" s="544"/>
      <c r="AI47" s="544"/>
      <c r="AJ47" s="544"/>
      <c r="AK47" s="544"/>
      <c r="AL47" s="544"/>
      <c r="AM47" s="544"/>
      <c r="AN47" s="544"/>
      <c r="AO47" s="544"/>
      <c r="AP47" s="544"/>
      <c r="AQ47" s="544"/>
      <c r="AR47" s="544"/>
      <c r="AS47" s="544"/>
      <c r="AT47" s="544"/>
      <c r="AU47" s="544"/>
      <c r="AV47" s="544"/>
      <c r="AW47" s="544"/>
      <c r="AX47" s="544"/>
      <c r="AY47" s="544"/>
      <c r="AZ47" s="544"/>
      <c r="BA47" s="544"/>
      <c r="BB47" s="544"/>
      <c r="BC47" s="544"/>
      <c r="BD47" s="544"/>
      <c r="BE47" s="544"/>
      <c r="BF47" s="544"/>
      <c r="BG47" s="544"/>
      <c r="BH47" s="544"/>
      <c r="BI47" s="544"/>
    </row>
    <row r="48" spans="1:61" ht="17.149999999999999" customHeight="1" x14ac:dyDescent="0.35">
      <c r="A48" s="563"/>
      <c r="B48" s="481" t="s">
        <v>363</v>
      </c>
      <c r="C48" s="887"/>
      <c r="D48" s="544"/>
      <c r="E48" s="544"/>
      <c r="F48" s="544"/>
      <c r="G48" s="544"/>
      <c r="H48" s="544"/>
      <c r="I48" s="544"/>
      <c r="J48" s="544"/>
      <c r="K48" s="544"/>
      <c r="L48" s="544"/>
      <c r="M48" s="544"/>
      <c r="N48" s="544"/>
      <c r="O48" s="544"/>
      <c r="P48" s="544"/>
      <c r="Q48" s="544"/>
      <c r="R48" s="544"/>
      <c r="S48" s="544"/>
      <c r="T48" s="544"/>
      <c r="U48" s="544"/>
      <c r="V48" s="544"/>
      <c r="W48" s="544"/>
      <c r="X48" s="544"/>
      <c r="Y48" s="544"/>
      <c r="Z48" s="544"/>
      <c r="AA48" s="544"/>
      <c r="AB48" s="544"/>
      <c r="AC48" s="544"/>
      <c r="AD48" s="544"/>
      <c r="AE48" s="544"/>
      <c r="AF48" s="544"/>
      <c r="AG48" s="544"/>
      <c r="AH48" s="544"/>
      <c r="AI48" s="544"/>
      <c r="AJ48" s="544"/>
      <c r="AK48" s="544"/>
      <c r="AL48" s="544"/>
      <c r="AM48" s="544"/>
      <c r="AN48" s="544"/>
      <c r="AO48" s="544"/>
      <c r="AP48" s="544"/>
      <c r="AQ48" s="544"/>
      <c r="AR48" s="544"/>
      <c r="AS48" s="544"/>
      <c r="AT48" s="544"/>
      <c r="AU48" s="544"/>
      <c r="AV48" s="544"/>
      <c r="AW48" s="544"/>
      <c r="AX48" s="544"/>
      <c r="AY48" s="544"/>
      <c r="AZ48" s="544"/>
      <c r="BA48" s="544"/>
      <c r="BB48" s="544"/>
      <c r="BC48" s="544"/>
      <c r="BD48" s="544"/>
      <c r="BE48" s="544"/>
      <c r="BF48" s="544"/>
      <c r="BG48" s="544"/>
      <c r="BH48" s="544"/>
      <c r="BI48" s="544"/>
    </row>
    <row r="49" spans="1:61" ht="17.149999999999999" customHeight="1" x14ac:dyDescent="0.35">
      <c r="A49" s="563"/>
      <c r="B49" s="481" t="s">
        <v>364</v>
      </c>
      <c r="C49" s="887"/>
      <c r="D49" s="544"/>
      <c r="E49" s="544"/>
      <c r="F49" s="544"/>
      <c r="G49" s="544"/>
      <c r="H49" s="544"/>
      <c r="I49" s="544"/>
      <c r="J49" s="544"/>
      <c r="K49" s="544"/>
      <c r="L49" s="544"/>
      <c r="M49" s="544"/>
      <c r="N49" s="544"/>
      <c r="O49" s="544"/>
      <c r="P49" s="544"/>
      <c r="Q49" s="544"/>
      <c r="R49" s="544"/>
      <c r="S49" s="544"/>
      <c r="T49" s="544"/>
      <c r="U49" s="544"/>
      <c r="V49" s="544"/>
      <c r="W49" s="544"/>
      <c r="X49" s="544"/>
      <c r="Y49" s="544"/>
      <c r="Z49" s="544"/>
      <c r="AA49" s="544"/>
      <c r="AB49" s="544"/>
      <c r="AC49" s="544"/>
      <c r="AD49" s="544"/>
      <c r="AE49" s="544"/>
      <c r="AF49" s="544"/>
      <c r="AG49" s="544"/>
      <c r="AH49" s="544"/>
      <c r="AI49" s="544"/>
      <c r="AJ49" s="544"/>
      <c r="AK49" s="544"/>
      <c r="AL49" s="544"/>
      <c r="AM49" s="544"/>
      <c r="AN49" s="544"/>
      <c r="AO49" s="544"/>
      <c r="AP49" s="544"/>
      <c r="AQ49" s="544"/>
      <c r="AR49" s="544"/>
      <c r="AS49" s="544"/>
      <c r="AT49" s="544"/>
      <c r="AU49" s="544"/>
      <c r="AV49" s="544"/>
      <c r="AW49" s="544"/>
      <c r="AX49" s="544"/>
      <c r="AY49" s="544"/>
      <c r="AZ49" s="544"/>
      <c r="BA49" s="544"/>
      <c r="BB49" s="544"/>
      <c r="BC49" s="544"/>
      <c r="BD49" s="544"/>
      <c r="BE49" s="544"/>
      <c r="BF49" s="544"/>
      <c r="BG49" s="544"/>
      <c r="BH49" s="544"/>
      <c r="BI49" s="544"/>
    </row>
    <row r="50" spans="1:61" ht="17.149999999999999" customHeight="1" x14ac:dyDescent="0.35">
      <c r="A50" s="563"/>
      <c r="B50" s="481" t="s">
        <v>365</v>
      </c>
      <c r="C50" s="887"/>
      <c r="D50" s="544"/>
      <c r="E50" s="544"/>
      <c r="F50" s="544"/>
      <c r="G50" s="544"/>
      <c r="H50" s="544"/>
      <c r="I50" s="544"/>
      <c r="J50" s="544"/>
      <c r="K50" s="544"/>
      <c r="L50" s="544"/>
      <c r="M50" s="544"/>
      <c r="N50" s="544"/>
      <c r="O50" s="544"/>
      <c r="P50" s="544"/>
      <c r="Q50" s="544"/>
      <c r="R50" s="544"/>
      <c r="S50" s="544"/>
      <c r="T50" s="544"/>
      <c r="U50" s="544"/>
      <c r="V50" s="544"/>
      <c r="W50" s="544"/>
      <c r="X50" s="544"/>
      <c r="Y50" s="544"/>
      <c r="Z50" s="544"/>
      <c r="AA50" s="544"/>
      <c r="AB50" s="544"/>
      <c r="AC50" s="544"/>
      <c r="AD50" s="544"/>
      <c r="AE50" s="544"/>
      <c r="AF50" s="544"/>
      <c r="AG50" s="544"/>
      <c r="AH50" s="544"/>
      <c r="AI50" s="544"/>
      <c r="AJ50" s="544"/>
      <c r="AK50" s="544"/>
      <c r="AL50" s="544"/>
      <c r="AM50" s="544"/>
      <c r="AN50" s="544"/>
      <c r="AO50" s="544"/>
      <c r="AP50" s="544"/>
      <c r="AQ50" s="544"/>
      <c r="AR50" s="544"/>
      <c r="AS50" s="544"/>
      <c r="AT50" s="544"/>
      <c r="AU50" s="544"/>
      <c r="AV50" s="544"/>
      <c r="AW50" s="544"/>
      <c r="AX50" s="544"/>
      <c r="AY50" s="544"/>
      <c r="AZ50" s="544"/>
      <c r="BA50" s="544"/>
      <c r="BB50" s="544"/>
      <c r="BC50" s="544"/>
      <c r="BD50" s="544"/>
      <c r="BE50" s="544"/>
      <c r="BF50" s="544"/>
      <c r="BG50" s="544"/>
      <c r="BH50" s="544"/>
      <c r="BI50" s="544"/>
    </row>
    <row r="51" spans="1:61" ht="17.149999999999999" customHeight="1" x14ac:dyDescent="0.35">
      <c r="A51" s="563"/>
      <c r="B51" s="481" t="s">
        <v>366</v>
      </c>
      <c r="C51" s="887">
        <v>0.01</v>
      </c>
      <c r="D51" s="544"/>
      <c r="E51" s="544"/>
      <c r="F51" s="544"/>
      <c r="G51" s="544"/>
      <c r="H51" s="544"/>
      <c r="I51" s="544"/>
      <c r="J51" s="544"/>
      <c r="K51" s="544"/>
      <c r="L51" s="544"/>
      <c r="M51" s="544"/>
      <c r="N51" s="544"/>
      <c r="O51" s="544"/>
      <c r="P51" s="544"/>
      <c r="Q51" s="544"/>
      <c r="R51" s="544"/>
      <c r="S51" s="544"/>
      <c r="T51" s="544"/>
      <c r="U51" s="544"/>
      <c r="V51" s="544"/>
      <c r="W51" s="544"/>
      <c r="X51" s="544"/>
      <c r="Y51" s="544"/>
      <c r="Z51" s="544"/>
      <c r="AA51" s="544"/>
      <c r="AB51" s="544"/>
      <c r="AC51" s="544"/>
      <c r="AD51" s="544"/>
      <c r="AE51" s="544"/>
      <c r="AF51" s="544"/>
      <c r="AG51" s="544"/>
      <c r="AH51" s="544"/>
      <c r="AI51" s="544"/>
      <c r="AJ51" s="544"/>
      <c r="AK51" s="544"/>
      <c r="AL51" s="544"/>
      <c r="AM51" s="544"/>
      <c r="AN51" s="544"/>
      <c r="AO51" s="544"/>
      <c r="AP51" s="544"/>
      <c r="AQ51" s="544"/>
      <c r="AR51" s="544"/>
      <c r="AS51" s="544"/>
      <c r="AT51" s="544"/>
      <c r="AU51" s="544"/>
      <c r="AV51" s="544"/>
      <c r="AW51" s="544"/>
      <c r="AX51" s="544"/>
      <c r="AY51" s="544"/>
      <c r="AZ51" s="544"/>
      <c r="BA51" s="544"/>
      <c r="BB51" s="544"/>
      <c r="BC51" s="544"/>
      <c r="BD51" s="544"/>
      <c r="BE51" s="544"/>
      <c r="BF51" s="544"/>
      <c r="BG51" s="544"/>
      <c r="BH51" s="544"/>
      <c r="BI51" s="544"/>
    </row>
    <row r="52" spans="1:61" ht="17.149999999999999" customHeight="1" x14ac:dyDescent="0.35">
      <c r="A52" s="563"/>
      <c r="B52" s="533"/>
      <c r="C52" s="595"/>
      <c r="D52" s="544"/>
      <c r="E52" s="544"/>
      <c r="F52" s="544"/>
      <c r="G52" s="544"/>
      <c r="H52" s="544"/>
      <c r="I52" s="544"/>
      <c r="J52" s="544"/>
      <c r="K52" s="544"/>
      <c r="L52" s="544"/>
      <c r="M52" s="544"/>
      <c r="N52" s="544"/>
      <c r="O52" s="544"/>
      <c r="P52" s="544"/>
      <c r="Q52" s="544"/>
      <c r="R52" s="544"/>
      <c r="S52" s="544"/>
      <c r="T52" s="544"/>
      <c r="U52" s="544"/>
      <c r="V52" s="544"/>
      <c r="W52" s="544"/>
      <c r="X52" s="544"/>
      <c r="Y52" s="544"/>
      <c r="Z52" s="544"/>
      <c r="AA52" s="544"/>
      <c r="AB52" s="544"/>
      <c r="AC52" s="544"/>
      <c r="AD52" s="544"/>
      <c r="AE52" s="544"/>
      <c r="AF52" s="544"/>
      <c r="AG52" s="544"/>
      <c r="AH52" s="544"/>
      <c r="AI52" s="544"/>
      <c r="AJ52" s="544"/>
      <c r="AK52" s="544"/>
      <c r="AL52" s="544"/>
      <c r="AM52" s="544"/>
      <c r="AN52" s="544"/>
      <c r="AO52" s="544"/>
      <c r="AP52" s="544"/>
      <c r="AQ52" s="544"/>
      <c r="AR52" s="544"/>
      <c r="AS52" s="544"/>
      <c r="AT52" s="544"/>
      <c r="AU52" s="544"/>
      <c r="AV52" s="544"/>
      <c r="AW52" s="544"/>
      <c r="AX52" s="544"/>
      <c r="AY52" s="544"/>
      <c r="AZ52" s="544"/>
      <c r="BA52" s="544"/>
      <c r="BB52" s="544"/>
      <c r="BC52" s="544"/>
      <c r="BD52" s="544"/>
      <c r="BE52" s="544"/>
      <c r="BF52" s="544"/>
      <c r="BG52" s="544"/>
      <c r="BH52" s="544"/>
      <c r="BI52" s="544"/>
    </row>
    <row r="53" spans="1:61" ht="17.149999999999999" customHeight="1" x14ac:dyDescent="0.35">
      <c r="A53" s="563"/>
      <c r="B53" s="594" t="s">
        <v>367</v>
      </c>
      <c r="C53" s="596"/>
      <c r="D53" s="549"/>
      <c r="E53" s="544"/>
      <c r="F53" s="544"/>
      <c r="G53" s="544"/>
      <c r="H53" s="544"/>
      <c r="I53" s="544"/>
      <c r="J53" s="544"/>
      <c r="K53" s="544"/>
      <c r="L53" s="544"/>
      <c r="M53" s="544"/>
      <c r="N53" s="544"/>
      <c r="O53" s="544"/>
      <c r="P53" s="544"/>
      <c r="Q53" s="544"/>
      <c r="R53" s="544"/>
      <c r="S53" s="544"/>
      <c r="T53" s="544"/>
      <c r="U53" s="544"/>
      <c r="V53" s="544"/>
      <c r="W53" s="544"/>
      <c r="X53" s="544"/>
      <c r="Y53" s="544"/>
      <c r="Z53" s="544"/>
      <c r="AA53" s="544"/>
      <c r="AB53" s="544"/>
      <c r="AC53" s="544"/>
      <c r="AD53" s="544"/>
      <c r="AE53" s="544"/>
      <c r="AF53" s="544"/>
      <c r="AG53" s="544"/>
      <c r="AH53" s="544"/>
      <c r="AI53" s="544"/>
      <c r="AJ53" s="544"/>
      <c r="AK53" s="544"/>
      <c r="AL53" s="544"/>
      <c r="AM53" s="544"/>
      <c r="AN53" s="544"/>
      <c r="AO53" s="544"/>
      <c r="AP53" s="544"/>
      <c r="AQ53" s="544"/>
      <c r="AR53" s="544"/>
      <c r="AS53" s="544"/>
      <c r="AT53" s="544"/>
      <c r="AU53" s="544"/>
      <c r="AV53" s="544"/>
      <c r="AW53" s="544"/>
      <c r="AX53" s="544"/>
      <c r="AY53" s="544"/>
      <c r="AZ53" s="544"/>
      <c r="BA53" s="544"/>
      <c r="BB53" s="544"/>
      <c r="BC53" s="544"/>
      <c r="BD53" s="544"/>
      <c r="BE53" s="544"/>
      <c r="BF53" s="544"/>
      <c r="BG53" s="544"/>
      <c r="BH53" s="544"/>
      <c r="BI53" s="544"/>
    </row>
    <row r="54" spans="1:61" ht="17.149999999999999" customHeight="1" x14ac:dyDescent="0.35">
      <c r="A54" s="563"/>
      <c r="B54" s="481" t="s">
        <v>368</v>
      </c>
      <c r="C54" s="886">
        <v>0.1</v>
      </c>
      <c r="D54" s="544"/>
      <c r="E54" s="544"/>
      <c r="F54" s="544"/>
      <c r="G54" s="544"/>
      <c r="H54" s="544"/>
      <c r="I54" s="544"/>
      <c r="J54" s="544"/>
      <c r="K54" s="544"/>
      <c r="L54" s="544"/>
      <c r="M54" s="544"/>
      <c r="N54" s="544"/>
      <c r="O54" s="544"/>
      <c r="P54" s="544"/>
      <c r="Q54" s="544"/>
      <c r="R54" s="544"/>
      <c r="S54" s="544"/>
      <c r="T54" s="544"/>
      <c r="U54" s="544"/>
      <c r="V54" s="544"/>
      <c r="W54" s="544"/>
      <c r="X54" s="544"/>
      <c r="Y54" s="544"/>
      <c r="Z54" s="544"/>
      <c r="AA54" s="544"/>
      <c r="AB54" s="544"/>
      <c r="AC54" s="544"/>
      <c r="AD54" s="544"/>
      <c r="AE54" s="544"/>
      <c r="AF54" s="544"/>
      <c r="AG54" s="544"/>
      <c r="AH54" s="544"/>
      <c r="AI54" s="544"/>
      <c r="AJ54" s="544"/>
      <c r="AK54" s="544"/>
      <c r="AL54" s="544"/>
      <c r="AM54" s="544"/>
      <c r="AN54" s="544"/>
      <c r="AO54" s="544"/>
      <c r="AP54" s="544"/>
      <c r="AQ54" s="544"/>
      <c r="AR54" s="544"/>
      <c r="AS54" s="544"/>
      <c r="AT54" s="544"/>
      <c r="AU54" s="544"/>
      <c r="AV54" s="544"/>
      <c r="AW54" s="544"/>
      <c r="AX54" s="544"/>
      <c r="AY54" s="544"/>
      <c r="AZ54" s="544"/>
      <c r="BA54" s="544"/>
      <c r="BB54" s="544"/>
      <c r="BC54" s="544"/>
      <c r="BD54" s="544"/>
      <c r="BE54" s="544"/>
      <c r="BF54" s="544"/>
      <c r="BG54" s="544"/>
      <c r="BH54" s="544"/>
      <c r="BI54" s="544"/>
    </row>
    <row r="55" spans="1:61" ht="17.149999999999999" customHeight="1" x14ac:dyDescent="0.35">
      <c r="A55" s="563"/>
      <c r="B55" s="481" t="s">
        <v>369</v>
      </c>
      <c r="C55" s="886"/>
      <c r="D55" s="544"/>
      <c r="E55" s="544"/>
      <c r="F55" s="544"/>
      <c r="G55" s="544"/>
      <c r="H55" s="544"/>
      <c r="I55" s="544"/>
      <c r="J55" s="544"/>
      <c r="K55" s="544"/>
      <c r="L55" s="544"/>
      <c r="M55" s="544"/>
      <c r="N55" s="544"/>
      <c r="O55" s="544"/>
      <c r="P55" s="544"/>
      <c r="Q55" s="544"/>
      <c r="R55" s="544"/>
      <c r="S55" s="544"/>
      <c r="T55" s="544"/>
      <c r="U55" s="544"/>
      <c r="V55" s="544"/>
      <c r="W55" s="544"/>
      <c r="X55" s="544"/>
      <c r="Y55" s="544"/>
      <c r="Z55" s="544"/>
      <c r="AA55" s="544"/>
      <c r="AB55" s="544"/>
      <c r="AC55" s="544"/>
      <c r="AD55" s="544"/>
      <c r="AE55" s="544"/>
      <c r="AF55" s="544"/>
      <c r="AG55" s="544"/>
      <c r="AH55" s="544"/>
      <c r="AI55" s="544"/>
      <c r="AJ55" s="544"/>
      <c r="AK55" s="544"/>
      <c r="AL55" s="544"/>
      <c r="AM55" s="544"/>
      <c r="AN55" s="544"/>
      <c r="AO55" s="544"/>
      <c r="AP55" s="544"/>
      <c r="AQ55" s="544"/>
      <c r="AR55" s="544"/>
      <c r="AS55" s="544"/>
      <c r="AT55" s="544"/>
      <c r="AU55" s="544"/>
      <c r="AV55" s="544"/>
      <c r="AW55" s="544"/>
      <c r="AX55" s="544"/>
      <c r="AY55" s="544"/>
      <c r="AZ55" s="544"/>
      <c r="BA55" s="544"/>
      <c r="BB55" s="544"/>
      <c r="BC55" s="544"/>
      <c r="BD55" s="544"/>
      <c r="BE55" s="544"/>
      <c r="BF55" s="544"/>
      <c r="BG55" s="544"/>
      <c r="BH55" s="544"/>
      <c r="BI55" s="544"/>
    </row>
    <row r="56" spans="1:61" ht="17.149999999999999" customHeight="1" x14ac:dyDescent="0.35">
      <c r="A56" s="563"/>
      <c r="B56" s="544"/>
      <c r="C56" s="544"/>
      <c r="D56" s="544"/>
      <c r="E56" s="544"/>
      <c r="F56" s="544"/>
      <c r="G56" s="544"/>
      <c r="H56" s="544"/>
      <c r="I56" s="544"/>
      <c r="J56" s="544"/>
      <c r="K56" s="544"/>
      <c r="L56" s="544"/>
      <c r="M56" s="544"/>
      <c r="N56" s="544"/>
      <c r="O56" s="544"/>
      <c r="P56" s="544"/>
      <c r="Q56" s="544"/>
      <c r="R56" s="544"/>
      <c r="S56" s="544"/>
      <c r="T56" s="544"/>
      <c r="U56" s="544"/>
      <c r="V56" s="544"/>
      <c r="W56" s="544"/>
      <c r="X56" s="544"/>
      <c r="Y56" s="544"/>
      <c r="Z56" s="544"/>
      <c r="AA56" s="544"/>
      <c r="AB56" s="544"/>
      <c r="AC56" s="544"/>
      <c r="AD56" s="544"/>
      <c r="AE56" s="544"/>
      <c r="AF56" s="544"/>
      <c r="AG56" s="544"/>
      <c r="AH56" s="544"/>
      <c r="AI56" s="544"/>
      <c r="AJ56" s="544"/>
      <c r="AK56" s="544"/>
      <c r="AL56" s="544"/>
      <c r="AM56" s="544"/>
      <c r="AN56" s="544"/>
      <c r="AO56" s="544"/>
      <c r="AP56" s="544"/>
      <c r="AQ56" s="544"/>
      <c r="AR56" s="544"/>
      <c r="AS56" s="544"/>
      <c r="AT56" s="544"/>
      <c r="AU56" s="544"/>
      <c r="AV56" s="544"/>
      <c r="AW56" s="544"/>
      <c r="AX56" s="544"/>
      <c r="AY56" s="544"/>
      <c r="AZ56" s="544"/>
      <c r="BA56" s="544"/>
      <c r="BB56" s="544"/>
      <c r="BC56" s="544"/>
      <c r="BD56" s="544"/>
      <c r="BE56" s="544"/>
      <c r="BF56" s="544"/>
      <c r="BG56" s="544"/>
      <c r="BH56" s="544"/>
      <c r="BI56" s="544"/>
    </row>
    <row r="57" spans="1:61" ht="17.149999999999999" customHeight="1" x14ac:dyDescent="0.35">
      <c r="A57" s="563"/>
      <c r="B57" s="544"/>
      <c r="C57" s="544"/>
      <c r="D57" s="544"/>
      <c r="E57" s="544"/>
      <c r="F57" s="544"/>
      <c r="G57" s="544"/>
      <c r="H57" s="544"/>
      <c r="I57" s="544"/>
      <c r="J57" s="544"/>
      <c r="K57" s="544"/>
      <c r="L57" s="544"/>
      <c r="M57" s="544"/>
      <c r="N57" s="544"/>
      <c r="O57" s="544"/>
      <c r="P57" s="544"/>
      <c r="Q57" s="544"/>
      <c r="R57" s="544"/>
      <c r="S57" s="544"/>
      <c r="T57" s="544"/>
      <c r="U57" s="544"/>
      <c r="V57" s="544"/>
      <c r="W57" s="544"/>
      <c r="X57" s="544"/>
      <c r="Y57" s="544"/>
      <c r="Z57" s="544"/>
      <c r="AA57" s="544"/>
      <c r="AB57" s="544"/>
      <c r="AC57" s="544"/>
      <c r="AD57" s="544"/>
      <c r="AE57" s="544"/>
      <c r="AF57" s="544"/>
      <c r="AG57" s="544"/>
      <c r="AH57" s="544"/>
      <c r="AI57" s="544"/>
      <c r="AJ57" s="544"/>
      <c r="AK57" s="544"/>
      <c r="AL57" s="544"/>
      <c r="AM57" s="544"/>
      <c r="AN57" s="544"/>
      <c r="AO57" s="544"/>
      <c r="AP57" s="544"/>
      <c r="AQ57" s="544"/>
      <c r="AR57" s="544"/>
      <c r="AS57" s="544"/>
      <c r="AT57" s="544"/>
      <c r="AU57" s="544"/>
      <c r="AV57" s="544"/>
      <c r="AW57" s="544"/>
      <c r="AX57" s="544"/>
      <c r="AY57" s="544"/>
      <c r="AZ57" s="544"/>
      <c r="BA57" s="544"/>
      <c r="BB57" s="544"/>
      <c r="BC57" s="544"/>
      <c r="BD57" s="544"/>
      <c r="BE57" s="544"/>
      <c r="BF57" s="544"/>
      <c r="BG57" s="544"/>
      <c r="BH57" s="544"/>
      <c r="BI57" s="544"/>
    </row>
    <row r="58" spans="1:61" ht="17.149999999999999" customHeight="1" x14ac:dyDescent="0.35">
      <c r="A58" s="563"/>
      <c r="B58" s="544"/>
      <c r="C58" s="544"/>
      <c r="D58" s="544"/>
      <c r="E58" s="544"/>
      <c r="F58" s="544"/>
      <c r="G58" s="544"/>
      <c r="H58" s="544"/>
      <c r="I58" s="544"/>
      <c r="J58" s="544"/>
      <c r="K58" s="544"/>
      <c r="L58" s="544"/>
      <c r="M58" s="544"/>
      <c r="N58" s="544"/>
      <c r="O58" s="544"/>
      <c r="P58" s="544"/>
      <c r="Q58" s="544"/>
      <c r="R58" s="544"/>
      <c r="S58" s="544"/>
      <c r="T58" s="544"/>
      <c r="U58" s="544"/>
      <c r="V58" s="544"/>
      <c r="W58" s="544"/>
      <c r="X58" s="544"/>
      <c r="Y58" s="544"/>
      <c r="Z58" s="544"/>
      <c r="AA58" s="544"/>
      <c r="AB58" s="544"/>
      <c r="AC58" s="544"/>
      <c r="AD58" s="544"/>
      <c r="AE58" s="544"/>
      <c r="AF58" s="544"/>
      <c r="AG58" s="544"/>
      <c r="AH58" s="544"/>
      <c r="AI58" s="544"/>
      <c r="AJ58" s="544"/>
      <c r="AK58" s="544"/>
      <c r="AL58" s="544"/>
      <c r="AM58" s="544"/>
      <c r="AN58" s="544"/>
      <c r="AO58" s="544"/>
      <c r="AP58" s="544"/>
      <c r="AQ58" s="544"/>
      <c r="AR58" s="544"/>
      <c r="AS58" s="544"/>
      <c r="AT58" s="544"/>
      <c r="AU58" s="544"/>
      <c r="AV58" s="544"/>
      <c r="AW58" s="544"/>
      <c r="AX58" s="544"/>
      <c r="AY58" s="544"/>
      <c r="AZ58" s="544"/>
      <c r="BA58" s="544"/>
      <c r="BB58" s="544"/>
      <c r="BC58" s="544"/>
      <c r="BD58" s="544"/>
      <c r="BE58" s="544"/>
      <c r="BF58" s="544"/>
      <c r="BG58" s="544"/>
      <c r="BH58" s="544"/>
      <c r="BI58" s="544"/>
    </row>
    <row r="59" spans="1:61" ht="31.5" customHeight="1" x14ac:dyDescent="0.35">
      <c r="A59" s="563"/>
      <c r="B59" s="700" t="s">
        <v>370</v>
      </c>
      <c r="C59" s="701"/>
      <c r="D59" s="701"/>
      <c r="E59" s="701"/>
      <c r="F59" s="701"/>
      <c r="G59" s="701"/>
      <c r="H59" s="701"/>
      <c r="I59" s="544"/>
      <c r="J59" s="544"/>
      <c r="K59" s="544"/>
      <c r="L59" s="544"/>
      <c r="M59" s="544"/>
      <c r="N59" s="544"/>
      <c r="O59" s="544"/>
      <c r="P59" s="544"/>
      <c r="Q59" s="544"/>
      <c r="R59" s="544"/>
      <c r="S59" s="544"/>
      <c r="T59" s="544"/>
      <c r="U59" s="544"/>
      <c r="V59" s="544"/>
      <c r="W59" s="544"/>
      <c r="X59" s="544"/>
      <c r="Y59" s="544"/>
      <c r="Z59" s="544"/>
      <c r="AA59" s="544"/>
      <c r="AB59" s="544"/>
      <c r="AC59" s="544"/>
      <c r="AD59" s="544"/>
      <c r="AE59" s="544"/>
      <c r="AF59" s="544"/>
      <c r="AG59" s="544"/>
      <c r="AH59" s="544"/>
      <c r="AI59" s="544"/>
      <c r="AJ59" s="544"/>
      <c r="AK59" s="544"/>
      <c r="AL59" s="544"/>
      <c r="AM59" s="544"/>
      <c r="AN59" s="544"/>
      <c r="AO59" s="544"/>
      <c r="AP59" s="544"/>
      <c r="AQ59" s="544"/>
      <c r="AR59" s="544"/>
      <c r="AS59" s="544"/>
      <c r="AT59" s="544"/>
      <c r="AU59" s="544"/>
      <c r="AV59" s="544"/>
      <c r="AW59" s="544"/>
      <c r="AX59" s="544"/>
      <c r="AY59" s="544"/>
      <c r="AZ59" s="544"/>
      <c r="BA59" s="544"/>
      <c r="BB59" s="544"/>
      <c r="BC59" s="544"/>
      <c r="BD59" s="544"/>
      <c r="BE59" s="544"/>
      <c r="BF59" s="544"/>
      <c r="BG59" s="544"/>
      <c r="BH59" s="544"/>
      <c r="BI59" s="544"/>
    </row>
    <row r="60" spans="1:61" ht="17.149999999999999" customHeight="1" x14ac:dyDescent="0.35">
      <c r="A60" s="563"/>
      <c r="B60" s="544"/>
      <c r="C60" s="544"/>
      <c r="D60" s="544"/>
      <c r="E60" s="544"/>
      <c r="F60" s="544"/>
      <c r="G60" s="544"/>
      <c r="H60" s="544"/>
      <c r="I60" s="544"/>
      <c r="J60" s="544"/>
      <c r="K60" s="544"/>
      <c r="L60" s="544"/>
      <c r="M60" s="544"/>
      <c r="N60" s="544"/>
      <c r="O60" s="544"/>
      <c r="P60" s="544"/>
      <c r="Q60" s="544"/>
      <c r="R60" s="544"/>
      <c r="S60" s="544"/>
      <c r="T60" s="544"/>
      <c r="U60" s="544"/>
      <c r="V60" s="544"/>
      <c r="W60" s="544"/>
      <c r="X60" s="544"/>
      <c r="Y60" s="544"/>
      <c r="Z60" s="544"/>
      <c r="AA60" s="544"/>
      <c r="AB60" s="544"/>
      <c r="AC60" s="544"/>
      <c r="AD60" s="544"/>
      <c r="AE60" s="544"/>
      <c r="AF60" s="544"/>
      <c r="AG60" s="544"/>
      <c r="AH60" s="544"/>
      <c r="AI60" s="544"/>
      <c r="AJ60" s="544"/>
      <c r="AK60" s="544"/>
      <c r="AL60" s="544"/>
      <c r="AM60" s="544"/>
      <c r="AN60" s="544"/>
      <c r="AO60" s="544"/>
      <c r="AP60" s="544"/>
      <c r="AQ60" s="544"/>
      <c r="AR60" s="544"/>
      <c r="AS60" s="544"/>
      <c r="AT60" s="544"/>
      <c r="AU60" s="544"/>
      <c r="AV60" s="544"/>
      <c r="AW60" s="544"/>
      <c r="AX60" s="544"/>
      <c r="AY60" s="544"/>
      <c r="AZ60" s="544"/>
      <c r="BA60" s="544"/>
      <c r="BB60" s="544"/>
      <c r="BC60" s="544"/>
      <c r="BD60" s="544"/>
      <c r="BE60" s="544"/>
      <c r="BF60" s="544"/>
      <c r="BG60" s="544"/>
      <c r="BH60" s="544"/>
      <c r="BI60" s="544"/>
    </row>
    <row r="61" spans="1:61" ht="17.149999999999999" customHeight="1" x14ac:dyDescent="0.35">
      <c r="A61" s="563"/>
      <c r="B61" s="613" t="s">
        <v>371</v>
      </c>
      <c r="C61" s="591"/>
      <c r="D61" s="591"/>
      <c r="E61" s="591"/>
      <c r="F61" s="591"/>
      <c r="G61" s="591"/>
      <c r="H61" s="591"/>
      <c r="I61" s="544"/>
      <c r="J61" s="544"/>
      <c r="K61" s="544"/>
      <c r="L61" s="544"/>
      <c r="M61" s="544"/>
      <c r="N61" s="544"/>
      <c r="O61" s="544"/>
      <c r="P61" s="544"/>
      <c r="Q61" s="544"/>
      <c r="R61" s="544"/>
      <c r="S61" s="544"/>
      <c r="T61" s="544"/>
      <c r="U61" s="544"/>
      <c r="V61" s="544"/>
      <c r="W61" s="544"/>
      <c r="X61" s="544"/>
      <c r="Y61" s="544"/>
      <c r="Z61" s="544"/>
      <c r="AA61" s="544"/>
      <c r="AB61" s="544"/>
      <c r="AC61" s="544"/>
      <c r="AD61" s="544"/>
      <c r="AE61" s="544"/>
      <c r="AF61" s="544"/>
      <c r="AG61" s="544"/>
      <c r="AH61" s="544"/>
      <c r="AI61" s="544"/>
      <c r="AJ61" s="544"/>
      <c r="AK61" s="544"/>
      <c r="AL61" s="544"/>
      <c r="AM61" s="544"/>
      <c r="AN61" s="544"/>
      <c r="AO61" s="544"/>
      <c r="AP61" s="544"/>
      <c r="AQ61" s="544"/>
      <c r="AR61" s="544"/>
      <c r="AS61" s="544"/>
      <c r="AT61" s="544"/>
      <c r="AU61" s="544"/>
      <c r="AV61" s="544"/>
      <c r="AW61" s="544"/>
      <c r="AX61" s="544"/>
      <c r="AY61" s="544"/>
      <c r="AZ61" s="544"/>
      <c r="BA61" s="544"/>
      <c r="BB61" s="544"/>
      <c r="BC61" s="544"/>
      <c r="BD61" s="544"/>
      <c r="BE61" s="544"/>
      <c r="BF61" s="544"/>
      <c r="BG61" s="544"/>
      <c r="BH61" s="544"/>
      <c r="BI61" s="544"/>
    </row>
    <row r="62" spans="1:61" ht="17.149999999999999" customHeight="1" x14ac:dyDescent="0.35">
      <c r="A62" s="563"/>
      <c r="B62" s="544"/>
      <c r="C62" s="544"/>
      <c r="D62" s="544"/>
      <c r="E62" s="544"/>
      <c r="F62" s="544"/>
      <c r="G62" s="544"/>
      <c r="H62" s="544"/>
      <c r="I62" s="544"/>
      <c r="J62" s="544"/>
      <c r="K62" s="544"/>
      <c r="L62" s="544"/>
      <c r="M62" s="544"/>
      <c r="N62" s="544"/>
      <c r="O62" s="544"/>
      <c r="P62" s="544"/>
      <c r="Q62" s="544"/>
      <c r="R62" s="544"/>
      <c r="S62" s="544"/>
      <c r="T62" s="544"/>
      <c r="U62" s="544"/>
      <c r="V62" s="544"/>
      <c r="W62" s="544"/>
      <c r="X62" s="544"/>
      <c r="Y62" s="544"/>
      <c r="Z62" s="544"/>
      <c r="AA62" s="544"/>
      <c r="AB62" s="544"/>
      <c r="AC62" s="544"/>
      <c r="AD62" s="544"/>
      <c r="AE62" s="544"/>
      <c r="AF62" s="544"/>
      <c r="AG62" s="544"/>
      <c r="AH62" s="544"/>
      <c r="AI62" s="544"/>
      <c r="AJ62" s="544"/>
      <c r="AK62" s="544"/>
      <c r="AL62" s="544"/>
      <c r="AM62" s="544"/>
      <c r="AN62" s="544"/>
      <c r="AO62" s="544"/>
      <c r="AP62" s="544"/>
      <c r="AQ62" s="544"/>
      <c r="AR62" s="544"/>
      <c r="AS62" s="544"/>
      <c r="AT62" s="544"/>
      <c r="AU62" s="544"/>
      <c r="AV62" s="544"/>
      <c r="AW62" s="544"/>
      <c r="AX62" s="544"/>
      <c r="AY62" s="544"/>
      <c r="AZ62" s="544"/>
      <c r="BA62" s="544"/>
      <c r="BB62" s="544"/>
      <c r="BC62" s="544"/>
      <c r="BD62" s="544"/>
      <c r="BE62" s="544"/>
      <c r="BF62" s="544"/>
      <c r="BG62" s="544"/>
      <c r="BH62" s="544"/>
      <c r="BI62" s="544"/>
    </row>
    <row r="63" spans="1:61" ht="17.149999999999999" customHeight="1" x14ac:dyDescent="0.35">
      <c r="A63" s="563"/>
      <c r="B63" s="592" t="s">
        <v>372</v>
      </c>
      <c r="C63" s="523"/>
      <c r="D63" s="544"/>
      <c r="E63" s="544"/>
      <c r="F63" s="544"/>
      <c r="G63" s="544"/>
      <c r="H63" s="544"/>
      <c r="I63" s="544"/>
      <c r="J63" s="544"/>
      <c r="K63" s="544"/>
      <c r="L63" s="544"/>
      <c r="M63" s="544"/>
      <c r="N63" s="544"/>
      <c r="O63" s="544"/>
      <c r="P63" s="544"/>
      <c r="Q63" s="544"/>
      <c r="R63" s="544"/>
      <c r="S63" s="544"/>
      <c r="T63" s="544"/>
      <c r="U63" s="544"/>
      <c r="V63" s="544"/>
      <c r="W63" s="544"/>
      <c r="X63" s="544"/>
      <c r="Y63" s="544"/>
      <c r="Z63" s="544"/>
      <c r="AA63" s="544"/>
      <c r="AB63" s="544"/>
      <c r="AC63" s="544"/>
      <c r="AD63" s="544"/>
      <c r="AE63" s="544"/>
      <c r="AF63" s="544"/>
      <c r="AG63" s="544"/>
      <c r="AH63" s="544"/>
      <c r="AI63" s="544"/>
      <c r="AJ63" s="544"/>
      <c r="AK63" s="544"/>
      <c r="AL63" s="544"/>
      <c r="AM63" s="544"/>
      <c r="AN63" s="544"/>
      <c r="AO63" s="544"/>
      <c r="AP63" s="544"/>
      <c r="AQ63" s="544"/>
      <c r="AR63" s="544"/>
      <c r="AS63" s="544"/>
      <c r="AT63" s="544"/>
      <c r="AU63" s="544"/>
      <c r="AV63" s="544"/>
      <c r="AW63" s="544"/>
      <c r="AX63" s="544"/>
      <c r="AY63" s="544"/>
      <c r="AZ63" s="544"/>
      <c r="BA63" s="544"/>
      <c r="BB63" s="544"/>
      <c r="BC63" s="544"/>
      <c r="BD63" s="544"/>
      <c r="BE63" s="544"/>
      <c r="BF63" s="544"/>
      <c r="BG63" s="544"/>
      <c r="BH63" s="544"/>
      <c r="BI63" s="544"/>
    </row>
    <row r="64" spans="1:61" ht="28" customHeight="1" x14ac:dyDescent="0.35">
      <c r="A64" s="563"/>
      <c r="B64" s="1397" t="s">
        <v>373</v>
      </c>
      <c r="C64" s="597" t="s">
        <v>374</v>
      </c>
      <c r="D64" s="544"/>
      <c r="E64" s="577" t="s">
        <v>375</v>
      </c>
      <c r="F64" s="578"/>
      <c r="G64" s="1127"/>
      <c r="H64" s="599"/>
      <c r="I64" s="1128"/>
      <c r="J64" s="544"/>
      <c r="K64" s="544"/>
      <c r="L64" s="544"/>
      <c r="M64" s="544"/>
      <c r="N64" s="544"/>
      <c r="O64" s="544"/>
      <c r="P64" s="544"/>
      <c r="Q64" s="544"/>
      <c r="R64" s="544"/>
      <c r="S64" s="544"/>
      <c r="T64" s="544"/>
      <c r="U64" s="544"/>
      <c r="V64" s="544"/>
      <c r="W64" s="544"/>
      <c r="X64" s="544"/>
      <c r="Y64" s="544"/>
      <c r="Z64" s="544"/>
      <c r="AA64" s="544"/>
      <c r="AB64" s="544"/>
      <c r="AC64" s="544"/>
      <c r="AD64" s="544"/>
      <c r="AE64" s="544"/>
      <c r="AF64" s="544"/>
      <c r="AG64" s="544"/>
      <c r="AH64" s="544"/>
      <c r="AI64" s="544"/>
      <c r="AJ64" s="544"/>
      <c r="AK64" s="544"/>
      <c r="AL64" s="544"/>
      <c r="AM64" s="544"/>
      <c r="AN64" s="544"/>
      <c r="AO64" s="544"/>
      <c r="AP64" s="544"/>
      <c r="AQ64" s="544"/>
      <c r="AR64" s="544"/>
      <c r="AS64" s="544"/>
      <c r="AT64" s="544"/>
      <c r="AU64" s="544"/>
      <c r="AV64" s="544"/>
      <c r="AW64" s="544"/>
      <c r="AX64" s="544"/>
      <c r="AY64" s="544"/>
      <c r="AZ64" s="544"/>
      <c r="BA64" s="544"/>
      <c r="BB64" s="544"/>
      <c r="BC64" s="544"/>
      <c r="BD64" s="544"/>
      <c r="BE64" s="544"/>
      <c r="BF64" s="544"/>
      <c r="BG64" s="544"/>
      <c r="BH64" s="544"/>
      <c r="BI64" s="544"/>
    </row>
    <row r="65" spans="1:61" ht="28" customHeight="1" x14ac:dyDescent="0.35">
      <c r="A65" s="563"/>
      <c r="B65" s="600" t="s">
        <v>376</v>
      </c>
      <c r="C65" s="1126">
        <v>1</v>
      </c>
      <c r="D65" s="478"/>
      <c r="E65" s="883"/>
      <c r="F65" s="884"/>
      <c r="G65" s="885"/>
      <c r="H65" s="885"/>
      <c r="I65" s="1129"/>
      <c r="J65" s="544"/>
      <c r="K65" s="544"/>
      <c r="L65" s="544"/>
      <c r="M65" s="544"/>
      <c r="N65" s="544"/>
      <c r="O65" s="544"/>
      <c r="P65" s="544"/>
      <c r="Q65" s="544"/>
      <c r="R65" s="544"/>
      <c r="S65" s="544"/>
      <c r="T65" s="544"/>
      <c r="U65" s="544"/>
      <c r="V65" s="544"/>
      <c r="W65" s="544"/>
      <c r="X65" s="544"/>
      <c r="Y65" s="544"/>
      <c r="Z65" s="544"/>
      <c r="AA65" s="544"/>
      <c r="AB65" s="544"/>
      <c r="AC65" s="544"/>
      <c r="AD65" s="544"/>
      <c r="AE65" s="544"/>
      <c r="AF65" s="544"/>
      <c r="AG65" s="544"/>
      <c r="AH65" s="544"/>
      <c r="AI65" s="544"/>
      <c r="AJ65" s="544"/>
      <c r="AK65" s="544"/>
      <c r="AL65" s="544"/>
      <c r="AM65" s="544"/>
      <c r="AN65" s="544"/>
      <c r="AO65" s="544"/>
      <c r="AP65" s="544"/>
      <c r="AQ65" s="544"/>
      <c r="AR65" s="544"/>
      <c r="AS65" s="544"/>
      <c r="AT65" s="544"/>
      <c r="AU65" s="544"/>
      <c r="AV65" s="544"/>
      <c r="AW65" s="544"/>
      <c r="AX65" s="544"/>
      <c r="AY65" s="544"/>
      <c r="AZ65" s="544"/>
      <c r="BA65" s="544"/>
      <c r="BB65" s="544"/>
      <c r="BC65" s="544"/>
      <c r="BD65" s="544"/>
      <c r="BE65" s="544"/>
      <c r="BF65" s="544"/>
      <c r="BG65" s="544"/>
      <c r="BH65" s="544"/>
      <c r="BI65" s="544"/>
    </row>
    <row r="66" spans="1:61" ht="28" customHeight="1" x14ac:dyDescent="0.35">
      <c r="A66" s="563"/>
      <c r="B66" s="1090" t="s">
        <v>377</v>
      </c>
      <c r="C66" s="1126"/>
      <c r="D66" s="544"/>
      <c r="E66" s="1290"/>
      <c r="F66" s="1295"/>
      <c r="G66" s="1296"/>
      <c r="H66" s="1296"/>
      <c r="I66" s="1297"/>
      <c r="J66" s="544"/>
      <c r="K66" s="544"/>
      <c r="L66" s="544"/>
      <c r="M66" s="544"/>
      <c r="N66" s="544"/>
      <c r="O66" s="544"/>
      <c r="P66" s="544"/>
      <c r="Q66" s="544"/>
      <c r="R66" s="544"/>
      <c r="S66" s="544"/>
      <c r="T66" s="544"/>
      <c r="U66" s="544"/>
      <c r="V66" s="544"/>
      <c r="W66" s="544"/>
      <c r="X66" s="544"/>
      <c r="Y66" s="544"/>
      <c r="Z66" s="544"/>
      <c r="AA66" s="544"/>
      <c r="AB66" s="544"/>
      <c r="AC66" s="544"/>
      <c r="AD66" s="544"/>
      <c r="AE66" s="544"/>
      <c r="AF66" s="544"/>
      <c r="AG66" s="544"/>
      <c r="AH66" s="544"/>
      <c r="AI66" s="544"/>
      <c r="AJ66" s="544"/>
      <c r="AK66" s="544"/>
      <c r="AL66" s="544"/>
      <c r="AM66" s="544"/>
      <c r="AN66" s="544"/>
      <c r="AO66" s="544"/>
      <c r="AP66" s="544"/>
      <c r="AQ66" s="544"/>
      <c r="AR66" s="544"/>
      <c r="AS66" s="544"/>
      <c r="AT66" s="544"/>
      <c r="AU66" s="544"/>
      <c r="AV66" s="544"/>
      <c r="AW66" s="544"/>
      <c r="AX66" s="544"/>
      <c r="AY66" s="544"/>
      <c r="AZ66" s="544"/>
      <c r="BA66" s="544"/>
      <c r="BB66" s="544"/>
      <c r="BC66" s="544"/>
      <c r="BD66" s="544"/>
      <c r="BE66" s="544"/>
      <c r="BF66" s="544"/>
      <c r="BG66" s="544"/>
      <c r="BH66" s="544"/>
      <c r="BI66" s="544"/>
    </row>
    <row r="67" spans="1:61" ht="28" customHeight="1" x14ac:dyDescent="0.35">
      <c r="A67" s="563"/>
      <c r="B67" s="1090" t="s">
        <v>378</v>
      </c>
      <c r="C67" s="1126"/>
      <c r="D67" s="544"/>
      <c r="E67" s="1290"/>
      <c r="F67" s="1295"/>
      <c r="G67" s="1296"/>
      <c r="H67" s="1296"/>
      <c r="I67" s="1297"/>
      <c r="J67" s="544"/>
      <c r="K67" s="544"/>
      <c r="L67" s="544"/>
      <c r="M67" s="544"/>
      <c r="N67" s="544"/>
      <c r="O67" s="544"/>
      <c r="P67" s="544"/>
      <c r="Q67" s="544"/>
      <c r="R67" s="544"/>
      <c r="S67" s="544"/>
      <c r="T67" s="544"/>
      <c r="U67" s="544"/>
      <c r="V67" s="544"/>
      <c r="W67" s="544"/>
      <c r="X67" s="544"/>
      <c r="Y67" s="544"/>
      <c r="Z67" s="544"/>
      <c r="AA67" s="544"/>
      <c r="AB67" s="544"/>
      <c r="AC67" s="544"/>
      <c r="AD67" s="544"/>
      <c r="AE67" s="544"/>
      <c r="AF67" s="544"/>
      <c r="AG67" s="544"/>
      <c r="AH67" s="544"/>
      <c r="AI67" s="544"/>
      <c r="AJ67" s="544"/>
      <c r="AK67" s="544"/>
      <c r="AL67" s="544"/>
      <c r="AM67" s="544"/>
      <c r="AN67" s="544"/>
      <c r="AO67" s="544"/>
      <c r="AP67" s="544"/>
      <c r="AQ67" s="544"/>
      <c r="AR67" s="544"/>
      <c r="AS67" s="544"/>
      <c r="AT67" s="544"/>
      <c r="AU67" s="544"/>
      <c r="AV67" s="544"/>
      <c r="AW67" s="544"/>
      <c r="AX67" s="544"/>
      <c r="AY67" s="544"/>
      <c r="AZ67" s="544"/>
      <c r="BA67" s="544"/>
      <c r="BB67" s="544"/>
      <c r="BC67" s="544"/>
      <c r="BD67" s="544"/>
      <c r="BE67" s="544"/>
      <c r="BF67" s="544"/>
      <c r="BG67" s="544"/>
      <c r="BH67" s="544"/>
      <c r="BI67" s="544"/>
    </row>
    <row r="68" spans="1:61" ht="28" customHeight="1" x14ac:dyDescent="0.35">
      <c r="A68" s="563"/>
      <c r="B68" s="1090" t="s">
        <v>379</v>
      </c>
      <c r="C68" s="1126"/>
      <c r="D68" s="544"/>
      <c r="E68" s="1290"/>
      <c r="F68" s="1295"/>
      <c r="G68" s="1296"/>
      <c r="H68" s="1296"/>
      <c r="I68" s="1297"/>
      <c r="J68" s="544"/>
      <c r="K68" s="544"/>
      <c r="L68" s="544"/>
      <c r="M68" s="544"/>
      <c r="N68" s="544"/>
      <c r="O68" s="544"/>
      <c r="P68" s="544"/>
      <c r="Q68" s="544"/>
      <c r="R68" s="544"/>
      <c r="S68" s="544"/>
      <c r="T68" s="544"/>
      <c r="U68" s="544"/>
      <c r="V68" s="544"/>
      <c r="W68" s="544"/>
      <c r="X68" s="544"/>
      <c r="Y68" s="544"/>
      <c r="Z68" s="544"/>
      <c r="AA68" s="544"/>
      <c r="AB68" s="544"/>
      <c r="AC68" s="544"/>
      <c r="AD68" s="544"/>
      <c r="AE68" s="544"/>
      <c r="AF68" s="544"/>
      <c r="AG68" s="544"/>
      <c r="AH68" s="544"/>
      <c r="AI68" s="544"/>
      <c r="AJ68" s="544"/>
      <c r="AK68" s="544"/>
      <c r="AL68" s="544"/>
      <c r="AM68" s="544"/>
      <c r="AN68" s="544"/>
      <c r="AO68" s="544"/>
      <c r="AP68" s="544"/>
      <c r="AQ68" s="544"/>
      <c r="AR68" s="544"/>
      <c r="AS68" s="544"/>
      <c r="AT68" s="544"/>
      <c r="AU68" s="544"/>
      <c r="AV68" s="544"/>
      <c r="AW68" s="544"/>
      <c r="AX68" s="544"/>
      <c r="AY68" s="544"/>
      <c r="AZ68" s="544"/>
      <c r="BA68" s="544"/>
      <c r="BB68" s="544"/>
      <c r="BC68" s="544"/>
      <c r="BD68" s="544"/>
      <c r="BE68" s="544"/>
      <c r="BF68" s="544"/>
      <c r="BG68" s="544"/>
      <c r="BH68" s="544"/>
      <c r="BI68" s="544"/>
    </row>
    <row r="69" spans="1:61" ht="28" customHeight="1" x14ac:dyDescent="0.35">
      <c r="A69" s="563"/>
      <c r="B69" s="1090" t="s">
        <v>380</v>
      </c>
      <c r="C69" s="1126"/>
      <c r="D69" s="544"/>
      <c r="E69" s="1290"/>
      <c r="F69" s="1295"/>
      <c r="G69" s="1296"/>
      <c r="H69" s="1296"/>
      <c r="I69" s="1297"/>
      <c r="J69" s="544"/>
      <c r="K69" s="544"/>
      <c r="L69" s="544"/>
      <c r="M69" s="544"/>
      <c r="N69" s="544"/>
      <c r="O69" s="544"/>
      <c r="P69" s="544"/>
      <c r="Q69" s="544"/>
      <c r="R69" s="544"/>
      <c r="S69" s="544"/>
      <c r="T69" s="544"/>
      <c r="U69" s="544"/>
      <c r="V69" s="544"/>
      <c r="W69" s="544"/>
      <c r="X69" s="544"/>
      <c r="Y69" s="544"/>
      <c r="Z69" s="544"/>
      <c r="AA69" s="544"/>
      <c r="AB69" s="544"/>
      <c r="AC69" s="544"/>
      <c r="AD69" s="544"/>
      <c r="AE69" s="544"/>
      <c r="AF69" s="544"/>
      <c r="AG69" s="544"/>
      <c r="AH69" s="544"/>
      <c r="AI69" s="544"/>
      <c r="AJ69" s="544"/>
      <c r="AK69" s="544"/>
      <c r="AL69" s="544"/>
      <c r="AM69" s="544"/>
      <c r="AN69" s="544"/>
      <c r="AO69" s="544"/>
      <c r="AP69" s="544"/>
      <c r="AQ69" s="544"/>
      <c r="AR69" s="544"/>
      <c r="AS69" s="544"/>
      <c r="AT69" s="544"/>
      <c r="AU69" s="544"/>
      <c r="AV69" s="544"/>
      <c r="AW69" s="544"/>
      <c r="AX69" s="544"/>
      <c r="AY69" s="544"/>
      <c r="AZ69" s="544"/>
      <c r="BA69" s="544"/>
      <c r="BB69" s="544"/>
      <c r="BC69" s="544"/>
      <c r="BD69" s="544"/>
      <c r="BE69" s="544"/>
      <c r="BF69" s="544"/>
      <c r="BG69" s="544"/>
      <c r="BH69" s="544"/>
      <c r="BI69" s="544"/>
    </row>
    <row r="70" spans="1:61" ht="28" customHeight="1" x14ac:dyDescent="0.35">
      <c r="A70" s="563"/>
      <c r="B70" s="1090" t="s">
        <v>381</v>
      </c>
      <c r="C70" s="1126"/>
      <c r="D70" s="544"/>
      <c r="E70" s="1290"/>
      <c r="F70" s="1295"/>
      <c r="G70" s="1296"/>
      <c r="H70" s="1296"/>
      <c r="I70" s="1297"/>
      <c r="J70" s="544"/>
      <c r="K70" s="544"/>
      <c r="L70" s="544"/>
      <c r="M70" s="544"/>
      <c r="N70" s="544"/>
      <c r="O70" s="544"/>
      <c r="P70" s="544"/>
      <c r="Q70" s="544"/>
      <c r="R70" s="544"/>
      <c r="S70" s="544"/>
      <c r="T70" s="544"/>
      <c r="U70" s="544"/>
      <c r="V70" s="544"/>
      <c r="W70" s="544"/>
      <c r="X70" s="544"/>
      <c r="Y70" s="544"/>
      <c r="Z70" s="544"/>
      <c r="AA70" s="544"/>
      <c r="AB70" s="544"/>
      <c r="AC70" s="544"/>
      <c r="AD70" s="544"/>
      <c r="AE70" s="544"/>
      <c r="AF70" s="544"/>
      <c r="AG70" s="544"/>
      <c r="AH70" s="544"/>
      <c r="AI70" s="544"/>
      <c r="AJ70" s="544"/>
      <c r="AK70" s="544"/>
      <c r="AL70" s="544"/>
      <c r="AM70" s="544"/>
      <c r="AN70" s="544"/>
      <c r="AO70" s="544"/>
      <c r="AP70" s="544"/>
      <c r="AQ70" s="544"/>
      <c r="AR70" s="544"/>
      <c r="AS70" s="544"/>
      <c r="AT70" s="544"/>
      <c r="AU70" s="544"/>
      <c r="AV70" s="544"/>
      <c r="AW70" s="544"/>
      <c r="AX70" s="544"/>
      <c r="AY70" s="544"/>
      <c r="AZ70" s="544"/>
      <c r="BA70" s="544"/>
      <c r="BB70" s="544"/>
      <c r="BC70" s="544"/>
      <c r="BD70" s="544"/>
      <c r="BE70" s="544"/>
      <c r="BF70" s="544"/>
      <c r="BG70" s="544"/>
      <c r="BH70" s="544"/>
      <c r="BI70" s="544"/>
    </row>
    <row r="71" spans="1:61" ht="28" customHeight="1" x14ac:dyDescent="0.35">
      <c r="A71" s="563"/>
      <c r="B71" s="1090" t="s">
        <v>382</v>
      </c>
      <c r="C71" s="1126"/>
      <c r="D71" s="544"/>
      <c r="E71" s="1290"/>
      <c r="F71" s="1295"/>
      <c r="G71" s="1296"/>
      <c r="H71" s="1296"/>
      <c r="I71" s="1297"/>
      <c r="J71" s="544"/>
      <c r="K71" s="544"/>
      <c r="L71" s="544"/>
      <c r="M71" s="544"/>
      <c r="N71" s="544"/>
      <c r="O71" s="544"/>
      <c r="P71" s="544"/>
      <c r="Q71" s="544"/>
      <c r="R71" s="544"/>
      <c r="S71" s="544"/>
      <c r="T71" s="544"/>
      <c r="U71" s="544"/>
      <c r="V71" s="544"/>
      <c r="W71" s="544"/>
      <c r="X71" s="544"/>
      <c r="Y71" s="544"/>
      <c r="Z71" s="544"/>
      <c r="AA71" s="544"/>
      <c r="AB71" s="544"/>
      <c r="AC71" s="544"/>
      <c r="AD71" s="544"/>
      <c r="AE71" s="544"/>
      <c r="AF71" s="544"/>
      <c r="AG71" s="544"/>
      <c r="AH71" s="544"/>
      <c r="AI71" s="544"/>
      <c r="AJ71" s="544"/>
      <c r="AK71" s="544"/>
      <c r="AL71" s="544"/>
      <c r="AM71" s="544"/>
      <c r="AN71" s="544"/>
      <c r="AO71" s="544"/>
      <c r="AP71" s="544"/>
      <c r="AQ71" s="544"/>
      <c r="AR71" s="544"/>
      <c r="AS71" s="544"/>
      <c r="AT71" s="544"/>
      <c r="AU71" s="544"/>
      <c r="AV71" s="544"/>
      <c r="AW71" s="544"/>
      <c r="AX71" s="544"/>
      <c r="AY71" s="544"/>
      <c r="AZ71" s="544"/>
      <c r="BA71" s="544"/>
      <c r="BB71" s="544"/>
      <c r="BC71" s="544"/>
      <c r="BD71" s="544"/>
      <c r="BE71" s="544"/>
      <c r="BF71" s="544"/>
      <c r="BG71" s="544"/>
      <c r="BH71" s="544"/>
      <c r="BI71" s="544"/>
    </row>
    <row r="72" spans="1:61" s="3" customFormat="1" ht="17.149999999999999" customHeight="1" x14ac:dyDescent="0.35">
      <c r="A72" s="645"/>
      <c r="B72" s="645"/>
      <c r="C72" s="645"/>
      <c r="D72" s="478"/>
      <c r="E72" s="478"/>
      <c r="F72" s="478"/>
      <c r="G72" s="478"/>
      <c r="H72" s="478"/>
      <c r="I72" s="478"/>
      <c r="J72" s="478"/>
      <c r="K72" s="478"/>
      <c r="L72" s="478"/>
      <c r="M72" s="478"/>
      <c r="N72" s="478"/>
      <c r="O72" s="478"/>
      <c r="P72" s="478"/>
      <c r="Q72" s="478"/>
      <c r="R72" s="478"/>
      <c r="S72" s="478"/>
      <c r="T72" s="478"/>
      <c r="U72" s="478"/>
      <c r="V72" s="478"/>
      <c r="W72" s="478"/>
      <c r="X72" s="478"/>
      <c r="Y72" s="478"/>
      <c r="Z72" s="478"/>
      <c r="AA72" s="478"/>
      <c r="AB72" s="478"/>
      <c r="AC72" s="478"/>
      <c r="AD72" s="478"/>
      <c r="AE72" s="478"/>
      <c r="AF72" s="478"/>
      <c r="AG72" s="478"/>
      <c r="AH72" s="478"/>
      <c r="AI72" s="478"/>
      <c r="AJ72" s="478"/>
      <c r="AK72" s="478"/>
      <c r="AL72" s="478"/>
      <c r="AM72" s="478"/>
      <c r="AN72" s="478"/>
      <c r="AO72" s="478"/>
      <c r="AP72" s="478"/>
      <c r="AQ72" s="478"/>
      <c r="AR72" s="478"/>
      <c r="AS72" s="478"/>
      <c r="AT72" s="478"/>
      <c r="AU72" s="478"/>
      <c r="AV72" s="478"/>
      <c r="AW72" s="478"/>
      <c r="AX72" s="478"/>
      <c r="AY72" s="478"/>
      <c r="AZ72" s="478"/>
      <c r="BA72" s="478"/>
      <c r="BB72" s="478"/>
      <c r="BC72" s="478"/>
      <c r="BD72" s="478"/>
      <c r="BE72" s="478"/>
      <c r="BF72" s="478"/>
      <c r="BG72" s="478"/>
      <c r="BH72" s="478"/>
      <c r="BI72" s="478"/>
    </row>
    <row r="73" spans="1:61" s="3" customFormat="1" ht="17.149999999999999" customHeight="1" x14ac:dyDescent="0.35">
      <c r="A73" s="645"/>
      <c r="B73" s="645"/>
      <c r="C73" s="645"/>
      <c r="D73" s="478"/>
      <c r="E73" s="478"/>
      <c r="F73" s="478"/>
      <c r="G73" s="478"/>
      <c r="H73" s="478"/>
      <c r="I73" s="478"/>
      <c r="J73" s="478"/>
      <c r="K73" s="478"/>
      <c r="L73" s="478"/>
      <c r="M73" s="478"/>
      <c r="N73" s="478"/>
      <c r="O73" s="478"/>
      <c r="P73" s="478"/>
      <c r="Q73" s="478"/>
      <c r="R73" s="478"/>
      <c r="S73" s="478"/>
      <c r="T73" s="478"/>
      <c r="U73" s="478"/>
      <c r="V73" s="478"/>
      <c r="W73" s="478"/>
      <c r="X73" s="478"/>
      <c r="Y73" s="478"/>
      <c r="Z73" s="478"/>
      <c r="AA73" s="478"/>
      <c r="AB73" s="478"/>
      <c r="AC73" s="478"/>
      <c r="AD73" s="478"/>
      <c r="AE73" s="478"/>
      <c r="AF73" s="478"/>
      <c r="AG73" s="478"/>
      <c r="AH73" s="478"/>
      <c r="AI73" s="478"/>
      <c r="AJ73" s="478"/>
      <c r="AK73" s="478"/>
      <c r="AL73" s="478"/>
      <c r="AM73" s="478"/>
      <c r="AN73" s="478"/>
      <c r="AO73" s="478"/>
      <c r="AP73" s="478"/>
      <c r="AQ73" s="478"/>
      <c r="AR73" s="478"/>
      <c r="AS73" s="478"/>
      <c r="AT73" s="478"/>
      <c r="AU73" s="478"/>
      <c r="AV73" s="478"/>
      <c r="AW73" s="478"/>
      <c r="AX73" s="478"/>
      <c r="AY73" s="478"/>
      <c r="AZ73" s="478"/>
      <c r="BA73" s="478"/>
      <c r="BB73" s="478"/>
      <c r="BC73" s="478"/>
      <c r="BD73" s="478"/>
      <c r="BE73" s="478"/>
      <c r="BF73" s="478"/>
      <c r="BG73" s="478"/>
      <c r="BH73" s="478"/>
      <c r="BI73" s="478"/>
    </row>
    <row r="74" spans="1:61" ht="26" x14ac:dyDescent="0.35">
      <c r="A74" s="563"/>
      <c r="B74" s="592" t="s">
        <v>383</v>
      </c>
      <c r="C74" s="572"/>
      <c r="D74" s="544"/>
      <c r="E74" s="544"/>
      <c r="F74" s="544"/>
      <c r="G74" s="544"/>
      <c r="H74" s="544"/>
      <c r="I74" s="544"/>
      <c r="J74" s="544"/>
      <c r="K74" s="544"/>
      <c r="L74" s="544"/>
      <c r="M74" s="544"/>
      <c r="N74" s="544"/>
      <c r="O74" s="544"/>
      <c r="P74" s="544"/>
      <c r="Q74" s="544"/>
      <c r="R74" s="544"/>
      <c r="S74" s="544"/>
      <c r="T74" s="544"/>
      <c r="U74" s="544"/>
      <c r="V74" s="544"/>
      <c r="W74" s="544"/>
      <c r="X74" s="544"/>
      <c r="Y74" s="544"/>
      <c r="Z74" s="544"/>
      <c r="AA74" s="544"/>
      <c r="AB74" s="544"/>
      <c r="AC74" s="544"/>
      <c r="AD74" s="544"/>
      <c r="AE74" s="544"/>
      <c r="AF74" s="544"/>
      <c r="AG74" s="544"/>
      <c r="AH74" s="544"/>
      <c r="AI74" s="544"/>
      <c r="AJ74" s="544"/>
      <c r="AK74" s="544"/>
      <c r="AL74" s="544"/>
      <c r="AM74" s="544"/>
      <c r="AN74" s="544"/>
      <c r="AO74" s="544"/>
      <c r="AP74" s="544"/>
      <c r="AQ74" s="544"/>
      <c r="AR74" s="544"/>
      <c r="AS74" s="544"/>
      <c r="AT74" s="544"/>
      <c r="AU74" s="544"/>
      <c r="AV74" s="544"/>
      <c r="AW74" s="544"/>
      <c r="AX74" s="544"/>
      <c r="AY74" s="544"/>
      <c r="AZ74" s="544"/>
      <c r="BA74" s="544"/>
      <c r="BB74" s="544"/>
      <c r="BC74" s="544"/>
      <c r="BD74" s="544"/>
      <c r="BE74" s="544"/>
      <c r="BF74" s="544"/>
      <c r="BG74" s="544"/>
      <c r="BH74" s="544"/>
      <c r="BI74" s="544"/>
    </row>
    <row r="75" spans="1:61" s="12" customFormat="1" ht="28" customHeight="1" x14ac:dyDescent="0.35">
      <c r="A75" s="563"/>
      <c r="B75" s="1484" t="s">
        <v>373</v>
      </c>
      <c r="C75" s="597" t="s">
        <v>374</v>
      </c>
      <c r="D75" s="570"/>
      <c r="E75" s="577" t="s">
        <v>375</v>
      </c>
      <c r="F75" s="578"/>
      <c r="G75" s="1127"/>
      <c r="H75" s="599"/>
      <c r="I75" s="1128"/>
      <c r="J75" s="570"/>
      <c r="K75" s="570"/>
      <c r="L75" s="570"/>
      <c r="M75" s="570"/>
      <c r="N75" s="570"/>
      <c r="O75" s="570"/>
      <c r="P75" s="570"/>
      <c r="Q75" s="570"/>
      <c r="R75" s="570"/>
      <c r="S75" s="570"/>
      <c r="T75" s="570"/>
      <c r="U75" s="570"/>
      <c r="V75" s="570"/>
      <c r="W75" s="570"/>
      <c r="X75" s="570"/>
      <c r="Y75" s="570"/>
      <c r="Z75" s="570"/>
      <c r="AA75" s="570"/>
      <c r="AB75" s="570"/>
      <c r="AC75" s="570"/>
      <c r="AD75" s="570"/>
      <c r="AE75" s="570"/>
      <c r="AF75" s="570"/>
      <c r="AG75" s="570"/>
      <c r="AH75" s="570"/>
      <c r="AI75" s="570"/>
      <c r="AJ75" s="570"/>
      <c r="AK75" s="570"/>
      <c r="AL75" s="570"/>
      <c r="AM75" s="570"/>
      <c r="AN75" s="570"/>
      <c r="AO75" s="570"/>
      <c r="AP75" s="570"/>
      <c r="AQ75" s="570"/>
      <c r="AR75" s="570"/>
      <c r="AS75" s="570"/>
      <c r="AT75" s="570"/>
      <c r="AU75" s="570"/>
      <c r="AV75" s="570"/>
      <c r="AW75" s="570"/>
      <c r="AX75" s="570"/>
      <c r="AY75" s="570"/>
      <c r="AZ75" s="570"/>
      <c r="BA75" s="570"/>
      <c r="BB75" s="570"/>
      <c r="BC75" s="570"/>
      <c r="BD75" s="570"/>
      <c r="BE75" s="570"/>
      <c r="BF75" s="570"/>
      <c r="BG75" s="570"/>
      <c r="BH75" s="570"/>
      <c r="BI75" s="570"/>
    </row>
    <row r="76" spans="1:61" s="12" customFormat="1" ht="28" customHeight="1" x14ac:dyDescent="0.35">
      <c r="A76" s="563"/>
      <c r="B76" s="600" t="s">
        <v>376</v>
      </c>
      <c r="C76" s="881"/>
      <c r="D76" s="478"/>
      <c r="E76" s="883"/>
      <c r="F76" s="884"/>
      <c r="G76" s="885"/>
      <c r="H76" s="885"/>
      <c r="I76" s="1129"/>
      <c r="J76" s="570"/>
      <c r="K76" s="570"/>
      <c r="L76" s="570"/>
      <c r="M76" s="570"/>
      <c r="N76" s="570"/>
      <c r="O76" s="570"/>
      <c r="P76" s="570"/>
      <c r="Q76" s="570"/>
      <c r="R76" s="570"/>
      <c r="S76" s="570"/>
      <c r="T76" s="570"/>
      <c r="U76" s="570"/>
      <c r="V76" s="570"/>
      <c r="W76" s="570"/>
      <c r="X76" s="570"/>
      <c r="Y76" s="570"/>
      <c r="Z76" s="570"/>
      <c r="AA76" s="570"/>
      <c r="AB76" s="570"/>
      <c r="AC76" s="570"/>
      <c r="AD76" s="570"/>
      <c r="AE76" s="570"/>
      <c r="AF76" s="570"/>
      <c r="AG76" s="570"/>
      <c r="AH76" s="570"/>
      <c r="AI76" s="570"/>
      <c r="AJ76" s="570"/>
      <c r="AK76" s="570"/>
      <c r="AL76" s="570"/>
      <c r="AM76" s="570"/>
      <c r="AN76" s="570"/>
      <c r="AO76" s="570"/>
      <c r="AP76" s="570"/>
      <c r="AQ76" s="570"/>
      <c r="AR76" s="570"/>
      <c r="AS76" s="570"/>
      <c r="AT76" s="570"/>
      <c r="AU76" s="570"/>
      <c r="AV76" s="570"/>
      <c r="AW76" s="570"/>
      <c r="AX76" s="570"/>
      <c r="AY76" s="570"/>
      <c r="AZ76" s="570"/>
      <c r="BA76" s="570"/>
      <c r="BB76" s="570"/>
      <c r="BC76" s="570"/>
      <c r="BD76" s="570"/>
      <c r="BE76" s="570"/>
      <c r="BF76" s="570"/>
      <c r="BG76" s="570"/>
      <c r="BH76" s="570"/>
      <c r="BI76" s="570"/>
    </row>
    <row r="77" spans="1:61" ht="28" customHeight="1" x14ac:dyDescent="0.35">
      <c r="A77" s="563"/>
      <c r="B77" s="1090" t="s">
        <v>377</v>
      </c>
      <c r="C77" s="881"/>
      <c r="D77" s="544"/>
      <c r="E77" s="1290" t="s">
        <v>384</v>
      </c>
      <c r="F77" s="1295"/>
      <c r="G77" s="1296"/>
      <c r="H77" s="1296"/>
      <c r="I77" s="1297"/>
      <c r="J77" s="544"/>
      <c r="K77" s="544"/>
      <c r="L77" s="544"/>
      <c r="M77" s="544"/>
      <c r="N77" s="544"/>
      <c r="O77" s="544"/>
      <c r="P77" s="544"/>
      <c r="Q77" s="544"/>
      <c r="R77" s="544"/>
      <c r="S77" s="544"/>
      <c r="T77" s="544"/>
      <c r="U77" s="544"/>
      <c r="V77" s="544"/>
      <c r="W77" s="544"/>
      <c r="X77" s="544"/>
      <c r="Y77" s="544"/>
      <c r="Z77" s="544"/>
      <c r="AA77" s="544"/>
      <c r="AB77" s="544"/>
      <c r="AC77" s="544"/>
      <c r="AD77" s="544"/>
      <c r="AE77" s="544"/>
      <c r="AF77" s="544"/>
      <c r="AG77" s="544"/>
      <c r="AH77" s="544"/>
      <c r="AI77" s="544"/>
      <c r="AJ77" s="544"/>
      <c r="AK77" s="544"/>
      <c r="AL77" s="544"/>
      <c r="AM77" s="544"/>
      <c r="AN77" s="544"/>
      <c r="AO77" s="544"/>
      <c r="AP77" s="544"/>
      <c r="AQ77" s="544"/>
      <c r="AR77" s="544"/>
      <c r="AS77" s="544"/>
      <c r="AT77" s="544"/>
      <c r="AU77" s="544"/>
      <c r="AV77" s="544"/>
      <c r="AW77" s="544"/>
      <c r="AX77" s="544"/>
      <c r="AY77" s="544"/>
      <c r="AZ77" s="544"/>
      <c r="BA77" s="544"/>
      <c r="BB77" s="544"/>
      <c r="BC77" s="544"/>
      <c r="BD77" s="544"/>
      <c r="BE77" s="544"/>
      <c r="BF77" s="544"/>
      <c r="BG77" s="544"/>
      <c r="BH77" s="544"/>
      <c r="BI77" s="544"/>
    </row>
    <row r="78" spans="1:61" ht="28" customHeight="1" x14ac:dyDescent="0.35">
      <c r="A78" s="563"/>
      <c r="B78" s="1090" t="s">
        <v>378</v>
      </c>
      <c r="C78" s="881"/>
      <c r="D78" s="544"/>
      <c r="E78" s="1290" t="s">
        <v>385</v>
      </c>
      <c r="F78" s="1295"/>
      <c r="G78" s="1296"/>
      <c r="H78" s="1296"/>
      <c r="I78" s="1297"/>
      <c r="J78" s="544"/>
      <c r="K78" s="544"/>
      <c r="L78" s="544"/>
      <c r="M78" s="544"/>
      <c r="N78" s="544"/>
      <c r="O78" s="544"/>
      <c r="P78" s="544"/>
      <c r="Q78" s="544"/>
      <c r="R78" s="544"/>
      <c r="S78" s="544"/>
      <c r="T78" s="544"/>
      <c r="U78" s="544"/>
      <c r="V78" s="544"/>
      <c r="W78" s="544"/>
      <c r="X78" s="544"/>
      <c r="Y78" s="544"/>
      <c r="Z78" s="544"/>
      <c r="AA78" s="544"/>
      <c r="AB78" s="544"/>
      <c r="AC78" s="544"/>
      <c r="AD78" s="544"/>
      <c r="AE78" s="544"/>
      <c r="AF78" s="544"/>
      <c r="AG78" s="544"/>
      <c r="AH78" s="544"/>
      <c r="AI78" s="544"/>
      <c r="AJ78" s="544"/>
      <c r="AK78" s="544"/>
      <c r="AL78" s="544"/>
      <c r="AM78" s="544"/>
      <c r="AN78" s="544"/>
      <c r="AO78" s="544"/>
      <c r="AP78" s="544"/>
      <c r="AQ78" s="544"/>
      <c r="AR78" s="544"/>
      <c r="AS78" s="544"/>
      <c r="AT78" s="544"/>
      <c r="AU78" s="544"/>
      <c r="AV78" s="544"/>
      <c r="AW78" s="544"/>
      <c r="AX78" s="544"/>
      <c r="AY78" s="544"/>
      <c r="AZ78" s="544"/>
      <c r="BA78" s="544"/>
      <c r="BB78" s="544"/>
      <c r="BC78" s="544"/>
      <c r="BD78" s="544"/>
      <c r="BE78" s="544"/>
      <c r="BF78" s="544"/>
      <c r="BG78" s="544"/>
      <c r="BH78" s="544"/>
      <c r="BI78" s="544"/>
    </row>
    <row r="79" spans="1:61" ht="28" customHeight="1" x14ac:dyDescent="0.35">
      <c r="A79" s="563"/>
      <c r="B79" s="1090" t="s">
        <v>379</v>
      </c>
      <c r="C79" s="881"/>
      <c r="D79" s="544"/>
      <c r="E79" s="1290" t="s">
        <v>385</v>
      </c>
      <c r="F79" s="1295"/>
      <c r="G79" s="1296"/>
      <c r="H79" s="1296"/>
      <c r="I79" s="1297"/>
      <c r="J79" s="544"/>
      <c r="K79" s="544"/>
      <c r="L79" s="544"/>
      <c r="M79" s="544"/>
      <c r="N79" s="544"/>
      <c r="O79" s="544"/>
      <c r="P79" s="544"/>
      <c r="Q79" s="544"/>
      <c r="R79" s="544"/>
      <c r="S79" s="544"/>
      <c r="T79" s="544"/>
      <c r="U79" s="544"/>
      <c r="V79" s="544"/>
      <c r="W79" s="544"/>
      <c r="X79" s="544"/>
      <c r="Y79" s="544"/>
      <c r="Z79" s="544"/>
      <c r="AA79" s="544"/>
      <c r="AB79" s="544"/>
      <c r="AC79" s="544"/>
      <c r="AD79" s="544"/>
      <c r="AE79" s="544"/>
      <c r="AF79" s="544"/>
      <c r="AG79" s="544"/>
      <c r="AH79" s="544"/>
      <c r="AI79" s="544"/>
      <c r="AJ79" s="544"/>
      <c r="AK79" s="544"/>
      <c r="AL79" s="544"/>
      <c r="AM79" s="544"/>
      <c r="AN79" s="544"/>
      <c r="AO79" s="544"/>
      <c r="AP79" s="544"/>
      <c r="AQ79" s="544"/>
      <c r="AR79" s="544"/>
      <c r="AS79" s="544"/>
      <c r="AT79" s="544"/>
      <c r="AU79" s="544"/>
      <c r="AV79" s="544"/>
      <c r="AW79" s="544"/>
      <c r="AX79" s="544"/>
      <c r="AY79" s="544"/>
      <c r="AZ79" s="544"/>
      <c r="BA79" s="544"/>
      <c r="BB79" s="544"/>
      <c r="BC79" s="544"/>
      <c r="BD79" s="544"/>
      <c r="BE79" s="544"/>
      <c r="BF79" s="544"/>
      <c r="BG79" s="544"/>
      <c r="BH79" s="544"/>
      <c r="BI79" s="544"/>
    </row>
    <row r="80" spans="1:61" ht="28" customHeight="1" x14ac:dyDescent="0.35">
      <c r="A80" s="563"/>
      <c r="B80" s="1090" t="s">
        <v>380</v>
      </c>
      <c r="C80" s="881"/>
      <c r="D80" s="544"/>
      <c r="E80" s="1290" t="s">
        <v>385</v>
      </c>
      <c r="F80" s="1295"/>
      <c r="G80" s="1296"/>
      <c r="H80" s="1296"/>
      <c r="I80" s="1297"/>
      <c r="J80" s="544"/>
      <c r="K80" s="544"/>
      <c r="L80" s="544"/>
      <c r="M80" s="544"/>
      <c r="N80" s="544"/>
      <c r="O80" s="544"/>
      <c r="P80" s="544"/>
      <c r="Q80" s="544"/>
      <c r="R80" s="544"/>
      <c r="S80" s="544"/>
      <c r="T80" s="544"/>
      <c r="U80" s="544"/>
      <c r="V80" s="544"/>
      <c r="W80" s="544"/>
      <c r="X80" s="544"/>
      <c r="Y80" s="544"/>
      <c r="Z80" s="544"/>
      <c r="AA80" s="544"/>
      <c r="AB80" s="544"/>
      <c r="AC80" s="544"/>
      <c r="AD80" s="544"/>
      <c r="AE80" s="544"/>
      <c r="AF80" s="544"/>
      <c r="AG80" s="544"/>
      <c r="AH80" s="544"/>
      <c r="AI80" s="544"/>
      <c r="AJ80" s="544"/>
      <c r="AK80" s="544"/>
      <c r="AL80" s="544"/>
      <c r="AM80" s="544"/>
      <c r="AN80" s="544"/>
      <c r="AO80" s="544"/>
      <c r="AP80" s="544"/>
      <c r="AQ80" s="544"/>
      <c r="AR80" s="544"/>
      <c r="AS80" s="544"/>
      <c r="AT80" s="544"/>
      <c r="AU80" s="544"/>
      <c r="AV80" s="544"/>
      <c r="AW80" s="544"/>
      <c r="AX80" s="544"/>
      <c r="AY80" s="544"/>
      <c r="AZ80" s="544"/>
      <c r="BA80" s="544"/>
      <c r="BB80" s="544"/>
      <c r="BC80" s="544"/>
      <c r="BD80" s="544"/>
      <c r="BE80" s="544"/>
      <c r="BF80" s="544"/>
      <c r="BG80" s="544"/>
      <c r="BH80" s="544"/>
      <c r="BI80" s="544"/>
    </row>
    <row r="81" spans="1:61" ht="28" customHeight="1" x14ac:dyDescent="0.35">
      <c r="A81" s="563"/>
      <c r="B81" s="1090" t="s">
        <v>386</v>
      </c>
      <c r="C81" s="881"/>
      <c r="D81" s="544"/>
      <c r="E81" s="1290" t="s">
        <v>387</v>
      </c>
      <c r="F81" s="1295"/>
      <c r="G81" s="1296"/>
      <c r="H81" s="1296"/>
      <c r="I81" s="1297"/>
      <c r="J81" s="544"/>
      <c r="K81" s="544"/>
      <c r="L81" s="544"/>
      <c r="M81" s="544"/>
      <c r="N81" s="544"/>
      <c r="O81" s="544"/>
      <c r="P81" s="544"/>
      <c r="Q81" s="544"/>
      <c r="R81" s="544"/>
      <c r="S81" s="544"/>
      <c r="T81" s="544"/>
      <c r="U81" s="544"/>
      <c r="V81" s="544"/>
      <c r="W81" s="544"/>
      <c r="X81" s="544"/>
      <c r="Y81" s="544"/>
      <c r="Z81" s="544"/>
      <c r="AA81" s="544"/>
      <c r="AB81" s="544"/>
      <c r="AC81" s="544"/>
      <c r="AD81" s="544"/>
      <c r="AE81" s="544"/>
      <c r="AF81" s="544"/>
      <c r="AG81" s="544"/>
      <c r="AH81" s="544"/>
      <c r="AI81" s="544"/>
      <c r="AJ81" s="544"/>
      <c r="AK81" s="544"/>
      <c r="AL81" s="544"/>
      <c r="AM81" s="544"/>
      <c r="AN81" s="544"/>
      <c r="AO81" s="544"/>
      <c r="AP81" s="544"/>
      <c r="AQ81" s="544"/>
      <c r="AR81" s="544"/>
      <c r="AS81" s="544"/>
      <c r="AT81" s="544"/>
      <c r="AU81" s="544"/>
      <c r="AV81" s="544"/>
      <c r="AW81" s="544"/>
      <c r="AX81" s="544"/>
      <c r="AY81" s="544"/>
      <c r="AZ81" s="544"/>
      <c r="BA81" s="544"/>
      <c r="BB81" s="544"/>
      <c r="BC81" s="544"/>
      <c r="BD81" s="544"/>
      <c r="BE81" s="544"/>
      <c r="BF81" s="544"/>
      <c r="BG81" s="544"/>
      <c r="BH81" s="544"/>
      <c r="BI81" s="544"/>
    </row>
    <row r="82" spans="1:61" ht="28" customHeight="1" x14ac:dyDescent="0.35">
      <c r="A82" s="563"/>
      <c r="B82" s="1090" t="s">
        <v>388</v>
      </c>
      <c r="C82" s="881"/>
      <c r="D82" s="544"/>
      <c r="E82" s="1290" t="s">
        <v>385</v>
      </c>
      <c r="F82" s="1295"/>
      <c r="G82" s="1296"/>
      <c r="H82" s="1296"/>
      <c r="I82" s="1297"/>
      <c r="J82" s="544"/>
      <c r="K82" s="544"/>
      <c r="L82" s="544"/>
      <c r="M82" s="544"/>
      <c r="N82" s="544"/>
      <c r="O82" s="544"/>
      <c r="P82" s="544"/>
      <c r="Q82" s="544"/>
      <c r="R82" s="544"/>
      <c r="S82" s="544"/>
      <c r="T82" s="544"/>
      <c r="U82" s="544"/>
      <c r="V82" s="544"/>
      <c r="W82" s="544"/>
      <c r="X82" s="544"/>
      <c r="Y82" s="544"/>
      <c r="Z82" s="544"/>
      <c r="AA82" s="544"/>
      <c r="AB82" s="544"/>
      <c r="AC82" s="544"/>
      <c r="AD82" s="544"/>
      <c r="AE82" s="544"/>
      <c r="AF82" s="544"/>
      <c r="AG82" s="544"/>
      <c r="AH82" s="544"/>
      <c r="AI82" s="544"/>
      <c r="AJ82" s="544"/>
      <c r="AK82" s="544"/>
      <c r="AL82" s="544"/>
      <c r="AM82" s="544"/>
      <c r="AN82" s="544"/>
      <c r="AO82" s="544"/>
      <c r="AP82" s="544"/>
      <c r="AQ82" s="544"/>
      <c r="AR82" s="544"/>
      <c r="AS82" s="544"/>
      <c r="AT82" s="544"/>
      <c r="AU82" s="544"/>
      <c r="AV82" s="544"/>
      <c r="AW82" s="544"/>
      <c r="AX82" s="544"/>
      <c r="AY82" s="544"/>
      <c r="AZ82" s="544"/>
      <c r="BA82" s="544"/>
      <c r="BB82" s="544"/>
      <c r="BC82" s="544"/>
      <c r="BD82" s="544"/>
      <c r="BE82" s="544"/>
      <c r="BF82" s="544"/>
      <c r="BG82" s="544"/>
      <c r="BH82" s="544"/>
      <c r="BI82" s="544"/>
    </row>
    <row r="83" spans="1:61" ht="28" customHeight="1" x14ac:dyDescent="0.35">
      <c r="A83" s="563"/>
      <c r="B83" s="1090" t="s">
        <v>389</v>
      </c>
      <c r="C83" s="881"/>
      <c r="D83" s="544"/>
      <c r="E83" s="1290" t="s">
        <v>385</v>
      </c>
      <c r="F83" s="1295"/>
      <c r="G83" s="1296"/>
      <c r="H83" s="1296"/>
      <c r="I83" s="1297"/>
      <c r="J83" s="544"/>
      <c r="K83" s="544"/>
      <c r="L83" s="544"/>
      <c r="M83" s="544"/>
      <c r="N83" s="544"/>
      <c r="O83" s="544"/>
      <c r="P83" s="544"/>
      <c r="Q83" s="544"/>
      <c r="R83" s="544"/>
      <c r="S83" s="544"/>
      <c r="T83" s="544"/>
      <c r="U83" s="544"/>
      <c r="V83" s="544"/>
      <c r="W83" s="544"/>
      <c r="X83" s="544"/>
      <c r="Y83" s="544"/>
      <c r="Z83" s="544"/>
      <c r="AA83" s="544"/>
      <c r="AB83" s="544"/>
      <c r="AC83" s="544"/>
      <c r="AD83" s="544"/>
      <c r="AE83" s="544"/>
      <c r="AF83" s="544"/>
      <c r="AG83" s="544"/>
      <c r="AH83" s="544"/>
      <c r="AI83" s="544"/>
      <c r="AJ83" s="544"/>
      <c r="AK83" s="544"/>
      <c r="AL83" s="544"/>
      <c r="AM83" s="544"/>
      <c r="AN83" s="544"/>
      <c r="AO83" s="544"/>
      <c r="AP83" s="544"/>
      <c r="AQ83" s="544"/>
      <c r="AR83" s="544"/>
      <c r="AS83" s="544"/>
      <c r="AT83" s="544"/>
      <c r="AU83" s="544"/>
      <c r="AV83" s="544"/>
      <c r="AW83" s="544"/>
      <c r="AX83" s="544"/>
      <c r="AY83" s="544"/>
      <c r="AZ83" s="544"/>
      <c r="BA83" s="544"/>
      <c r="BB83" s="544"/>
      <c r="BC83" s="544"/>
      <c r="BD83" s="544"/>
      <c r="BE83" s="544"/>
      <c r="BF83" s="544"/>
      <c r="BG83" s="544"/>
      <c r="BH83" s="544"/>
      <c r="BI83" s="544"/>
    </row>
    <row r="84" spans="1:61" ht="17.149999999999999" customHeight="1" x14ac:dyDescent="0.35">
      <c r="A84" s="563"/>
      <c r="B84" s="645"/>
      <c r="C84" s="601"/>
      <c r="D84" s="544"/>
      <c r="E84" s="544"/>
      <c r="F84" s="544"/>
      <c r="G84" s="544"/>
      <c r="H84" s="544"/>
      <c r="I84" s="544"/>
      <c r="J84" s="544"/>
      <c r="K84" s="544"/>
      <c r="L84" s="544"/>
      <c r="M84" s="544"/>
      <c r="N84" s="544"/>
      <c r="O84" s="544"/>
      <c r="P84" s="544"/>
      <c r="Q84" s="544"/>
      <c r="R84" s="544"/>
      <c r="S84" s="544"/>
      <c r="T84" s="544"/>
      <c r="U84" s="544"/>
      <c r="V84" s="544"/>
      <c r="W84" s="544"/>
      <c r="X84" s="544"/>
      <c r="Y84" s="544"/>
      <c r="Z84" s="544"/>
      <c r="AA84" s="544"/>
      <c r="AB84" s="544"/>
      <c r="AC84" s="544"/>
      <c r="AD84" s="544"/>
      <c r="AE84" s="544"/>
      <c r="AF84" s="544"/>
      <c r="AG84" s="544"/>
      <c r="AH84" s="544"/>
      <c r="AI84" s="544"/>
      <c r="AJ84" s="544"/>
      <c r="AK84" s="544"/>
      <c r="AL84" s="544"/>
      <c r="AM84" s="544"/>
      <c r="AN84" s="544"/>
      <c r="AO84" s="544"/>
      <c r="AP84" s="544"/>
      <c r="AQ84" s="544"/>
      <c r="AR84" s="544"/>
      <c r="AS84" s="544"/>
      <c r="AT84" s="544"/>
      <c r="AU84" s="544"/>
      <c r="AV84" s="544"/>
      <c r="AW84" s="544"/>
      <c r="AX84" s="544"/>
      <c r="AY84" s="544"/>
      <c r="AZ84" s="544"/>
      <c r="BA84" s="544"/>
      <c r="BB84" s="544"/>
      <c r="BC84" s="544"/>
      <c r="BD84" s="544"/>
      <c r="BE84" s="544"/>
      <c r="BF84" s="544"/>
      <c r="BG84" s="544"/>
      <c r="BH84" s="544"/>
      <c r="BI84" s="544"/>
    </row>
    <row r="85" spans="1:61" ht="17.149999999999999" customHeight="1" x14ac:dyDescent="0.35">
      <c r="A85" s="563"/>
      <c r="B85" s="645"/>
      <c r="C85" s="601"/>
      <c r="D85" s="544"/>
      <c r="E85" s="544"/>
      <c r="F85" s="544"/>
      <c r="G85" s="544"/>
      <c r="H85" s="544"/>
      <c r="I85" s="544"/>
      <c r="J85" s="544"/>
      <c r="K85" s="544"/>
      <c r="L85" s="544"/>
      <c r="M85" s="544"/>
      <c r="N85" s="544"/>
      <c r="O85" s="544"/>
      <c r="P85" s="544"/>
      <c r="Q85" s="544"/>
      <c r="R85" s="544"/>
      <c r="S85" s="544"/>
      <c r="T85" s="544"/>
      <c r="U85" s="544"/>
      <c r="V85" s="544"/>
      <c r="W85" s="544"/>
      <c r="X85" s="544"/>
      <c r="Y85" s="544"/>
      <c r="Z85" s="544"/>
      <c r="AA85" s="544"/>
      <c r="AB85" s="544"/>
      <c r="AC85" s="544"/>
      <c r="AD85" s="544"/>
      <c r="AE85" s="544"/>
      <c r="AF85" s="544"/>
      <c r="AG85" s="544"/>
      <c r="AH85" s="544"/>
      <c r="AI85" s="544"/>
      <c r="AJ85" s="544"/>
      <c r="AK85" s="544"/>
      <c r="AL85" s="544"/>
      <c r="AM85" s="544"/>
      <c r="AN85" s="544"/>
      <c r="AO85" s="544"/>
      <c r="AP85" s="544"/>
      <c r="AQ85" s="544"/>
      <c r="AR85" s="544"/>
      <c r="AS85" s="544"/>
      <c r="AT85" s="544"/>
      <c r="AU85" s="544"/>
      <c r="AV85" s="544"/>
      <c r="AW85" s="544"/>
      <c r="AX85" s="544"/>
      <c r="AY85" s="544"/>
      <c r="AZ85" s="544"/>
      <c r="BA85" s="544"/>
      <c r="BB85" s="544"/>
      <c r="BC85" s="544"/>
      <c r="BD85" s="544"/>
      <c r="BE85" s="544"/>
      <c r="BF85" s="544"/>
      <c r="BG85" s="544"/>
      <c r="BH85" s="544"/>
      <c r="BI85" s="544"/>
    </row>
    <row r="86" spans="1:61" ht="17.149999999999999" customHeight="1" x14ac:dyDescent="0.35">
      <c r="A86" s="563"/>
      <c r="B86" s="592" t="s">
        <v>390</v>
      </c>
      <c r="C86" s="572"/>
      <c r="D86" s="544"/>
      <c r="E86" s="544"/>
      <c r="F86" s="544"/>
      <c r="G86" s="544"/>
      <c r="H86" s="544"/>
      <c r="I86" s="544"/>
      <c r="J86" s="544"/>
      <c r="K86" s="544"/>
      <c r="L86" s="544"/>
      <c r="M86" s="544"/>
      <c r="N86" s="544"/>
      <c r="O86" s="544"/>
      <c r="P86" s="544"/>
      <c r="Q86" s="544"/>
      <c r="R86" s="544"/>
      <c r="S86" s="544"/>
      <c r="T86" s="544"/>
      <c r="U86" s="544"/>
      <c r="V86" s="544"/>
      <c r="W86" s="544"/>
      <c r="X86" s="544"/>
      <c r="Y86" s="544"/>
      <c r="Z86" s="544"/>
      <c r="AA86" s="544"/>
      <c r="AB86" s="544"/>
      <c r="AC86" s="544"/>
      <c r="AD86" s="544"/>
      <c r="AE86" s="544"/>
      <c r="AF86" s="544"/>
      <c r="AG86" s="544"/>
      <c r="AH86" s="544"/>
      <c r="AI86" s="544"/>
      <c r="AJ86" s="544"/>
      <c r="AK86" s="544"/>
      <c r="AL86" s="544"/>
      <c r="AM86" s="544"/>
      <c r="AN86" s="544"/>
      <c r="AO86" s="544"/>
      <c r="AP86" s="544"/>
      <c r="AQ86" s="544"/>
      <c r="AR86" s="544"/>
      <c r="AS86" s="544"/>
      <c r="AT86" s="544"/>
      <c r="AU86" s="544"/>
      <c r="AV86" s="544"/>
      <c r="AW86" s="544"/>
      <c r="AX86" s="544"/>
      <c r="AY86" s="544"/>
      <c r="AZ86" s="544"/>
      <c r="BA86" s="544"/>
      <c r="BB86" s="544"/>
      <c r="BC86" s="544"/>
      <c r="BD86" s="544"/>
      <c r="BE86" s="544"/>
      <c r="BF86" s="544"/>
      <c r="BG86" s="544"/>
      <c r="BH86" s="544"/>
      <c r="BI86" s="544"/>
    </row>
    <row r="87" spans="1:61" ht="28" customHeight="1" x14ac:dyDescent="0.35">
      <c r="A87" s="563"/>
      <c r="B87" s="1484" t="s">
        <v>373</v>
      </c>
      <c r="C87" s="597" t="s">
        <v>374</v>
      </c>
      <c r="D87" s="544"/>
      <c r="E87" s="577" t="s">
        <v>375</v>
      </c>
      <c r="F87" s="578"/>
      <c r="G87" s="1127"/>
      <c r="H87" s="599"/>
      <c r="I87" s="1128"/>
      <c r="J87" s="544"/>
      <c r="K87" s="544"/>
      <c r="L87" s="544"/>
      <c r="M87" s="544"/>
      <c r="N87" s="544"/>
      <c r="O87" s="544"/>
      <c r="P87" s="544"/>
      <c r="Q87" s="544"/>
      <c r="R87" s="544"/>
      <c r="S87" s="544"/>
      <c r="T87" s="544"/>
      <c r="U87" s="544"/>
      <c r="V87" s="544"/>
      <c r="W87" s="544"/>
      <c r="X87" s="544"/>
      <c r="Y87" s="544"/>
      <c r="Z87" s="544"/>
      <c r="AA87" s="544"/>
      <c r="AB87" s="544"/>
      <c r="AC87" s="544"/>
      <c r="AD87" s="544"/>
      <c r="AE87" s="544"/>
      <c r="AF87" s="544"/>
      <c r="AG87" s="544"/>
      <c r="AH87" s="544"/>
      <c r="AI87" s="544"/>
      <c r="AJ87" s="544"/>
      <c r="AK87" s="544"/>
      <c r="AL87" s="544"/>
      <c r="AM87" s="544"/>
      <c r="AN87" s="544"/>
      <c r="AO87" s="544"/>
      <c r="AP87" s="544"/>
      <c r="AQ87" s="544"/>
      <c r="AR87" s="544"/>
      <c r="AS87" s="544"/>
      <c r="AT87" s="544"/>
      <c r="AU87" s="544"/>
      <c r="AV87" s="544"/>
      <c r="AW87" s="544"/>
      <c r="AX87" s="544"/>
      <c r="AY87" s="544"/>
      <c r="AZ87" s="544"/>
      <c r="BA87" s="544"/>
      <c r="BB87" s="544"/>
      <c r="BC87" s="544"/>
      <c r="BD87" s="544"/>
      <c r="BE87" s="544"/>
      <c r="BF87" s="544"/>
      <c r="BG87" s="544"/>
      <c r="BH87" s="544"/>
      <c r="BI87" s="544"/>
    </row>
    <row r="88" spans="1:61" s="12" customFormat="1" ht="28" customHeight="1" x14ac:dyDescent="0.35">
      <c r="A88" s="563"/>
      <c r="B88" s="600" t="s">
        <v>376</v>
      </c>
      <c r="C88" s="881"/>
      <c r="D88" s="478"/>
      <c r="E88" s="883"/>
      <c r="F88" s="884"/>
      <c r="G88" s="885"/>
      <c r="H88" s="885"/>
      <c r="I88" s="1129"/>
      <c r="J88" s="570"/>
      <c r="K88" s="570"/>
      <c r="L88" s="570"/>
      <c r="M88" s="570"/>
      <c r="N88" s="570"/>
      <c r="O88" s="570"/>
      <c r="P88" s="570"/>
      <c r="Q88" s="570"/>
      <c r="R88" s="570"/>
      <c r="S88" s="570"/>
      <c r="T88" s="570"/>
      <c r="U88" s="570"/>
      <c r="V88" s="570"/>
      <c r="W88" s="570"/>
      <c r="X88" s="570"/>
      <c r="Y88" s="570"/>
      <c r="Z88" s="570"/>
      <c r="AA88" s="570"/>
      <c r="AB88" s="570"/>
      <c r="AC88" s="570"/>
      <c r="AD88" s="570"/>
      <c r="AE88" s="570"/>
      <c r="AF88" s="570"/>
      <c r="AG88" s="570"/>
      <c r="AH88" s="570"/>
      <c r="AI88" s="570"/>
      <c r="AJ88" s="570"/>
      <c r="AK88" s="570"/>
      <c r="AL88" s="570"/>
      <c r="AM88" s="570"/>
      <c r="AN88" s="570"/>
      <c r="AO88" s="570"/>
      <c r="AP88" s="570"/>
      <c r="AQ88" s="570"/>
      <c r="AR88" s="570"/>
      <c r="AS88" s="570"/>
      <c r="AT88" s="570"/>
      <c r="AU88" s="570"/>
      <c r="AV88" s="570"/>
      <c r="AW88" s="570"/>
      <c r="AX88" s="570"/>
      <c r="AY88" s="570"/>
      <c r="AZ88" s="570"/>
      <c r="BA88" s="570"/>
      <c r="BB88" s="570"/>
      <c r="BC88" s="570"/>
      <c r="BD88" s="570"/>
      <c r="BE88" s="570"/>
      <c r="BF88" s="570"/>
      <c r="BG88" s="570"/>
      <c r="BH88" s="570"/>
      <c r="BI88" s="570"/>
    </row>
    <row r="89" spans="1:61" ht="28" customHeight="1" x14ac:dyDescent="0.35">
      <c r="A89" s="563"/>
      <c r="B89" s="1090" t="s">
        <v>391</v>
      </c>
      <c r="C89" s="881"/>
      <c r="D89" s="544"/>
      <c r="E89" s="1290" t="s">
        <v>392</v>
      </c>
      <c r="F89" s="1295"/>
      <c r="G89" s="1296"/>
      <c r="H89" s="1296"/>
      <c r="I89" s="1297"/>
      <c r="J89" s="544"/>
      <c r="K89" s="544"/>
      <c r="L89" s="544"/>
      <c r="M89" s="544"/>
      <c r="N89" s="544"/>
      <c r="O89" s="544"/>
      <c r="P89" s="544"/>
      <c r="Q89" s="544"/>
      <c r="R89" s="544"/>
      <c r="S89" s="544"/>
      <c r="T89" s="544"/>
      <c r="U89" s="544"/>
      <c r="V89" s="544"/>
      <c r="W89" s="544"/>
      <c r="X89" s="544"/>
      <c r="Y89" s="544"/>
      <c r="Z89" s="544"/>
      <c r="AA89" s="544"/>
      <c r="AB89" s="544"/>
      <c r="AC89" s="544"/>
      <c r="AD89" s="544"/>
      <c r="AE89" s="544"/>
      <c r="AF89" s="544"/>
      <c r="AG89" s="544"/>
      <c r="AH89" s="544"/>
      <c r="AI89" s="544"/>
      <c r="AJ89" s="544"/>
      <c r="AK89" s="544"/>
      <c r="AL89" s="544"/>
      <c r="AM89" s="544"/>
      <c r="AN89" s="544"/>
      <c r="AO89" s="544"/>
      <c r="AP89" s="544"/>
      <c r="AQ89" s="544"/>
      <c r="AR89" s="544"/>
      <c r="AS89" s="544"/>
      <c r="AT89" s="544"/>
      <c r="AU89" s="544"/>
      <c r="AV89" s="544"/>
      <c r="AW89" s="544"/>
      <c r="AX89" s="544"/>
      <c r="AY89" s="544"/>
      <c r="AZ89" s="544"/>
      <c r="BA89" s="544"/>
      <c r="BB89" s="544"/>
      <c r="BC89" s="544"/>
      <c r="BD89" s="544"/>
      <c r="BE89" s="544"/>
      <c r="BF89" s="544"/>
      <c r="BG89" s="544"/>
      <c r="BH89" s="544"/>
      <c r="BI89" s="544"/>
    </row>
    <row r="90" spans="1:61" ht="28" customHeight="1" x14ac:dyDescent="0.35">
      <c r="A90" s="563"/>
      <c r="B90" s="1090" t="s">
        <v>393</v>
      </c>
      <c r="C90" s="881">
        <v>1</v>
      </c>
      <c r="D90" s="544"/>
      <c r="E90" s="1290" t="s">
        <v>394</v>
      </c>
      <c r="F90" s="1295"/>
      <c r="G90" s="1296"/>
      <c r="H90" s="1296"/>
      <c r="I90" s="1297"/>
      <c r="J90" s="544"/>
      <c r="K90" s="544"/>
      <c r="L90" s="544"/>
      <c r="M90" s="544"/>
      <c r="N90" s="544"/>
      <c r="O90" s="544"/>
      <c r="P90" s="544"/>
      <c r="Q90" s="544"/>
      <c r="R90" s="544"/>
      <c r="S90" s="544"/>
      <c r="T90" s="544"/>
      <c r="U90" s="544"/>
      <c r="V90" s="544"/>
      <c r="W90" s="544"/>
      <c r="X90" s="544"/>
      <c r="Y90" s="544"/>
      <c r="Z90" s="544"/>
      <c r="AA90" s="544"/>
      <c r="AB90" s="544"/>
      <c r="AC90" s="544"/>
      <c r="AD90" s="544"/>
      <c r="AE90" s="544"/>
      <c r="AF90" s="544"/>
      <c r="AG90" s="544"/>
      <c r="AH90" s="544"/>
      <c r="AI90" s="544"/>
      <c r="AJ90" s="544"/>
      <c r="AK90" s="544"/>
      <c r="AL90" s="544"/>
      <c r="AM90" s="544"/>
      <c r="AN90" s="544"/>
      <c r="AO90" s="544"/>
      <c r="AP90" s="544"/>
      <c r="AQ90" s="544"/>
      <c r="AR90" s="544"/>
      <c r="AS90" s="544"/>
      <c r="AT90" s="544"/>
      <c r="AU90" s="544"/>
      <c r="AV90" s="544"/>
      <c r="AW90" s="544"/>
      <c r="AX90" s="544"/>
      <c r="AY90" s="544"/>
      <c r="AZ90" s="544"/>
      <c r="BA90" s="544"/>
      <c r="BB90" s="544"/>
      <c r="BC90" s="544"/>
      <c r="BD90" s="544"/>
      <c r="BE90" s="544"/>
      <c r="BF90" s="544"/>
      <c r="BG90" s="544"/>
      <c r="BH90" s="544"/>
      <c r="BI90" s="544"/>
    </row>
    <row r="91" spans="1:61" ht="28" customHeight="1" x14ac:dyDescent="0.35">
      <c r="A91" s="563"/>
      <c r="B91" s="1090" t="s">
        <v>379</v>
      </c>
      <c r="C91" s="881"/>
      <c r="D91" s="544"/>
      <c r="E91" s="1290"/>
      <c r="F91" s="1295"/>
      <c r="G91" s="1296"/>
      <c r="H91" s="1296"/>
      <c r="I91" s="1297"/>
      <c r="J91" s="544"/>
      <c r="K91" s="544"/>
      <c r="L91" s="544"/>
      <c r="M91" s="544"/>
      <c r="N91" s="544"/>
      <c r="O91" s="544"/>
      <c r="P91" s="544"/>
      <c r="Q91" s="544"/>
      <c r="R91" s="544"/>
      <c r="S91" s="544"/>
      <c r="T91" s="544"/>
      <c r="U91" s="544"/>
      <c r="V91" s="544"/>
      <c r="W91" s="544"/>
      <c r="X91" s="544"/>
      <c r="Y91" s="544"/>
      <c r="Z91" s="544"/>
      <c r="AA91" s="544"/>
      <c r="AB91" s="544"/>
      <c r="AC91" s="544"/>
      <c r="AD91" s="544"/>
      <c r="AE91" s="544"/>
      <c r="AF91" s="544"/>
      <c r="AG91" s="544"/>
      <c r="AH91" s="544"/>
      <c r="AI91" s="544"/>
      <c r="AJ91" s="544"/>
      <c r="AK91" s="544"/>
      <c r="AL91" s="544"/>
      <c r="AM91" s="544"/>
      <c r="AN91" s="544"/>
      <c r="AO91" s="544"/>
      <c r="AP91" s="544"/>
      <c r="AQ91" s="544"/>
      <c r="AR91" s="544"/>
      <c r="AS91" s="544"/>
      <c r="AT91" s="544"/>
      <c r="AU91" s="544"/>
      <c r="AV91" s="544"/>
      <c r="AW91" s="544"/>
      <c r="AX91" s="544"/>
      <c r="AY91" s="544"/>
      <c r="AZ91" s="544"/>
      <c r="BA91" s="544"/>
      <c r="BB91" s="544"/>
      <c r="BC91" s="544"/>
      <c r="BD91" s="544"/>
      <c r="BE91" s="544"/>
      <c r="BF91" s="544"/>
      <c r="BG91" s="544"/>
      <c r="BH91" s="544"/>
      <c r="BI91" s="544"/>
    </row>
    <row r="92" spans="1:61" ht="28" customHeight="1" x14ac:dyDescent="0.35">
      <c r="A92" s="563"/>
      <c r="B92" s="1090" t="s">
        <v>380</v>
      </c>
      <c r="C92" s="881"/>
      <c r="D92" s="544"/>
      <c r="E92" s="1290"/>
      <c r="F92" s="1295"/>
      <c r="G92" s="1296"/>
      <c r="H92" s="1296"/>
      <c r="I92" s="1297"/>
      <c r="J92" s="544"/>
      <c r="K92" s="544"/>
      <c r="L92" s="544"/>
      <c r="M92" s="544"/>
      <c r="N92" s="544"/>
      <c r="O92" s="544"/>
      <c r="P92" s="544"/>
      <c r="Q92" s="544"/>
      <c r="R92" s="544"/>
      <c r="S92" s="544"/>
      <c r="T92" s="544"/>
      <c r="U92" s="544"/>
      <c r="V92" s="544"/>
      <c r="W92" s="544"/>
      <c r="X92" s="544"/>
      <c r="Y92" s="544"/>
      <c r="Z92" s="544"/>
      <c r="AA92" s="544"/>
      <c r="AB92" s="544"/>
      <c r="AC92" s="544"/>
      <c r="AD92" s="544"/>
      <c r="AE92" s="544"/>
      <c r="AF92" s="544"/>
      <c r="AG92" s="544"/>
      <c r="AH92" s="544"/>
      <c r="AI92" s="544"/>
      <c r="AJ92" s="544"/>
      <c r="AK92" s="544"/>
      <c r="AL92" s="544"/>
      <c r="AM92" s="544"/>
      <c r="AN92" s="544"/>
      <c r="AO92" s="544"/>
      <c r="AP92" s="544"/>
      <c r="AQ92" s="544"/>
      <c r="AR92" s="544"/>
      <c r="AS92" s="544"/>
      <c r="AT92" s="544"/>
      <c r="AU92" s="544"/>
      <c r="AV92" s="544"/>
      <c r="AW92" s="544"/>
      <c r="AX92" s="544"/>
      <c r="AY92" s="544"/>
      <c r="AZ92" s="544"/>
      <c r="BA92" s="544"/>
      <c r="BB92" s="544"/>
      <c r="BC92" s="544"/>
      <c r="BD92" s="544"/>
      <c r="BE92" s="544"/>
      <c r="BF92" s="544"/>
      <c r="BG92" s="544"/>
      <c r="BH92" s="544"/>
      <c r="BI92" s="544"/>
    </row>
    <row r="93" spans="1:61" ht="28" customHeight="1" x14ac:dyDescent="0.35">
      <c r="A93" s="563"/>
      <c r="B93" s="1090" t="s">
        <v>395</v>
      </c>
      <c r="C93" s="881">
        <v>1</v>
      </c>
      <c r="D93" s="544"/>
      <c r="E93" s="1290"/>
      <c r="F93" s="1295"/>
      <c r="G93" s="1296"/>
      <c r="H93" s="1296"/>
      <c r="I93" s="1297"/>
      <c r="J93" s="544"/>
      <c r="K93" s="544"/>
      <c r="L93" s="544"/>
      <c r="M93" s="544"/>
      <c r="N93" s="544"/>
      <c r="O93" s="544"/>
      <c r="P93" s="544"/>
      <c r="Q93" s="544"/>
      <c r="R93" s="544"/>
      <c r="S93" s="544"/>
      <c r="T93" s="544"/>
      <c r="U93" s="544"/>
      <c r="V93" s="544"/>
      <c r="W93" s="544"/>
      <c r="X93" s="544"/>
      <c r="Y93" s="544"/>
      <c r="Z93" s="544"/>
      <c r="AA93" s="544"/>
      <c r="AB93" s="544"/>
      <c r="AC93" s="544"/>
      <c r="AD93" s="544"/>
      <c r="AE93" s="544"/>
      <c r="AF93" s="544"/>
      <c r="AG93" s="544"/>
      <c r="AH93" s="544"/>
      <c r="AI93" s="544"/>
      <c r="AJ93" s="544"/>
      <c r="AK93" s="544"/>
      <c r="AL93" s="544"/>
      <c r="AM93" s="544"/>
      <c r="AN93" s="544"/>
      <c r="AO93" s="544"/>
      <c r="AP93" s="544"/>
      <c r="AQ93" s="544"/>
      <c r="AR93" s="544"/>
      <c r="AS93" s="544"/>
      <c r="AT93" s="544"/>
      <c r="AU93" s="544"/>
      <c r="AV93" s="544"/>
      <c r="AW93" s="544"/>
      <c r="AX93" s="544"/>
      <c r="AY93" s="544"/>
      <c r="AZ93" s="544"/>
      <c r="BA93" s="544"/>
      <c r="BB93" s="544"/>
      <c r="BC93" s="544"/>
      <c r="BD93" s="544"/>
      <c r="BE93" s="544"/>
      <c r="BF93" s="544"/>
      <c r="BG93" s="544"/>
      <c r="BH93" s="544"/>
      <c r="BI93" s="544"/>
    </row>
    <row r="94" spans="1:61" ht="28" customHeight="1" x14ac:dyDescent="0.35">
      <c r="A94" s="563"/>
      <c r="B94" s="1090" t="s">
        <v>396</v>
      </c>
      <c r="C94" s="881"/>
      <c r="D94" s="544"/>
      <c r="E94" s="1290"/>
      <c r="F94" s="1295"/>
      <c r="G94" s="1296"/>
      <c r="H94" s="1296"/>
      <c r="I94" s="1297"/>
      <c r="J94" s="544"/>
      <c r="K94" s="544"/>
      <c r="L94" s="544"/>
      <c r="M94" s="544"/>
      <c r="N94" s="544"/>
      <c r="O94" s="544"/>
      <c r="P94" s="544"/>
      <c r="Q94" s="544"/>
      <c r="R94" s="544"/>
      <c r="S94" s="544"/>
      <c r="T94" s="544"/>
      <c r="U94" s="544"/>
      <c r="V94" s="544"/>
      <c r="W94" s="544"/>
      <c r="X94" s="544"/>
      <c r="Y94" s="544"/>
      <c r="Z94" s="544"/>
      <c r="AA94" s="544"/>
      <c r="AB94" s="544"/>
      <c r="AC94" s="544"/>
      <c r="AD94" s="544"/>
      <c r="AE94" s="544"/>
      <c r="AF94" s="544"/>
      <c r="AG94" s="544"/>
      <c r="AH94" s="544"/>
      <c r="AI94" s="544"/>
      <c r="AJ94" s="544"/>
      <c r="AK94" s="544"/>
      <c r="AL94" s="544"/>
      <c r="AM94" s="544"/>
      <c r="AN94" s="544"/>
      <c r="AO94" s="544"/>
      <c r="AP94" s="544"/>
      <c r="AQ94" s="544"/>
      <c r="AR94" s="544"/>
      <c r="AS94" s="544"/>
      <c r="AT94" s="544"/>
      <c r="AU94" s="544"/>
      <c r="AV94" s="544"/>
      <c r="AW94" s="544"/>
      <c r="AX94" s="544"/>
      <c r="AY94" s="544"/>
      <c r="AZ94" s="544"/>
      <c r="BA94" s="544"/>
      <c r="BB94" s="544"/>
      <c r="BC94" s="544"/>
      <c r="BD94" s="544"/>
      <c r="BE94" s="544"/>
      <c r="BF94" s="544"/>
      <c r="BG94" s="544"/>
      <c r="BH94" s="544"/>
      <c r="BI94" s="544"/>
    </row>
    <row r="95" spans="1:61" ht="28" customHeight="1" x14ac:dyDescent="0.35">
      <c r="A95" s="563"/>
      <c r="B95" s="1090" t="s">
        <v>389</v>
      </c>
      <c r="C95" s="881"/>
      <c r="D95" s="544"/>
      <c r="E95" s="1290"/>
      <c r="F95" s="1295"/>
      <c r="G95" s="1296"/>
      <c r="H95" s="1296"/>
      <c r="I95" s="1297"/>
      <c r="J95" s="544"/>
      <c r="K95" s="544"/>
      <c r="L95" s="544"/>
      <c r="M95" s="544"/>
      <c r="N95" s="544"/>
      <c r="O95" s="544"/>
      <c r="P95" s="544"/>
      <c r="Q95" s="544"/>
      <c r="R95" s="544"/>
      <c r="S95" s="544"/>
      <c r="T95" s="544"/>
      <c r="U95" s="544"/>
      <c r="V95" s="544"/>
      <c r="W95" s="544"/>
      <c r="X95" s="544"/>
      <c r="Y95" s="544"/>
      <c r="Z95" s="544"/>
      <c r="AA95" s="544"/>
      <c r="AB95" s="544"/>
      <c r="AC95" s="544"/>
      <c r="AD95" s="544"/>
      <c r="AE95" s="544"/>
      <c r="AF95" s="544"/>
      <c r="AG95" s="544"/>
      <c r="AH95" s="544"/>
      <c r="AI95" s="544"/>
      <c r="AJ95" s="544"/>
      <c r="AK95" s="544"/>
      <c r="AL95" s="544"/>
      <c r="AM95" s="544"/>
      <c r="AN95" s="544"/>
      <c r="AO95" s="544"/>
      <c r="AP95" s="544"/>
      <c r="AQ95" s="544"/>
      <c r="AR95" s="544"/>
      <c r="AS95" s="544"/>
      <c r="AT95" s="544"/>
      <c r="AU95" s="544"/>
      <c r="AV95" s="544"/>
      <c r="AW95" s="544"/>
      <c r="AX95" s="544"/>
      <c r="AY95" s="544"/>
      <c r="AZ95" s="544"/>
      <c r="BA95" s="544"/>
      <c r="BB95" s="544"/>
      <c r="BC95" s="544"/>
      <c r="BD95" s="544"/>
      <c r="BE95" s="544"/>
      <c r="BF95" s="544"/>
      <c r="BG95" s="544"/>
      <c r="BH95" s="544"/>
      <c r="BI95" s="544"/>
    </row>
    <row r="96" spans="1:61" s="544" customFormat="1" ht="17.149999999999999" customHeight="1" x14ac:dyDescent="0.35">
      <c r="A96" s="563"/>
      <c r="B96" s="645"/>
      <c r="C96" s="601"/>
    </row>
    <row r="97" spans="1:3" s="544" customFormat="1" ht="17.149999999999999" customHeight="1" x14ac:dyDescent="0.35">
      <c r="A97" s="563"/>
      <c r="B97" s="645"/>
      <c r="C97" s="601"/>
    </row>
    <row r="98" spans="1:3" s="544" customFormat="1" ht="26" x14ac:dyDescent="0.35">
      <c r="A98" s="563"/>
      <c r="B98" s="572"/>
      <c r="C98" s="572"/>
    </row>
    <row r="99" spans="1:3" s="544" customFormat="1" ht="26" x14ac:dyDescent="0.35">
      <c r="A99" s="563"/>
      <c r="B99" s="572"/>
      <c r="C99" s="572"/>
    </row>
    <row r="100" spans="1:3" s="544" customFormat="1" ht="26" x14ac:dyDescent="0.35">
      <c r="A100" s="563"/>
      <c r="B100" s="572"/>
      <c r="C100" s="572"/>
    </row>
    <row r="101" spans="1:3" s="544" customFormat="1" ht="26" x14ac:dyDescent="0.35">
      <c r="A101" s="563"/>
      <c r="B101" s="572"/>
      <c r="C101" s="572"/>
    </row>
    <row r="102" spans="1:3" s="544" customFormat="1" ht="26" x14ac:dyDescent="0.35">
      <c r="A102" s="563"/>
      <c r="B102" s="572"/>
      <c r="C102" s="572"/>
    </row>
    <row r="103" spans="1:3" s="544" customFormat="1" ht="26" x14ac:dyDescent="0.35">
      <c r="A103" s="563"/>
      <c r="B103" s="572"/>
      <c r="C103" s="572"/>
    </row>
    <row r="104" spans="1:3" s="544" customFormat="1" ht="26" x14ac:dyDescent="0.35">
      <c r="A104" s="563"/>
      <c r="B104" s="572"/>
      <c r="C104" s="572"/>
    </row>
    <row r="105" spans="1:3" s="544" customFormat="1" ht="26" x14ac:dyDescent="0.35">
      <c r="A105" s="563"/>
      <c r="B105" s="572"/>
      <c r="C105" s="572"/>
    </row>
    <row r="106" spans="1:3" s="544" customFormat="1" ht="17.149999999999999" customHeight="1" x14ac:dyDescent="0.35">
      <c r="A106" s="563"/>
      <c r="B106" s="572"/>
      <c r="C106" s="572"/>
    </row>
    <row r="107" spans="1:3" s="544" customFormat="1" ht="26" x14ac:dyDescent="0.35">
      <c r="A107" s="563"/>
      <c r="B107" s="572"/>
      <c r="C107" s="572"/>
    </row>
    <row r="108" spans="1:3" s="544" customFormat="1" ht="26" x14ac:dyDescent="0.35">
      <c r="A108" s="563"/>
      <c r="B108" s="572"/>
      <c r="C108" s="572"/>
    </row>
    <row r="109" spans="1:3" s="544" customFormat="1" ht="26" x14ac:dyDescent="0.35">
      <c r="A109" s="563"/>
      <c r="B109" s="572"/>
      <c r="C109" s="572"/>
    </row>
    <row r="110" spans="1:3" s="544" customFormat="1" ht="26" x14ac:dyDescent="0.35">
      <c r="A110" s="563"/>
      <c r="B110" s="572"/>
      <c r="C110" s="572"/>
    </row>
    <row r="111" spans="1:3" s="544" customFormat="1" ht="26" x14ac:dyDescent="0.35">
      <c r="A111" s="563"/>
      <c r="B111" s="572"/>
      <c r="C111" s="572"/>
    </row>
    <row r="112" spans="1:3" s="544" customFormat="1" ht="26" x14ac:dyDescent="0.35">
      <c r="A112" s="563"/>
      <c r="B112" s="572"/>
      <c r="C112" s="572"/>
    </row>
    <row r="113" spans="1:3" s="544" customFormat="1" ht="26" x14ac:dyDescent="0.35">
      <c r="A113" s="563"/>
      <c r="B113" s="572"/>
      <c r="C113" s="572"/>
    </row>
    <row r="114" spans="1:3" s="544" customFormat="1" ht="26" x14ac:dyDescent="0.35">
      <c r="A114" s="563"/>
      <c r="B114" s="572"/>
      <c r="C114" s="572"/>
    </row>
    <row r="115" spans="1:3" s="544" customFormat="1" ht="26" x14ac:dyDescent="0.35">
      <c r="A115" s="563"/>
      <c r="B115" s="572"/>
      <c r="C115" s="572"/>
    </row>
    <row r="116" spans="1:3" s="544" customFormat="1" ht="26" x14ac:dyDescent="0.35">
      <c r="A116" s="563"/>
      <c r="B116" s="572"/>
      <c r="C116" s="572"/>
    </row>
    <row r="117" spans="1:3" s="544" customFormat="1" ht="26" x14ac:dyDescent="0.35">
      <c r="A117" s="563"/>
      <c r="B117" s="572"/>
      <c r="C117" s="572"/>
    </row>
    <row r="118" spans="1:3" s="544" customFormat="1" ht="26" x14ac:dyDescent="0.35">
      <c r="A118" s="563"/>
      <c r="B118" s="572"/>
      <c r="C118" s="572"/>
    </row>
    <row r="119" spans="1:3" s="544" customFormat="1" ht="26" x14ac:dyDescent="0.35">
      <c r="A119" s="563"/>
      <c r="B119" s="572"/>
      <c r="C119" s="572"/>
    </row>
    <row r="120" spans="1:3" s="544" customFormat="1" ht="26" x14ac:dyDescent="0.35">
      <c r="A120" s="563"/>
      <c r="B120" s="572"/>
      <c r="C120" s="572"/>
    </row>
    <row r="121" spans="1:3" s="544" customFormat="1" ht="26" x14ac:dyDescent="0.35">
      <c r="A121" s="563"/>
      <c r="B121" s="572"/>
      <c r="C121" s="572"/>
    </row>
    <row r="122" spans="1:3" s="544" customFormat="1" ht="26" x14ac:dyDescent="0.35">
      <c r="A122" s="563"/>
      <c r="B122" s="572"/>
      <c r="C122" s="572"/>
    </row>
    <row r="123" spans="1:3" s="544" customFormat="1" ht="26" x14ac:dyDescent="0.35">
      <c r="A123" s="563"/>
      <c r="B123" s="572"/>
      <c r="C123" s="572"/>
    </row>
    <row r="124" spans="1:3" s="544" customFormat="1" ht="26" x14ac:dyDescent="0.35">
      <c r="A124" s="563"/>
    </row>
    <row r="125" spans="1:3" s="544" customFormat="1" ht="26" x14ac:dyDescent="0.35">
      <c r="A125" s="563"/>
    </row>
    <row r="126" spans="1:3" s="544" customFormat="1" ht="26" x14ac:dyDescent="0.35">
      <c r="A126" s="563"/>
    </row>
    <row r="127" spans="1:3" s="544" customFormat="1" ht="26" x14ac:dyDescent="0.35">
      <c r="A127" s="563"/>
    </row>
    <row r="128" spans="1:3" s="544" customFormat="1" ht="26" x14ac:dyDescent="0.35">
      <c r="A128" s="563"/>
    </row>
    <row r="129" spans="1:1" s="544" customFormat="1" ht="26" x14ac:dyDescent="0.35">
      <c r="A129" s="563"/>
    </row>
    <row r="130" spans="1:1" s="544" customFormat="1" ht="26" x14ac:dyDescent="0.35">
      <c r="A130" s="563"/>
    </row>
    <row r="131" spans="1:1" s="544" customFormat="1" ht="26" x14ac:dyDescent="0.35">
      <c r="A131" s="563"/>
    </row>
    <row r="132" spans="1:1" s="544" customFormat="1" ht="26" x14ac:dyDescent="0.35">
      <c r="A132" s="563"/>
    </row>
    <row r="133" spans="1:1" s="544" customFormat="1" ht="26" x14ac:dyDescent="0.35">
      <c r="A133" s="563"/>
    </row>
    <row r="134" spans="1:1" s="544" customFormat="1" ht="26" x14ac:dyDescent="0.35">
      <c r="A134" s="563"/>
    </row>
    <row r="135" spans="1:1" s="544" customFormat="1" ht="26" x14ac:dyDescent="0.35">
      <c r="A135" s="563"/>
    </row>
    <row r="136" spans="1:1" s="544" customFormat="1" ht="26" x14ac:dyDescent="0.35">
      <c r="A136" s="563"/>
    </row>
    <row r="137" spans="1:1" s="544" customFormat="1" ht="26" x14ac:dyDescent="0.35">
      <c r="A137" s="563"/>
    </row>
    <row r="138" spans="1:1" s="544" customFormat="1" ht="26" x14ac:dyDescent="0.35">
      <c r="A138" s="563"/>
    </row>
    <row r="139" spans="1:1" s="544" customFormat="1" ht="26" x14ac:dyDescent="0.35">
      <c r="A139" s="563"/>
    </row>
    <row r="140" spans="1:1" s="544" customFormat="1" ht="26" x14ac:dyDescent="0.35">
      <c r="A140" s="563"/>
    </row>
    <row r="141" spans="1:1" s="544" customFormat="1" ht="26" x14ac:dyDescent="0.35">
      <c r="A141" s="563"/>
    </row>
    <row r="142" spans="1:1" s="544" customFormat="1" ht="26" x14ac:dyDescent="0.35">
      <c r="A142" s="563"/>
    </row>
    <row r="143" spans="1:1" s="544" customFormat="1" ht="26" x14ac:dyDescent="0.35">
      <c r="A143" s="563"/>
    </row>
    <row r="144" spans="1:1" s="544" customFormat="1" ht="26" x14ac:dyDescent="0.35">
      <c r="A144" s="563"/>
    </row>
    <row r="145" spans="1:1" s="544" customFormat="1" ht="26" x14ac:dyDescent="0.35">
      <c r="A145" s="563"/>
    </row>
    <row r="146" spans="1:1" s="544" customFormat="1" ht="26" x14ac:dyDescent="0.35">
      <c r="A146" s="563"/>
    </row>
    <row r="147" spans="1:1" s="544" customFormat="1" ht="26" x14ac:dyDescent="0.35">
      <c r="A147" s="563"/>
    </row>
    <row r="148" spans="1:1" s="544" customFormat="1" ht="26" x14ac:dyDescent="0.35">
      <c r="A148" s="563"/>
    </row>
    <row r="149" spans="1:1" s="544" customFormat="1" ht="26" x14ac:dyDescent="0.35">
      <c r="A149" s="563"/>
    </row>
    <row r="150" spans="1:1" s="544" customFormat="1" ht="26" x14ac:dyDescent="0.35">
      <c r="A150" s="563"/>
    </row>
    <row r="151" spans="1:1" s="544" customFormat="1" ht="26" x14ac:dyDescent="0.35">
      <c r="A151" s="563"/>
    </row>
    <row r="152" spans="1:1" s="544" customFormat="1" ht="26" x14ac:dyDescent="0.35">
      <c r="A152" s="563"/>
    </row>
    <row r="153" spans="1:1" s="544" customFormat="1" ht="26" x14ac:dyDescent="0.35">
      <c r="A153" s="563"/>
    </row>
    <row r="154" spans="1:1" s="544" customFormat="1" ht="26" x14ac:dyDescent="0.35">
      <c r="A154" s="563"/>
    </row>
    <row r="155" spans="1:1" s="544" customFormat="1" ht="26" x14ac:dyDescent="0.35">
      <c r="A155" s="563"/>
    </row>
    <row r="156" spans="1:1" s="544" customFormat="1" ht="26" x14ac:dyDescent="0.35">
      <c r="A156" s="563"/>
    </row>
    <row r="157" spans="1:1" s="544" customFormat="1" ht="26" x14ac:dyDescent="0.35">
      <c r="A157" s="563"/>
    </row>
    <row r="158" spans="1:1" s="544" customFormat="1" ht="26" x14ac:dyDescent="0.35">
      <c r="A158" s="563"/>
    </row>
    <row r="159" spans="1:1" s="544" customFormat="1" ht="26" x14ac:dyDescent="0.35">
      <c r="A159" s="563"/>
    </row>
    <row r="160" spans="1:1" s="544" customFormat="1" ht="26" x14ac:dyDescent="0.35">
      <c r="A160" s="563"/>
    </row>
    <row r="161" spans="1:1" s="544" customFormat="1" ht="26" x14ac:dyDescent="0.35">
      <c r="A161" s="563"/>
    </row>
    <row r="162" spans="1:1" s="544" customFormat="1" ht="26" x14ac:dyDescent="0.35">
      <c r="A162" s="563"/>
    </row>
    <row r="163" spans="1:1" s="544" customFormat="1" ht="26" x14ac:dyDescent="0.35">
      <c r="A163" s="563"/>
    </row>
    <row r="164" spans="1:1" s="544" customFormat="1" ht="26" x14ac:dyDescent="0.35">
      <c r="A164" s="563"/>
    </row>
    <row r="165" spans="1:1" s="544" customFormat="1" ht="26" x14ac:dyDescent="0.35">
      <c r="A165" s="563"/>
    </row>
    <row r="166" spans="1:1" s="544" customFormat="1" ht="26" x14ac:dyDescent="0.35">
      <c r="A166" s="563"/>
    </row>
    <row r="167" spans="1:1" s="544" customFormat="1" ht="26" x14ac:dyDescent="0.35">
      <c r="A167" s="563"/>
    </row>
    <row r="168" spans="1:1" s="544" customFormat="1" ht="26" x14ac:dyDescent="0.35">
      <c r="A168" s="563"/>
    </row>
    <row r="169" spans="1:1" s="544" customFormat="1" ht="26" x14ac:dyDescent="0.35">
      <c r="A169" s="563"/>
    </row>
    <row r="170" spans="1:1" s="544" customFormat="1" ht="26" x14ac:dyDescent="0.35">
      <c r="A170" s="563"/>
    </row>
    <row r="171" spans="1:1" s="544" customFormat="1" ht="26" x14ac:dyDescent="0.35">
      <c r="A171" s="563"/>
    </row>
    <row r="172" spans="1:1" s="544" customFormat="1" ht="26" x14ac:dyDescent="0.35">
      <c r="A172" s="563"/>
    </row>
    <row r="173" spans="1:1" s="544" customFormat="1" ht="26" x14ac:dyDescent="0.35">
      <c r="A173" s="563"/>
    </row>
    <row r="174" spans="1:1" s="544" customFormat="1" ht="26" x14ac:dyDescent="0.35">
      <c r="A174" s="563"/>
    </row>
    <row r="175" spans="1:1" s="544" customFormat="1" ht="26" x14ac:dyDescent="0.35">
      <c r="A175" s="563"/>
    </row>
    <row r="176" spans="1:1" s="544" customFormat="1" ht="26" x14ac:dyDescent="0.35">
      <c r="A176" s="563"/>
    </row>
    <row r="177" spans="1:1" s="544" customFormat="1" ht="26" x14ac:dyDescent="0.35">
      <c r="A177" s="563"/>
    </row>
    <row r="178" spans="1:1" s="544" customFormat="1" ht="26" x14ac:dyDescent="0.35">
      <c r="A178" s="563"/>
    </row>
    <row r="179" spans="1:1" s="544" customFormat="1" ht="26" x14ac:dyDescent="0.35">
      <c r="A179" s="563"/>
    </row>
    <row r="180" spans="1:1" s="544" customFormat="1" ht="26" x14ac:dyDescent="0.35">
      <c r="A180" s="563"/>
    </row>
    <row r="181" spans="1:1" s="544" customFormat="1" ht="26" x14ac:dyDescent="0.35">
      <c r="A181" s="563"/>
    </row>
    <row r="182" spans="1:1" s="544" customFormat="1" ht="26" x14ac:dyDescent="0.35">
      <c r="A182" s="563"/>
    </row>
    <row r="183" spans="1:1" s="544" customFormat="1" ht="26" x14ac:dyDescent="0.35">
      <c r="A183" s="563"/>
    </row>
    <row r="184" spans="1:1" s="544" customFormat="1" x14ac:dyDescent="0.35"/>
    <row r="185" spans="1:1" s="544" customFormat="1" x14ac:dyDescent="0.35"/>
    <row r="186" spans="1:1" s="544" customFormat="1" x14ac:dyDescent="0.35"/>
    <row r="187" spans="1:1" s="544" customFormat="1" x14ac:dyDescent="0.35"/>
    <row r="188" spans="1:1" s="544" customFormat="1" x14ac:dyDescent="0.35"/>
    <row r="189" spans="1:1" s="544" customFormat="1" x14ac:dyDescent="0.35"/>
    <row r="190" spans="1:1" s="544" customFormat="1" x14ac:dyDescent="0.35"/>
    <row r="191" spans="1:1" s="544" customFormat="1" x14ac:dyDescent="0.35"/>
  </sheetData>
  <sheetProtection password="C8C1" sheet="1" objects="1" scenarios="1" selectLockedCells="1"/>
  <mergeCells count="158">
    <mergeCell ref="C32:I32"/>
    <mergeCell ref="AF28:AG28"/>
    <mergeCell ref="AL32:AS32"/>
    <mergeCell ref="AJ26:AK26"/>
    <mergeCell ref="AN28:AO28"/>
    <mergeCell ref="AP22:AQ22"/>
    <mergeCell ref="AP24:AQ24"/>
    <mergeCell ref="AP26:AQ26"/>
    <mergeCell ref="AP28:AQ28"/>
    <mergeCell ref="AR22:AS22"/>
    <mergeCell ref="AR24:AS24"/>
    <mergeCell ref="AR26:AS26"/>
    <mergeCell ref="AR28:AS28"/>
    <mergeCell ref="AP27:AQ27"/>
    <mergeCell ref="AR27:AS27"/>
    <mergeCell ref="AN27:AO27"/>
    <mergeCell ref="C27:D27"/>
    <mergeCell ref="AP19:AQ19"/>
    <mergeCell ref="AR19:AS19"/>
    <mergeCell ref="AN22:AO22"/>
    <mergeCell ref="AN24:AO24"/>
    <mergeCell ref="AN26:AO26"/>
    <mergeCell ref="AP20:AQ20"/>
    <mergeCell ref="AP21:AQ21"/>
    <mergeCell ref="AR21:AS21"/>
    <mergeCell ref="AP23:AQ23"/>
    <mergeCell ref="AR23:AS23"/>
    <mergeCell ref="AP25:AQ25"/>
    <mergeCell ref="AR25:AS25"/>
    <mergeCell ref="AN21:AO21"/>
    <mergeCell ref="AN23:AO23"/>
    <mergeCell ref="AN25:AO25"/>
    <mergeCell ref="AN20:AO20"/>
    <mergeCell ref="AR20:AS20"/>
    <mergeCell ref="AN19:AO19"/>
    <mergeCell ref="AF20:AG20"/>
    <mergeCell ref="AF21:AG21"/>
    <mergeCell ref="AF22:AG22"/>
    <mergeCell ref="AF23:AG23"/>
    <mergeCell ref="S19:V19"/>
    <mergeCell ref="AF19:AG19"/>
    <mergeCell ref="AF24:AG24"/>
    <mergeCell ref="AA18:AK18"/>
    <mergeCell ref="AH19:AI19"/>
    <mergeCell ref="AJ19:AK19"/>
    <mergeCell ref="AJ23:AK23"/>
    <mergeCell ref="AJ20:AK20"/>
    <mergeCell ref="AH22:AI22"/>
    <mergeCell ref="AH24:AI24"/>
    <mergeCell ref="AJ22:AK22"/>
    <mergeCell ref="C18:G18"/>
    <mergeCell ref="C21:D21"/>
    <mergeCell ref="C23:D23"/>
    <mergeCell ref="C25:D25"/>
    <mergeCell ref="C39:D39"/>
    <mergeCell ref="C40:D40"/>
    <mergeCell ref="C41:D41"/>
    <mergeCell ref="AJ28:AK28"/>
    <mergeCell ref="AH20:AI20"/>
    <mergeCell ref="AH21:AI21"/>
    <mergeCell ref="AJ21:AK21"/>
    <mergeCell ref="AH27:AI27"/>
    <mergeCell ref="AJ27:AK27"/>
    <mergeCell ref="AH23:AI23"/>
    <mergeCell ref="AF25:AG25"/>
    <mergeCell ref="AH25:AI25"/>
    <mergeCell ref="AJ25:AK25"/>
    <mergeCell ref="Q32:V32"/>
    <mergeCell ref="AF26:AG26"/>
    <mergeCell ref="AF27:AG27"/>
    <mergeCell ref="W32:X32"/>
    <mergeCell ref="AH26:AI26"/>
    <mergeCell ref="AH28:AI28"/>
    <mergeCell ref="K18:O18"/>
    <mergeCell ref="C42:D42"/>
    <mergeCell ref="C22:D22"/>
    <mergeCell ref="C24:D24"/>
    <mergeCell ref="C26:D26"/>
    <mergeCell ref="C28:D28"/>
    <mergeCell ref="C33:D33"/>
    <mergeCell ref="C35:D35"/>
    <mergeCell ref="C19:D19"/>
    <mergeCell ref="AF33:AG33"/>
    <mergeCell ref="AF34:AG34"/>
    <mergeCell ref="AF40:AG40"/>
    <mergeCell ref="AA32:AK32"/>
    <mergeCell ref="AF36:AG36"/>
    <mergeCell ref="AF37:AG37"/>
    <mergeCell ref="AF38:AG38"/>
    <mergeCell ref="AF39:AG39"/>
    <mergeCell ref="AH39:AI39"/>
    <mergeCell ref="AJ39:AK39"/>
    <mergeCell ref="AH40:AI40"/>
    <mergeCell ref="AJ40:AK40"/>
    <mergeCell ref="AF41:AG41"/>
    <mergeCell ref="AH41:AI41"/>
    <mergeCell ref="AJ41:AK41"/>
    <mergeCell ref="AJ24:AK24"/>
    <mergeCell ref="C43:D43"/>
    <mergeCell ref="C36:D36"/>
    <mergeCell ref="C37:D37"/>
    <mergeCell ref="C38:D38"/>
    <mergeCell ref="K32:N32"/>
    <mergeCell ref="AH33:AI33"/>
    <mergeCell ref="AJ33:AK33"/>
    <mergeCell ref="AH35:AI35"/>
    <mergeCell ref="AJ35:AK35"/>
    <mergeCell ref="AH36:AI36"/>
    <mergeCell ref="AJ36:AK36"/>
    <mergeCell ref="AH37:AI37"/>
    <mergeCell ref="AJ37:AK37"/>
    <mergeCell ref="AH38:AI38"/>
    <mergeCell ref="AJ38:AK38"/>
    <mergeCell ref="AH34:AI34"/>
    <mergeCell ref="AJ34:AK34"/>
    <mergeCell ref="AF35:AG35"/>
    <mergeCell ref="AF43:AG43"/>
    <mergeCell ref="AH43:AI43"/>
    <mergeCell ref="AJ43:AK43"/>
    <mergeCell ref="AF42:AG42"/>
    <mergeCell ref="AH42:AI42"/>
    <mergeCell ref="AJ42:AK42"/>
    <mergeCell ref="AR37:AS37"/>
    <mergeCell ref="AN38:AO38"/>
    <mergeCell ref="AP38:AQ38"/>
    <mergeCell ref="AR38:AS38"/>
    <mergeCell ref="AN42:AO42"/>
    <mergeCell ref="AP42:AQ42"/>
    <mergeCell ref="AR42:AS42"/>
    <mergeCell ref="AP34:AQ34"/>
    <mergeCell ref="AR34:AS34"/>
    <mergeCell ref="AN35:AO35"/>
    <mergeCell ref="AP35:AQ35"/>
    <mergeCell ref="AR35:AS35"/>
    <mergeCell ref="AL18:AS18"/>
    <mergeCell ref="AN43:AO43"/>
    <mergeCell ref="AP43:AQ43"/>
    <mergeCell ref="AR43:AS43"/>
    <mergeCell ref="S33:V33"/>
    <mergeCell ref="R18:V18"/>
    <mergeCell ref="AN39:AO39"/>
    <mergeCell ref="AP39:AQ39"/>
    <mergeCell ref="AR39:AS39"/>
    <mergeCell ref="AN40:AO40"/>
    <mergeCell ref="AP40:AQ40"/>
    <mergeCell ref="AR40:AS40"/>
    <mergeCell ref="AN41:AO41"/>
    <mergeCell ref="AP41:AQ41"/>
    <mergeCell ref="AR41:AS41"/>
    <mergeCell ref="AN36:AO36"/>
    <mergeCell ref="AP36:AQ36"/>
    <mergeCell ref="AR36:AS36"/>
    <mergeCell ref="AN37:AO37"/>
    <mergeCell ref="AN33:AO33"/>
    <mergeCell ref="AP33:AQ33"/>
    <mergeCell ref="AR33:AS33"/>
    <mergeCell ref="AN34:AO34"/>
    <mergeCell ref="AP37:AQ37"/>
  </mergeCells>
  <conditionalFormatting sqref="AL21:AS28">
    <cfRule type="expression" dxfId="395" priority="30">
      <formula>$AH21="Final destination"</formula>
    </cfRule>
  </conditionalFormatting>
  <conditionalFormatting sqref="AL26:AN26 AP24 AP26 AP28 AR24 AR26 AR28 AP38 AP40 AP42 AR38 AR40 AR42">
    <cfRule type="expression" dxfId="394" priority="27">
      <formula>$AA24=1</formula>
    </cfRule>
  </conditionalFormatting>
  <conditionalFormatting sqref="AP23:AQ23">
    <cfRule type="expression" dxfId="393" priority="26">
      <formula>$AA23=1</formula>
    </cfRule>
  </conditionalFormatting>
  <conditionalFormatting sqref="AP25:AQ25">
    <cfRule type="expression" dxfId="392" priority="25">
      <formula>$AA25=1</formula>
    </cfRule>
  </conditionalFormatting>
  <conditionalFormatting sqref="AP27:AQ27">
    <cfRule type="expression" dxfId="391" priority="24">
      <formula>$AA27=1</formula>
    </cfRule>
  </conditionalFormatting>
  <conditionalFormatting sqref="AR23:AS23">
    <cfRule type="expression" dxfId="390" priority="23">
      <formula>$AA23=1</formula>
    </cfRule>
  </conditionalFormatting>
  <conditionalFormatting sqref="AR25:AS25">
    <cfRule type="expression" dxfId="389" priority="22">
      <formula>$AA25=1</formula>
    </cfRule>
  </conditionalFormatting>
  <conditionalFormatting sqref="AR27:AS27">
    <cfRule type="expression" dxfId="388" priority="21">
      <formula>$AA27=1</formula>
    </cfRule>
  </conditionalFormatting>
  <conditionalFormatting sqref="AC33:AC34">
    <cfRule type="expression" dxfId="387" priority="19">
      <formula>$C33="yes"</formula>
    </cfRule>
  </conditionalFormatting>
  <conditionalFormatting sqref="AJ35:AJ38">
    <cfRule type="expression" dxfId="386" priority="17">
      <formula>#REF!="Sub-station"</formula>
    </cfRule>
  </conditionalFormatting>
  <conditionalFormatting sqref="AJ39:AJ42">
    <cfRule type="expression" dxfId="385" priority="16">
      <formula>#REF!="Sub-station"</formula>
    </cfRule>
  </conditionalFormatting>
  <conditionalFormatting sqref="AL35:AS42">
    <cfRule type="expression" dxfId="384" priority="15">
      <formula>$AH35="Final destination"</formula>
    </cfRule>
  </conditionalFormatting>
  <conditionalFormatting sqref="AL40:AN40">
    <cfRule type="expression" dxfId="383" priority="14">
      <formula>$AA40=1</formula>
    </cfRule>
  </conditionalFormatting>
  <conditionalFormatting sqref="AP37:AQ37">
    <cfRule type="expression" dxfId="382" priority="13">
      <formula>$AA37=1</formula>
    </cfRule>
  </conditionalFormatting>
  <conditionalFormatting sqref="AP39:AQ39">
    <cfRule type="expression" dxfId="381" priority="12">
      <formula>$AA39=1</formula>
    </cfRule>
  </conditionalFormatting>
  <conditionalFormatting sqref="AP41:AQ41">
    <cfRule type="expression" dxfId="380" priority="11">
      <formula>$AA41=1</formula>
    </cfRule>
  </conditionalFormatting>
  <conditionalFormatting sqref="AR37:AS37">
    <cfRule type="expression" dxfId="379" priority="10">
      <formula>$AA37=1</formula>
    </cfRule>
  </conditionalFormatting>
  <conditionalFormatting sqref="AR39:AS39">
    <cfRule type="expression" dxfId="378" priority="9">
      <formula>$AA39=1</formula>
    </cfRule>
  </conditionalFormatting>
  <conditionalFormatting sqref="AR41:AS41">
    <cfRule type="expression" dxfId="377" priority="8">
      <formula>$AA41=1</formula>
    </cfRule>
  </conditionalFormatting>
  <conditionalFormatting sqref="AD35:AG42">
    <cfRule type="expression" dxfId="376" priority="7">
      <formula>$AA35="YES"</formula>
    </cfRule>
  </conditionalFormatting>
  <conditionalFormatting sqref="C48:C49">
    <cfRule type="expression" dxfId="375" priority="5">
      <formula>($E$21:$E$27)=0</formula>
    </cfRule>
  </conditionalFormatting>
  <conditionalFormatting sqref="C50">
    <cfRule type="expression" dxfId="374" priority="4">
      <formula>SUM($E$35:$E$36)=0</formula>
    </cfRule>
  </conditionalFormatting>
  <conditionalFormatting sqref="C51">
    <cfRule type="expression" dxfId="373" priority="3">
      <formula>($E$37:$E$42)=0</formula>
    </cfRule>
  </conditionalFormatting>
  <dataValidations count="9">
    <dataValidation type="list" allowBlank="1" showInputMessage="1" showErrorMessage="1" sqref="N21:N24 O35:O42">
      <formula1>"YES, NO, SO SO"</formula1>
    </dataValidation>
    <dataValidation type="list" allowBlank="1" showInputMessage="1" showErrorMessage="1" sqref="Q35:R42 O21:O28 R21 R23 R25 R27 AA35:AA42 N35:N42">
      <formula1>"YES, NO"</formula1>
    </dataValidation>
    <dataValidation type="list" allowBlank="1" showInputMessage="1" showErrorMessage="1" sqref="C27">
      <formula1>"Bucket and spade, Manually-operated mechanical device, Other"</formula1>
    </dataValidation>
    <dataValidation type="list" allowBlank="1" showInputMessage="1" showErrorMessage="1" sqref="F35:F42 AO25 AO27 AE22 AE24 AE26 AE28 AE35:AE42 AM35:AM42 AM21:AM28 AO39 AO41">
      <formula1>"PUBLIC, PRIVATE"</formula1>
    </dataValidation>
    <dataValidation type="list" allowBlank="1" showInputMessage="1" showErrorMessage="1" sqref="AJ21:AJ28 AS27 AJ35:AJ42 AS21 AS23 AS25 AR21:AR28 AR35:AR42 AS41 AS35 AS37 AS39">
      <formula1>"Legal, Illegal, Partly legal - partly illegal"</formula1>
    </dataValidation>
    <dataValidation type="list" allowBlank="1" showInputMessage="1" showErrorMessage="1" sqref="AH21:AH28 AP21:AP28 AH35:AH42 AP35:AP42">
      <formula1>"Final destination, Sub-station"</formula1>
    </dataValidation>
    <dataValidation type="list" allowBlank="1" showInputMessage="1" showErrorMessage="1" sqref="W35:W42">
      <formula1>"ON CALL, SCHEDULED, BOTH"</formula1>
    </dataValidation>
    <dataValidation type="list" allowBlank="1" showInputMessage="1" showErrorMessage="1" sqref="C35:C42 D35 D37:D42">
      <formula1>"Vehicle-mounted vacuum pump, Vagutug, Motorised diaphragm pump, Trash pump, Motorised pit screw auger, Gobbler, Pickup with tank and pump or motorised three wheeler with tank and pump"</formula1>
    </dataValidation>
    <dataValidation type="whole" operator="equal" allowBlank="1" showInputMessage="1" showErrorMessage="1" sqref="C76:C83 C88:C95">
      <formula1>1</formula1>
    </dataValidation>
  </dataValidations>
  <pageMargins left="0.7" right="0.7" top="0.75" bottom="0.75" header="0.3" footer="0.3"/>
  <pageSetup paperSize="9" scale="10" orientation="portrait" r:id="rId1"/>
  <ignoredErrors>
    <ignoredError sqref="E43" formulaRange="1"/>
    <ignoredError sqref="E37" unlockedFormula="1"/>
  </ignoredErrors>
  <drawing r:id="rId2"/>
  <extLst>
    <ext xmlns:x14="http://schemas.microsoft.com/office/spreadsheetml/2009/9/main" uri="{78C0D931-6437-407d-A8EE-F0AAD7539E65}">
      <x14:conditionalFormattings>
        <x14:conditionalFormatting xmlns:xm="http://schemas.microsoft.com/office/excel/2006/main">
          <x14:cfRule type="expression" priority="2" id="{93ECC52B-5D27-4328-A623-A8CF23B3C17A}">
            <xm:f>'User interface_RES'!$C$33=0</xm:f>
            <x14:dxf>
              <fill>
                <patternFill>
                  <bgColor rgb="FF003F4C"/>
                </patternFill>
              </fill>
            </x14:dxf>
          </x14:cfRule>
          <xm:sqref>C54</xm:sqref>
        </x14:conditionalFormatting>
        <x14:conditionalFormatting xmlns:xm="http://schemas.microsoft.com/office/excel/2006/main">
          <x14:cfRule type="expression" priority="1" id="{8752E1A6-F101-4F43-80A3-B010BACD907D}">
            <xm:f>'User interface_RES'!$C$34=0</xm:f>
            <x14:dxf>
              <fill>
                <patternFill>
                  <bgColor rgb="FF003F4C"/>
                </patternFill>
              </fill>
            </x14:dxf>
          </x14:cfRule>
          <xm:sqref>C55</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00B050"/>
  </sheetPr>
  <dimension ref="A1:CE270"/>
  <sheetViews>
    <sheetView showGridLines="0" showRowColHeaders="0" topLeftCell="A2" zoomScale="80" zoomScaleNormal="80" workbookViewId="0">
      <pane ySplit="3" topLeftCell="A5" activePane="bottomLeft" state="frozen"/>
      <selection activeCell="A2" sqref="A2"/>
      <selection pane="bottomLeft" activeCell="E34" sqref="E34:F34"/>
    </sheetView>
  </sheetViews>
  <sheetFormatPr defaultColWidth="9.1796875" defaultRowHeight="14.5" x14ac:dyDescent="0.35"/>
  <cols>
    <col min="1" max="1" width="3.26953125" style="17" customWidth="1"/>
    <col min="2" max="2" width="41.81640625" style="17" customWidth="1"/>
    <col min="3" max="11" width="16.7265625" style="17" customWidth="1"/>
    <col min="12" max="12" width="8.7265625" style="544" customWidth="1"/>
    <col min="13" max="18" width="16.7265625" style="17" customWidth="1"/>
    <col min="19" max="19" width="51.54296875" style="17" bestFit="1" customWidth="1"/>
    <col min="20" max="20" width="8.7265625" style="544" customWidth="1"/>
    <col min="21" max="26" width="16.7265625" style="17" customWidth="1"/>
    <col min="27" max="27" width="8.7265625" style="544" customWidth="1"/>
    <col min="28" max="34" width="16.7265625" style="17" hidden="1" customWidth="1"/>
    <col min="35" max="35" width="8.7265625" style="544" hidden="1" customWidth="1"/>
    <col min="36" max="41" width="16.7265625" style="17" customWidth="1"/>
    <col min="42" max="42" width="8.7265625" style="544" customWidth="1"/>
    <col min="43" max="49" width="16.7265625" style="17" hidden="1" customWidth="1"/>
    <col min="50" max="83" width="9.1796875" style="544"/>
    <col min="84" max="16384" width="9.1796875" style="17"/>
  </cols>
  <sheetData>
    <row r="1" spans="1:83" s="522" customFormat="1" ht="13.5" hidden="1" customHeight="1" x14ac:dyDescent="0.35">
      <c r="B1" s="518" t="e">
        <f>Overview_SLUDGE!#REF!</f>
        <v>#REF!</v>
      </c>
      <c r="L1" s="642"/>
      <c r="T1" s="642"/>
      <c r="AA1" s="642"/>
      <c r="AI1" s="642"/>
      <c r="AP1" s="642"/>
      <c r="AX1" s="642"/>
      <c r="AY1" s="642"/>
      <c r="AZ1" s="642"/>
      <c r="BA1" s="642"/>
      <c r="BB1" s="642"/>
      <c r="BC1" s="642"/>
      <c r="BD1" s="642"/>
      <c r="BE1" s="642"/>
      <c r="BF1" s="642"/>
      <c r="BG1" s="642"/>
      <c r="BH1" s="642"/>
      <c r="BI1" s="642"/>
      <c r="BJ1" s="642"/>
      <c r="BK1" s="642"/>
      <c r="BL1" s="642"/>
      <c r="BM1" s="642"/>
      <c r="BN1" s="642"/>
      <c r="BO1" s="642"/>
      <c r="BP1" s="642"/>
      <c r="BQ1" s="642"/>
      <c r="BR1" s="642"/>
      <c r="BS1" s="642"/>
      <c r="BT1" s="642"/>
      <c r="BU1" s="642"/>
      <c r="BV1" s="642"/>
      <c r="BW1" s="642"/>
      <c r="BX1" s="642"/>
      <c r="BY1" s="642"/>
      <c r="BZ1" s="642"/>
      <c r="CA1" s="642"/>
      <c r="CB1" s="642"/>
      <c r="CC1" s="642"/>
      <c r="CD1" s="642"/>
      <c r="CE1" s="642"/>
    </row>
    <row r="2" spans="1:83" s="520" customFormat="1" ht="36.75" customHeight="1" x14ac:dyDescent="0.45">
      <c r="B2" s="824" t="str">
        <f>'User interface_RES'!AJ11</f>
        <v>Any city in , the world</v>
      </c>
      <c r="BM2" s="643"/>
      <c r="BN2" s="643"/>
      <c r="BO2" s="643"/>
      <c r="BP2" s="643"/>
      <c r="BQ2" s="643"/>
      <c r="BR2" s="643"/>
      <c r="BS2" s="643"/>
      <c r="BT2" s="643"/>
      <c r="BU2" s="643"/>
      <c r="BV2" s="643"/>
      <c r="BW2" s="643"/>
      <c r="BX2" s="643"/>
      <c r="BY2" s="643"/>
      <c r="BZ2" s="643"/>
      <c r="CA2" s="643"/>
      <c r="CB2" s="643"/>
      <c r="CC2" s="643"/>
      <c r="CD2" s="643"/>
      <c r="CE2" s="643"/>
    </row>
    <row r="3" spans="1:83" s="521" customFormat="1" ht="10.5" hidden="1" x14ac:dyDescent="0.35">
      <c r="BM3" s="644"/>
      <c r="BN3" s="644"/>
      <c r="BO3" s="644"/>
      <c r="BP3" s="644"/>
      <c r="BQ3" s="644"/>
      <c r="BR3" s="644"/>
      <c r="BS3" s="644"/>
      <c r="BT3" s="644"/>
      <c r="BU3" s="644"/>
      <c r="BV3" s="644"/>
      <c r="BW3" s="644"/>
      <c r="BX3" s="644"/>
      <c r="BY3" s="644"/>
      <c r="BZ3" s="644"/>
      <c r="CA3" s="644"/>
      <c r="CB3" s="644"/>
      <c r="CC3" s="644"/>
      <c r="CD3" s="644"/>
      <c r="CE3" s="644"/>
    </row>
    <row r="4" spans="1:83" s="658" customFormat="1" ht="57" customHeight="1" thickBot="1" x14ac:dyDescent="0.6">
      <c r="B4" s="668" t="s">
        <v>502</v>
      </c>
      <c r="C4" s="829"/>
      <c r="D4" s="829"/>
      <c r="E4" s="829"/>
      <c r="F4" s="829"/>
      <c r="G4" s="829"/>
      <c r="H4" s="829"/>
      <c r="BM4" s="659"/>
      <c r="BN4" s="659"/>
      <c r="BO4" s="659"/>
      <c r="BP4" s="659"/>
      <c r="BQ4" s="659"/>
      <c r="BR4" s="659"/>
      <c r="BS4" s="659"/>
      <c r="BT4" s="659"/>
      <c r="BU4" s="659"/>
      <c r="BV4" s="659"/>
      <c r="BW4" s="659"/>
      <c r="BX4" s="659"/>
      <c r="BY4" s="659"/>
      <c r="BZ4" s="659"/>
      <c r="CA4" s="659"/>
      <c r="CB4" s="659"/>
      <c r="CC4" s="659"/>
      <c r="CD4" s="659"/>
      <c r="CE4" s="659"/>
    </row>
    <row r="5" spans="1:83" s="544" customFormat="1" ht="17.149999999999999" customHeight="1" x14ac:dyDescent="0.35">
      <c r="A5" s="903"/>
    </row>
    <row r="6" spans="1:83" s="544" customFormat="1" ht="17.149999999999999" hidden="1" customHeight="1" x14ac:dyDescent="0.35"/>
    <row r="7" spans="1:83" s="544" customFormat="1" ht="17.149999999999999" customHeight="1" x14ac:dyDescent="0.35">
      <c r="B7" s="613" t="s">
        <v>503</v>
      </c>
      <c r="C7" s="591"/>
      <c r="D7" s="591"/>
      <c r="E7" s="591"/>
      <c r="F7" s="591"/>
      <c r="G7" s="591"/>
      <c r="H7" s="591"/>
      <c r="I7" s="591"/>
      <c r="J7" s="591"/>
      <c r="K7" s="591"/>
      <c r="L7" s="591"/>
      <c r="M7" s="591"/>
    </row>
    <row r="8" spans="1:83" s="544" customFormat="1" ht="17.149999999999999" customHeight="1" x14ac:dyDescent="0.35">
      <c r="B8" s="613" t="s">
        <v>504</v>
      </c>
      <c r="C8" s="591"/>
      <c r="D8" s="591"/>
      <c r="E8" s="591"/>
      <c r="F8" s="591"/>
      <c r="G8" s="591"/>
      <c r="H8" s="591"/>
      <c r="I8" s="591"/>
      <c r="J8" s="591"/>
      <c r="K8" s="591"/>
      <c r="L8" s="591"/>
      <c r="M8" s="591"/>
    </row>
    <row r="9" spans="1:83" s="544" customFormat="1" ht="17.149999999999999" customHeight="1" x14ac:dyDescent="0.35"/>
    <row r="10" spans="1:83" s="544" customFormat="1" ht="18.5" x14ac:dyDescent="0.35">
      <c r="B10" s="564" t="s">
        <v>505</v>
      </c>
      <c r="H10" s="634"/>
      <c r="K10" s="652" t="s">
        <v>506</v>
      </c>
      <c r="U10" s="564" t="s">
        <v>507</v>
      </c>
      <c r="AJ10" s="564" t="s">
        <v>508</v>
      </c>
    </row>
    <row r="11" spans="1:83" ht="17.149999999999999" customHeight="1" x14ac:dyDescent="0.35">
      <c r="A11" s="544"/>
      <c r="B11" s="544"/>
      <c r="C11" s="544"/>
      <c r="D11" s="544"/>
      <c r="E11" s="544"/>
      <c r="F11" s="544"/>
      <c r="G11" s="544"/>
      <c r="H11" s="544"/>
      <c r="I11" s="544"/>
      <c r="J11" s="544"/>
      <c r="K11" s="544"/>
      <c r="M11" s="544"/>
      <c r="N11" s="544"/>
      <c r="O11" s="544"/>
      <c r="P11" s="544"/>
      <c r="Q11" s="544"/>
      <c r="R11" s="544"/>
      <c r="S11" s="544"/>
      <c r="U11" s="1668" t="s">
        <v>509</v>
      </c>
      <c r="V11" s="1668"/>
      <c r="W11" s="1668"/>
      <c r="X11" s="1668"/>
      <c r="Y11" s="1668"/>
      <c r="Z11" s="1668"/>
      <c r="AB11" s="1668" t="s">
        <v>510</v>
      </c>
      <c r="AC11" s="1668"/>
      <c r="AD11" s="1668"/>
      <c r="AE11" s="1668"/>
      <c r="AF11" s="1668"/>
      <c r="AG11" s="1668"/>
      <c r="AH11" s="1668"/>
      <c r="AJ11" s="1697" t="s">
        <v>511</v>
      </c>
      <c r="AK11" s="1698"/>
      <c r="AL11" s="1698"/>
      <c r="AM11" s="1698"/>
      <c r="AN11" s="1698"/>
      <c r="AO11" s="1699"/>
      <c r="AQ11" s="1668" t="s">
        <v>512</v>
      </c>
      <c r="AR11" s="1668"/>
      <c r="AS11" s="1668"/>
      <c r="AT11" s="1668"/>
      <c r="AU11" s="1668"/>
      <c r="AV11" s="1668"/>
      <c r="AW11" s="1668"/>
    </row>
    <row r="12" spans="1:83" ht="17.149999999999999" customHeight="1" x14ac:dyDescent="0.35">
      <c r="A12" s="544"/>
      <c r="B12" s="1724" t="s">
        <v>513</v>
      </c>
      <c r="C12" s="1733" t="s">
        <v>514</v>
      </c>
      <c r="D12" s="1733" t="s">
        <v>515</v>
      </c>
      <c r="E12" s="1731" t="s">
        <v>516</v>
      </c>
      <c r="F12" s="1732"/>
      <c r="G12" s="1724" t="s">
        <v>517</v>
      </c>
      <c r="H12" s="1709" t="s">
        <v>518</v>
      </c>
      <c r="I12" s="1709"/>
      <c r="J12" s="1724" t="s">
        <v>519</v>
      </c>
      <c r="K12" s="1724" t="s">
        <v>520</v>
      </c>
      <c r="M12" s="1724" t="s">
        <v>521</v>
      </c>
      <c r="N12" s="1724"/>
      <c r="O12" s="1724"/>
      <c r="P12" s="1724"/>
      <c r="Q12" s="1724"/>
      <c r="R12" s="1724"/>
      <c r="S12" s="1724"/>
      <c r="U12" s="1668" t="s">
        <v>522</v>
      </c>
      <c r="V12" s="1668"/>
      <c r="W12" s="1668"/>
      <c r="X12" s="1668"/>
      <c r="Y12" s="1668"/>
      <c r="Z12" s="1668"/>
      <c r="AB12" s="1724" t="s">
        <v>522</v>
      </c>
      <c r="AC12" s="1724"/>
      <c r="AD12" s="1724"/>
      <c r="AE12" s="1724"/>
      <c r="AF12" s="1724"/>
      <c r="AG12" s="1724"/>
      <c r="AH12" s="1724"/>
      <c r="AJ12" s="1668" t="s">
        <v>522</v>
      </c>
      <c r="AK12" s="1668"/>
      <c r="AL12" s="1668"/>
      <c r="AM12" s="1668"/>
      <c r="AN12" s="1668"/>
      <c r="AO12" s="1668"/>
      <c r="AQ12" s="1668" t="s">
        <v>522</v>
      </c>
      <c r="AR12" s="1668"/>
      <c r="AS12" s="1668"/>
      <c r="AT12" s="1668"/>
      <c r="AU12" s="1668"/>
      <c r="AV12" s="1668"/>
      <c r="AW12" s="1668"/>
      <c r="BD12" s="655"/>
      <c r="BE12" s="655"/>
      <c r="BF12" s="655"/>
      <c r="BG12" s="655"/>
      <c r="BH12" s="655"/>
      <c r="BI12" s="655"/>
      <c r="BJ12" s="655"/>
      <c r="BK12" s="655"/>
      <c r="BL12" s="655"/>
      <c r="BM12" s="655"/>
      <c r="BN12" s="655"/>
      <c r="BO12" s="655"/>
      <c r="BP12" s="655"/>
      <c r="BQ12" s="655"/>
      <c r="BR12" s="655"/>
      <c r="BS12" s="655"/>
      <c r="BT12" s="655"/>
      <c r="BU12" s="655"/>
      <c r="BV12" s="655"/>
    </row>
    <row r="13" spans="1:83" ht="60" customHeight="1" x14ac:dyDescent="0.35">
      <c r="A13" s="544"/>
      <c r="B13" s="1724"/>
      <c r="C13" s="1734"/>
      <c r="D13" s="1734"/>
      <c r="E13" s="1735"/>
      <c r="F13" s="1736"/>
      <c r="G13" s="1724"/>
      <c r="H13" s="1484" t="s">
        <v>523</v>
      </c>
      <c r="I13" s="1484" t="s">
        <v>524</v>
      </c>
      <c r="J13" s="1724"/>
      <c r="K13" s="1724"/>
      <c r="M13" s="1488" t="s">
        <v>486</v>
      </c>
      <c r="N13" s="1487" t="s">
        <v>525</v>
      </c>
      <c r="O13" s="1487" t="s">
        <v>526</v>
      </c>
      <c r="P13" s="1487" t="s">
        <v>527</v>
      </c>
      <c r="Q13" s="1487" t="s">
        <v>528</v>
      </c>
      <c r="R13" s="1487" t="s">
        <v>529</v>
      </c>
      <c r="S13" s="637" t="s">
        <v>530</v>
      </c>
      <c r="U13" s="1487" t="s">
        <v>531</v>
      </c>
      <c r="V13" s="1487" t="s">
        <v>532</v>
      </c>
      <c r="W13" s="1487" t="s">
        <v>533</v>
      </c>
      <c r="X13" s="1487" t="s">
        <v>333</v>
      </c>
      <c r="Y13" s="1487" t="s">
        <v>534</v>
      </c>
      <c r="Z13" s="1487" t="s">
        <v>535</v>
      </c>
      <c r="AB13" s="1487" t="s">
        <v>536</v>
      </c>
      <c r="AC13" s="1487" t="s">
        <v>531</v>
      </c>
      <c r="AD13" s="1487" t="s">
        <v>532</v>
      </c>
      <c r="AE13" s="1487" t="s">
        <v>533</v>
      </c>
      <c r="AF13" s="1487" t="s">
        <v>537</v>
      </c>
      <c r="AG13" s="1487" t="s">
        <v>208</v>
      </c>
      <c r="AH13" s="1487" t="s">
        <v>535</v>
      </c>
      <c r="AJ13" s="1487" t="s">
        <v>538</v>
      </c>
      <c r="AK13" s="1487" t="s">
        <v>539</v>
      </c>
      <c r="AL13" s="1487" t="s">
        <v>540</v>
      </c>
      <c r="AM13" s="1487" t="s">
        <v>333</v>
      </c>
      <c r="AN13" s="1487" t="s">
        <v>534</v>
      </c>
      <c r="AO13" s="1487" t="s">
        <v>535</v>
      </c>
      <c r="AQ13" s="1487" t="s">
        <v>536</v>
      </c>
      <c r="AR13" s="1487" t="s">
        <v>538</v>
      </c>
      <c r="AS13" s="1487" t="s">
        <v>539</v>
      </c>
      <c r="AT13" s="1487" t="s">
        <v>540</v>
      </c>
      <c r="AU13" s="1487" t="s">
        <v>537</v>
      </c>
      <c r="AV13" s="1487" t="s">
        <v>208</v>
      </c>
      <c r="AW13" s="1487" t="s">
        <v>535</v>
      </c>
      <c r="BD13" s="655"/>
      <c r="BE13" s="655"/>
      <c r="BF13" s="655"/>
      <c r="BG13" s="656"/>
      <c r="BH13" s="655"/>
      <c r="BI13" s="655"/>
      <c r="BJ13" s="655"/>
      <c r="BK13" s="655"/>
      <c r="BL13" s="655"/>
      <c r="BM13" s="655"/>
      <c r="BN13" s="655"/>
      <c r="BO13" s="655"/>
      <c r="BP13" s="655"/>
      <c r="BQ13" s="655"/>
      <c r="BR13" s="655"/>
      <c r="BS13" s="655"/>
      <c r="BT13" s="655"/>
      <c r="BU13" s="655"/>
      <c r="BV13" s="655"/>
    </row>
    <row r="14" spans="1:83" s="20" customFormat="1" ht="17.149999999999999" customHeight="1" x14ac:dyDescent="0.35">
      <c r="A14" s="544"/>
      <c r="B14" s="648"/>
      <c r="C14" s="647"/>
      <c r="D14" s="647"/>
      <c r="E14" s="647"/>
      <c r="F14" s="647"/>
      <c r="G14" s="648"/>
      <c r="H14" s="648"/>
      <c r="I14" s="648"/>
      <c r="J14" s="648"/>
      <c r="K14" s="648"/>
      <c r="L14" s="549"/>
      <c r="M14" s="548"/>
      <c r="N14" s="1485"/>
      <c r="O14" s="1485"/>
      <c r="P14" s="1485"/>
      <c r="Q14" s="1485"/>
      <c r="R14" s="1485"/>
      <c r="S14" s="548"/>
      <c r="T14" s="549"/>
      <c r="U14" s="649"/>
      <c r="V14" s="649"/>
      <c r="W14" s="649"/>
      <c r="X14" s="649"/>
      <c r="Y14" s="649"/>
      <c r="Z14" s="556"/>
      <c r="AA14" s="549"/>
      <c r="AB14" s="548"/>
      <c r="AC14" s="649"/>
      <c r="AD14" s="649"/>
      <c r="AE14" s="649"/>
      <c r="AF14" s="649"/>
      <c r="AG14" s="649"/>
      <c r="AH14" s="556"/>
      <c r="AI14" s="549"/>
      <c r="AJ14" s="649"/>
      <c r="AK14" s="649"/>
      <c r="AL14" s="649"/>
      <c r="AM14" s="649"/>
      <c r="AN14" s="649"/>
      <c r="AO14" s="556"/>
      <c r="AP14" s="549"/>
      <c r="AQ14" s="548"/>
      <c r="AR14" s="649"/>
      <c r="AS14" s="649"/>
      <c r="AT14" s="649"/>
      <c r="AU14" s="649"/>
      <c r="AV14" s="649"/>
      <c r="AW14" s="556"/>
      <c r="AX14" s="549"/>
      <c r="AY14" s="549"/>
      <c r="AZ14" s="549"/>
      <c r="BA14" s="549"/>
      <c r="BB14" s="549"/>
      <c r="BC14" s="549"/>
      <c r="BD14" s="657"/>
      <c r="BE14" s="657"/>
      <c r="BF14" s="657"/>
      <c r="BG14" s="653" t="s">
        <v>541</v>
      </c>
      <c r="BH14" s="657"/>
      <c r="BI14" s="657"/>
      <c r="BJ14" s="657"/>
      <c r="BK14" s="657"/>
      <c r="BL14" s="657"/>
      <c r="BM14" s="657"/>
      <c r="BN14" s="657"/>
      <c r="BO14" s="657"/>
      <c r="BP14" s="657"/>
      <c r="BQ14" s="657"/>
      <c r="BR14" s="657"/>
      <c r="BS14" s="657"/>
      <c r="BT14" s="657"/>
      <c r="BU14" s="657"/>
      <c r="BV14" s="657"/>
      <c r="BW14" s="549"/>
      <c r="BX14" s="549"/>
      <c r="BY14" s="549"/>
      <c r="BZ14" s="549"/>
      <c r="CA14" s="549"/>
      <c r="CB14" s="549"/>
      <c r="CC14" s="549"/>
      <c r="CD14" s="549"/>
      <c r="CE14" s="549"/>
    </row>
    <row r="15" spans="1:83" s="3" customFormat="1" ht="17.149999999999999" customHeight="1" x14ac:dyDescent="0.35">
      <c r="A15" s="544"/>
      <c r="B15" s="878" t="s">
        <v>1202</v>
      </c>
      <c r="C15" s="1348"/>
      <c r="D15" s="1228">
        <f t="shared" ref="D15:D20" si="0">C15*$D$22</f>
        <v>0</v>
      </c>
      <c r="E15" s="1737"/>
      <c r="F15" s="1738"/>
      <c r="G15" s="1289"/>
      <c r="H15" s="872">
        <v>0</v>
      </c>
      <c r="I15" s="646">
        <f t="shared" ref="I15:I20" si="1">D15-H15</f>
        <v>0</v>
      </c>
      <c r="J15" s="872"/>
      <c r="K15" s="872"/>
      <c r="L15" s="478"/>
      <c r="M15" s="1294"/>
      <c r="N15" s="1287"/>
      <c r="O15" s="1287"/>
      <c r="P15" s="1289"/>
      <c r="Q15" s="1287"/>
      <c r="R15" s="1289"/>
      <c r="S15" s="1294"/>
      <c r="T15" s="478"/>
      <c r="U15" s="901"/>
      <c r="V15" s="901"/>
      <c r="W15" s="901"/>
      <c r="X15" s="901"/>
      <c r="Y15" s="635">
        <f t="shared" ref="Y15:Y20" si="2">SUM(U15:X15)</f>
        <v>0</v>
      </c>
      <c r="Z15" s="902" t="str">
        <f>IF(AND(H15=0,Y15=0),"OK",IF(AND(H15&gt;0,Y15=1),"OK","Not OK"))</f>
        <v>OK</v>
      </c>
      <c r="AA15" s="478"/>
      <c r="AB15" s="636">
        <f>'Treatment volumes'!K27</f>
        <v>0</v>
      </c>
      <c r="AC15" s="1227">
        <f t="shared" ref="AC15:AC20" si="3">IF($AB15&gt;0,U15,0)</f>
        <v>0</v>
      </c>
      <c r="AD15" s="1227">
        <f t="shared" ref="AD15:AD20" si="4">IF($AB15&gt;0,V15,0)</f>
        <v>0</v>
      </c>
      <c r="AE15" s="1227">
        <f t="shared" ref="AE15:AE20" si="5">IF($AB15&gt;0,W15,0)</f>
        <v>0</v>
      </c>
      <c r="AF15" s="1227">
        <f t="shared" ref="AF15:AF20" si="6">IF($AB15&gt;0,X15,0)</f>
        <v>0</v>
      </c>
      <c r="AG15" s="635">
        <f t="shared" ref="AG15:AG20" si="7">SUM(AC15:AF15)</f>
        <v>0</v>
      </c>
      <c r="AH15" s="902" t="str">
        <f t="shared" ref="AH15:AH20" si="8">IF(AND(AB15=0,AG15=0),"OK",IF(AND(AB15&gt;0,AG15=1),"OK","Not OK"))</f>
        <v>OK</v>
      </c>
      <c r="AI15" s="478"/>
      <c r="AJ15" s="901"/>
      <c r="AK15" s="901"/>
      <c r="AL15" s="901"/>
      <c r="AM15" s="901"/>
      <c r="AN15" s="635">
        <f t="shared" ref="AN15:AN20" si="9">SUM(AJ15:AM15)</f>
        <v>0</v>
      </c>
      <c r="AO15" s="902" t="str">
        <f t="shared" ref="AO15:AO20" si="10">IF(AND(I15=0,AN15=0),"OK",IF(AND(I15&gt;0,AN15=1),"OK","Not OK"))</f>
        <v>OK</v>
      </c>
      <c r="AP15" s="478"/>
      <c r="AQ15" s="636">
        <f>'Treatment volumes'!N27</f>
        <v>0</v>
      </c>
      <c r="AR15" s="1227">
        <f t="shared" ref="AR15:AR20" si="11">IF($AQ15&gt;0,AJ15,0)</f>
        <v>0</v>
      </c>
      <c r="AS15" s="1227">
        <f t="shared" ref="AS15:AU20" si="12">IF($AQ15&gt;0,AK15,0)</f>
        <v>0</v>
      </c>
      <c r="AT15" s="1227">
        <f t="shared" si="12"/>
        <v>0</v>
      </c>
      <c r="AU15" s="1227">
        <f t="shared" si="12"/>
        <v>0</v>
      </c>
      <c r="AV15" s="635">
        <f>SUM(AR15:AU15)</f>
        <v>0</v>
      </c>
      <c r="AW15" s="902" t="str">
        <f t="shared" ref="AW15:AW20" si="13">IF(AND(AQ15=0,AV15=0),"OK",IF(AND(AQ15&gt;0,AV15=1),"OK","Not OK"))</f>
        <v>OK</v>
      </c>
      <c r="AX15" s="478"/>
      <c r="AY15" s="478"/>
      <c r="AZ15" s="478"/>
      <c r="BA15" s="478"/>
      <c r="BB15" s="478"/>
      <c r="BC15" s="478"/>
      <c r="BD15" s="654"/>
      <c r="BE15" s="654"/>
      <c r="BF15" s="654"/>
      <c r="BG15" s="654" t="s">
        <v>542</v>
      </c>
      <c r="BH15" s="654"/>
      <c r="BI15" s="654"/>
      <c r="BJ15" s="654"/>
      <c r="BK15" s="654"/>
      <c r="BL15" s="654"/>
      <c r="BM15" s="654"/>
      <c r="BN15" s="654"/>
      <c r="BO15" s="654"/>
      <c r="BP15" s="654"/>
      <c r="BQ15" s="654"/>
      <c r="BR15" s="654"/>
      <c r="BS15" s="654"/>
      <c r="BT15" s="654"/>
      <c r="BU15" s="654"/>
      <c r="BV15" s="654"/>
      <c r="BW15" s="478"/>
      <c r="BX15" s="478"/>
      <c r="BY15" s="478"/>
      <c r="BZ15" s="478"/>
      <c r="CA15" s="478"/>
      <c r="CB15" s="478"/>
      <c r="CC15" s="478"/>
      <c r="CD15" s="478"/>
      <c r="CE15" s="478"/>
    </row>
    <row r="16" spans="1:83" s="3" customFormat="1" ht="17.149999999999999" customHeight="1" x14ac:dyDescent="0.35">
      <c r="A16" s="544"/>
      <c r="B16" s="878" t="s">
        <v>1203</v>
      </c>
      <c r="C16" s="1348"/>
      <c r="D16" s="1228">
        <f t="shared" si="0"/>
        <v>0</v>
      </c>
      <c r="E16" s="1737"/>
      <c r="F16" s="1738"/>
      <c r="G16" s="1289"/>
      <c r="H16" s="872">
        <f>D16</f>
        <v>0</v>
      </c>
      <c r="I16" s="646">
        <f t="shared" si="1"/>
        <v>0</v>
      </c>
      <c r="J16" s="872"/>
      <c r="K16" s="872"/>
      <c r="L16" s="478"/>
      <c r="M16" s="1294"/>
      <c r="N16" s="1287"/>
      <c r="O16" s="1287"/>
      <c r="P16" s="1289"/>
      <c r="Q16" s="1287"/>
      <c r="R16" s="1289"/>
      <c r="S16" s="1294"/>
      <c r="T16" s="478"/>
      <c r="U16" s="901"/>
      <c r="V16" s="901"/>
      <c r="W16" s="901"/>
      <c r="X16" s="901"/>
      <c r="Y16" s="635">
        <f t="shared" si="2"/>
        <v>0</v>
      </c>
      <c r="Z16" s="902" t="str">
        <f>IF(AND(C16=0,Y16=0),"OK",IF(AND(C16&gt;0,Y16=1),"OK","Not OK"))</f>
        <v>OK</v>
      </c>
      <c r="AA16" s="478"/>
      <c r="AB16" s="636">
        <f>'Treatment volumes'!K28</f>
        <v>0</v>
      </c>
      <c r="AC16" s="1227">
        <f t="shared" si="3"/>
        <v>0</v>
      </c>
      <c r="AD16" s="1227">
        <f t="shared" si="4"/>
        <v>0</v>
      </c>
      <c r="AE16" s="1227">
        <f t="shared" si="5"/>
        <v>0</v>
      </c>
      <c r="AF16" s="1227">
        <f t="shared" si="6"/>
        <v>0</v>
      </c>
      <c r="AG16" s="635">
        <f t="shared" si="7"/>
        <v>0</v>
      </c>
      <c r="AH16" s="902" t="str">
        <f t="shared" si="8"/>
        <v>OK</v>
      </c>
      <c r="AI16" s="478"/>
      <c r="AJ16" s="901"/>
      <c r="AK16" s="901"/>
      <c r="AL16" s="901"/>
      <c r="AM16" s="901"/>
      <c r="AN16" s="635">
        <f t="shared" si="9"/>
        <v>0</v>
      </c>
      <c r="AO16" s="902" t="str">
        <f t="shared" si="10"/>
        <v>OK</v>
      </c>
      <c r="AP16" s="478"/>
      <c r="AQ16" s="636">
        <f>'Treatment volumes'!N28</f>
        <v>0</v>
      </c>
      <c r="AR16" s="1227">
        <f t="shared" si="11"/>
        <v>0</v>
      </c>
      <c r="AS16" s="1227">
        <f t="shared" si="12"/>
        <v>0</v>
      </c>
      <c r="AT16" s="1227">
        <f t="shared" si="12"/>
        <v>0</v>
      </c>
      <c r="AU16" s="1227">
        <f t="shared" si="12"/>
        <v>0</v>
      </c>
      <c r="AV16" s="635">
        <f>SUM(AP16:AU16)</f>
        <v>0</v>
      </c>
      <c r="AW16" s="902" t="str">
        <f t="shared" si="13"/>
        <v>OK</v>
      </c>
      <c r="AX16" s="478"/>
      <c r="AY16" s="478"/>
      <c r="AZ16" s="478"/>
      <c r="BA16" s="478"/>
      <c r="BB16" s="478"/>
      <c r="BC16" s="478"/>
      <c r="BD16" s="654"/>
      <c r="BE16" s="654"/>
      <c r="BF16" s="654"/>
      <c r="BG16" s="654" t="s">
        <v>543</v>
      </c>
      <c r="BH16" s="654"/>
      <c r="BI16" s="654"/>
      <c r="BJ16" s="654"/>
      <c r="BK16" s="654"/>
      <c r="BL16" s="654"/>
      <c r="BM16" s="654"/>
      <c r="BN16" s="654"/>
      <c r="BO16" s="654"/>
      <c r="BP16" s="654"/>
      <c r="BQ16" s="654"/>
      <c r="BR16" s="654"/>
      <c r="BS16" s="654"/>
      <c r="BT16" s="654"/>
      <c r="BU16" s="654"/>
      <c r="BV16" s="654"/>
      <c r="BW16" s="478"/>
      <c r="BX16" s="478"/>
      <c r="BY16" s="478"/>
      <c r="BZ16" s="478"/>
      <c r="CA16" s="478"/>
      <c r="CB16" s="478"/>
      <c r="CC16" s="478"/>
      <c r="CD16" s="478"/>
      <c r="CE16" s="478"/>
    </row>
    <row r="17" spans="1:83" s="3" customFormat="1" ht="17.149999999999999" customHeight="1" x14ac:dyDescent="0.35">
      <c r="A17" s="544"/>
      <c r="B17" s="878" t="s">
        <v>544</v>
      </c>
      <c r="C17" s="889"/>
      <c r="D17" s="1228">
        <f t="shared" si="0"/>
        <v>0</v>
      </c>
      <c r="E17" s="1737"/>
      <c r="F17" s="1738"/>
      <c r="G17" s="1289"/>
      <c r="H17" s="872"/>
      <c r="I17" s="646">
        <f t="shared" si="1"/>
        <v>0</v>
      </c>
      <c r="J17" s="872"/>
      <c r="K17" s="872"/>
      <c r="L17" s="478"/>
      <c r="M17" s="1294"/>
      <c r="N17" s="1287"/>
      <c r="O17" s="1287"/>
      <c r="P17" s="1289"/>
      <c r="Q17" s="1287"/>
      <c r="R17" s="1289"/>
      <c r="S17" s="1294"/>
      <c r="T17" s="478"/>
      <c r="U17" s="901"/>
      <c r="V17" s="901"/>
      <c r="W17" s="901"/>
      <c r="X17" s="901"/>
      <c r="Y17" s="635">
        <f t="shared" si="2"/>
        <v>0</v>
      </c>
      <c r="Z17" s="902" t="str">
        <f>IF(AND(C17=0,Y17=0),"OK",IF(AND(C17&gt;0,Y17=1),"OK","Not OK"))</f>
        <v>OK</v>
      </c>
      <c r="AA17" s="478"/>
      <c r="AB17" s="636">
        <f>'Treatment volumes'!K29</f>
        <v>0</v>
      </c>
      <c r="AC17" s="1227">
        <f t="shared" si="3"/>
        <v>0</v>
      </c>
      <c r="AD17" s="1227">
        <f t="shared" si="4"/>
        <v>0</v>
      </c>
      <c r="AE17" s="1227">
        <f t="shared" si="5"/>
        <v>0</v>
      </c>
      <c r="AF17" s="1227">
        <f t="shared" si="6"/>
        <v>0</v>
      </c>
      <c r="AG17" s="635">
        <f t="shared" si="7"/>
        <v>0</v>
      </c>
      <c r="AH17" s="902" t="str">
        <f t="shared" si="8"/>
        <v>OK</v>
      </c>
      <c r="AI17" s="478"/>
      <c r="AJ17" s="901"/>
      <c r="AK17" s="901"/>
      <c r="AL17" s="901"/>
      <c r="AM17" s="901"/>
      <c r="AN17" s="635">
        <f t="shared" si="9"/>
        <v>0</v>
      </c>
      <c r="AO17" s="902" t="str">
        <f t="shared" si="10"/>
        <v>OK</v>
      </c>
      <c r="AP17" s="478"/>
      <c r="AQ17" s="636">
        <f>'Treatment volumes'!N29</f>
        <v>0</v>
      </c>
      <c r="AR17" s="1227">
        <f t="shared" si="11"/>
        <v>0</v>
      </c>
      <c r="AS17" s="1227">
        <f t="shared" si="12"/>
        <v>0</v>
      </c>
      <c r="AT17" s="1227">
        <f t="shared" si="12"/>
        <v>0</v>
      </c>
      <c r="AU17" s="1227">
        <f t="shared" si="12"/>
        <v>0</v>
      </c>
      <c r="AV17" s="635">
        <f>SUM(AP17:AU17)</f>
        <v>0</v>
      </c>
      <c r="AW17" s="902" t="str">
        <f t="shared" si="13"/>
        <v>OK</v>
      </c>
      <c r="AX17" s="478"/>
      <c r="AY17" s="478"/>
      <c r="AZ17" s="478"/>
      <c r="BA17" s="478"/>
      <c r="BB17" s="478"/>
      <c r="BC17" s="478"/>
      <c r="BD17" s="654"/>
      <c r="BE17" s="654"/>
      <c r="BF17" s="654"/>
      <c r="BG17" s="654" t="s">
        <v>545</v>
      </c>
      <c r="BH17" s="654"/>
      <c r="BI17" s="654"/>
      <c r="BJ17" s="654"/>
      <c r="BK17" s="654"/>
      <c r="BL17" s="654"/>
      <c r="BM17" s="654"/>
      <c r="BN17" s="654"/>
      <c r="BO17" s="654"/>
      <c r="BP17" s="654"/>
      <c r="BQ17" s="654"/>
      <c r="BR17" s="654"/>
      <c r="BS17" s="654"/>
      <c r="BT17" s="654"/>
      <c r="BU17" s="654"/>
      <c r="BV17" s="654"/>
      <c r="BW17" s="478"/>
      <c r="BX17" s="478"/>
      <c r="BY17" s="478"/>
      <c r="BZ17" s="478"/>
      <c r="CA17" s="478"/>
      <c r="CB17" s="478"/>
      <c r="CC17" s="478"/>
      <c r="CD17" s="478"/>
      <c r="CE17" s="478"/>
    </row>
    <row r="18" spans="1:83" s="3" customFormat="1" ht="17.149999999999999" customHeight="1" x14ac:dyDescent="0.35">
      <c r="A18" s="544"/>
      <c r="B18" s="878" t="s">
        <v>546</v>
      </c>
      <c r="C18" s="889"/>
      <c r="D18" s="1228">
        <f t="shared" si="0"/>
        <v>0</v>
      </c>
      <c r="E18" s="1737"/>
      <c r="F18" s="1738"/>
      <c r="G18" s="1289"/>
      <c r="H18" s="872"/>
      <c r="I18" s="646">
        <f t="shared" si="1"/>
        <v>0</v>
      </c>
      <c r="J18" s="872"/>
      <c r="K18" s="872"/>
      <c r="L18" s="478"/>
      <c r="M18" s="1294"/>
      <c r="N18" s="1287"/>
      <c r="O18" s="1287"/>
      <c r="P18" s="1289"/>
      <c r="Q18" s="1287"/>
      <c r="R18" s="1289"/>
      <c r="S18" s="1294"/>
      <c r="T18" s="478"/>
      <c r="U18" s="901"/>
      <c r="V18" s="901"/>
      <c r="W18" s="901"/>
      <c r="X18" s="901"/>
      <c r="Y18" s="635">
        <f t="shared" si="2"/>
        <v>0</v>
      </c>
      <c r="Z18" s="902" t="str">
        <f>IF(AND(C18=0,Y18=0),"OK",IF(AND(C18&gt;0,Y18=1),"OK","Not OK"))</f>
        <v>OK</v>
      </c>
      <c r="AA18" s="478"/>
      <c r="AB18" s="636">
        <f>'Treatment volumes'!K30</f>
        <v>0</v>
      </c>
      <c r="AC18" s="1227">
        <f t="shared" si="3"/>
        <v>0</v>
      </c>
      <c r="AD18" s="1227">
        <f t="shared" si="4"/>
        <v>0</v>
      </c>
      <c r="AE18" s="1227">
        <f t="shared" si="5"/>
        <v>0</v>
      </c>
      <c r="AF18" s="1227">
        <f t="shared" si="6"/>
        <v>0</v>
      </c>
      <c r="AG18" s="635">
        <f t="shared" si="7"/>
        <v>0</v>
      </c>
      <c r="AH18" s="902" t="str">
        <f t="shared" si="8"/>
        <v>OK</v>
      </c>
      <c r="AI18" s="478"/>
      <c r="AJ18" s="901"/>
      <c r="AK18" s="901"/>
      <c r="AL18" s="901"/>
      <c r="AM18" s="901"/>
      <c r="AN18" s="635">
        <f t="shared" si="9"/>
        <v>0</v>
      </c>
      <c r="AO18" s="902" t="str">
        <f t="shared" si="10"/>
        <v>OK</v>
      </c>
      <c r="AP18" s="478"/>
      <c r="AQ18" s="636">
        <f>'Treatment volumes'!N30</f>
        <v>0</v>
      </c>
      <c r="AR18" s="1227">
        <f t="shared" si="11"/>
        <v>0</v>
      </c>
      <c r="AS18" s="1227">
        <f t="shared" si="12"/>
        <v>0</v>
      </c>
      <c r="AT18" s="1227">
        <f t="shared" si="12"/>
        <v>0</v>
      </c>
      <c r="AU18" s="1227">
        <f t="shared" si="12"/>
        <v>0</v>
      </c>
      <c r="AV18" s="635">
        <f>SUM(AP18:AU18)</f>
        <v>0</v>
      </c>
      <c r="AW18" s="902" t="str">
        <f t="shared" si="13"/>
        <v>OK</v>
      </c>
      <c r="AX18" s="478"/>
      <c r="AY18" s="478"/>
      <c r="AZ18" s="478"/>
      <c r="BA18" s="478"/>
      <c r="BB18" s="478"/>
      <c r="BC18" s="478"/>
      <c r="BD18" s="654"/>
      <c r="BE18" s="654"/>
      <c r="BF18" s="654"/>
      <c r="BG18" s="654" t="s">
        <v>547</v>
      </c>
      <c r="BH18" s="654"/>
      <c r="BI18" s="654"/>
      <c r="BJ18" s="654"/>
      <c r="BK18" s="654"/>
      <c r="BL18" s="654"/>
      <c r="BM18" s="654"/>
      <c r="BN18" s="654"/>
      <c r="BO18" s="654"/>
      <c r="BP18" s="654"/>
      <c r="BQ18" s="654"/>
      <c r="BR18" s="654"/>
      <c r="BS18" s="654"/>
      <c r="BT18" s="654"/>
      <c r="BU18" s="654"/>
      <c r="BV18" s="654"/>
      <c r="BW18" s="478"/>
      <c r="BX18" s="478"/>
      <c r="BY18" s="478"/>
      <c r="BZ18" s="478"/>
      <c r="CA18" s="478"/>
      <c r="CB18" s="478"/>
      <c r="CC18" s="478"/>
      <c r="CD18" s="478"/>
      <c r="CE18" s="478"/>
    </row>
    <row r="19" spans="1:83" s="3" customFormat="1" ht="17.149999999999999" customHeight="1" x14ac:dyDescent="0.35">
      <c r="A19" s="544"/>
      <c r="B19" s="878" t="s">
        <v>548</v>
      </c>
      <c r="C19" s="889"/>
      <c r="D19" s="1228">
        <f t="shared" si="0"/>
        <v>0</v>
      </c>
      <c r="E19" s="1737"/>
      <c r="F19" s="1738"/>
      <c r="G19" s="1289"/>
      <c r="H19" s="872"/>
      <c r="I19" s="646">
        <f t="shared" si="1"/>
        <v>0</v>
      </c>
      <c r="J19" s="872"/>
      <c r="K19" s="872"/>
      <c r="L19" s="478"/>
      <c r="M19" s="1294"/>
      <c r="N19" s="1287"/>
      <c r="O19" s="1287"/>
      <c r="P19" s="1289"/>
      <c r="Q19" s="1287"/>
      <c r="R19" s="1289"/>
      <c r="S19" s="1294"/>
      <c r="T19" s="478"/>
      <c r="U19" s="901"/>
      <c r="V19" s="901"/>
      <c r="W19" s="901"/>
      <c r="X19" s="901"/>
      <c r="Y19" s="635">
        <f t="shared" si="2"/>
        <v>0</v>
      </c>
      <c r="Z19" s="902" t="str">
        <f>IF(AND(C19=0,Y19=0),"OK",IF(AND(C19&gt;0,Y19=1),"OK","Not OK"))</f>
        <v>OK</v>
      </c>
      <c r="AA19" s="478"/>
      <c r="AB19" s="636">
        <f>'Treatment volumes'!K31</f>
        <v>0</v>
      </c>
      <c r="AC19" s="1227">
        <f t="shared" si="3"/>
        <v>0</v>
      </c>
      <c r="AD19" s="1227">
        <f t="shared" si="4"/>
        <v>0</v>
      </c>
      <c r="AE19" s="1227">
        <f t="shared" si="5"/>
        <v>0</v>
      </c>
      <c r="AF19" s="1227">
        <f t="shared" si="6"/>
        <v>0</v>
      </c>
      <c r="AG19" s="635">
        <f t="shared" si="7"/>
        <v>0</v>
      </c>
      <c r="AH19" s="902" t="str">
        <f t="shared" si="8"/>
        <v>OK</v>
      </c>
      <c r="AI19" s="478"/>
      <c r="AJ19" s="901"/>
      <c r="AK19" s="901"/>
      <c r="AL19" s="901"/>
      <c r="AM19" s="901"/>
      <c r="AN19" s="635">
        <f t="shared" si="9"/>
        <v>0</v>
      </c>
      <c r="AO19" s="902" t="str">
        <f t="shared" si="10"/>
        <v>OK</v>
      </c>
      <c r="AP19" s="478"/>
      <c r="AQ19" s="636">
        <f>'Treatment volumes'!N31</f>
        <v>0</v>
      </c>
      <c r="AR19" s="1227">
        <f t="shared" si="11"/>
        <v>0</v>
      </c>
      <c r="AS19" s="1227">
        <f t="shared" si="12"/>
        <v>0</v>
      </c>
      <c r="AT19" s="1227">
        <f t="shared" si="12"/>
        <v>0</v>
      </c>
      <c r="AU19" s="1227">
        <f t="shared" si="12"/>
        <v>0</v>
      </c>
      <c r="AV19" s="635">
        <f>SUM(AP19:AU19)</f>
        <v>0</v>
      </c>
      <c r="AW19" s="902" t="str">
        <f t="shared" si="13"/>
        <v>OK</v>
      </c>
      <c r="AX19" s="478"/>
      <c r="AY19" s="478"/>
      <c r="AZ19" s="478"/>
      <c r="BA19" s="478"/>
      <c r="BB19" s="478"/>
      <c r="BC19" s="478"/>
      <c r="BD19" s="654"/>
      <c r="BE19" s="654"/>
      <c r="BF19" s="654"/>
      <c r="BG19" s="654" t="s">
        <v>549</v>
      </c>
      <c r="BH19" s="654"/>
      <c r="BI19" s="654"/>
      <c r="BJ19" s="654"/>
      <c r="BK19" s="654"/>
      <c r="BL19" s="654"/>
      <c r="BM19" s="654"/>
      <c r="BN19" s="654"/>
      <c r="BO19" s="654"/>
      <c r="BP19" s="654"/>
      <c r="BQ19" s="654"/>
      <c r="BR19" s="654"/>
      <c r="BS19" s="654"/>
      <c r="BT19" s="654"/>
      <c r="BU19" s="654"/>
      <c r="BV19" s="654"/>
      <c r="BW19" s="478"/>
      <c r="BX19" s="478"/>
      <c r="BY19" s="478"/>
      <c r="BZ19" s="478"/>
      <c r="CA19" s="478"/>
      <c r="CB19" s="478"/>
      <c r="CC19" s="478"/>
      <c r="CD19" s="478"/>
      <c r="CE19" s="478"/>
    </row>
    <row r="20" spans="1:83" s="3" customFormat="1" ht="17.149999999999999" customHeight="1" x14ac:dyDescent="0.35">
      <c r="A20" s="544"/>
      <c r="B20" s="878" t="s">
        <v>550</v>
      </c>
      <c r="C20" s="889"/>
      <c r="D20" s="1228">
        <f t="shared" si="0"/>
        <v>0</v>
      </c>
      <c r="E20" s="1737"/>
      <c r="F20" s="1738"/>
      <c r="G20" s="1289"/>
      <c r="H20" s="872"/>
      <c r="I20" s="646">
        <f t="shared" si="1"/>
        <v>0</v>
      </c>
      <c r="J20" s="872"/>
      <c r="K20" s="872"/>
      <c r="L20" s="478"/>
      <c r="M20" s="1294"/>
      <c r="N20" s="1287"/>
      <c r="O20" s="1287"/>
      <c r="P20" s="1289"/>
      <c r="Q20" s="1287"/>
      <c r="R20" s="1289"/>
      <c r="S20" s="1294"/>
      <c r="T20" s="478"/>
      <c r="U20" s="901"/>
      <c r="V20" s="901"/>
      <c r="W20" s="901"/>
      <c r="X20" s="901"/>
      <c r="Y20" s="635">
        <f t="shared" si="2"/>
        <v>0</v>
      </c>
      <c r="Z20" s="902" t="str">
        <f>IF(AND(C20=0,Y20=0),"OK",IF(AND(C20&gt;0,Y20=1),"OK","Not OK"))</f>
        <v>OK</v>
      </c>
      <c r="AA20" s="478"/>
      <c r="AB20" s="636">
        <f>'Treatment volumes'!K32</f>
        <v>0</v>
      </c>
      <c r="AC20" s="1227">
        <f t="shared" si="3"/>
        <v>0</v>
      </c>
      <c r="AD20" s="1227">
        <f t="shared" si="4"/>
        <v>0</v>
      </c>
      <c r="AE20" s="1227">
        <f t="shared" si="5"/>
        <v>0</v>
      </c>
      <c r="AF20" s="1227">
        <f t="shared" si="6"/>
        <v>0</v>
      </c>
      <c r="AG20" s="635">
        <f t="shared" si="7"/>
        <v>0</v>
      </c>
      <c r="AH20" s="902" t="str">
        <f t="shared" si="8"/>
        <v>OK</v>
      </c>
      <c r="AI20" s="478"/>
      <c r="AJ20" s="901"/>
      <c r="AK20" s="901"/>
      <c r="AL20" s="901"/>
      <c r="AM20" s="901"/>
      <c r="AN20" s="635">
        <f t="shared" si="9"/>
        <v>0</v>
      </c>
      <c r="AO20" s="902" t="str">
        <f t="shared" si="10"/>
        <v>OK</v>
      </c>
      <c r="AP20" s="478"/>
      <c r="AQ20" s="636">
        <f>'Treatment volumes'!N32</f>
        <v>0</v>
      </c>
      <c r="AR20" s="1227">
        <f t="shared" si="11"/>
        <v>0</v>
      </c>
      <c r="AS20" s="1227">
        <f t="shared" si="12"/>
        <v>0</v>
      </c>
      <c r="AT20" s="1227">
        <f t="shared" si="12"/>
        <v>0</v>
      </c>
      <c r="AU20" s="1227">
        <f t="shared" si="12"/>
        <v>0</v>
      </c>
      <c r="AV20" s="635">
        <f>SUM(AP20:AU20)</f>
        <v>0</v>
      </c>
      <c r="AW20" s="902" t="str">
        <f t="shared" si="13"/>
        <v>OK</v>
      </c>
      <c r="AX20" s="478"/>
      <c r="AY20" s="478"/>
      <c r="AZ20" s="478"/>
      <c r="BA20" s="478"/>
      <c r="BB20" s="478"/>
      <c r="BC20" s="478"/>
      <c r="BD20" s="654"/>
      <c r="BE20" s="654"/>
      <c r="BF20" s="654"/>
      <c r="BG20" s="654" t="s">
        <v>551</v>
      </c>
      <c r="BH20" s="654"/>
      <c r="BI20" s="654"/>
      <c r="BJ20" s="654"/>
      <c r="BK20" s="654"/>
      <c r="BL20" s="654"/>
      <c r="BM20" s="654"/>
      <c r="BN20" s="654"/>
      <c r="BO20" s="654"/>
      <c r="BP20" s="654"/>
      <c r="BQ20" s="654"/>
      <c r="BR20" s="654"/>
      <c r="BS20" s="654"/>
      <c r="BT20" s="654"/>
      <c r="BU20" s="654"/>
      <c r="BV20" s="654"/>
      <c r="BW20" s="478"/>
      <c r="BX20" s="478"/>
      <c r="BY20" s="478"/>
      <c r="BZ20" s="478"/>
      <c r="CA20" s="478"/>
      <c r="CB20" s="478"/>
      <c r="CC20" s="478"/>
      <c r="CD20" s="478"/>
      <c r="CE20" s="478"/>
    </row>
    <row r="21" spans="1:83" s="11" customFormat="1" ht="17.149999999999999" customHeight="1" x14ac:dyDescent="0.35">
      <c r="A21" s="544"/>
      <c r="B21" s="594" t="s">
        <v>208</v>
      </c>
      <c r="C21" s="1210">
        <f>SUM(C15:C20)</f>
        <v>0</v>
      </c>
      <c r="D21" s="1180">
        <f>SUM(D15:D20)</f>
        <v>0</v>
      </c>
      <c r="E21" s="638"/>
      <c r="F21" s="638"/>
      <c r="G21" s="639"/>
      <c r="H21" s="572"/>
      <c r="I21" s="551"/>
      <c r="J21" s="551"/>
      <c r="K21" s="551"/>
      <c r="L21" s="572"/>
      <c r="M21" s="572"/>
      <c r="N21" s="572"/>
      <c r="O21" s="572"/>
      <c r="P21" s="572"/>
      <c r="Q21" s="572"/>
      <c r="R21" s="572"/>
      <c r="S21" s="572"/>
      <c r="T21" s="572"/>
      <c r="U21" s="572"/>
      <c r="V21" s="572"/>
      <c r="W21" s="572"/>
      <c r="X21" s="572"/>
      <c r="Y21" s="572"/>
      <c r="Z21" s="572"/>
      <c r="AA21" s="572"/>
      <c r="AB21" s="572"/>
      <c r="AC21" s="572"/>
      <c r="AD21" s="572"/>
      <c r="AE21" s="572"/>
      <c r="AF21" s="572"/>
      <c r="AG21" s="572"/>
      <c r="AH21" s="572"/>
      <c r="AI21" s="572"/>
      <c r="AJ21" s="572"/>
      <c r="AK21" s="572"/>
      <c r="AL21" s="572"/>
      <c r="AM21" s="572"/>
      <c r="AN21" s="572"/>
      <c r="AO21" s="572"/>
      <c r="AP21" s="572"/>
      <c r="AQ21" s="572"/>
      <c r="AR21" s="572"/>
      <c r="AS21" s="572"/>
      <c r="AT21" s="572"/>
      <c r="AU21" s="572"/>
      <c r="AV21" s="572"/>
      <c r="AW21" s="572"/>
      <c r="AX21" s="572"/>
      <c r="AY21" s="572"/>
      <c r="AZ21" s="572"/>
      <c r="BA21" s="572"/>
      <c r="BB21" s="572"/>
      <c r="BC21" s="572"/>
      <c r="BD21" s="656"/>
      <c r="BE21" s="656"/>
      <c r="BF21" s="656"/>
      <c r="BG21" s="654" t="s">
        <v>552</v>
      </c>
      <c r="BH21" s="656"/>
      <c r="BI21" s="656"/>
      <c r="BJ21" s="656"/>
      <c r="BK21" s="656"/>
      <c r="BL21" s="656"/>
      <c r="BM21" s="656"/>
      <c r="BN21" s="656"/>
      <c r="BO21" s="656"/>
      <c r="BP21" s="656"/>
      <c r="BQ21" s="656"/>
      <c r="BR21" s="656"/>
      <c r="BS21" s="656"/>
      <c r="BT21" s="656"/>
      <c r="BU21" s="656"/>
      <c r="BV21" s="656"/>
      <c r="BW21" s="572"/>
      <c r="BX21" s="572"/>
      <c r="BY21" s="572"/>
      <c r="BZ21" s="572"/>
      <c r="CA21" s="572"/>
      <c r="CB21" s="572"/>
      <c r="CC21" s="572"/>
      <c r="CD21" s="572"/>
      <c r="CE21" s="572"/>
    </row>
    <row r="22" spans="1:83" s="61" customFormat="1" ht="17.149999999999999" customHeight="1" x14ac:dyDescent="0.35">
      <c r="A22" s="544"/>
      <c r="B22" s="1218" t="s">
        <v>553</v>
      </c>
      <c r="C22" s="1219"/>
      <c r="D22" s="1180">
        <f>'Transport volumes'!B116</f>
        <v>0</v>
      </c>
      <c r="E22" s="638"/>
      <c r="F22" s="638"/>
      <c r="G22" s="639"/>
      <c r="H22" s="572"/>
      <c r="I22" s="551"/>
      <c r="J22" s="551"/>
      <c r="K22" s="551"/>
      <c r="L22" s="572"/>
      <c r="M22" s="572"/>
      <c r="N22" s="572"/>
      <c r="O22" s="572"/>
      <c r="P22" s="572"/>
      <c r="Q22" s="572"/>
      <c r="R22" s="572"/>
      <c r="S22" s="572"/>
      <c r="T22" s="572"/>
      <c r="U22" s="572"/>
      <c r="V22" s="572"/>
      <c r="W22" s="572"/>
      <c r="X22" s="572"/>
      <c r="Y22" s="572"/>
      <c r="Z22" s="572"/>
      <c r="AA22" s="572"/>
      <c r="AB22" s="572"/>
      <c r="AC22" s="572"/>
      <c r="AD22" s="572"/>
      <c r="AE22" s="572"/>
      <c r="AF22" s="572"/>
      <c r="AG22" s="572"/>
      <c r="AH22" s="572"/>
      <c r="AI22" s="572"/>
      <c r="AJ22" s="572"/>
      <c r="AK22" s="572"/>
      <c r="AL22" s="572"/>
      <c r="AM22" s="572"/>
      <c r="AN22" s="572"/>
      <c r="AO22" s="572"/>
      <c r="AP22" s="572"/>
      <c r="AQ22" s="572"/>
      <c r="AR22" s="572"/>
      <c r="AS22" s="572"/>
      <c r="AT22" s="572"/>
      <c r="AU22" s="572"/>
      <c r="AV22" s="572"/>
      <c r="AW22" s="572"/>
      <c r="AX22" s="572"/>
      <c r="AY22" s="572"/>
      <c r="AZ22" s="572"/>
      <c r="BA22" s="572"/>
      <c r="BB22" s="572"/>
      <c r="BC22" s="572"/>
      <c r="BD22" s="656"/>
      <c r="BE22" s="656"/>
      <c r="BF22" s="656"/>
      <c r="BG22" s="656"/>
      <c r="BH22" s="656"/>
      <c r="BI22" s="656"/>
      <c r="BJ22" s="656"/>
      <c r="BK22" s="656"/>
      <c r="BL22" s="656"/>
      <c r="BM22" s="656"/>
      <c r="BN22" s="656"/>
      <c r="BO22" s="656"/>
      <c r="BP22" s="656"/>
      <c r="BQ22" s="656"/>
      <c r="BR22" s="656"/>
      <c r="BS22" s="656"/>
      <c r="BT22" s="656"/>
      <c r="BU22" s="656"/>
      <c r="BV22" s="656"/>
      <c r="BW22" s="572"/>
      <c r="BX22" s="572"/>
      <c r="BY22" s="572"/>
      <c r="BZ22" s="572"/>
      <c r="CA22" s="572"/>
      <c r="CB22" s="572"/>
      <c r="CC22" s="572"/>
      <c r="CD22" s="572"/>
      <c r="CE22" s="572"/>
    </row>
    <row r="23" spans="1:83" ht="17.149999999999999" customHeight="1" x14ac:dyDescent="0.35">
      <c r="A23" s="544"/>
      <c r="B23" s="567" t="s">
        <v>251</v>
      </c>
      <c r="C23" s="651">
        <f>IF(D22&gt;0,1-C21,0)</f>
        <v>0</v>
      </c>
      <c r="D23" s="651">
        <f>D21-D22</f>
        <v>0</v>
      </c>
      <c r="E23" s="640"/>
      <c r="F23" s="640"/>
      <c r="G23" s="641"/>
      <c r="H23" s="478"/>
      <c r="I23" s="489"/>
      <c r="J23" s="489"/>
      <c r="K23" s="489"/>
      <c r="M23" s="544"/>
      <c r="N23" s="544"/>
      <c r="O23" s="544"/>
      <c r="P23" s="544"/>
      <c r="Q23" s="544"/>
      <c r="R23" s="544"/>
      <c r="S23" s="544"/>
      <c r="U23" s="544"/>
      <c r="V23" s="544"/>
      <c r="W23" s="544"/>
      <c r="X23" s="544"/>
      <c r="Y23" s="544"/>
      <c r="Z23" s="544"/>
      <c r="AB23" s="544"/>
      <c r="AC23" s="544"/>
      <c r="AD23" s="544"/>
      <c r="AE23" s="544"/>
      <c r="AF23" s="544"/>
      <c r="AG23" s="544"/>
      <c r="AH23" s="544"/>
      <c r="AJ23" s="544"/>
      <c r="AK23" s="544"/>
      <c r="AL23" s="544"/>
      <c r="AM23" s="544"/>
      <c r="AN23" s="544"/>
      <c r="AO23" s="544"/>
      <c r="AQ23" s="544"/>
      <c r="AR23" s="544"/>
      <c r="AS23" s="544"/>
      <c r="AT23" s="544"/>
      <c r="AU23" s="544"/>
      <c r="AV23" s="544"/>
      <c r="AW23" s="544"/>
      <c r="BD23" s="655"/>
      <c r="BE23" s="655"/>
      <c r="BF23" s="655"/>
      <c r="BG23" s="655"/>
      <c r="BH23" s="655"/>
      <c r="BI23" s="655"/>
      <c r="BJ23" s="655"/>
      <c r="BK23" s="655"/>
      <c r="BL23" s="655"/>
      <c r="BM23" s="655"/>
      <c r="BN23" s="655"/>
      <c r="BO23" s="655"/>
      <c r="BP23" s="655"/>
      <c r="BQ23" s="655"/>
      <c r="BR23" s="655"/>
      <c r="BS23" s="655"/>
      <c r="BT23" s="655"/>
      <c r="BU23" s="655"/>
      <c r="BV23" s="655"/>
    </row>
    <row r="24" spans="1:83" ht="17.149999999999999" customHeight="1" x14ac:dyDescent="0.35">
      <c r="A24" s="544"/>
      <c r="B24" s="478"/>
      <c r="C24" s="174" t="str">
        <f>IF(C23=0,"OK","Not OK")</f>
        <v>OK</v>
      </c>
      <c r="D24" s="174" t="str">
        <f>IF(D23=0,"OK","Not OK")</f>
        <v>OK</v>
      </c>
      <c r="E24" s="640"/>
      <c r="F24" s="640"/>
      <c r="G24" s="641"/>
      <c r="H24" s="478"/>
      <c r="I24" s="489"/>
      <c r="J24" s="489"/>
      <c r="K24" s="489"/>
      <c r="M24" s="544"/>
      <c r="N24" s="544"/>
      <c r="O24" s="544"/>
      <c r="P24" s="544"/>
      <c r="Q24" s="544"/>
      <c r="R24" s="544"/>
      <c r="S24" s="544"/>
      <c r="U24" s="544"/>
      <c r="V24" s="544"/>
      <c r="W24" s="544"/>
      <c r="X24" s="544"/>
      <c r="Y24" s="544"/>
      <c r="Z24" s="544"/>
      <c r="AB24" s="544"/>
      <c r="AC24" s="544"/>
      <c r="AD24" s="544"/>
      <c r="AE24" s="544"/>
      <c r="AF24" s="544"/>
      <c r="AG24" s="544"/>
      <c r="AH24" s="544"/>
      <c r="AJ24" s="544"/>
      <c r="AK24" s="544"/>
      <c r="AL24" s="544"/>
      <c r="AM24" s="544"/>
      <c r="AN24" s="544"/>
      <c r="AO24" s="544"/>
      <c r="AQ24" s="544"/>
      <c r="AR24" s="544"/>
      <c r="AS24" s="544"/>
      <c r="AT24" s="544"/>
      <c r="AU24" s="544"/>
      <c r="AV24" s="544"/>
      <c r="AW24" s="544"/>
      <c r="BD24" s="655"/>
      <c r="BE24" s="655"/>
      <c r="BF24" s="655"/>
      <c r="BG24" s="655"/>
      <c r="BH24" s="655"/>
      <c r="BI24" s="655"/>
      <c r="BJ24" s="655"/>
      <c r="BK24" s="655"/>
      <c r="BL24" s="655"/>
      <c r="BM24" s="655"/>
      <c r="BN24" s="655"/>
      <c r="BO24" s="655"/>
      <c r="BP24" s="655"/>
      <c r="BQ24" s="655"/>
      <c r="BR24" s="655"/>
      <c r="BS24" s="655"/>
      <c r="BT24" s="655"/>
      <c r="BU24" s="655"/>
      <c r="BV24" s="655"/>
    </row>
    <row r="25" spans="1:83" ht="17.149999999999999" customHeight="1" x14ac:dyDescent="0.35">
      <c r="A25" s="544"/>
      <c r="B25" s="478"/>
      <c r="C25" s="478"/>
      <c r="D25" s="478"/>
      <c r="E25" s="640"/>
      <c r="F25" s="640"/>
      <c r="G25" s="641"/>
      <c r="H25" s="478"/>
      <c r="I25" s="489"/>
      <c r="J25" s="489"/>
      <c r="K25" s="489"/>
      <c r="M25" s="544"/>
      <c r="N25" s="544"/>
      <c r="O25" s="544"/>
      <c r="P25" s="544"/>
      <c r="Q25" s="544"/>
      <c r="R25" s="544"/>
      <c r="S25" s="544"/>
      <c r="U25" s="544"/>
      <c r="V25" s="544"/>
      <c r="W25" s="544"/>
      <c r="X25" s="544"/>
      <c r="Y25" s="544"/>
      <c r="Z25" s="544"/>
      <c r="AB25" s="544"/>
      <c r="AC25" s="544"/>
      <c r="AD25" s="544"/>
      <c r="AE25" s="544"/>
      <c r="AF25" s="544"/>
      <c r="AG25" s="544"/>
      <c r="AH25" s="544"/>
      <c r="AJ25" s="544"/>
      <c r="AK25" s="544"/>
      <c r="AL25" s="544"/>
      <c r="AM25" s="544"/>
      <c r="AN25" s="544"/>
      <c r="AO25" s="544"/>
      <c r="AQ25" s="544"/>
      <c r="AR25" s="544"/>
      <c r="AS25" s="544"/>
      <c r="AT25" s="544"/>
      <c r="AU25" s="544"/>
      <c r="AV25" s="544"/>
      <c r="AW25" s="544"/>
      <c r="BD25" s="655"/>
      <c r="BE25" s="655"/>
      <c r="BF25" s="655"/>
      <c r="BG25" s="655"/>
      <c r="BH25" s="655"/>
      <c r="BI25" s="655"/>
      <c r="BJ25" s="655"/>
      <c r="BK25" s="655"/>
      <c r="BL25" s="655"/>
      <c r="BM25" s="655"/>
      <c r="BN25" s="655"/>
      <c r="BO25" s="655"/>
      <c r="BP25" s="655"/>
      <c r="BQ25" s="655"/>
      <c r="BR25" s="655"/>
      <c r="BS25" s="655"/>
      <c r="BT25" s="655"/>
      <c r="BU25" s="655"/>
      <c r="BV25" s="655"/>
    </row>
    <row r="26" spans="1:83" ht="17.149999999999999" customHeight="1" x14ac:dyDescent="0.35">
      <c r="A26" s="544"/>
      <c r="B26" s="478"/>
      <c r="C26" s="478"/>
      <c r="D26" s="478"/>
      <c r="E26" s="640"/>
      <c r="F26" s="640"/>
      <c r="G26" s="641"/>
      <c r="H26" s="478"/>
      <c r="I26" s="489"/>
      <c r="J26" s="489"/>
      <c r="K26" s="489"/>
      <c r="M26" s="544"/>
      <c r="N26" s="544"/>
      <c r="O26" s="544"/>
      <c r="P26" s="544"/>
      <c r="Q26" s="544"/>
      <c r="R26" s="544"/>
      <c r="S26" s="544"/>
      <c r="U26" s="544"/>
      <c r="V26" s="544"/>
      <c r="W26" s="544"/>
      <c r="X26" s="544"/>
      <c r="Y26" s="544"/>
      <c r="Z26" s="544"/>
      <c r="AB26" s="544"/>
      <c r="AC26" s="544"/>
      <c r="AD26" s="544"/>
      <c r="AE26" s="544"/>
      <c r="AF26" s="544"/>
      <c r="AG26" s="544"/>
      <c r="AH26" s="544"/>
      <c r="AJ26" s="544"/>
      <c r="AK26" s="544"/>
      <c r="AL26" s="544"/>
      <c r="AM26" s="544"/>
      <c r="AN26" s="544"/>
      <c r="AO26" s="544"/>
      <c r="AQ26" s="544"/>
      <c r="AR26" s="544"/>
      <c r="AS26" s="544"/>
      <c r="AT26" s="544"/>
      <c r="AU26" s="544"/>
      <c r="AV26" s="544"/>
      <c r="AW26" s="544"/>
      <c r="BD26" s="655"/>
      <c r="BE26" s="655"/>
      <c r="BF26" s="655"/>
      <c r="BG26" s="655"/>
      <c r="BH26" s="655"/>
      <c r="BI26" s="655"/>
      <c r="BJ26" s="655"/>
      <c r="BK26" s="655"/>
      <c r="BL26" s="655"/>
      <c r="BM26" s="655"/>
      <c r="BN26" s="655"/>
      <c r="BO26" s="655"/>
      <c r="BP26" s="655"/>
      <c r="BQ26" s="655"/>
      <c r="BR26" s="655"/>
      <c r="BS26" s="655"/>
      <c r="BT26" s="655"/>
      <c r="BU26" s="655"/>
      <c r="BV26" s="655"/>
    </row>
    <row r="27" spans="1:83" ht="17.149999999999999" customHeight="1" x14ac:dyDescent="0.35">
      <c r="A27" s="544"/>
      <c r="B27" s="564" t="s">
        <v>554</v>
      </c>
      <c r="C27" s="544"/>
      <c r="D27" s="544"/>
      <c r="E27" s="544"/>
      <c r="F27" s="544"/>
      <c r="G27" s="544"/>
      <c r="H27" s="633"/>
      <c r="I27" s="544"/>
      <c r="J27" s="544"/>
      <c r="K27" s="652" t="s">
        <v>506</v>
      </c>
      <c r="M27" s="544"/>
      <c r="N27" s="544"/>
      <c r="O27" s="544"/>
      <c r="P27" s="544"/>
      <c r="Q27" s="544"/>
      <c r="R27" s="544"/>
      <c r="S27" s="544"/>
      <c r="U27" s="564" t="s">
        <v>555</v>
      </c>
      <c r="V27" s="544"/>
      <c r="W27" s="544"/>
      <c r="X27" s="544"/>
      <c r="Y27" s="544"/>
      <c r="Z27" s="544"/>
      <c r="AB27" s="544"/>
      <c r="AC27" s="544"/>
      <c r="AD27" s="544"/>
      <c r="AE27" s="544"/>
      <c r="AF27" s="544"/>
      <c r="AG27" s="544"/>
      <c r="AH27" s="544"/>
      <c r="AJ27" s="564" t="s">
        <v>556</v>
      </c>
      <c r="AK27" s="544"/>
      <c r="AL27" s="544"/>
      <c r="AM27" s="544"/>
      <c r="AN27" s="544"/>
      <c r="AO27" s="544"/>
      <c r="AQ27" s="544"/>
      <c r="AR27" s="544"/>
      <c r="AS27" s="544"/>
      <c r="AT27" s="544"/>
      <c r="AU27" s="544"/>
      <c r="AV27" s="544"/>
      <c r="AW27" s="544"/>
      <c r="BD27" s="655"/>
      <c r="BE27" s="655"/>
      <c r="BF27" s="655"/>
      <c r="BG27" s="655"/>
      <c r="BH27" s="655"/>
      <c r="BI27" s="655"/>
      <c r="BJ27" s="655"/>
      <c r="BK27" s="655"/>
      <c r="BL27" s="655"/>
      <c r="BM27" s="655"/>
      <c r="BN27" s="655"/>
      <c r="BO27" s="655"/>
      <c r="BP27" s="655"/>
      <c r="BQ27" s="655"/>
      <c r="BR27" s="655"/>
      <c r="BS27" s="655"/>
      <c r="BT27" s="655"/>
      <c r="BU27" s="655"/>
      <c r="BV27" s="655"/>
    </row>
    <row r="28" spans="1:83" ht="17.149999999999999" customHeight="1" x14ac:dyDescent="0.35">
      <c r="A28" s="544"/>
      <c r="B28" s="478"/>
      <c r="C28" s="478"/>
      <c r="D28" s="478"/>
      <c r="E28" s="640"/>
      <c r="F28" s="640"/>
      <c r="G28" s="641"/>
      <c r="H28" s="478"/>
      <c r="I28" s="489"/>
      <c r="J28" s="489"/>
      <c r="K28" s="489"/>
      <c r="M28" s="544"/>
      <c r="N28" s="544"/>
      <c r="O28" s="544"/>
      <c r="P28" s="544"/>
      <c r="Q28" s="544"/>
      <c r="R28" s="544"/>
      <c r="S28" s="544"/>
      <c r="U28" s="1668" t="s">
        <v>509</v>
      </c>
      <c r="V28" s="1668"/>
      <c r="W28" s="1668"/>
      <c r="X28" s="1668"/>
      <c r="Y28" s="1668"/>
      <c r="Z28" s="1668"/>
      <c r="AB28" s="1668" t="s">
        <v>510</v>
      </c>
      <c r="AC28" s="1668"/>
      <c r="AD28" s="1668"/>
      <c r="AE28" s="1668"/>
      <c r="AF28" s="1668"/>
      <c r="AG28" s="1668"/>
      <c r="AH28" s="1668"/>
      <c r="AJ28" s="1697" t="s">
        <v>511</v>
      </c>
      <c r="AK28" s="1698"/>
      <c r="AL28" s="1698"/>
      <c r="AM28" s="1698"/>
      <c r="AN28" s="1698"/>
      <c r="AO28" s="1699"/>
      <c r="AQ28" s="1668" t="s">
        <v>512</v>
      </c>
      <c r="AR28" s="1668"/>
      <c r="AS28" s="1668"/>
      <c r="AT28" s="1668"/>
      <c r="AU28" s="1668"/>
      <c r="AV28" s="1668"/>
      <c r="AW28" s="1668"/>
      <c r="BD28" s="655"/>
      <c r="BE28" s="655"/>
      <c r="BF28" s="655"/>
      <c r="BG28" s="655"/>
      <c r="BH28" s="655"/>
      <c r="BI28" s="655"/>
      <c r="BJ28" s="655"/>
      <c r="BK28" s="655"/>
      <c r="BL28" s="655"/>
      <c r="BM28" s="655"/>
      <c r="BN28" s="655"/>
      <c r="BO28" s="655"/>
      <c r="BP28" s="655"/>
      <c r="BQ28" s="655"/>
      <c r="BR28" s="655"/>
      <c r="BS28" s="655"/>
      <c r="BT28" s="655"/>
      <c r="BU28" s="655"/>
      <c r="BV28" s="655"/>
    </row>
    <row r="29" spans="1:83" ht="17.149999999999999" customHeight="1" x14ac:dyDescent="0.35">
      <c r="A29" s="544"/>
      <c r="B29" s="1724" t="s">
        <v>513</v>
      </c>
      <c r="C29" s="1733" t="s">
        <v>514</v>
      </c>
      <c r="D29" s="1733" t="s">
        <v>515</v>
      </c>
      <c r="E29" s="1731" t="s">
        <v>516</v>
      </c>
      <c r="F29" s="1732"/>
      <c r="G29" s="1733" t="s">
        <v>557</v>
      </c>
      <c r="H29" s="1709" t="s">
        <v>518</v>
      </c>
      <c r="I29" s="1709"/>
      <c r="J29" s="1724" t="s">
        <v>558</v>
      </c>
      <c r="K29" s="1724" t="s">
        <v>520</v>
      </c>
      <c r="M29" s="1724" t="s">
        <v>521</v>
      </c>
      <c r="N29" s="1724"/>
      <c r="O29" s="1724"/>
      <c r="P29" s="1724"/>
      <c r="Q29" s="1724"/>
      <c r="R29" s="1724"/>
      <c r="S29" s="1724"/>
      <c r="U29" s="1668" t="s">
        <v>522</v>
      </c>
      <c r="V29" s="1668"/>
      <c r="W29" s="1668"/>
      <c r="X29" s="1668"/>
      <c r="Y29" s="1668"/>
      <c r="Z29" s="1668"/>
      <c r="AB29" s="1724" t="s">
        <v>522</v>
      </c>
      <c r="AC29" s="1724"/>
      <c r="AD29" s="1724"/>
      <c r="AE29" s="1724"/>
      <c r="AF29" s="1724"/>
      <c r="AG29" s="1724"/>
      <c r="AH29" s="1724"/>
      <c r="AJ29" s="1668" t="s">
        <v>522</v>
      </c>
      <c r="AK29" s="1668"/>
      <c r="AL29" s="1668"/>
      <c r="AM29" s="1668"/>
      <c r="AN29" s="1668"/>
      <c r="AO29" s="1668"/>
      <c r="AQ29" s="1668" t="s">
        <v>522</v>
      </c>
      <c r="AR29" s="1668"/>
      <c r="AS29" s="1668"/>
      <c r="AT29" s="1668"/>
      <c r="AU29" s="1668"/>
      <c r="AV29" s="1668"/>
      <c r="AW29" s="1668"/>
      <c r="BD29" s="655"/>
      <c r="BE29" s="655"/>
      <c r="BF29" s="655"/>
      <c r="BG29" s="655"/>
      <c r="BH29" s="655"/>
      <c r="BI29" s="655"/>
      <c r="BJ29" s="655"/>
      <c r="BK29" s="655"/>
      <c r="BL29" s="655"/>
      <c r="BM29" s="655"/>
      <c r="BN29" s="655"/>
      <c r="BO29" s="655"/>
      <c r="BP29" s="655"/>
      <c r="BQ29" s="655"/>
      <c r="BR29" s="655"/>
      <c r="BS29" s="655"/>
      <c r="BT29" s="655"/>
      <c r="BU29" s="655"/>
      <c r="BV29" s="655"/>
    </row>
    <row r="30" spans="1:83" ht="60" customHeight="1" x14ac:dyDescent="0.35">
      <c r="A30" s="544"/>
      <c r="B30" s="1724"/>
      <c r="C30" s="1734"/>
      <c r="D30" s="1734"/>
      <c r="E30" s="1735"/>
      <c r="F30" s="1736"/>
      <c r="G30" s="1734"/>
      <c r="H30" s="1484" t="s">
        <v>523</v>
      </c>
      <c r="I30" s="1484" t="s">
        <v>524</v>
      </c>
      <c r="J30" s="1724"/>
      <c r="K30" s="1724"/>
      <c r="M30" s="1488" t="s">
        <v>486</v>
      </c>
      <c r="N30" s="1487" t="s">
        <v>525</v>
      </c>
      <c r="O30" s="1487" t="s">
        <v>526</v>
      </c>
      <c r="P30" s="1487" t="s">
        <v>559</v>
      </c>
      <c r="Q30" s="1487" t="s">
        <v>528</v>
      </c>
      <c r="R30" s="1487" t="s">
        <v>529</v>
      </c>
      <c r="S30" s="637" t="s">
        <v>530</v>
      </c>
      <c r="U30" s="1487" t="s">
        <v>531</v>
      </c>
      <c r="V30" s="1487" t="s">
        <v>532</v>
      </c>
      <c r="W30" s="1487" t="s">
        <v>533</v>
      </c>
      <c r="X30" s="1487" t="s">
        <v>333</v>
      </c>
      <c r="Y30" s="1487" t="s">
        <v>534</v>
      </c>
      <c r="Z30" s="1487" t="s">
        <v>535</v>
      </c>
      <c r="AB30" s="1487" t="s">
        <v>536</v>
      </c>
      <c r="AC30" s="1487" t="s">
        <v>531</v>
      </c>
      <c r="AD30" s="1487" t="s">
        <v>532</v>
      </c>
      <c r="AE30" s="1487" t="s">
        <v>533</v>
      </c>
      <c r="AF30" s="1487" t="s">
        <v>537</v>
      </c>
      <c r="AG30" s="1487" t="s">
        <v>208</v>
      </c>
      <c r="AH30" s="1487" t="s">
        <v>535</v>
      </c>
      <c r="AJ30" s="1487" t="s">
        <v>538</v>
      </c>
      <c r="AK30" s="1487" t="s">
        <v>539</v>
      </c>
      <c r="AL30" s="1487" t="s">
        <v>540</v>
      </c>
      <c r="AM30" s="1487" t="s">
        <v>333</v>
      </c>
      <c r="AN30" s="1487" t="s">
        <v>534</v>
      </c>
      <c r="AO30" s="1487" t="s">
        <v>535</v>
      </c>
      <c r="AQ30" s="1487" t="s">
        <v>536</v>
      </c>
      <c r="AR30" s="1487" t="s">
        <v>538</v>
      </c>
      <c r="AS30" s="1487" t="s">
        <v>539</v>
      </c>
      <c r="AT30" s="1487" t="s">
        <v>540</v>
      </c>
      <c r="AU30" s="1487" t="s">
        <v>537</v>
      </c>
      <c r="AV30" s="1487" t="s">
        <v>208</v>
      </c>
      <c r="AW30" s="1487" t="s">
        <v>535</v>
      </c>
      <c r="BD30" s="655"/>
      <c r="BE30" s="655"/>
      <c r="BF30" s="655"/>
      <c r="BG30" s="655"/>
      <c r="BH30" s="655"/>
      <c r="BI30" s="655"/>
      <c r="BJ30" s="655"/>
      <c r="BK30" s="655"/>
      <c r="BL30" s="655"/>
      <c r="BM30" s="655"/>
      <c r="BN30" s="655"/>
      <c r="BO30" s="655"/>
      <c r="BP30" s="655"/>
      <c r="BQ30" s="655"/>
      <c r="BR30" s="655"/>
      <c r="BS30" s="655"/>
      <c r="BT30" s="655"/>
      <c r="BU30" s="655"/>
      <c r="BV30" s="655"/>
    </row>
    <row r="31" spans="1:83" s="20" customFormat="1" ht="17.149999999999999" customHeight="1" x14ac:dyDescent="0.35">
      <c r="A31" s="544"/>
      <c r="B31" s="648"/>
      <c r="C31" s="647"/>
      <c r="D31" s="647"/>
      <c r="E31" s="647"/>
      <c r="F31" s="647"/>
      <c r="G31" s="648"/>
      <c r="H31" s="648"/>
      <c r="I31" s="648"/>
      <c r="J31" s="648"/>
      <c r="K31" s="648"/>
      <c r="L31" s="549"/>
      <c r="M31" s="548"/>
      <c r="N31" s="1485"/>
      <c r="O31" s="1485"/>
      <c r="P31" s="1485"/>
      <c r="Q31" s="1485"/>
      <c r="R31" s="1485"/>
      <c r="S31" s="548"/>
      <c r="T31" s="549"/>
      <c r="U31" s="649"/>
      <c r="V31" s="649"/>
      <c r="W31" s="649"/>
      <c r="X31" s="649"/>
      <c r="Y31" s="649"/>
      <c r="Z31" s="556"/>
      <c r="AA31" s="549"/>
      <c r="AB31" s="548"/>
      <c r="AC31" s="649"/>
      <c r="AD31" s="649"/>
      <c r="AE31" s="649"/>
      <c r="AF31" s="649"/>
      <c r="AG31" s="649"/>
      <c r="AH31" s="556"/>
      <c r="AI31" s="549"/>
      <c r="AJ31" s="649"/>
      <c r="AK31" s="649"/>
      <c r="AL31" s="649"/>
      <c r="AM31" s="649"/>
      <c r="AN31" s="649"/>
      <c r="AO31" s="556"/>
      <c r="AP31" s="549"/>
      <c r="AQ31" s="548"/>
      <c r="AR31" s="649"/>
      <c r="AS31" s="649"/>
      <c r="AT31" s="649"/>
      <c r="AU31" s="649"/>
      <c r="AV31" s="649"/>
      <c r="AW31" s="556"/>
      <c r="AX31" s="549"/>
      <c r="AY31" s="549"/>
      <c r="AZ31" s="549"/>
      <c r="BA31" s="549"/>
      <c r="BB31" s="549"/>
      <c r="BC31" s="549"/>
      <c r="BD31" s="657"/>
      <c r="BE31" s="657"/>
      <c r="BF31" s="657"/>
      <c r="BG31" s="657"/>
      <c r="BH31" s="657"/>
      <c r="BI31" s="657"/>
      <c r="BJ31" s="657"/>
      <c r="BK31" s="657"/>
      <c r="BL31" s="657"/>
      <c r="BM31" s="657"/>
      <c r="BN31" s="657"/>
      <c r="BO31" s="657"/>
      <c r="BP31" s="657"/>
      <c r="BQ31" s="657"/>
      <c r="BR31" s="657"/>
      <c r="BS31" s="657"/>
      <c r="BT31" s="657"/>
      <c r="BU31" s="657"/>
      <c r="BV31" s="657"/>
      <c r="BW31" s="549"/>
      <c r="BX31" s="549"/>
      <c r="BY31" s="549"/>
      <c r="BZ31" s="549"/>
      <c r="CA31" s="549"/>
      <c r="CB31" s="549"/>
      <c r="CC31" s="549"/>
      <c r="CD31" s="549"/>
      <c r="CE31" s="549"/>
    </row>
    <row r="32" spans="1:83" s="3" customFormat="1" ht="17.149999999999999" customHeight="1" x14ac:dyDescent="0.35">
      <c r="A32" s="544"/>
      <c r="B32" s="878" t="s">
        <v>1204</v>
      </c>
      <c r="C32" s="889">
        <v>0.06</v>
      </c>
      <c r="D32" s="1228">
        <f>C32*$D$43</f>
        <v>1378720.5</v>
      </c>
      <c r="E32" s="1737" t="s">
        <v>552</v>
      </c>
      <c r="F32" s="1738"/>
      <c r="G32" s="1289">
        <v>20</v>
      </c>
      <c r="H32" s="872">
        <f>D32</f>
        <v>1378720.5</v>
      </c>
      <c r="I32" s="646">
        <f t="shared" ref="I32:I41" si="14">D32-H32</f>
        <v>0</v>
      </c>
      <c r="J32" s="872" t="s">
        <v>323</v>
      </c>
      <c r="K32" s="872"/>
      <c r="L32" s="478"/>
      <c r="M32" s="1294"/>
      <c r="N32" s="1287"/>
      <c r="O32" s="1287"/>
      <c r="P32" s="1289"/>
      <c r="Q32" s="1287"/>
      <c r="R32" s="1289"/>
      <c r="S32" s="1294"/>
      <c r="T32" s="478"/>
      <c r="U32" s="901">
        <v>1</v>
      </c>
      <c r="V32" s="901"/>
      <c r="W32" s="901"/>
      <c r="X32" s="901"/>
      <c r="Y32" s="635">
        <f>SUM(U32:X32)</f>
        <v>1</v>
      </c>
      <c r="Z32" s="902" t="str">
        <f>IF(AND(H32=0,Y32=0),"OK",IF(AND(H32&gt;0,Y32=1),"OK","Not OK"))</f>
        <v>OK</v>
      </c>
      <c r="AA32" s="478"/>
      <c r="AB32" s="636">
        <f>'Treatment volumes'!K45</f>
        <v>1378720.5</v>
      </c>
      <c r="AC32" s="1227">
        <f t="shared" ref="AC32:AC41" si="15">IF($AB32&gt;0,U32,0)</f>
        <v>1</v>
      </c>
      <c r="AD32" s="1227">
        <f t="shared" ref="AD32:AD41" si="16">IF($AB32&gt;0,V32,0)</f>
        <v>0</v>
      </c>
      <c r="AE32" s="1227">
        <f t="shared" ref="AE32:AE41" si="17">IF($AB32&gt;0,W32,0)</f>
        <v>0</v>
      </c>
      <c r="AF32" s="1227">
        <f t="shared" ref="AF32:AF41" si="18">IF($AB32&gt;0,X32,0)</f>
        <v>0</v>
      </c>
      <c r="AG32" s="635">
        <f>SUM(AC32:AF32)</f>
        <v>1</v>
      </c>
      <c r="AH32" s="902" t="str">
        <f>IF(AND(AB32=0,AG32=0),"OK",IF(AND(AB32&gt;0,AG32=1),"OK","Not OK"))</f>
        <v>OK</v>
      </c>
      <c r="AI32" s="478"/>
      <c r="AJ32" s="901"/>
      <c r="AK32" s="901"/>
      <c r="AL32" s="901"/>
      <c r="AM32" s="901"/>
      <c r="AN32" s="635">
        <f>SUM(AJ32:AM32)</f>
        <v>0</v>
      </c>
      <c r="AO32" s="902" t="str">
        <f>IF(AND(I32=0,AN32=0),"OK",IF(AND(I32&gt;0,AN32=1),"OK","Not OK"))</f>
        <v>OK</v>
      </c>
      <c r="AP32" s="478"/>
      <c r="AQ32" s="636">
        <f>'Treatment volumes'!N45</f>
        <v>0</v>
      </c>
      <c r="AR32" s="1227">
        <f t="shared" ref="AR32:AR41" si="19">IF($AQ32&gt;0,AJ32,0)</f>
        <v>0</v>
      </c>
      <c r="AS32" s="1227">
        <f t="shared" ref="AS32:AS41" si="20">IF($AQ32&gt;0,AK32,0)</f>
        <v>0</v>
      </c>
      <c r="AT32" s="1227">
        <f t="shared" ref="AT32:AT41" si="21">IF($AQ32&gt;0,AL32,0)</f>
        <v>0</v>
      </c>
      <c r="AU32" s="1227">
        <f t="shared" ref="AU32:AU41" si="22">IF($AQ32&gt;0,AM32,0)</f>
        <v>0</v>
      </c>
      <c r="AV32" s="635">
        <f>SUM(AR32:AU32)</f>
        <v>0</v>
      </c>
      <c r="AW32" s="902" t="str">
        <f>IF(AND(AQ32=0,AV32=0),"OK",IF(AND(AQ32&gt;0,AV32=1),"OK","Not OK"))</f>
        <v>OK</v>
      </c>
      <c r="AX32" s="478"/>
      <c r="AY32" s="478"/>
      <c r="AZ32" s="478"/>
      <c r="BA32" s="478"/>
      <c r="BB32" s="478"/>
      <c r="BC32" s="478"/>
      <c r="BD32" s="654"/>
      <c r="BE32" s="654"/>
      <c r="BF32" s="654"/>
      <c r="BG32" s="654"/>
      <c r="BH32" s="654"/>
      <c r="BI32" s="654"/>
      <c r="BJ32" s="654"/>
      <c r="BK32" s="654"/>
      <c r="BL32" s="654"/>
      <c r="BM32" s="654"/>
      <c r="BN32" s="654"/>
      <c r="BO32" s="654"/>
      <c r="BP32" s="654"/>
      <c r="BQ32" s="654"/>
      <c r="BR32" s="654"/>
      <c r="BS32" s="654"/>
      <c r="BT32" s="654"/>
      <c r="BU32" s="654"/>
      <c r="BV32" s="654"/>
      <c r="BW32" s="478"/>
      <c r="BX32" s="478"/>
      <c r="BY32" s="478"/>
      <c r="BZ32" s="478"/>
      <c r="CA32" s="478"/>
      <c r="CB32" s="478"/>
      <c r="CC32" s="478"/>
      <c r="CD32" s="478"/>
      <c r="CE32" s="478"/>
    </row>
    <row r="33" spans="1:83" s="3" customFormat="1" ht="17.149999999999999" customHeight="1" x14ac:dyDescent="0.35">
      <c r="A33" s="544"/>
      <c r="B33" s="878" t="s">
        <v>1205</v>
      </c>
      <c r="C33" s="889">
        <v>0.28999999999999998</v>
      </c>
      <c r="D33" s="1228">
        <f t="shared" ref="D33:D41" si="23">C33*$D$43</f>
        <v>6663815.75</v>
      </c>
      <c r="E33" s="1737"/>
      <c r="F33" s="1738"/>
      <c r="G33" s="1289">
        <v>45</v>
      </c>
      <c r="H33" s="872">
        <f>D33</f>
        <v>6663815.75</v>
      </c>
      <c r="I33" s="646">
        <f t="shared" si="14"/>
        <v>0</v>
      </c>
      <c r="J33" s="872" t="s">
        <v>323</v>
      </c>
      <c r="K33" s="872"/>
      <c r="L33" s="478"/>
      <c r="M33" s="1294"/>
      <c r="N33" s="1287"/>
      <c r="O33" s="1287"/>
      <c r="P33" s="1289"/>
      <c r="Q33" s="1287"/>
      <c r="R33" s="1289"/>
      <c r="S33" s="1294"/>
      <c r="T33" s="478"/>
      <c r="U33" s="901">
        <v>1</v>
      </c>
      <c r="V33" s="901"/>
      <c r="W33" s="901"/>
      <c r="X33" s="901"/>
      <c r="Y33" s="635">
        <f t="shared" ref="Y33:Y41" si="24">SUM(U33:X33)</f>
        <v>1</v>
      </c>
      <c r="Z33" s="902" t="str">
        <f t="shared" ref="Z33:Z41" si="25">IF(AND(H33=0,Y33=0),"OK",IF(AND(H33&gt;0,Y33=1),"OK","Not OK"))</f>
        <v>OK</v>
      </c>
      <c r="AA33" s="478"/>
      <c r="AB33" s="636">
        <f>'Treatment volumes'!K46</f>
        <v>6663815.75</v>
      </c>
      <c r="AC33" s="1227">
        <f t="shared" si="15"/>
        <v>1</v>
      </c>
      <c r="AD33" s="1227">
        <f t="shared" si="16"/>
        <v>0</v>
      </c>
      <c r="AE33" s="1227">
        <f t="shared" si="17"/>
        <v>0</v>
      </c>
      <c r="AF33" s="1227">
        <f t="shared" si="18"/>
        <v>0</v>
      </c>
      <c r="AG33" s="635">
        <f t="shared" ref="AG33:AG41" si="26">SUM(AC33:AF33)</f>
        <v>1</v>
      </c>
      <c r="AH33" s="902" t="str">
        <f t="shared" ref="AH33:AH41" si="27">IF(AND(AB33=0,AG33=0),"OK",IF(AND(AB33&gt;0,AG33=1),"OK","Not OK"))</f>
        <v>OK</v>
      </c>
      <c r="AI33" s="478"/>
      <c r="AJ33" s="901"/>
      <c r="AK33" s="901"/>
      <c r="AL33" s="901"/>
      <c r="AM33" s="901"/>
      <c r="AN33" s="635">
        <f t="shared" ref="AN33:AN41" si="28">SUM(AJ33:AM33)</f>
        <v>0</v>
      </c>
      <c r="AO33" s="902" t="str">
        <f t="shared" ref="AO33:AO41" si="29">IF(AND(I33=0,AN33=0),"OK",IF(AND(I33&gt;0,AN33=1),"OK","Not OK"))</f>
        <v>OK</v>
      </c>
      <c r="AP33" s="478"/>
      <c r="AQ33" s="636">
        <f>'Treatment volumes'!N46</f>
        <v>0</v>
      </c>
      <c r="AR33" s="1227">
        <f t="shared" si="19"/>
        <v>0</v>
      </c>
      <c r="AS33" s="1227">
        <f t="shared" si="20"/>
        <v>0</v>
      </c>
      <c r="AT33" s="1227">
        <f t="shared" si="21"/>
        <v>0</v>
      </c>
      <c r="AU33" s="1227">
        <f t="shared" si="22"/>
        <v>0</v>
      </c>
      <c r="AV33" s="635">
        <f t="shared" ref="AV33:AV41" si="30">SUM(AR33:AU33)</f>
        <v>0</v>
      </c>
      <c r="AW33" s="902" t="str">
        <f t="shared" ref="AW33:AW41" si="31">IF(AND(AQ33=0,AV33=0),"OK",IF(AND(AQ33&gt;0,AV33=1),"OK","Not OK"))</f>
        <v>OK</v>
      </c>
      <c r="AX33" s="478"/>
      <c r="AY33" s="478"/>
      <c r="AZ33" s="478"/>
      <c r="BA33" s="478"/>
      <c r="BB33" s="478"/>
      <c r="BC33" s="478"/>
      <c r="BD33" s="654"/>
      <c r="BE33" s="654"/>
      <c r="BF33" s="654"/>
      <c r="BG33" s="654"/>
      <c r="BH33" s="654"/>
      <c r="BI33" s="654"/>
      <c r="BJ33" s="654"/>
      <c r="BK33" s="654"/>
      <c r="BL33" s="654"/>
      <c r="BM33" s="654"/>
      <c r="BN33" s="654"/>
      <c r="BO33" s="654"/>
      <c r="BP33" s="654"/>
      <c r="BQ33" s="654"/>
      <c r="BR33" s="654"/>
      <c r="BS33" s="654"/>
      <c r="BT33" s="654"/>
      <c r="BU33" s="654"/>
      <c r="BV33" s="654"/>
      <c r="BW33" s="478"/>
      <c r="BX33" s="478"/>
      <c r="BY33" s="478"/>
      <c r="BZ33" s="478"/>
      <c r="CA33" s="478"/>
      <c r="CB33" s="478"/>
      <c r="CC33" s="478"/>
      <c r="CD33" s="478"/>
      <c r="CE33" s="478"/>
    </row>
    <row r="34" spans="1:83" s="3" customFormat="1" ht="17.149999999999999" customHeight="1" x14ac:dyDescent="0.35">
      <c r="A34" s="544"/>
      <c r="B34" s="878" t="s">
        <v>1206</v>
      </c>
      <c r="C34" s="889">
        <v>0.3</v>
      </c>
      <c r="D34" s="1228">
        <f t="shared" si="23"/>
        <v>6893602.5</v>
      </c>
      <c r="E34" s="1737" t="s">
        <v>552</v>
      </c>
      <c r="F34" s="1738"/>
      <c r="G34" s="1289">
        <v>45</v>
      </c>
      <c r="H34" s="872">
        <f>D34</f>
        <v>6893602.5</v>
      </c>
      <c r="I34" s="646">
        <f t="shared" si="14"/>
        <v>0</v>
      </c>
      <c r="J34" s="872" t="s">
        <v>324</v>
      </c>
      <c r="K34" s="872"/>
      <c r="L34" s="478"/>
      <c r="M34" s="1294"/>
      <c r="N34" s="1287"/>
      <c r="O34" s="1287"/>
      <c r="P34" s="1289"/>
      <c r="Q34" s="1287"/>
      <c r="R34" s="1289"/>
      <c r="S34" s="1294"/>
      <c r="T34" s="478"/>
      <c r="U34" s="901">
        <v>1</v>
      </c>
      <c r="V34" s="901"/>
      <c r="W34" s="901"/>
      <c r="X34" s="901"/>
      <c r="Y34" s="635">
        <f t="shared" si="24"/>
        <v>1</v>
      </c>
      <c r="Z34" s="902" t="str">
        <f t="shared" si="25"/>
        <v>OK</v>
      </c>
      <c r="AA34" s="478"/>
      <c r="AB34" s="636">
        <f>'Treatment volumes'!K47</f>
        <v>0</v>
      </c>
      <c r="AC34" s="1227">
        <f t="shared" si="15"/>
        <v>0</v>
      </c>
      <c r="AD34" s="1227">
        <f t="shared" si="16"/>
        <v>0</v>
      </c>
      <c r="AE34" s="1227">
        <f t="shared" si="17"/>
        <v>0</v>
      </c>
      <c r="AF34" s="1227">
        <f t="shared" si="18"/>
        <v>0</v>
      </c>
      <c r="AG34" s="635">
        <f t="shared" si="26"/>
        <v>0</v>
      </c>
      <c r="AH34" s="902" t="str">
        <f t="shared" si="27"/>
        <v>OK</v>
      </c>
      <c r="AI34" s="478"/>
      <c r="AJ34" s="901"/>
      <c r="AK34" s="901"/>
      <c r="AL34" s="901"/>
      <c r="AM34" s="901"/>
      <c r="AN34" s="635">
        <f t="shared" si="28"/>
        <v>0</v>
      </c>
      <c r="AO34" s="902" t="str">
        <f t="shared" si="29"/>
        <v>OK</v>
      </c>
      <c r="AP34" s="478"/>
      <c r="AQ34" s="636">
        <f>'Treatment volumes'!N47</f>
        <v>0</v>
      </c>
      <c r="AR34" s="1227">
        <f t="shared" si="19"/>
        <v>0</v>
      </c>
      <c r="AS34" s="1227">
        <f t="shared" si="20"/>
        <v>0</v>
      </c>
      <c r="AT34" s="1227">
        <f t="shared" si="21"/>
        <v>0</v>
      </c>
      <c r="AU34" s="1227">
        <f t="shared" si="22"/>
        <v>0</v>
      </c>
      <c r="AV34" s="635">
        <f t="shared" si="30"/>
        <v>0</v>
      </c>
      <c r="AW34" s="902" t="str">
        <f t="shared" si="31"/>
        <v>OK</v>
      </c>
      <c r="AX34" s="478"/>
      <c r="AY34" s="478"/>
      <c r="AZ34" s="478"/>
      <c r="BA34" s="478"/>
      <c r="BB34" s="478"/>
      <c r="BC34" s="478"/>
      <c r="BD34" s="654"/>
      <c r="BE34" s="654"/>
      <c r="BF34" s="654"/>
      <c r="BG34" s="654"/>
      <c r="BH34" s="654"/>
      <c r="BI34" s="654"/>
      <c r="BJ34" s="654"/>
      <c r="BK34" s="654"/>
      <c r="BL34" s="654"/>
      <c r="BM34" s="654"/>
      <c r="BN34" s="654"/>
      <c r="BO34" s="654"/>
      <c r="BP34" s="654"/>
      <c r="BQ34" s="654"/>
      <c r="BR34" s="654"/>
      <c r="BS34" s="654"/>
      <c r="BT34" s="654"/>
      <c r="BU34" s="654"/>
      <c r="BV34" s="654"/>
      <c r="BW34" s="478"/>
      <c r="BX34" s="478"/>
      <c r="BY34" s="478"/>
      <c r="BZ34" s="478"/>
      <c r="CA34" s="478"/>
      <c r="CB34" s="478"/>
      <c r="CC34" s="478"/>
      <c r="CD34" s="478"/>
      <c r="CE34" s="478"/>
    </row>
    <row r="35" spans="1:83" s="3" customFormat="1" ht="17.149999999999999" customHeight="1" x14ac:dyDescent="0.35">
      <c r="A35" s="544"/>
      <c r="B35" s="878" t="s">
        <v>1207</v>
      </c>
      <c r="C35" s="889">
        <v>0.35</v>
      </c>
      <c r="D35" s="1228">
        <f t="shared" si="23"/>
        <v>8042536.2499999991</v>
      </c>
      <c r="E35" s="1737" t="s">
        <v>552</v>
      </c>
      <c r="F35" s="1738"/>
      <c r="G35" s="1289">
        <v>50</v>
      </c>
      <c r="H35" s="872">
        <f>D35</f>
        <v>8042536.2499999991</v>
      </c>
      <c r="I35" s="646">
        <f t="shared" si="14"/>
        <v>0</v>
      </c>
      <c r="J35" s="872" t="s">
        <v>324</v>
      </c>
      <c r="K35" s="872"/>
      <c r="L35" s="478"/>
      <c r="M35" s="1294"/>
      <c r="N35" s="1287"/>
      <c r="O35" s="1287"/>
      <c r="P35" s="1289"/>
      <c r="Q35" s="1287"/>
      <c r="R35" s="1289"/>
      <c r="S35" s="1294"/>
      <c r="T35" s="478"/>
      <c r="U35" s="901">
        <v>1</v>
      </c>
      <c r="V35" s="901"/>
      <c r="W35" s="901"/>
      <c r="X35" s="901"/>
      <c r="Y35" s="635">
        <f t="shared" si="24"/>
        <v>1</v>
      </c>
      <c r="Z35" s="902" t="str">
        <f t="shared" si="25"/>
        <v>OK</v>
      </c>
      <c r="AA35" s="478"/>
      <c r="AB35" s="636">
        <f>'Treatment volumes'!K48</f>
        <v>0</v>
      </c>
      <c r="AC35" s="1227">
        <f t="shared" si="15"/>
        <v>0</v>
      </c>
      <c r="AD35" s="1227">
        <f t="shared" si="16"/>
        <v>0</v>
      </c>
      <c r="AE35" s="1227">
        <f t="shared" si="17"/>
        <v>0</v>
      </c>
      <c r="AF35" s="1227">
        <f t="shared" si="18"/>
        <v>0</v>
      </c>
      <c r="AG35" s="635">
        <f t="shared" si="26"/>
        <v>0</v>
      </c>
      <c r="AH35" s="902" t="str">
        <f t="shared" si="27"/>
        <v>OK</v>
      </c>
      <c r="AI35" s="478"/>
      <c r="AJ35" s="901"/>
      <c r="AK35" s="901"/>
      <c r="AL35" s="901"/>
      <c r="AM35" s="901"/>
      <c r="AN35" s="635">
        <f t="shared" si="28"/>
        <v>0</v>
      </c>
      <c r="AO35" s="902" t="str">
        <f t="shared" si="29"/>
        <v>OK</v>
      </c>
      <c r="AP35" s="478"/>
      <c r="AQ35" s="636">
        <f>'Treatment volumes'!N48</f>
        <v>0</v>
      </c>
      <c r="AR35" s="1227">
        <f t="shared" si="19"/>
        <v>0</v>
      </c>
      <c r="AS35" s="1227">
        <f t="shared" si="20"/>
        <v>0</v>
      </c>
      <c r="AT35" s="1227">
        <f t="shared" si="21"/>
        <v>0</v>
      </c>
      <c r="AU35" s="1227">
        <f t="shared" si="22"/>
        <v>0</v>
      </c>
      <c r="AV35" s="635">
        <f t="shared" si="30"/>
        <v>0</v>
      </c>
      <c r="AW35" s="902" t="str">
        <f t="shared" si="31"/>
        <v>OK</v>
      </c>
      <c r="AX35" s="478"/>
      <c r="AY35" s="478"/>
      <c r="AZ35" s="478"/>
      <c r="BA35" s="478"/>
      <c r="BB35" s="478"/>
      <c r="BC35" s="478"/>
      <c r="BD35" s="654"/>
      <c r="BE35" s="654"/>
      <c r="BF35" s="654"/>
      <c r="BG35" s="654"/>
      <c r="BH35" s="654"/>
      <c r="BI35" s="654"/>
      <c r="BJ35" s="654"/>
      <c r="BK35" s="654"/>
      <c r="BL35" s="654"/>
      <c r="BM35" s="654"/>
      <c r="BN35" s="654"/>
      <c r="BO35" s="654"/>
      <c r="BP35" s="654"/>
      <c r="BQ35" s="654"/>
      <c r="BR35" s="654"/>
      <c r="BS35" s="654"/>
      <c r="BT35" s="654"/>
      <c r="BU35" s="654"/>
      <c r="BV35" s="654"/>
      <c r="BW35" s="478"/>
      <c r="BX35" s="478"/>
      <c r="BY35" s="478"/>
      <c r="BZ35" s="478"/>
      <c r="CA35" s="478"/>
      <c r="CB35" s="478"/>
      <c r="CC35" s="478"/>
      <c r="CD35" s="478"/>
      <c r="CE35" s="478"/>
    </row>
    <row r="36" spans="1:83" s="3" customFormat="1" ht="17.149999999999999" customHeight="1" x14ac:dyDescent="0.35">
      <c r="A36" s="544"/>
      <c r="B36" s="878" t="s">
        <v>548</v>
      </c>
      <c r="C36" s="889"/>
      <c r="D36" s="1228">
        <f t="shared" si="23"/>
        <v>0</v>
      </c>
      <c r="E36" s="1737"/>
      <c r="F36" s="1738"/>
      <c r="G36" s="1289"/>
      <c r="H36" s="872"/>
      <c r="I36" s="646">
        <f t="shared" si="14"/>
        <v>0</v>
      </c>
      <c r="J36" s="872"/>
      <c r="K36" s="872"/>
      <c r="L36" s="478"/>
      <c r="M36" s="1294"/>
      <c r="N36" s="1287"/>
      <c r="O36" s="1287"/>
      <c r="P36" s="1289"/>
      <c r="Q36" s="1287"/>
      <c r="R36" s="1289"/>
      <c r="S36" s="1294"/>
      <c r="T36" s="478"/>
      <c r="U36" s="901"/>
      <c r="V36" s="901"/>
      <c r="W36" s="901"/>
      <c r="X36" s="901"/>
      <c r="Y36" s="635">
        <f t="shared" si="24"/>
        <v>0</v>
      </c>
      <c r="Z36" s="902" t="str">
        <f t="shared" si="25"/>
        <v>OK</v>
      </c>
      <c r="AA36" s="478"/>
      <c r="AB36" s="636">
        <f>'Treatment volumes'!K49</f>
        <v>0</v>
      </c>
      <c r="AC36" s="1227">
        <f t="shared" si="15"/>
        <v>0</v>
      </c>
      <c r="AD36" s="1227">
        <f t="shared" si="16"/>
        <v>0</v>
      </c>
      <c r="AE36" s="1227">
        <f t="shared" si="17"/>
        <v>0</v>
      </c>
      <c r="AF36" s="1227">
        <f t="shared" si="18"/>
        <v>0</v>
      </c>
      <c r="AG36" s="635">
        <f t="shared" si="26"/>
        <v>0</v>
      </c>
      <c r="AH36" s="902" t="str">
        <f t="shared" si="27"/>
        <v>OK</v>
      </c>
      <c r="AI36" s="478"/>
      <c r="AJ36" s="901"/>
      <c r="AK36" s="901"/>
      <c r="AL36" s="901"/>
      <c r="AM36" s="901"/>
      <c r="AN36" s="635">
        <f t="shared" si="28"/>
        <v>0</v>
      </c>
      <c r="AO36" s="902" t="str">
        <f t="shared" si="29"/>
        <v>OK</v>
      </c>
      <c r="AP36" s="478"/>
      <c r="AQ36" s="636">
        <f>'Treatment volumes'!N49</f>
        <v>0</v>
      </c>
      <c r="AR36" s="1227">
        <f t="shared" si="19"/>
        <v>0</v>
      </c>
      <c r="AS36" s="1227">
        <f t="shared" si="20"/>
        <v>0</v>
      </c>
      <c r="AT36" s="1227">
        <f t="shared" si="21"/>
        <v>0</v>
      </c>
      <c r="AU36" s="1227">
        <f t="shared" si="22"/>
        <v>0</v>
      </c>
      <c r="AV36" s="635">
        <f t="shared" si="30"/>
        <v>0</v>
      </c>
      <c r="AW36" s="902" t="str">
        <f t="shared" si="31"/>
        <v>OK</v>
      </c>
      <c r="AX36" s="478"/>
      <c r="AY36" s="478"/>
      <c r="AZ36" s="478"/>
      <c r="BA36" s="478"/>
      <c r="BB36" s="478"/>
      <c r="BC36" s="478"/>
      <c r="BD36" s="654"/>
      <c r="BE36" s="654"/>
      <c r="BF36" s="654"/>
      <c r="BG36" s="654"/>
      <c r="BH36" s="654"/>
      <c r="BI36" s="654"/>
      <c r="BJ36" s="654"/>
      <c r="BK36" s="654"/>
      <c r="BL36" s="654"/>
      <c r="BM36" s="654"/>
      <c r="BN36" s="654"/>
      <c r="BO36" s="654"/>
      <c r="BP36" s="654"/>
      <c r="BQ36" s="654"/>
      <c r="BR36" s="654"/>
      <c r="BS36" s="654"/>
      <c r="BT36" s="654"/>
      <c r="BU36" s="654"/>
      <c r="BV36" s="654"/>
      <c r="BW36" s="478"/>
      <c r="BX36" s="478"/>
      <c r="BY36" s="478"/>
      <c r="BZ36" s="478"/>
      <c r="CA36" s="478"/>
      <c r="CB36" s="478"/>
      <c r="CC36" s="478"/>
      <c r="CD36" s="478"/>
      <c r="CE36" s="478"/>
    </row>
    <row r="37" spans="1:83" s="3" customFormat="1" ht="17.149999999999999" customHeight="1" x14ac:dyDescent="0.35">
      <c r="A37" s="544"/>
      <c r="B37" s="878" t="s">
        <v>550</v>
      </c>
      <c r="C37" s="889"/>
      <c r="D37" s="1228">
        <f t="shared" si="23"/>
        <v>0</v>
      </c>
      <c r="E37" s="1737"/>
      <c r="F37" s="1738"/>
      <c r="G37" s="1289"/>
      <c r="H37" s="872"/>
      <c r="I37" s="646">
        <f t="shared" si="14"/>
        <v>0</v>
      </c>
      <c r="J37" s="872"/>
      <c r="K37" s="872"/>
      <c r="L37" s="478"/>
      <c r="M37" s="1294"/>
      <c r="N37" s="1287"/>
      <c r="O37" s="1287"/>
      <c r="P37" s="1289"/>
      <c r="Q37" s="1287"/>
      <c r="R37" s="1289"/>
      <c r="S37" s="1294"/>
      <c r="T37" s="478"/>
      <c r="U37" s="901"/>
      <c r="V37" s="901"/>
      <c r="W37" s="901"/>
      <c r="X37" s="901"/>
      <c r="Y37" s="635">
        <f t="shared" si="24"/>
        <v>0</v>
      </c>
      <c r="Z37" s="902" t="str">
        <f t="shared" si="25"/>
        <v>OK</v>
      </c>
      <c r="AA37" s="478"/>
      <c r="AB37" s="636">
        <f>'Treatment volumes'!K50</f>
        <v>0</v>
      </c>
      <c r="AC37" s="1227">
        <f t="shared" si="15"/>
        <v>0</v>
      </c>
      <c r="AD37" s="1227">
        <f t="shared" si="16"/>
        <v>0</v>
      </c>
      <c r="AE37" s="1227">
        <f t="shared" si="17"/>
        <v>0</v>
      </c>
      <c r="AF37" s="1227">
        <f t="shared" si="18"/>
        <v>0</v>
      </c>
      <c r="AG37" s="635">
        <f t="shared" si="26"/>
        <v>0</v>
      </c>
      <c r="AH37" s="902" t="str">
        <f t="shared" si="27"/>
        <v>OK</v>
      </c>
      <c r="AI37" s="478"/>
      <c r="AJ37" s="901"/>
      <c r="AK37" s="901"/>
      <c r="AL37" s="901"/>
      <c r="AM37" s="901"/>
      <c r="AN37" s="635">
        <f t="shared" si="28"/>
        <v>0</v>
      </c>
      <c r="AO37" s="902" t="str">
        <f t="shared" si="29"/>
        <v>OK</v>
      </c>
      <c r="AP37" s="478"/>
      <c r="AQ37" s="636">
        <f>'Treatment volumes'!N50</f>
        <v>0</v>
      </c>
      <c r="AR37" s="1227">
        <f t="shared" si="19"/>
        <v>0</v>
      </c>
      <c r="AS37" s="1227">
        <f t="shared" si="20"/>
        <v>0</v>
      </c>
      <c r="AT37" s="1227">
        <f t="shared" si="21"/>
        <v>0</v>
      </c>
      <c r="AU37" s="1227">
        <f t="shared" si="22"/>
        <v>0</v>
      </c>
      <c r="AV37" s="635">
        <f t="shared" si="30"/>
        <v>0</v>
      </c>
      <c r="AW37" s="902" t="str">
        <f t="shared" si="31"/>
        <v>OK</v>
      </c>
      <c r="AX37" s="478"/>
      <c r="AY37" s="478"/>
      <c r="AZ37" s="478"/>
      <c r="BA37" s="478"/>
      <c r="BB37" s="478"/>
      <c r="BC37" s="478"/>
      <c r="BD37" s="654"/>
      <c r="BE37" s="654"/>
      <c r="BF37" s="654"/>
      <c r="BG37" s="654"/>
      <c r="BH37" s="654"/>
      <c r="BI37" s="654"/>
      <c r="BJ37" s="654"/>
      <c r="BK37" s="654"/>
      <c r="BL37" s="654"/>
      <c r="BM37" s="654"/>
      <c r="BN37" s="654"/>
      <c r="BO37" s="654"/>
      <c r="BP37" s="654"/>
      <c r="BQ37" s="654"/>
      <c r="BR37" s="654"/>
      <c r="BS37" s="654"/>
      <c r="BT37" s="654"/>
      <c r="BU37" s="654"/>
      <c r="BV37" s="654"/>
      <c r="BW37" s="478"/>
      <c r="BX37" s="478"/>
      <c r="BY37" s="478"/>
      <c r="BZ37" s="478"/>
      <c r="CA37" s="478"/>
      <c r="CB37" s="478"/>
      <c r="CC37" s="478"/>
      <c r="CD37" s="478"/>
      <c r="CE37" s="478"/>
    </row>
    <row r="38" spans="1:83" s="3" customFormat="1" ht="17.149999999999999" customHeight="1" x14ac:dyDescent="0.35">
      <c r="A38" s="544"/>
      <c r="B38" s="878" t="s">
        <v>560</v>
      </c>
      <c r="C38" s="889"/>
      <c r="D38" s="1228">
        <f t="shared" si="23"/>
        <v>0</v>
      </c>
      <c r="E38" s="1490"/>
      <c r="F38" s="1491"/>
      <c r="G38" s="1289"/>
      <c r="H38" s="872"/>
      <c r="I38" s="646">
        <f t="shared" si="14"/>
        <v>0</v>
      </c>
      <c r="J38" s="872"/>
      <c r="K38" s="872"/>
      <c r="L38" s="478"/>
      <c r="M38" s="1294"/>
      <c r="N38" s="1287"/>
      <c r="O38" s="1287"/>
      <c r="P38" s="1289"/>
      <c r="Q38" s="1287"/>
      <c r="R38" s="1289"/>
      <c r="S38" s="1294"/>
      <c r="T38" s="478"/>
      <c r="U38" s="901"/>
      <c r="V38" s="901"/>
      <c r="W38" s="901"/>
      <c r="X38" s="901"/>
      <c r="Y38" s="635">
        <f t="shared" si="24"/>
        <v>0</v>
      </c>
      <c r="Z38" s="902" t="str">
        <f t="shared" si="25"/>
        <v>OK</v>
      </c>
      <c r="AA38" s="478"/>
      <c r="AB38" s="636">
        <f>'Treatment volumes'!K51</f>
        <v>0</v>
      </c>
      <c r="AC38" s="1227">
        <f t="shared" si="15"/>
        <v>0</v>
      </c>
      <c r="AD38" s="1227">
        <f t="shared" si="16"/>
        <v>0</v>
      </c>
      <c r="AE38" s="1227">
        <f t="shared" si="17"/>
        <v>0</v>
      </c>
      <c r="AF38" s="1227">
        <f t="shared" si="18"/>
        <v>0</v>
      </c>
      <c r="AG38" s="635">
        <f t="shared" si="26"/>
        <v>0</v>
      </c>
      <c r="AH38" s="902" t="str">
        <f t="shared" si="27"/>
        <v>OK</v>
      </c>
      <c r="AI38" s="478"/>
      <c r="AJ38" s="901"/>
      <c r="AK38" s="901"/>
      <c r="AL38" s="901"/>
      <c r="AM38" s="901"/>
      <c r="AN38" s="635">
        <f t="shared" si="28"/>
        <v>0</v>
      </c>
      <c r="AO38" s="902" t="str">
        <f t="shared" si="29"/>
        <v>OK</v>
      </c>
      <c r="AP38" s="478"/>
      <c r="AQ38" s="636">
        <f>'Treatment volumes'!N51</f>
        <v>0</v>
      </c>
      <c r="AR38" s="1227">
        <f t="shared" si="19"/>
        <v>0</v>
      </c>
      <c r="AS38" s="1227">
        <f t="shared" si="20"/>
        <v>0</v>
      </c>
      <c r="AT38" s="1227">
        <f t="shared" si="21"/>
        <v>0</v>
      </c>
      <c r="AU38" s="1227">
        <f t="shared" si="22"/>
        <v>0</v>
      </c>
      <c r="AV38" s="635">
        <f t="shared" si="30"/>
        <v>0</v>
      </c>
      <c r="AW38" s="902" t="str">
        <f t="shared" si="31"/>
        <v>OK</v>
      </c>
      <c r="AX38" s="478"/>
      <c r="AY38" s="478"/>
      <c r="AZ38" s="478"/>
      <c r="BA38" s="478"/>
      <c r="BB38" s="478"/>
      <c r="BC38" s="478"/>
      <c r="BD38" s="654"/>
      <c r="BE38" s="654"/>
      <c r="BF38" s="654"/>
      <c r="BG38" s="654"/>
      <c r="BH38" s="654"/>
      <c r="BI38" s="654"/>
      <c r="BJ38" s="654"/>
      <c r="BK38" s="654"/>
      <c r="BL38" s="654"/>
      <c r="BM38" s="654"/>
      <c r="BN38" s="654"/>
      <c r="BO38" s="654"/>
      <c r="BP38" s="654"/>
      <c r="BQ38" s="654"/>
      <c r="BR38" s="654"/>
      <c r="BS38" s="654"/>
      <c r="BT38" s="654"/>
      <c r="BU38" s="654"/>
      <c r="BV38" s="654"/>
      <c r="BW38" s="478"/>
      <c r="BX38" s="478"/>
      <c r="BY38" s="478"/>
      <c r="BZ38" s="478"/>
      <c r="CA38" s="478"/>
      <c r="CB38" s="478"/>
      <c r="CC38" s="478"/>
      <c r="CD38" s="478"/>
      <c r="CE38" s="478"/>
    </row>
    <row r="39" spans="1:83" s="3" customFormat="1" ht="17.149999999999999" customHeight="1" x14ac:dyDescent="0.35">
      <c r="A39" s="544"/>
      <c r="B39" s="878" t="s">
        <v>561</v>
      </c>
      <c r="C39" s="889"/>
      <c r="D39" s="1228">
        <f t="shared" si="23"/>
        <v>0</v>
      </c>
      <c r="E39" s="1737"/>
      <c r="F39" s="1738"/>
      <c r="G39" s="1289"/>
      <c r="H39" s="872"/>
      <c r="I39" s="646">
        <f t="shared" si="14"/>
        <v>0</v>
      </c>
      <c r="J39" s="872"/>
      <c r="K39" s="872"/>
      <c r="L39" s="478"/>
      <c r="M39" s="1294"/>
      <c r="N39" s="1287"/>
      <c r="O39" s="1287"/>
      <c r="P39" s="1289"/>
      <c r="Q39" s="1287"/>
      <c r="R39" s="1289"/>
      <c r="S39" s="1294"/>
      <c r="T39" s="478"/>
      <c r="U39" s="901"/>
      <c r="V39" s="901"/>
      <c r="W39" s="901"/>
      <c r="X39" s="901"/>
      <c r="Y39" s="635">
        <f t="shared" si="24"/>
        <v>0</v>
      </c>
      <c r="Z39" s="902" t="str">
        <f t="shared" si="25"/>
        <v>OK</v>
      </c>
      <c r="AA39" s="478"/>
      <c r="AB39" s="636">
        <f>'Treatment volumes'!K52</f>
        <v>0</v>
      </c>
      <c r="AC39" s="1227">
        <f t="shared" si="15"/>
        <v>0</v>
      </c>
      <c r="AD39" s="1227">
        <f t="shared" si="16"/>
        <v>0</v>
      </c>
      <c r="AE39" s="1227">
        <f t="shared" si="17"/>
        <v>0</v>
      </c>
      <c r="AF39" s="1227">
        <f t="shared" si="18"/>
        <v>0</v>
      </c>
      <c r="AG39" s="635">
        <f t="shared" si="26"/>
        <v>0</v>
      </c>
      <c r="AH39" s="902" t="str">
        <f t="shared" si="27"/>
        <v>OK</v>
      </c>
      <c r="AI39" s="478"/>
      <c r="AJ39" s="901"/>
      <c r="AK39" s="901"/>
      <c r="AL39" s="901"/>
      <c r="AM39" s="901"/>
      <c r="AN39" s="635">
        <f t="shared" si="28"/>
        <v>0</v>
      </c>
      <c r="AO39" s="902" t="str">
        <f t="shared" si="29"/>
        <v>OK</v>
      </c>
      <c r="AP39" s="478"/>
      <c r="AQ39" s="636">
        <f>'Treatment volumes'!N52</f>
        <v>0</v>
      </c>
      <c r="AR39" s="1227">
        <f t="shared" si="19"/>
        <v>0</v>
      </c>
      <c r="AS39" s="1227">
        <f t="shared" si="20"/>
        <v>0</v>
      </c>
      <c r="AT39" s="1227">
        <f t="shared" si="21"/>
        <v>0</v>
      </c>
      <c r="AU39" s="1227">
        <f t="shared" si="22"/>
        <v>0</v>
      </c>
      <c r="AV39" s="635">
        <f t="shared" si="30"/>
        <v>0</v>
      </c>
      <c r="AW39" s="902" t="str">
        <f t="shared" si="31"/>
        <v>OK</v>
      </c>
      <c r="AX39" s="478"/>
      <c r="AY39" s="478"/>
      <c r="AZ39" s="478"/>
      <c r="BA39" s="478"/>
      <c r="BB39" s="478"/>
      <c r="BC39" s="478"/>
      <c r="BD39" s="654"/>
      <c r="BE39" s="654"/>
      <c r="BF39" s="654"/>
      <c r="BG39" s="654"/>
      <c r="BH39" s="654"/>
      <c r="BI39" s="654"/>
      <c r="BJ39" s="654"/>
      <c r="BK39" s="654"/>
      <c r="BL39" s="654"/>
      <c r="BM39" s="654"/>
      <c r="BN39" s="654"/>
      <c r="BO39" s="654"/>
      <c r="BP39" s="654"/>
      <c r="BQ39" s="654"/>
      <c r="BR39" s="654"/>
      <c r="BS39" s="654"/>
      <c r="BT39" s="654"/>
      <c r="BU39" s="654"/>
      <c r="BV39" s="654"/>
      <c r="BW39" s="478"/>
      <c r="BX39" s="478"/>
      <c r="BY39" s="478"/>
      <c r="BZ39" s="478"/>
      <c r="CA39" s="478"/>
      <c r="CB39" s="478"/>
      <c r="CC39" s="478"/>
      <c r="CD39" s="478"/>
      <c r="CE39" s="478"/>
    </row>
    <row r="40" spans="1:83" s="3" customFormat="1" ht="17.149999999999999" customHeight="1" x14ac:dyDescent="0.35">
      <c r="A40" s="544"/>
      <c r="B40" s="878" t="s">
        <v>562</v>
      </c>
      <c r="C40" s="889"/>
      <c r="D40" s="1228">
        <f t="shared" si="23"/>
        <v>0</v>
      </c>
      <c r="E40" s="1737"/>
      <c r="F40" s="1738"/>
      <c r="G40" s="1289"/>
      <c r="H40" s="872"/>
      <c r="I40" s="646">
        <f t="shared" si="14"/>
        <v>0</v>
      </c>
      <c r="J40" s="872"/>
      <c r="K40" s="872"/>
      <c r="L40" s="478"/>
      <c r="M40" s="1294"/>
      <c r="N40" s="1287"/>
      <c r="O40" s="1287"/>
      <c r="P40" s="1289"/>
      <c r="Q40" s="1287"/>
      <c r="R40" s="1289"/>
      <c r="S40" s="1294"/>
      <c r="T40" s="478"/>
      <c r="U40" s="901"/>
      <c r="V40" s="901"/>
      <c r="W40" s="901"/>
      <c r="X40" s="901"/>
      <c r="Y40" s="635">
        <f t="shared" si="24"/>
        <v>0</v>
      </c>
      <c r="Z40" s="902" t="str">
        <f t="shared" si="25"/>
        <v>OK</v>
      </c>
      <c r="AA40" s="478"/>
      <c r="AB40" s="636">
        <f>'Treatment volumes'!K53</f>
        <v>0</v>
      </c>
      <c r="AC40" s="1227">
        <f t="shared" si="15"/>
        <v>0</v>
      </c>
      <c r="AD40" s="1227">
        <f t="shared" si="16"/>
        <v>0</v>
      </c>
      <c r="AE40" s="1227">
        <f t="shared" si="17"/>
        <v>0</v>
      </c>
      <c r="AF40" s="1227">
        <f t="shared" si="18"/>
        <v>0</v>
      </c>
      <c r="AG40" s="635">
        <f t="shared" si="26"/>
        <v>0</v>
      </c>
      <c r="AH40" s="902" t="str">
        <f t="shared" si="27"/>
        <v>OK</v>
      </c>
      <c r="AI40" s="478"/>
      <c r="AJ40" s="901"/>
      <c r="AK40" s="901"/>
      <c r="AL40" s="901"/>
      <c r="AM40" s="901"/>
      <c r="AN40" s="635">
        <f t="shared" si="28"/>
        <v>0</v>
      </c>
      <c r="AO40" s="902" t="str">
        <f t="shared" si="29"/>
        <v>OK</v>
      </c>
      <c r="AP40" s="478"/>
      <c r="AQ40" s="636">
        <f>'Treatment volumes'!N53</f>
        <v>0</v>
      </c>
      <c r="AR40" s="1227">
        <f t="shared" si="19"/>
        <v>0</v>
      </c>
      <c r="AS40" s="1227">
        <f t="shared" si="20"/>
        <v>0</v>
      </c>
      <c r="AT40" s="1227">
        <f t="shared" si="21"/>
        <v>0</v>
      </c>
      <c r="AU40" s="1227">
        <f t="shared" si="22"/>
        <v>0</v>
      </c>
      <c r="AV40" s="635">
        <f t="shared" si="30"/>
        <v>0</v>
      </c>
      <c r="AW40" s="902" t="str">
        <f t="shared" si="31"/>
        <v>OK</v>
      </c>
      <c r="AX40" s="478"/>
      <c r="AY40" s="478"/>
      <c r="AZ40" s="478"/>
      <c r="BA40" s="478"/>
      <c r="BB40" s="478"/>
      <c r="BC40" s="478"/>
      <c r="BD40" s="654"/>
      <c r="BE40" s="654"/>
      <c r="BF40" s="654"/>
      <c r="BG40" s="654"/>
      <c r="BH40" s="654"/>
      <c r="BI40" s="654"/>
      <c r="BJ40" s="654"/>
      <c r="BK40" s="654"/>
      <c r="BL40" s="654"/>
      <c r="BM40" s="654"/>
      <c r="BN40" s="654"/>
      <c r="BO40" s="654"/>
      <c r="BP40" s="654"/>
      <c r="BQ40" s="654"/>
      <c r="BR40" s="654"/>
      <c r="BS40" s="654"/>
      <c r="BT40" s="654"/>
      <c r="BU40" s="654"/>
      <c r="BV40" s="654"/>
      <c r="BW40" s="478"/>
      <c r="BX40" s="478"/>
      <c r="BY40" s="478"/>
      <c r="BZ40" s="478"/>
      <c r="CA40" s="478"/>
      <c r="CB40" s="478"/>
      <c r="CC40" s="478"/>
      <c r="CD40" s="478"/>
      <c r="CE40" s="478"/>
    </row>
    <row r="41" spans="1:83" s="3" customFormat="1" ht="17.149999999999999" customHeight="1" x14ac:dyDescent="0.35">
      <c r="A41" s="544"/>
      <c r="B41" s="878" t="s">
        <v>563</v>
      </c>
      <c r="C41" s="889"/>
      <c r="D41" s="1228">
        <f t="shared" si="23"/>
        <v>0</v>
      </c>
      <c r="E41" s="1737"/>
      <c r="F41" s="1738"/>
      <c r="G41" s="1289"/>
      <c r="H41" s="872"/>
      <c r="I41" s="646">
        <f t="shared" si="14"/>
        <v>0</v>
      </c>
      <c r="J41" s="872"/>
      <c r="K41" s="872"/>
      <c r="L41" s="478"/>
      <c r="M41" s="1294"/>
      <c r="N41" s="1287"/>
      <c r="O41" s="1287"/>
      <c r="P41" s="1289"/>
      <c r="Q41" s="1287"/>
      <c r="R41" s="1289"/>
      <c r="S41" s="1294"/>
      <c r="T41" s="478"/>
      <c r="U41" s="901"/>
      <c r="V41" s="901"/>
      <c r="W41" s="901"/>
      <c r="X41" s="901"/>
      <c r="Y41" s="635">
        <f t="shared" si="24"/>
        <v>0</v>
      </c>
      <c r="Z41" s="902" t="str">
        <f t="shared" si="25"/>
        <v>OK</v>
      </c>
      <c r="AA41" s="478"/>
      <c r="AB41" s="636">
        <f>'Treatment volumes'!K54</f>
        <v>0</v>
      </c>
      <c r="AC41" s="1227">
        <f t="shared" si="15"/>
        <v>0</v>
      </c>
      <c r="AD41" s="1227">
        <f t="shared" si="16"/>
        <v>0</v>
      </c>
      <c r="AE41" s="1227">
        <f t="shared" si="17"/>
        <v>0</v>
      </c>
      <c r="AF41" s="1227">
        <f t="shared" si="18"/>
        <v>0</v>
      </c>
      <c r="AG41" s="635">
        <f t="shared" si="26"/>
        <v>0</v>
      </c>
      <c r="AH41" s="902" t="str">
        <f t="shared" si="27"/>
        <v>OK</v>
      </c>
      <c r="AI41" s="478"/>
      <c r="AJ41" s="901"/>
      <c r="AK41" s="901"/>
      <c r="AL41" s="901"/>
      <c r="AM41" s="901"/>
      <c r="AN41" s="635">
        <f t="shared" si="28"/>
        <v>0</v>
      </c>
      <c r="AO41" s="902" t="str">
        <f t="shared" si="29"/>
        <v>OK</v>
      </c>
      <c r="AP41" s="478"/>
      <c r="AQ41" s="636">
        <f>'Treatment volumes'!N54</f>
        <v>0</v>
      </c>
      <c r="AR41" s="1227">
        <f t="shared" si="19"/>
        <v>0</v>
      </c>
      <c r="AS41" s="1227">
        <f t="shared" si="20"/>
        <v>0</v>
      </c>
      <c r="AT41" s="1227">
        <f t="shared" si="21"/>
        <v>0</v>
      </c>
      <c r="AU41" s="1227">
        <f t="shared" si="22"/>
        <v>0</v>
      </c>
      <c r="AV41" s="635">
        <f t="shared" si="30"/>
        <v>0</v>
      </c>
      <c r="AW41" s="902" t="str">
        <f t="shared" si="31"/>
        <v>OK</v>
      </c>
      <c r="AX41" s="478"/>
      <c r="AY41" s="478"/>
      <c r="AZ41" s="478"/>
      <c r="BA41" s="478"/>
      <c r="BB41" s="478"/>
      <c r="BC41" s="478"/>
      <c r="BD41" s="654"/>
      <c r="BE41" s="654"/>
      <c r="BF41" s="654"/>
      <c r="BG41" s="654"/>
      <c r="BH41" s="654"/>
      <c r="BI41" s="654"/>
      <c r="BJ41" s="654"/>
      <c r="BK41" s="654"/>
      <c r="BL41" s="654"/>
      <c r="BM41" s="654"/>
      <c r="BN41" s="654"/>
      <c r="BO41" s="654"/>
      <c r="BP41" s="654"/>
      <c r="BQ41" s="654"/>
      <c r="BR41" s="654"/>
      <c r="BS41" s="654"/>
      <c r="BT41" s="654"/>
      <c r="BU41" s="654"/>
      <c r="BV41" s="654"/>
      <c r="BW41" s="478"/>
      <c r="BX41" s="478"/>
      <c r="BY41" s="478"/>
      <c r="BZ41" s="478"/>
      <c r="CA41" s="478"/>
      <c r="CB41" s="478"/>
      <c r="CC41" s="478"/>
      <c r="CD41" s="478"/>
      <c r="CE41" s="478"/>
    </row>
    <row r="42" spans="1:83" ht="17.149999999999999" customHeight="1" x14ac:dyDescent="0.35">
      <c r="A42" s="544"/>
      <c r="B42" s="594" t="s">
        <v>208</v>
      </c>
      <c r="C42" s="1399">
        <f>SUM(C32:C41)</f>
        <v>0.99999999999999989</v>
      </c>
      <c r="D42" s="1180">
        <f>SUM(D32:D41)</f>
        <v>22978675</v>
      </c>
      <c r="E42" s="934"/>
      <c r="F42" s="640"/>
      <c r="G42" s="935">
        <f>SUM(G32:G41)</f>
        <v>160</v>
      </c>
      <c r="H42" s="641"/>
      <c r="I42" s="641"/>
      <c r="J42" s="489"/>
      <c r="K42" s="489"/>
      <c r="M42" s="544"/>
      <c r="N42" s="544"/>
      <c r="O42" s="544"/>
      <c r="P42" s="544"/>
      <c r="Q42" s="544"/>
      <c r="R42" s="544"/>
      <c r="S42" s="544"/>
      <c r="U42" s="544"/>
      <c r="V42" s="544"/>
      <c r="W42" s="544"/>
      <c r="X42" s="544"/>
      <c r="Y42" s="544"/>
      <c r="Z42" s="544"/>
      <c r="AB42" s="544"/>
      <c r="AC42" s="544"/>
      <c r="AD42" s="544"/>
      <c r="AE42" s="544"/>
      <c r="AF42" s="544"/>
      <c r="AG42" s="544"/>
      <c r="AH42" s="544"/>
      <c r="AJ42" s="544"/>
      <c r="AK42" s="544"/>
      <c r="AL42" s="544"/>
      <c r="AM42" s="544"/>
      <c r="AN42" s="544"/>
      <c r="AO42" s="544"/>
      <c r="AQ42" s="544"/>
      <c r="AR42" s="544"/>
      <c r="AS42" s="544"/>
      <c r="AT42" s="544"/>
      <c r="AU42" s="544"/>
      <c r="AV42" s="544"/>
      <c r="AW42" s="544"/>
      <c r="BD42" s="655"/>
      <c r="BE42" s="655"/>
      <c r="BF42" s="655"/>
      <c r="BG42" s="655"/>
      <c r="BH42" s="655"/>
      <c r="BI42" s="655"/>
      <c r="BJ42" s="655"/>
      <c r="BK42" s="655"/>
      <c r="BL42" s="655"/>
      <c r="BM42" s="655"/>
      <c r="BN42" s="655"/>
      <c r="BO42" s="655"/>
      <c r="BP42" s="655"/>
      <c r="BQ42" s="655"/>
      <c r="BR42" s="655"/>
      <c r="BS42" s="655"/>
      <c r="BT42" s="655"/>
      <c r="BU42" s="655"/>
      <c r="BV42" s="655"/>
    </row>
    <row r="43" spans="1:83" ht="17.149999999999999" customHeight="1" x14ac:dyDescent="0.35">
      <c r="A43" s="544"/>
      <c r="B43" s="594" t="s">
        <v>564</v>
      </c>
      <c r="C43" s="1219"/>
      <c r="D43" s="1180">
        <f>'Transport volumes'!B119</f>
        <v>22978675</v>
      </c>
      <c r="E43" s="530"/>
      <c r="F43" s="933"/>
      <c r="G43" s="935">
        <f>G42*365</f>
        <v>58400</v>
      </c>
      <c r="H43" s="618">
        <f>IF(C43=0,0,G43/C43)</f>
        <v>0</v>
      </c>
      <c r="I43" s="641"/>
      <c r="J43" s="489"/>
      <c r="K43" s="489"/>
      <c r="M43" s="544"/>
      <c r="N43" s="544"/>
      <c r="O43" s="544"/>
      <c r="P43" s="544"/>
      <c r="Q43" s="544"/>
      <c r="R43" s="544"/>
      <c r="S43" s="544"/>
      <c r="U43" s="544"/>
      <c r="V43" s="544"/>
      <c r="W43" s="544"/>
      <c r="X43" s="544"/>
      <c r="Y43" s="544"/>
      <c r="Z43" s="544"/>
      <c r="AB43" s="544"/>
      <c r="AC43" s="544"/>
      <c r="AD43" s="544"/>
      <c r="AE43" s="544"/>
      <c r="AF43" s="544"/>
      <c r="AG43" s="544"/>
      <c r="AH43" s="544"/>
      <c r="AJ43" s="544"/>
      <c r="AK43" s="544"/>
      <c r="AL43" s="544"/>
      <c r="AM43" s="544"/>
      <c r="AN43" s="544"/>
      <c r="AO43" s="544"/>
      <c r="AQ43" s="544"/>
      <c r="AR43" s="544"/>
      <c r="AS43" s="544"/>
      <c r="AT43" s="544"/>
      <c r="AU43" s="544"/>
      <c r="AV43" s="544"/>
      <c r="AW43" s="544"/>
      <c r="BD43" s="655"/>
      <c r="BE43" s="655"/>
      <c r="BF43" s="655"/>
      <c r="BG43" s="655"/>
      <c r="BH43" s="655"/>
      <c r="BI43" s="655"/>
      <c r="BJ43" s="655"/>
      <c r="BK43" s="655"/>
      <c r="BL43" s="655"/>
      <c r="BM43" s="655"/>
      <c r="BN43" s="655"/>
      <c r="BO43" s="655"/>
      <c r="BP43" s="655"/>
      <c r="BQ43" s="655"/>
      <c r="BR43" s="655"/>
      <c r="BS43" s="655"/>
      <c r="BT43" s="655"/>
      <c r="BU43" s="655"/>
      <c r="BV43" s="655"/>
    </row>
    <row r="44" spans="1:83" ht="17.149999999999999" customHeight="1" x14ac:dyDescent="0.35">
      <c r="A44" s="544"/>
      <c r="B44" s="567" t="s">
        <v>251</v>
      </c>
      <c r="C44" s="651">
        <f>IF(D43&gt;0,1-C42,0)</f>
        <v>1.1102230246251565E-16</v>
      </c>
      <c r="D44" s="651">
        <f>D42-D43</f>
        <v>0</v>
      </c>
      <c r="E44" s="640"/>
      <c r="F44" s="640"/>
      <c r="G44" s="641"/>
      <c r="H44" s="478"/>
      <c r="I44" s="489"/>
      <c r="J44" s="489"/>
      <c r="K44" s="489"/>
      <c r="M44" s="544"/>
      <c r="N44" s="544"/>
      <c r="O44" s="544"/>
      <c r="P44" s="544"/>
      <c r="Q44" s="544"/>
      <c r="R44" s="544"/>
      <c r="S44" s="544"/>
      <c r="U44" s="544"/>
      <c r="V44" s="544"/>
      <c r="W44" s="544"/>
      <c r="X44" s="544"/>
      <c r="Y44" s="544"/>
      <c r="Z44" s="544"/>
      <c r="AB44" s="544"/>
      <c r="AC44" s="544"/>
      <c r="AD44" s="544"/>
      <c r="AE44" s="544"/>
      <c r="AF44" s="544"/>
      <c r="AG44" s="544"/>
      <c r="AH44" s="544"/>
      <c r="AJ44" s="544"/>
      <c r="AK44" s="544"/>
      <c r="AL44" s="544"/>
      <c r="AM44" s="544"/>
      <c r="AN44" s="544"/>
      <c r="AO44" s="544"/>
      <c r="AQ44" s="544"/>
      <c r="AR44" s="544"/>
      <c r="AS44" s="544"/>
      <c r="AT44" s="544"/>
      <c r="AU44" s="544"/>
      <c r="AV44" s="544"/>
      <c r="AW44" s="544"/>
      <c r="BD44" s="655"/>
      <c r="BE44" s="655"/>
      <c r="BF44" s="655"/>
      <c r="BG44" s="655"/>
      <c r="BH44" s="655"/>
      <c r="BI44" s="655"/>
      <c r="BJ44" s="655"/>
      <c r="BK44" s="655"/>
      <c r="BL44" s="655"/>
      <c r="BM44" s="655"/>
      <c r="BN44" s="655"/>
      <c r="BO44" s="655"/>
      <c r="BP44" s="655"/>
      <c r="BQ44" s="655"/>
      <c r="BR44" s="655"/>
      <c r="BS44" s="655"/>
      <c r="BT44" s="655"/>
      <c r="BU44" s="655"/>
      <c r="BV44" s="655"/>
    </row>
    <row r="45" spans="1:83" ht="17.149999999999999" customHeight="1" x14ac:dyDescent="0.35">
      <c r="A45" s="544"/>
      <c r="B45" s="478"/>
      <c r="C45" s="174" t="str">
        <f>IF(C44=0,"OK","Not OK")</f>
        <v>Not OK</v>
      </c>
      <c r="D45" s="174" t="str">
        <f>IF(D44=0,"OK","Not OK")</f>
        <v>OK</v>
      </c>
      <c r="E45" s="640"/>
      <c r="F45" s="933"/>
      <c r="G45" s="641">
        <f>(F45/1000)*365</f>
        <v>0</v>
      </c>
      <c r="H45" s="478"/>
      <c r="I45" s="489"/>
      <c r="J45" s="489"/>
      <c r="K45" s="489"/>
      <c r="M45" s="544"/>
      <c r="N45" s="544"/>
      <c r="O45" s="544"/>
      <c r="P45" s="544"/>
      <c r="Q45" s="544"/>
      <c r="R45" s="544"/>
      <c r="S45" s="544"/>
      <c r="U45" s="544"/>
      <c r="V45" s="544"/>
      <c r="W45" s="544"/>
      <c r="X45" s="544"/>
      <c r="Y45" s="544"/>
      <c r="Z45" s="544"/>
      <c r="AB45" s="544"/>
      <c r="AC45" s="544"/>
      <c r="AD45" s="544"/>
      <c r="AE45" s="544"/>
      <c r="AF45" s="544"/>
      <c r="AG45" s="544"/>
      <c r="AH45" s="544"/>
      <c r="AJ45" s="544"/>
      <c r="AK45" s="544"/>
      <c r="AL45" s="544"/>
      <c r="AM45" s="544"/>
      <c r="AN45" s="544"/>
      <c r="AO45" s="544"/>
      <c r="AQ45" s="544"/>
      <c r="AR45" s="544"/>
      <c r="AS45" s="544"/>
      <c r="AT45" s="544"/>
      <c r="AU45" s="544"/>
      <c r="AV45" s="544"/>
      <c r="AW45" s="544"/>
      <c r="BD45" s="655"/>
      <c r="BE45" s="655"/>
      <c r="BF45" s="655"/>
      <c r="BG45" s="655"/>
      <c r="BH45" s="655"/>
      <c r="BI45" s="655"/>
      <c r="BJ45" s="655"/>
      <c r="BK45" s="655"/>
      <c r="BL45" s="655"/>
      <c r="BM45" s="655"/>
      <c r="BN45" s="655"/>
      <c r="BO45" s="655"/>
      <c r="BP45" s="655"/>
      <c r="BQ45" s="655"/>
      <c r="BR45" s="655"/>
      <c r="BS45" s="655"/>
      <c r="BT45" s="655"/>
      <c r="BU45" s="655"/>
      <c r="BV45" s="655"/>
    </row>
    <row r="46" spans="1:83" ht="17.149999999999999" customHeight="1" x14ac:dyDescent="0.35">
      <c r="A46" s="544"/>
      <c r="B46" s="478"/>
      <c r="C46" s="478"/>
      <c r="D46" s="478"/>
      <c r="E46" s="640"/>
      <c r="F46" s="640"/>
      <c r="G46" s="641"/>
      <c r="H46" s="478"/>
      <c r="I46" s="489"/>
      <c r="J46" s="489"/>
      <c r="K46" s="489"/>
      <c r="M46" s="544"/>
      <c r="N46" s="544"/>
      <c r="O46" s="544"/>
      <c r="P46" s="544"/>
      <c r="Q46" s="544"/>
      <c r="R46" s="544"/>
      <c r="S46" s="544"/>
      <c r="U46" s="544"/>
      <c r="V46" s="544"/>
      <c r="W46" s="544"/>
      <c r="X46" s="544"/>
      <c r="Y46" s="544"/>
      <c r="Z46" s="544"/>
      <c r="AB46" s="544"/>
      <c r="AC46" s="544"/>
      <c r="AD46" s="544"/>
      <c r="AE46" s="544"/>
      <c r="AF46" s="544"/>
      <c r="AG46" s="544"/>
      <c r="AH46" s="544"/>
      <c r="AJ46" s="544"/>
      <c r="AK46" s="544"/>
      <c r="AL46" s="544"/>
      <c r="AM46" s="544"/>
      <c r="AN46" s="544"/>
      <c r="AO46" s="544"/>
      <c r="AQ46" s="544"/>
      <c r="AR46" s="544"/>
      <c r="AS46" s="544"/>
      <c r="AT46" s="544"/>
      <c r="AU46" s="544"/>
      <c r="AV46" s="544"/>
      <c r="AW46" s="544"/>
      <c r="BD46" s="655"/>
      <c r="BE46" s="655"/>
      <c r="BF46" s="655"/>
      <c r="BG46" s="655"/>
      <c r="BH46" s="655"/>
      <c r="BI46" s="655"/>
      <c r="BJ46" s="655"/>
      <c r="BK46" s="655"/>
      <c r="BL46" s="655"/>
      <c r="BM46" s="655"/>
      <c r="BN46" s="655"/>
      <c r="BO46" s="655"/>
      <c r="BP46" s="655"/>
      <c r="BQ46" s="655"/>
      <c r="BR46" s="655"/>
      <c r="BS46" s="655"/>
      <c r="BT46" s="655"/>
      <c r="BU46" s="655"/>
      <c r="BV46" s="655"/>
    </row>
    <row r="47" spans="1:83" ht="17.149999999999999" customHeight="1" x14ac:dyDescent="0.35">
      <c r="A47" s="544"/>
      <c r="B47" s="478"/>
      <c r="C47" s="478"/>
      <c r="D47" s="478"/>
      <c r="E47" s="640"/>
      <c r="F47" s="640"/>
      <c r="G47" s="641"/>
      <c r="H47" s="478"/>
      <c r="I47" s="489"/>
      <c r="J47" s="489"/>
      <c r="K47" s="489"/>
      <c r="M47" s="544"/>
      <c r="N47" s="544"/>
      <c r="O47" s="544"/>
      <c r="P47" s="544"/>
      <c r="Q47" s="544"/>
      <c r="R47" s="544"/>
      <c r="S47" s="544"/>
      <c r="U47" s="544"/>
      <c r="V47" s="544"/>
      <c r="W47" s="544"/>
      <c r="X47" s="544"/>
      <c r="Y47" s="544"/>
      <c r="Z47" s="544"/>
      <c r="AB47" s="544"/>
      <c r="AC47" s="544"/>
      <c r="AD47" s="544"/>
      <c r="AE47" s="544"/>
      <c r="AF47" s="544"/>
      <c r="AG47" s="544"/>
      <c r="AH47" s="544"/>
      <c r="AJ47" s="544"/>
      <c r="AK47" s="544"/>
      <c r="AL47" s="544"/>
      <c r="AM47" s="544"/>
      <c r="AN47" s="544"/>
      <c r="AO47" s="544"/>
      <c r="AQ47" s="544"/>
      <c r="AR47" s="544"/>
      <c r="AS47" s="544"/>
      <c r="AT47" s="544"/>
      <c r="AU47" s="544"/>
      <c r="AV47" s="544"/>
      <c r="AW47" s="544"/>
      <c r="BD47" s="655"/>
      <c r="BE47" s="655"/>
      <c r="BF47" s="655"/>
      <c r="BG47" s="655"/>
      <c r="BH47" s="655"/>
      <c r="BI47" s="655"/>
      <c r="BJ47" s="655"/>
      <c r="BK47" s="655"/>
      <c r="BL47" s="655"/>
      <c r="BM47" s="655"/>
      <c r="BN47" s="655"/>
      <c r="BO47" s="655"/>
      <c r="BP47" s="655"/>
      <c r="BQ47" s="655"/>
      <c r="BR47" s="655"/>
      <c r="BS47" s="655"/>
      <c r="BT47" s="655"/>
      <c r="BU47" s="655"/>
      <c r="BV47" s="655"/>
    </row>
    <row r="48" spans="1:83" ht="17.149999999999999" customHeight="1" x14ac:dyDescent="0.35">
      <c r="A48" s="544"/>
      <c r="B48" s="564" t="s">
        <v>565</v>
      </c>
      <c r="C48" s="544"/>
      <c r="D48" s="544"/>
      <c r="E48" s="544"/>
      <c r="F48" s="544"/>
      <c r="G48" s="544"/>
      <c r="H48" s="633"/>
      <c r="I48" s="544"/>
      <c r="J48" s="544"/>
      <c r="K48" s="652" t="s">
        <v>506</v>
      </c>
      <c r="M48" s="544"/>
      <c r="N48" s="544"/>
      <c r="O48" s="544"/>
      <c r="P48" s="544"/>
      <c r="Q48" s="544"/>
      <c r="R48" s="544"/>
      <c r="S48" s="544"/>
      <c r="U48" s="564" t="s">
        <v>566</v>
      </c>
      <c r="V48" s="544"/>
      <c r="W48" s="544"/>
      <c r="X48" s="544"/>
      <c r="Y48" s="544"/>
      <c r="Z48" s="544"/>
      <c r="AB48" s="544"/>
      <c r="AC48" s="544"/>
      <c r="AD48" s="544"/>
      <c r="AE48" s="544"/>
      <c r="AF48" s="544"/>
      <c r="AG48" s="544"/>
      <c r="AH48" s="544"/>
      <c r="AJ48" s="564" t="s">
        <v>567</v>
      </c>
      <c r="AK48" s="544"/>
      <c r="AL48" s="544"/>
      <c r="AM48" s="544"/>
      <c r="AN48" s="544"/>
      <c r="AO48" s="544"/>
      <c r="AQ48" s="544"/>
      <c r="AR48" s="544"/>
      <c r="AS48" s="544"/>
      <c r="AT48" s="544"/>
      <c r="AU48" s="544"/>
      <c r="AV48" s="544"/>
      <c r="AW48" s="544"/>
      <c r="BD48" s="655"/>
      <c r="BE48" s="655"/>
      <c r="BF48" s="655"/>
      <c r="BG48" s="655"/>
      <c r="BH48" s="655"/>
      <c r="BI48" s="655"/>
      <c r="BJ48" s="655"/>
      <c r="BK48" s="655"/>
      <c r="BL48" s="655"/>
      <c r="BM48" s="655"/>
      <c r="BN48" s="655"/>
      <c r="BO48" s="655"/>
      <c r="BP48" s="655"/>
      <c r="BQ48" s="655"/>
      <c r="BR48" s="655"/>
      <c r="BS48" s="655"/>
      <c r="BT48" s="655"/>
      <c r="BU48" s="655"/>
      <c r="BV48" s="655"/>
    </row>
    <row r="49" spans="1:83" ht="17.149999999999999" customHeight="1" x14ac:dyDescent="0.35">
      <c r="A49" s="544"/>
      <c r="B49" s="478"/>
      <c r="C49" s="478"/>
      <c r="D49" s="478"/>
      <c r="E49" s="640"/>
      <c r="F49" s="640"/>
      <c r="G49" s="641"/>
      <c r="H49" s="478"/>
      <c r="I49" s="489"/>
      <c r="J49" s="489"/>
      <c r="K49" s="489"/>
      <c r="M49" s="544"/>
      <c r="N49" s="544"/>
      <c r="O49" s="544"/>
      <c r="P49" s="544"/>
      <c r="Q49" s="544"/>
      <c r="R49" s="544"/>
      <c r="S49" s="544"/>
      <c r="U49" s="1668" t="s">
        <v>509</v>
      </c>
      <c r="V49" s="1668"/>
      <c r="W49" s="1668"/>
      <c r="X49" s="1668"/>
      <c r="Y49" s="1668"/>
      <c r="Z49" s="1668"/>
      <c r="AB49" s="1668" t="s">
        <v>510</v>
      </c>
      <c r="AC49" s="1668"/>
      <c r="AD49" s="1668"/>
      <c r="AE49" s="1668"/>
      <c r="AF49" s="1668"/>
      <c r="AG49" s="1668"/>
      <c r="AH49" s="1668"/>
      <c r="AJ49" s="1697" t="s">
        <v>511</v>
      </c>
      <c r="AK49" s="1698"/>
      <c r="AL49" s="1698"/>
      <c r="AM49" s="1698"/>
      <c r="AN49" s="1698"/>
      <c r="AO49" s="1699"/>
      <c r="AQ49" s="1668" t="s">
        <v>512</v>
      </c>
      <c r="AR49" s="1668"/>
      <c r="AS49" s="1668"/>
      <c r="AT49" s="1668"/>
      <c r="AU49" s="1668"/>
      <c r="AV49" s="1668"/>
      <c r="AW49" s="1668"/>
      <c r="BD49" s="655"/>
      <c r="BE49" s="655"/>
      <c r="BF49" s="655"/>
      <c r="BG49" s="655"/>
      <c r="BH49" s="655"/>
      <c r="BI49" s="655"/>
      <c r="BJ49" s="655"/>
      <c r="BK49" s="655"/>
      <c r="BL49" s="655"/>
      <c r="BM49" s="655"/>
      <c r="BN49" s="655"/>
      <c r="BO49" s="655"/>
      <c r="BP49" s="655"/>
      <c r="BQ49" s="655"/>
      <c r="BR49" s="655"/>
      <c r="BS49" s="655"/>
      <c r="BT49" s="655"/>
      <c r="BU49" s="655"/>
      <c r="BV49" s="655"/>
    </row>
    <row r="50" spans="1:83" ht="17.149999999999999" customHeight="1" x14ac:dyDescent="0.35">
      <c r="A50" s="544"/>
      <c r="B50" s="1724" t="s">
        <v>568</v>
      </c>
      <c r="C50" s="1733" t="s">
        <v>514</v>
      </c>
      <c r="D50" s="1733" t="s">
        <v>515</v>
      </c>
      <c r="E50" s="1731" t="s">
        <v>516</v>
      </c>
      <c r="F50" s="1732"/>
      <c r="G50" s="1724" t="s">
        <v>569</v>
      </c>
      <c r="H50" s="1709" t="s">
        <v>518</v>
      </c>
      <c r="I50" s="1709"/>
      <c r="J50" s="1724" t="s">
        <v>519</v>
      </c>
      <c r="K50" s="1724" t="s">
        <v>520</v>
      </c>
      <c r="M50" s="544"/>
      <c r="N50" s="544"/>
      <c r="O50" s="544"/>
      <c r="P50" s="544"/>
      <c r="Q50" s="544"/>
      <c r="R50" s="544"/>
      <c r="S50" s="544"/>
      <c r="U50" s="1668" t="s">
        <v>522</v>
      </c>
      <c r="V50" s="1668"/>
      <c r="W50" s="1668"/>
      <c r="X50" s="1668"/>
      <c r="Y50" s="1668"/>
      <c r="Z50" s="1668"/>
      <c r="AB50" s="1724" t="s">
        <v>522</v>
      </c>
      <c r="AC50" s="1724"/>
      <c r="AD50" s="1724"/>
      <c r="AE50" s="1724"/>
      <c r="AF50" s="1724"/>
      <c r="AG50" s="1724"/>
      <c r="AH50" s="1724"/>
      <c r="AJ50" s="1668" t="s">
        <v>522</v>
      </c>
      <c r="AK50" s="1668"/>
      <c r="AL50" s="1668"/>
      <c r="AM50" s="1668"/>
      <c r="AN50" s="1668"/>
      <c r="AO50" s="1668"/>
      <c r="AQ50" s="1668" t="s">
        <v>522</v>
      </c>
      <c r="AR50" s="1668"/>
      <c r="AS50" s="1668"/>
      <c r="AT50" s="1668"/>
      <c r="AU50" s="1668"/>
      <c r="AV50" s="1668"/>
      <c r="AW50" s="1668"/>
      <c r="BD50" s="655"/>
      <c r="BE50" s="655"/>
      <c r="BF50" s="655"/>
      <c r="BG50" s="655"/>
      <c r="BH50" s="655"/>
      <c r="BI50" s="655"/>
      <c r="BJ50" s="655"/>
      <c r="BK50" s="655"/>
      <c r="BL50" s="655"/>
      <c r="BM50" s="655"/>
      <c r="BN50" s="655"/>
      <c r="BO50" s="655"/>
      <c r="BP50" s="655"/>
      <c r="BQ50" s="655"/>
      <c r="BR50" s="655"/>
      <c r="BS50" s="655"/>
      <c r="BT50" s="655"/>
      <c r="BU50" s="655"/>
      <c r="BV50" s="655"/>
    </row>
    <row r="51" spans="1:83" ht="60" customHeight="1" x14ac:dyDescent="0.35">
      <c r="A51" s="544"/>
      <c r="B51" s="1724"/>
      <c r="C51" s="1734"/>
      <c r="D51" s="1734"/>
      <c r="E51" s="1735"/>
      <c r="F51" s="1736"/>
      <c r="G51" s="1724"/>
      <c r="H51" s="1484" t="s">
        <v>523</v>
      </c>
      <c r="I51" s="1484" t="s">
        <v>524</v>
      </c>
      <c r="J51" s="1724"/>
      <c r="K51" s="1724"/>
      <c r="M51" s="544"/>
      <c r="N51" s="544"/>
      <c r="O51" s="544"/>
      <c r="P51" s="544"/>
      <c r="Q51" s="544"/>
      <c r="R51" s="544"/>
      <c r="S51" s="544"/>
      <c r="U51" s="1487" t="s">
        <v>531</v>
      </c>
      <c r="V51" s="1487" t="s">
        <v>532</v>
      </c>
      <c r="W51" s="1487" t="s">
        <v>533</v>
      </c>
      <c r="X51" s="1487" t="s">
        <v>333</v>
      </c>
      <c r="Y51" s="1487" t="s">
        <v>534</v>
      </c>
      <c r="Z51" s="1487" t="s">
        <v>535</v>
      </c>
      <c r="AB51" s="1487" t="s">
        <v>536</v>
      </c>
      <c r="AC51" s="1487" t="s">
        <v>531</v>
      </c>
      <c r="AD51" s="1487" t="s">
        <v>532</v>
      </c>
      <c r="AE51" s="1487" t="s">
        <v>533</v>
      </c>
      <c r="AF51" s="1487" t="s">
        <v>537</v>
      </c>
      <c r="AG51" s="1487" t="s">
        <v>208</v>
      </c>
      <c r="AH51" s="1487" t="s">
        <v>535</v>
      </c>
      <c r="AJ51" s="1487" t="s">
        <v>538</v>
      </c>
      <c r="AK51" s="1487" t="s">
        <v>539</v>
      </c>
      <c r="AL51" s="1487" t="s">
        <v>540</v>
      </c>
      <c r="AM51" s="1487" t="s">
        <v>333</v>
      </c>
      <c r="AN51" s="1487" t="s">
        <v>534</v>
      </c>
      <c r="AO51" s="1487" t="s">
        <v>535</v>
      </c>
      <c r="AQ51" s="1487" t="s">
        <v>536</v>
      </c>
      <c r="AR51" s="1487" t="s">
        <v>538</v>
      </c>
      <c r="AS51" s="1487" t="s">
        <v>539</v>
      </c>
      <c r="AT51" s="1487" t="s">
        <v>540</v>
      </c>
      <c r="AU51" s="1487" t="s">
        <v>537</v>
      </c>
      <c r="AV51" s="1487" t="s">
        <v>208</v>
      </c>
      <c r="AW51" s="1487" t="s">
        <v>535</v>
      </c>
      <c r="BD51" s="655"/>
      <c r="BE51" s="655"/>
      <c r="BF51" s="655"/>
      <c r="BG51" s="655"/>
      <c r="BH51" s="655"/>
      <c r="BI51" s="655"/>
      <c r="BJ51" s="655"/>
      <c r="BK51" s="655"/>
      <c r="BL51" s="655"/>
      <c r="BM51" s="655"/>
      <c r="BN51" s="655"/>
      <c r="BO51" s="655"/>
      <c r="BP51" s="655"/>
      <c r="BQ51" s="655"/>
      <c r="BR51" s="655"/>
      <c r="BS51" s="655"/>
      <c r="BT51" s="655"/>
      <c r="BU51" s="655"/>
      <c r="BV51" s="655"/>
    </row>
    <row r="52" spans="1:83" s="20" customFormat="1" ht="17.149999999999999" customHeight="1" x14ac:dyDescent="0.35">
      <c r="A52" s="544"/>
      <c r="B52" s="648"/>
      <c r="C52" s="647"/>
      <c r="D52" s="647"/>
      <c r="E52" s="647"/>
      <c r="F52" s="647"/>
      <c r="G52" s="648"/>
      <c r="H52" s="648"/>
      <c r="I52" s="648"/>
      <c r="J52" s="648"/>
      <c r="K52" s="648"/>
      <c r="L52" s="549"/>
      <c r="M52" s="549"/>
      <c r="N52" s="549"/>
      <c r="O52" s="549"/>
      <c r="P52" s="549"/>
      <c r="Q52" s="549"/>
      <c r="R52" s="549"/>
      <c r="S52" s="549"/>
      <c r="T52" s="549"/>
      <c r="U52" s="649"/>
      <c r="V52" s="649"/>
      <c r="W52" s="649"/>
      <c r="X52" s="649"/>
      <c r="Y52" s="649"/>
      <c r="Z52" s="556"/>
      <c r="AA52" s="549"/>
      <c r="AB52" s="548"/>
      <c r="AC52" s="649"/>
      <c r="AD52" s="649"/>
      <c r="AE52" s="649"/>
      <c r="AF52" s="649"/>
      <c r="AG52" s="649"/>
      <c r="AH52" s="556"/>
      <c r="AI52" s="549"/>
      <c r="AJ52" s="649"/>
      <c r="AK52" s="649"/>
      <c r="AL52" s="649"/>
      <c r="AM52" s="649"/>
      <c r="AN52" s="649"/>
      <c r="AO52" s="556"/>
      <c r="AP52" s="549"/>
      <c r="AQ52" s="548"/>
      <c r="AR52" s="649"/>
      <c r="AS52" s="649"/>
      <c r="AT52" s="649"/>
      <c r="AU52" s="649"/>
      <c r="AV52" s="649"/>
      <c r="AW52" s="556"/>
      <c r="AX52" s="549"/>
      <c r="AY52" s="549"/>
      <c r="AZ52" s="549"/>
      <c r="BA52" s="549"/>
      <c r="BB52" s="549"/>
      <c r="BC52" s="549"/>
      <c r="BD52" s="657"/>
      <c r="BE52" s="657"/>
      <c r="BF52" s="657"/>
      <c r="BG52" s="657"/>
      <c r="BH52" s="657"/>
      <c r="BI52" s="657"/>
      <c r="BJ52" s="657"/>
      <c r="BK52" s="657"/>
      <c r="BL52" s="657"/>
      <c r="BM52" s="657"/>
      <c r="BN52" s="657"/>
      <c r="BO52" s="657"/>
      <c r="BP52" s="657"/>
      <c r="BQ52" s="657"/>
      <c r="BR52" s="657"/>
      <c r="BS52" s="657"/>
      <c r="BT52" s="657"/>
      <c r="BU52" s="657"/>
      <c r="BV52" s="657"/>
      <c r="BW52" s="549"/>
      <c r="BX52" s="549"/>
      <c r="BY52" s="549"/>
      <c r="BZ52" s="549"/>
      <c r="CA52" s="549"/>
      <c r="CB52" s="549"/>
      <c r="CC52" s="549"/>
      <c r="CD52" s="549"/>
      <c r="CE52" s="549"/>
    </row>
    <row r="53" spans="1:83" s="3" customFormat="1" ht="17.149999999999999" customHeight="1" x14ac:dyDescent="0.35">
      <c r="A53" s="544"/>
      <c r="B53" s="878" t="s">
        <v>570</v>
      </c>
      <c r="C53" s="889"/>
      <c r="D53" s="1228">
        <f t="shared" ref="D53:D58" si="32">C53*$D$60</f>
        <v>0</v>
      </c>
      <c r="E53" s="1737"/>
      <c r="F53" s="1738"/>
      <c r="G53" s="1289"/>
      <c r="H53" s="872"/>
      <c r="I53" s="646">
        <f t="shared" ref="I53:I58" si="33">D53-H53</f>
        <v>0</v>
      </c>
      <c r="J53" s="872"/>
      <c r="K53" s="872"/>
      <c r="L53" s="478"/>
      <c r="M53" s="478"/>
      <c r="N53" s="478"/>
      <c r="O53" s="478"/>
      <c r="P53" s="478"/>
      <c r="Q53" s="478"/>
      <c r="R53" s="478"/>
      <c r="S53" s="478"/>
      <c r="T53" s="478"/>
      <c r="U53" s="901"/>
      <c r="V53" s="901"/>
      <c r="W53" s="901"/>
      <c r="X53" s="901"/>
      <c r="Y53" s="635">
        <f t="shared" ref="Y53:Y58" si="34">SUM(U53:X53)</f>
        <v>0</v>
      </c>
      <c r="Z53" s="902" t="str">
        <f>IF(AND(H53=0,Y53=0),"OK",IF(AND(H53&gt;0,Y53=1),"OK","Not OK"))</f>
        <v>OK</v>
      </c>
      <c r="AA53" s="478"/>
      <c r="AB53" s="636">
        <f>'Treatment volumes'!K67</f>
        <v>0</v>
      </c>
      <c r="AC53" s="1227">
        <f t="shared" ref="AC53:AC58" si="35">IF($AB53&gt;0,U53,0)</f>
        <v>0</v>
      </c>
      <c r="AD53" s="1227">
        <f t="shared" ref="AD53:AD58" si="36">IF($AB53&gt;0,V53,0)</f>
        <v>0</v>
      </c>
      <c r="AE53" s="1227">
        <f t="shared" ref="AE53:AE58" si="37">IF($AB53&gt;0,W53,0)</f>
        <v>0</v>
      </c>
      <c r="AF53" s="1227">
        <f t="shared" ref="AF53:AF58" si="38">IF($AB53&gt;0,X53,0)</f>
        <v>0</v>
      </c>
      <c r="AG53" s="635">
        <f t="shared" ref="AG53:AG58" si="39">SUM(AC53:AF53)</f>
        <v>0</v>
      </c>
      <c r="AH53" s="902" t="str">
        <f t="shared" ref="AH53:AH58" si="40">IF(AND(AB53=0,AG53=0),"OK",IF(AND(AB53&gt;0,AG53=1),"OK","Not OK"))</f>
        <v>OK</v>
      </c>
      <c r="AI53" s="478"/>
      <c r="AJ53" s="901"/>
      <c r="AK53" s="901"/>
      <c r="AL53" s="901"/>
      <c r="AM53" s="901"/>
      <c r="AN53" s="635">
        <f t="shared" ref="AN53:AN58" si="41">SUM(AJ53:AM53)</f>
        <v>0</v>
      </c>
      <c r="AO53" s="902" t="str">
        <f t="shared" ref="AO53:AO58" si="42">IF(AND(I53=0,AN53=0),"OK",IF(AND(I53&gt;0,AN53=1),"OK","Not OK"))</f>
        <v>OK</v>
      </c>
      <c r="AP53" s="478"/>
      <c r="AQ53" s="636">
        <f>'Treatment volumes'!N67</f>
        <v>0</v>
      </c>
      <c r="AR53" s="1227">
        <f t="shared" ref="AR53:AR58" si="43">IF($AQ53&gt;0,AJ53,0)</f>
        <v>0</v>
      </c>
      <c r="AS53" s="1227">
        <f t="shared" ref="AS53:AS58" si="44">IF($AQ53&gt;0,AK53,0)</f>
        <v>0</v>
      </c>
      <c r="AT53" s="1227">
        <f t="shared" ref="AT53:AT58" si="45">IF($AQ53&gt;0,AL53,0)</f>
        <v>0</v>
      </c>
      <c r="AU53" s="1227">
        <f t="shared" ref="AU53:AU58" si="46">IF($AQ53&gt;0,AM53,0)</f>
        <v>0</v>
      </c>
      <c r="AV53" s="635">
        <f>SUM(AR53:AU53)</f>
        <v>0</v>
      </c>
      <c r="AW53" s="902" t="str">
        <f t="shared" ref="AW53:AW58" si="47">IF(AND(AQ53=0,AV53=0),"OK",IF(AND(AQ53&gt;0,AV53=1),"OK","Not OK"))</f>
        <v>OK</v>
      </c>
      <c r="AX53" s="478"/>
      <c r="AY53" s="478"/>
      <c r="AZ53" s="478"/>
      <c r="BA53" s="478"/>
      <c r="BB53" s="478"/>
      <c r="BC53" s="478"/>
      <c r="BD53" s="654"/>
      <c r="BE53" s="654"/>
      <c r="BF53" s="654"/>
      <c r="BG53" s="654"/>
      <c r="BH53" s="654"/>
      <c r="BI53" s="654"/>
      <c r="BJ53" s="654"/>
      <c r="BK53" s="654"/>
      <c r="BL53" s="654"/>
      <c r="BM53" s="654"/>
      <c r="BN53" s="654"/>
      <c r="BO53" s="654"/>
      <c r="BP53" s="654"/>
      <c r="BQ53" s="654"/>
      <c r="BR53" s="654"/>
      <c r="BS53" s="654"/>
      <c r="BT53" s="654"/>
      <c r="BU53" s="654"/>
      <c r="BV53" s="654"/>
      <c r="BW53" s="478"/>
      <c r="BX53" s="478"/>
      <c r="BY53" s="478"/>
      <c r="BZ53" s="478"/>
      <c r="CA53" s="478"/>
      <c r="CB53" s="478"/>
      <c r="CC53" s="478"/>
      <c r="CD53" s="478"/>
      <c r="CE53" s="478"/>
    </row>
    <row r="54" spans="1:83" s="3" customFormat="1" ht="17.149999999999999" customHeight="1" x14ac:dyDescent="0.35">
      <c r="A54" s="544"/>
      <c r="B54" s="878" t="s">
        <v>571</v>
      </c>
      <c r="C54" s="889"/>
      <c r="D54" s="1228">
        <f t="shared" si="32"/>
        <v>0</v>
      </c>
      <c r="E54" s="1737"/>
      <c r="F54" s="1738"/>
      <c r="G54" s="1289"/>
      <c r="H54" s="872"/>
      <c r="I54" s="646">
        <f t="shared" si="33"/>
        <v>0</v>
      </c>
      <c r="J54" s="872"/>
      <c r="K54" s="872"/>
      <c r="L54" s="478"/>
      <c r="M54" s="478"/>
      <c r="N54" s="478"/>
      <c r="O54" s="478"/>
      <c r="P54" s="478"/>
      <c r="Q54" s="478"/>
      <c r="R54" s="478"/>
      <c r="S54" s="478"/>
      <c r="T54" s="478"/>
      <c r="U54" s="901"/>
      <c r="V54" s="901"/>
      <c r="W54" s="901"/>
      <c r="X54" s="901"/>
      <c r="Y54" s="635">
        <f t="shared" si="34"/>
        <v>0</v>
      </c>
      <c r="Z54" s="902" t="str">
        <f>IF(AND(C54=0,Y54=0),"OK",IF(AND(C54&gt;0,Y54=1),"OK","Not OK"))</f>
        <v>OK</v>
      </c>
      <c r="AA54" s="478"/>
      <c r="AB54" s="636">
        <f>'Treatment volumes'!K68</f>
        <v>0</v>
      </c>
      <c r="AC54" s="1227">
        <f t="shared" si="35"/>
        <v>0</v>
      </c>
      <c r="AD54" s="1227">
        <f t="shared" si="36"/>
        <v>0</v>
      </c>
      <c r="AE54" s="1227">
        <f t="shared" si="37"/>
        <v>0</v>
      </c>
      <c r="AF54" s="1227">
        <f t="shared" si="38"/>
        <v>0</v>
      </c>
      <c r="AG54" s="635">
        <f t="shared" si="39"/>
        <v>0</v>
      </c>
      <c r="AH54" s="902" t="str">
        <f t="shared" si="40"/>
        <v>OK</v>
      </c>
      <c r="AI54" s="478"/>
      <c r="AJ54" s="901"/>
      <c r="AK54" s="901"/>
      <c r="AL54" s="901"/>
      <c r="AM54" s="901"/>
      <c r="AN54" s="635">
        <f t="shared" si="41"/>
        <v>0</v>
      </c>
      <c r="AO54" s="902" t="str">
        <f t="shared" si="42"/>
        <v>OK</v>
      </c>
      <c r="AP54" s="478"/>
      <c r="AQ54" s="636">
        <f>'Treatment volumes'!N68</f>
        <v>0</v>
      </c>
      <c r="AR54" s="1227">
        <f t="shared" si="43"/>
        <v>0</v>
      </c>
      <c r="AS54" s="1227">
        <f t="shared" si="44"/>
        <v>0</v>
      </c>
      <c r="AT54" s="1227">
        <f t="shared" si="45"/>
        <v>0</v>
      </c>
      <c r="AU54" s="1227">
        <f t="shared" si="46"/>
        <v>0</v>
      </c>
      <c r="AV54" s="635">
        <f>SUM(AP54:AU54)</f>
        <v>0</v>
      </c>
      <c r="AW54" s="902" t="str">
        <f t="shared" si="47"/>
        <v>OK</v>
      </c>
      <c r="AX54" s="478"/>
      <c r="AY54" s="478"/>
      <c r="AZ54" s="478"/>
      <c r="BA54" s="478"/>
      <c r="BB54" s="478"/>
      <c r="BC54" s="478"/>
      <c r="BD54" s="654"/>
      <c r="BE54" s="654"/>
      <c r="BF54" s="654"/>
      <c r="BG54" s="654"/>
      <c r="BH54" s="654"/>
      <c r="BI54" s="654"/>
      <c r="BJ54" s="654"/>
      <c r="BK54" s="654"/>
      <c r="BL54" s="654"/>
      <c r="BM54" s="654"/>
      <c r="BN54" s="654"/>
      <c r="BO54" s="654"/>
      <c r="BP54" s="654"/>
      <c r="BQ54" s="654"/>
      <c r="BR54" s="654"/>
      <c r="BS54" s="654"/>
      <c r="BT54" s="654"/>
      <c r="BU54" s="654"/>
      <c r="BV54" s="654"/>
      <c r="BW54" s="478"/>
      <c r="BX54" s="478"/>
      <c r="BY54" s="478"/>
      <c r="BZ54" s="478"/>
      <c r="CA54" s="478"/>
      <c r="CB54" s="478"/>
      <c r="CC54" s="478"/>
      <c r="CD54" s="478"/>
      <c r="CE54" s="478"/>
    </row>
    <row r="55" spans="1:83" s="3" customFormat="1" ht="17.149999999999999" customHeight="1" x14ac:dyDescent="0.35">
      <c r="A55" s="544"/>
      <c r="B55" s="878" t="s">
        <v>572</v>
      </c>
      <c r="C55" s="889"/>
      <c r="D55" s="1228">
        <f t="shared" si="32"/>
        <v>0</v>
      </c>
      <c r="E55" s="1737"/>
      <c r="F55" s="1738"/>
      <c r="G55" s="1289"/>
      <c r="H55" s="872"/>
      <c r="I55" s="646">
        <f t="shared" si="33"/>
        <v>0</v>
      </c>
      <c r="J55" s="872"/>
      <c r="K55" s="872"/>
      <c r="L55" s="478"/>
      <c r="M55" s="478"/>
      <c r="N55" s="478"/>
      <c r="O55" s="478"/>
      <c r="P55" s="478"/>
      <c r="Q55" s="478"/>
      <c r="R55" s="478"/>
      <c r="S55" s="478"/>
      <c r="T55" s="478"/>
      <c r="U55" s="901"/>
      <c r="V55" s="901"/>
      <c r="W55" s="901"/>
      <c r="X55" s="901"/>
      <c r="Y55" s="635">
        <f t="shared" si="34"/>
        <v>0</v>
      </c>
      <c r="Z55" s="902" t="str">
        <f>IF(AND(C55=0,Y55=0),"OK",IF(AND(C55&gt;0,Y55=1),"OK","Not OK"))</f>
        <v>OK</v>
      </c>
      <c r="AA55" s="478"/>
      <c r="AB55" s="636">
        <f>'Treatment volumes'!K69</f>
        <v>0</v>
      </c>
      <c r="AC55" s="1227">
        <f t="shared" si="35"/>
        <v>0</v>
      </c>
      <c r="AD55" s="1227">
        <f t="shared" si="36"/>
        <v>0</v>
      </c>
      <c r="AE55" s="1227">
        <f t="shared" si="37"/>
        <v>0</v>
      </c>
      <c r="AF55" s="1227">
        <f t="shared" si="38"/>
        <v>0</v>
      </c>
      <c r="AG55" s="635">
        <f t="shared" si="39"/>
        <v>0</v>
      </c>
      <c r="AH55" s="902" t="str">
        <f t="shared" si="40"/>
        <v>OK</v>
      </c>
      <c r="AI55" s="478"/>
      <c r="AJ55" s="901"/>
      <c r="AK55" s="901"/>
      <c r="AL55" s="901"/>
      <c r="AM55" s="901"/>
      <c r="AN55" s="635">
        <f t="shared" si="41"/>
        <v>0</v>
      </c>
      <c r="AO55" s="902" t="str">
        <f t="shared" si="42"/>
        <v>OK</v>
      </c>
      <c r="AP55" s="478"/>
      <c r="AQ55" s="636">
        <f>'Treatment volumes'!N69</f>
        <v>0</v>
      </c>
      <c r="AR55" s="1227">
        <f t="shared" si="43"/>
        <v>0</v>
      </c>
      <c r="AS55" s="1227">
        <f t="shared" si="44"/>
        <v>0</v>
      </c>
      <c r="AT55" s="1227">
        <f t="shared" si="45"/>
        <v>0</v>
      </c>
      <c r="AU55" s="1227">
        <f t="shared" si="46"/>
        <v>0</v>
      </c>
      <c r="AV55" s="635">
        <f>SUM(AP55:AU55)</f>
        <v>0</v>
      </c>
      <c r="AW55" s="902" t="str">
        <f t="shared" si="47"/>
        <v>OK</v>
      </c>
      <c r="AX55" s="478"/>
      <c r="AY55" s="478"/>
      <c r="AZ55" s="478"/>
      <c r="BA55" s="478"/>
      <c r="BB55" s="478"/>
      <c r="BC55" s="478"/>
      <c r="BD55" s="654"/>
      <c r="BE55" s="654"/>
      <c r="BF55" s="654"/>
      <c r="BG55" s="654"/>
      <c r="BH55" s="654"/>
      <c r="BI55" s="654"/>
      <c r="BJ55" s="654"/>
      <c r="BK55" s="654"/>
      <c r="BL55" s="654"/>
      <c r="BM55" s="654"/>
      <c r="BN55" s="654"/>
      <c r="BO55" s="654"/>
      <c r="BP55" s="654"/>
      <c r="BQ55" s="654"/>
      <c r="BR55" s="654"/>
      <c r="BS55" s="654"/>
      <c r="BT55" s="654"/>
      <c r="BU55" s="654"/>
      <c r="BV55" s="654"/>
      <c r="BW55" s="478"/>
      <c r="BX55" s="478"/>
      <c r="BY55" s="478"/>
      <c r="BZ55" s="478"/>
      <c r="CA55" s="478"/>
      <c r="CB55" s="478"/>
      <c r="CC55" s="478"/>
      <c r="CD55" s="478"/>
      <c r="CE55" s="478"/>
    </row>
    <row r="56" spans="1:83" s="3" customFormat="1" ht="17.149999999999999" customHeight="1" x14ac:dyDescent="0.35">
      <c r="A56" s="544"/>
      <c r="B56" s="878" t="s">
        <v>573</v>
      </c>
      <c r="C56" s="889"/>
      <c r="D56" s="1228">
        <f t="shared" si="32"/>
        <v>0</v>
      </c>
      <c r="E56" s="1737"/>
      <c r="F56" s="1738"/>
      <c r="G56" s="1289"/>
      <c r="H56" s="872"/>
      <c r="I56" s="646">
        <f t="shared" si="33"/>
        <v>0</v>
      </c>
      <c r="J56" s="872"/>
      <c r="K56" s="872"/>
      <c r="L56" s="478"/>
      <c r="M56" s="478"/>
      <c r="N56" s="478"/>
      <c r="O56" s="478"/>
      <c r="P56" s="478"/>
      <c r="Q56" s="478"/>
      <c r="R56" s="478"/>
      <c r="S56" s="478"/>
      <c r="T56" s="478"/>
      <c r="U56" s="901"/>
      <c r="V56" s="901"/>
      <c r="W56" s="901"/>
      <c r="X56" s="901"/>
      <c r="Y56" s="635">
        <f t="shared" si="34"/>
        <v>0</v>
      </c>
      <c r="Z56" s="902" t="str">
        <f>IF(AND(C56=0,Y56=0),"OK",IF(AND(C56&gt;0,Y56=1),"OK","Not OK"))</f>
        <v>OK</v>
      </c>
      <c r="AA56" s="478"/>
      <c r="AB56" s="636">
        <f>'Treatment volumes'!K70</f>
        <v>0</v>
      </c>
      <c r="AC56" s="1227">
        <f t="shared" si="35"/>
        <v>0</v>
      </c>
      <c r="AD56" s="1227">
        <f t="shared" si="36"/>
        <v>0</v>
      </c>
      <c r="AE56" s="1227">
        <f t="shared" si="37"/>
        <v>0</v>
      </c>
      <c r="AF56" s="1227">
        <f t="shared" si="38"/>
        <v>0</v>
      </c>
      <c r="AG56" s="635">
        <f t="shared" si="39"/>
        <v>0</v>
      </c>
      <c r="AH56" s="902" t="str">
        <f t="shared" si="40"/>
        <v>OK</v>
      </c>
      <c r="AI56" s="478"/>
      <c r="AJ56" s="901"/>
      <c r="AK56" s="901"/>
      <c r="AL56" s="901"/>
      <c r="AM56" s="901"/>
      <c r="AN56" s="635">
        <f t="shared" si="41"/>
        <v>0</v>
      </c>
      <c r="AO56" s="902" t="str">
        <f t="shared" si="42"/>
        <v>OK</v>
      </c>
      <c r="AP56" s="478"/>
      <c r="AQ56" s="636">
        <f>'Treatment volumes'!N70</f>
        <v>0</v>
      </c>
      <c r="AR56" s="1227">
        <f t="shared" si="43"/>
        <v>0</v>
      </c>
      <c r="AS56" s="1227">
        <f t="shared" si="44"/>
        <v>0</v>
      </c>
      <c r="AT56" s="1227">
        <f t="shared" si="45"/>
        <v>0</v>
      </c>
      <c r="AU56" s="1227">
        <f t="shared" si="46"/>
        <v>0</v>
      </c>
      <c r="AV56" s="635">
        <f>SUM(AP56:AU56)</f>
        <v>0</v>
      </c>
      <c r="AW56" s="902" t="str">
        <f t="shared" si="47"/>
        <v>OK</v>
      </c>
      <c r="AX56" s="478"/>
      <c r="AY56" s="478"/>
      <c r="AZ56" s="478"/>
      <c r="BA56" s="478"/>
      <c r="BB56" s="478"/>
      <c r="BC56" s="478"/>
      <c r="BD56" s="654"/>
      <c r="BE56" s="654"/>
      <c r="BF56" s="654"/>
      <c r="BG56" s="654"/>
      <c r="BH56" s="654"/>
      <c r="BI56" s="654"/>
      <c r="BJ56" s="654"/>
      <c r="BK56" s="654"/>
      <c r="BL56" s="654"/>
      <c r="BM56" s="654"/>
      <c r="BN56" s="654"/>
      <c r="BO56" s="654"/>
      <c r="BP56" s="654"/>
      <c r="BQ56" s="654"/>
      <c r="BR56" s="654"/>
      <c r="BS56" s="654"/>
      <c r="BT56" s="654"/>
      <c r="BU56" s="654"/>
      <c r="BV56" s="654"/>
      <c r="BW56" s="478"/>
      <c r="BX56" s="478"/>
      <c r="BY56" s="478"/>
      <c r="BZ56" s="478"/>
      <c r="CA56" s="478"/>
      <c r="CB56" s="478"/>
      <c r="CC56" s="478"/>
      <c r="CD56" s="478"/>
      <c r="CE56" s="478"/>
    </row>
    <row r="57" spans="1:83" s="3" customFormat="1" ht="17.149999999999999" customHeight="1" x14ac:dyDescent="0.35">
      <c r="A57" s="544"/>
      <c r="B57" s="878" t="s">
        <v>574</v>
      </c>
      <c r="C57" s="889"/>
      <c r="D57" s="1228">
        <f t="shared" si="32"/>
        <v>0</v>
      </c>
      <c r="E57" s="1737"/>
      <c r="F57" s="1738"/>
      <c r="G57" s="1289"/>
      <c r="H57" s="872"/>
      <c r="I57" s="646">
        <f t="shared" si="33"/>
        <v>0</v>
      </c>
      <c r="J57" s="872"/>
      <c r="K57" s="872"/>
      <c r="L57" s="478"/>
      <c r="M57" s="478"/>
      <c r="N57" s="478"/>
      <c r="O57" s="478"/>
      <c r="P57" s="478"/>
      <c r="Q57" s="478"/>
      <c r="R57" s="478"/>
      <c r="S57" s="478"/>
      <c r="T57" s="478"/>
      <c r="U57" s="901"/>
      <c r="V57" s="901"/>
      <c r="W57" s="901"/>
      <c r="X57" s="901"/>
      <c r="Y57" s="635">
        <f t="shared" si="34"/>
        <v>0</v>
      </c>
      <c r="Z57" s="902" t="str">
        <f>IF(AND(C57=0,Y57=0),"OK",IF(AND(C57&gt;0,Y57=1),"OK","Not OK"))</f>
        <v>OK</v>
      </c>
      <c r="AA57" s="478"/>
      <c r="AB57" s="636">
        <f>'Treatment volumes'!K71</f>
        <v>0</v>
      </c>
      <c r="AC57" s="1227">
        <f t="shared" si="35"/>
        <v>0</v>
      </c>
      <c r="AD57" s="1227">
        <f t="shared" si="36"/>
        <v>0</v>
      </c>
      <c r="AE57" s="1227">
        <f t="shared" si="37"/>
        <v>0</v>
      </c>
      <c r="AF57" s="1227">
        <f t="shared" si="38"/>
        <v>0</v>
      </c>
      <c r="AG57" s="635">
        <f t="shared" si="39"/>
        <v>0</v>
      </c>
      <c r="AH57" s="902" t="str">
        <f t="shared" si="40"/>
        <v>OK</v>
      </c>
      <c r="AI57" s="478"/>
      <c r="AJ57" s="901"/>
      <c r="AK57" s="901"/>
      <c r="AL57" s="901"/>
      <c r="AM57" s="901"/>
      <c r="AN57" s="635">
        <f t="shared" si="41"/>
        <v>0</v>
      </c>
      <c r="AO57" s="902" t="str">
        <f t="shared" si="42"/>
        <v>OK</v>
      </c>
      <c r="AP57" s="478"/>
      <c r="AQ57" s="636">
        <f>'Treatment volumes'!N71</f>
        <v>0</v>
      </c>
      <c r="AR57" s="1227">
        <f t="shared" si="43"/>
        <v>0</v>
      </c>
      <c r="AS57" s="1227">
        <f t="shared" si="44"/>
        <v>0</v>
      </c>
      <c r="AT57" s="1227">
        <f t="shared" si="45"/>
        <v>0</v>
      </c>
      <c r="AU57" s="1227">
        <f t="shared" si="46"/>
        <v>0</v>
      </c>
      <c r="AV57" s="635">
        <f>SUM(AP57:AU57)</f>
        <v>0</v>
      </c>
      <c r="AW57" s="902" t="str">
        <f t="shared" si="47"/>
        <v>OK</v>
      </c>
      <c r="AX57" s="478"/>
      <c r="AY57" s="478"/>
      <c r="AZ57" s="478"/>
      <c r="BA57" s="478"/>
      <c r="BB57" s="478"/>
      <c r="BC57" s="478"/>
      <c r="BD57" s="654"/>
      <c r="BE57" s="654"/>
      <c r="BF57" s="654"/>
      <c r="BG57" s="654"/>
      <c r="BH57" s="654"/>
      <c r="BI57" s="654"/>
      <c r="BJ57" s="654"/>
      <c r="BK57" s="654"/>
      <c r="BL57" s="654"/>
      <c r="BM57" s="654"/>
      <c r="BN57" s="654"/>
      <c r="BO57" s="654"/>
      <c r="BP57" s="654"/>
      <c r="BQ57" s="654"/>
      <c r="BR57" s="654"/>
      <c r="BS57" s="654"/>
      <c r="BT57" s="654"/>
      <c r="BU57" s="654"/>
      <c r="BV57" s="654"/>
      <c r="BW57" s="478"/>
      <c r="BX57" s="478"/>
      <c r="BY57" s="478"/>
      <c r="BZ57" s="478"/>
      <c r="CA57" s="478"/>
      <c r="CB57" s="478"/>
      <c r="CC57" s="478"/>
      <c r="CD57" s="478"/>
      <c r="CE57" s="478"/>
    </row>
    <row r="58" spans="1:83" s="3" customFormat="1" ht="17.149999999999999" customHeight="1" x14ac:dyDescent="0.35">
      <c r="A58" s="544"/>
      <c r="B58" s="878" t="s">
        <v>575</v>
      </c>
      <c r="C58" s="889"/>
      <c r="D58" s="1228">
        <f t="shared" si="32"/>
        <v>0</v>
      </c>
      <c r="E58" s="1737"/>
      <c r="F58" s="1738"/>
      <c r="G58" s="1289"/>
      <c r="H58" s="872"/>
      <c r="I58" s="646">
        <f t="shared" si="33"/>
        <v>0</v>
      </c>
      <c r="J58" s="872"/>
      <c r="K58" s="872"/>
      <c r="L58" s="478"/>
      <c r="M58" s="478"/>
      <c r="N58" s="478"/>
      <c r="O58" s="478"/>
      <c r="P58" s="478"/>
      <c r="Q58" s="478"/>
      <c r="R58" s="478"/>
      <c r="S58" s="478"/>
      <c r="T58" s="478"/>
      <c r="U58" s="901"/>
      <c r="V58" s="901"/>
      <c r="W58" s="901"/>
      <c r="X58" s="901"/>
      <c r="Y58" s="635">
        <f t="shared" si="34"/>
        <v>0</v>
      </c>
      <c r="Z58" s="902" t="str">
        <f>IF(AND(C58=0,Y58=0),"OK",IF(AND(C58&gt;0,Y58=1),"OK","Not OK"))</f>
        <v>OK</v>
      </c>
      <c r="AA58" s="478"/>
      <c r="AB58" s="636">
        <f>'Treatment volumes'!K72</f>
        <v>0</v>
      </c>
      <c r="AC58" s="1227">
        <f t="shared" si="35"/>
        <v>0</v>
      </c>
      <c r="AD58" s="1227">
        <f t="shared" si="36"/>
        <v>0</v>
      </c>
      <c r="AE58" s="1227">
        <f t="shared" si="37"/>
        <v>0</v>
      </c>
      <c r="AF58" s="1227">
        <f t="shared" si="38"/>
        <v>0</v>
      </c>
      <c r="AG58" s="635">
        <f t="shared" si="39"/>
        <v>0</v>
      </c>
      <c r="AH58" s="902" t="str">
        <f t="shared" si="40"/>
        <v>OK</v>
      </c>
      <c r="AI58" s="478"/>
      <c r="AJ58" s="901"/>
      <c r="AK58" s="901"/>
      <c r="AL58" s="901"/>
      <c r="AM58" s="901"/>
      <c r="AN58" s="635">
        <f t="shared" si="41"/>
        <v>0</v>
      </c>
      <c r="AO58" s="902" t="str">
        <f t="shared" si="42"/>
        <v>OK</v>
      </c>
      <c r="AP58" s="478"/>
      <c r="AQ58" s="636">
        <f>'Treatment volumes'!N72</f>
        <v>0</v>
      </c>
      <c r="AR58" s="1227">
        <f t="shared" si="43"/>
        <v>0</v>
      </c>
      <c r="AS58" s="1227">
        <f t="shared" si="44"/>
        <v>0</v>
      </c>
      <c r="AT58" s="1227">
        <f t="shared" si="45"/>
        <v>0</v>
      </c>
      <c r="AU58" s="1227">
        <f t="shared" si="46"/>
        <v>0</v>
      </c>
      <c r="AV58" s="635">
        <f>SUM(AP58:AU58)</f>
        <v>0</v>
      </c>
      <c r="AW58" s="902" t="str">
        <f t="shared" si="47"/>
        <v>OK</v>
      </c>
      <c r="AX58" s="478"/>
      <c r="AY58" s="478"/>
      <c r="AZ58" s="478"/>
      <c r="BA58" s="478"/>
      <c r="BB58" s="478"/>
      <c r="BC58" s="478"/>
      <c r="BD58" s="654"/>
      <c r="BE58" s="654"/>
      <c r="BF58" s="654"/>
      <c r="BG58" s="654"/>
      <c r="BH58" s="654"/>
      <c r="BI58" s="654"/>
      <c r="BJ58" s="654"/>
      <c r="BK58" s="654"/>
      <c r="BL58" s="654"/>
      <c r="BM58" s="654"/>
      <c r="BN58" s="654"/>
      <c r="BO58" s="654"/>
      <c r="BP58" s="654"/>
      <c r="BQ58" s="654"/>
      <c r="BR58" s="654"/>
      <c r="BS58" s="654"/>
      <c r="BT58" s="654"/>
      <c r="BU58" s="654"/>
      <c r="BV58" s="654"/>
      <c r="BW58" s="478"/>
      <c r="BX58" s="478"/>
      <c r="BY58" s="478"/>
      <c r="BZ58" s="478"/>
      <c r="CA58" s="478"/>
      <c r="CB58" s="478"/>
      <c r="CC58" s="478"/>
      <c r="CD58" s="478"/>
      <c r="CE58" s="478"/>
    </row>
    <row r="59" spans="1:83" ht="17.149999999999999" customHeight="1" x14ac:dyDescent="0.35">
      <c r="A59" s="544"/>
      <c r="B59" s="594" t="s">
        <v>208</v>
      </c>
      <c r="C59" s="1210">
        <f>SUM(C53:C58)</f>
        <v>0</v>
      </c>
      <c r="D59" s="1180">
        <f>SUM(D49:D58)</f>
        <v>0</v>
      </c>
      <c r="E59" s="640"/>
      <c r="F59" s="640"/>
      <c r="G59" s="641"/>
      <c r="H59" s="478"/>
      <c r="I59" s="489"/>
      <c r="J59" s="489"/>
      <c r="K59" s="489"/>
      <c r="M59" s="544"/>
      <c r="N59" s="544"/>
      <c r="O59" s="544"/>
      <c r="P59" s="544"/>
      <c r="Q59" s="544"/>
      <c r="R59" s="544"/>
      <c r="S59" s="544"/>
      <c r="U59" s="544"/>
      <c r="V59" s="544"/>
      <c r="W59" s="544"/>
      <c r="X59" s="544"/>
      <c r="Y59" s="544"/>
      <c r="Z59" s="544"/>
      <c r="AB59" s="544"/>
      <c r="AC59" s="544"/>
      <c r="AD59" s="544"/>
      <c r="AE59" s="544"/>
      <c r="AF59" s="544"/>
      <c r="AG59" s="544"/>
      <c r="AH59" s="544"/>
      <c r="AJ59" s="544"/>
      <c r="AK59" s="544"/>
      <c r="AL59" s="544"/>
      <c r="AM59" s="544"/>
      <c r="AN59" s="544"/>
      <c r="AO59" s="544"/>
      <c r="AQ59" s="544"/>
      <c r="AR59" s="544"/>
      <c r="AS59" s="544"/>
      <c r="AT59" s="544"/>
      <c r="AU59" s="544"/>
      <c r="AV59" s="544"/>
      <c r="AW59" s="544"/>
      <c r="BD59" s="655"/>
      <c r="BE59" s="655"/>
      <c r="BF59" s="655"/>
      <c r="BG59" s="655"/>
      <c r="BH59" s="655"/>
      <c r="BI59" s="655"/>
      <c r="BJ59" s="655"/>
      <c r="BK59" s="655"/>
      <c r="BL59" s="655"/>
      <c r="BM59" s="655"/>
      <c r="BN59" s="655"/>
      <c r="BO59" s="655"/>
      <c r="BP59" s="655"/>
      <c r="BQ59" s="655"/>
      <c r="BR59" s="655"/>
      <c r="BS59" s="655"/>
      <c r="BT59" s="655"/>
      <c r="BU59" s="655"/>
      <c r="BV59" s="655"/>
    </row>
    <row r="60" spans="1:83" ht="17.149999999999999" customHeight="1" x14ac:dyDescent="0.35">
      <c r="A60" s="544"/>
      <c r="B60" s="594" t="s">
        <v>564</v>
      </c>
      <c r="C60" s="1219"/>
      <c r="D60" s="1180">
        <f>'Transport volumes'!B136</f>
        <v>0</v>
      </c>
      <c r="E60" s="640"/>
      <c r="F60" s="640"/>
      <c r="G60" s="641"/>
      <c r="H60" s="478"/>
      <c r="I60" s="489"/>
      <c r="J60" s="489"/>
      <c r="K60" s="489"/>
      <c r="M60" s="544"/>
      <c r="N60" s="544"/>
      <c r="O60" s="544"/>
      <c r="P60" s="544"/>
      <c r="Q60" s="544"/>
      <c r="R60" s="544"/>
      <c r="S60" s="544"/>
      <c r="U60" s="544"/>
      <c r="V60" s="544"/>
      <c r="W60" s="544"/>
      <c r="X60" s="544"/>
      <c r="Y60" s="544"/>
      <c r="Z60" s="544"/>
      <c r="AB60" s="544"/>
      <c r="AC60" s="544"/>
      <c r="AD60" s="544"/>
      <c r="AE60" s="544"/>
      <c r="AF60" s="544"/>
      <c r="AG60" s="544"/>
      <c r="AH60" s="544"/>
      <c r="AJ60" s="544"/>
      <c r="AK60" s="544"/>
      <c r="AL60" s="544"/>
      <c r="AM60" s="544"/>
      <c r="AN60" s="544"/>
      <c r="AO60" s="544"/>
      <c r="AQ60" s="544"/>
      <c r="AR60" s="544"/>
      <c r="AS60" s="544"/>
      <c r="AT60" s="544"/>
      <c r="AU60" s="544"/>
      <c r="AV60" s="544"/>
      <c r="AW60" s="544"/>
      <c r="BD60" s="655"/>
      <c r="BE60" s="655"/>
      <c r="BF60" s="655"/>
      <c r="BG60" s="655"/>
      <c r="BH60" s="655"/>
      <c r="BI60" s="655"/>
      <c r="BJ60" s="655"/>
      <c r="BK60" s="655"/>
      <c r="BL60" s="655"/>
      <c r="BM60" s="655"/>
      <c r="BN60" s="655"/>
      <c r="BO60" s="655"/>
      <c r="BP60" s="655"/>
      <c r="BQ60" s="655"/>
      <c r="BR60" s="655"/>
      <c r="BS60" s="655"/>
      <c r="BT60" s="655"/>
      <c r="BU60" s="655"/>
      <c r="BV60" s="655"/>
    </row>
    <row r="61" spans="1:83" ht="17.149999999999999" customHeight="1" x14ac:dyDescent="0.35">
      <c r="A61" s="544"/>
      <c r="B61" s="567" t="s">
        <v>251</v>
      </c>
      <c r="C61" s="651">
        <f>IF(D60&gt;0,1-C59,0)</f>
        <v>0</v>
      </c>
      <c r="D61" s="651">
        <f>D59-D60</f>
        <v>0</v>
      </c>
      <c r="E61" s="640"/>
      <c r="F61" s="640"/>
      <c r="G61" s="641"/>
      <c r="H61" s="478"/>
      <c r="I61" s="489"/>
      <c r="J61" s="489"/>
      <c r="K61" s="489"/>
      <c r="M61" s="544"/>
      <c r="N61" s="544"/>
      <c r="O61" s="544"/>
      <c r="P61" s="544"/>
      <c r="Q61" s="544"/>
      <c r="R61" s="544"/>
      <c r="S61" s="544"/>
      <c r="U61" s="544"/>
      <c r="V61" s="544"/>
      <c r="W61" s="544"/>
      <c r="X61" s="544"/>
      <c r="Y61" s="544"/>
      <c r="Z61" s="544"/>
      <c r="AB61" s="544"/>
      <c r="AC61" s="544"/>
      <c r="AD61" s="544"/>
      <c r="AE61" s="544"/>
      <c r="AF61" s="544"/>
      <c r="AG61" s="544"/>
      <c r="AH61" s="544"/>
      <c r="AJ61" s="544"/>
      <c r="AK61" s="544"/>
      <c r="AL61" s="544"/>
      <c r="AM61" s="544"/>
      <c r="AN61" s="544"/>
      <c r="AO61" s="544"/>
      <c r="AQ61" s="544"/>
      <c r="AR61" s="544"/>
      <c r="AS61" s="544"/>
      <c r="AT61" s="544"/>
      <c r="AU61" s="544"/>
      <c r="AV61" s="544"/>
      <c r="AW61" s="544"/>
      <c r="BD61" s="655"/>
      <c r="BE61" s="655"/>
      <c r="BF61" s="655"/>
      <c r="BG61" s="655"/>
      <c r="BH61" s="655"/>
      <c r="BI61" s="655"/>
      <c r="BJ61" s="655"/>
      <c r="BK61" s="655"/>
      <c r="BL61" s="655"/>
      <c r="BM61" s="655"/>
      <c r="BN61" s="655"/>
      <c r="BO61" s="655"/>
      <c r="BP61" s="655"/>
      <c r="BQ61" s="655"/>
      <c r="BR61" s="655"/>
      <c r="BS61" s="655"/>
      <c r="BT61" s="655"/>
      <c r="BU61" s="655"/>
      <c r="BV61" s="655"/>
    </row>
    <row r="62" spans="1:83" ht="17.149999999999999" customHeight="1" x14ac:dyDescent="0.35">
      <c r="A62" s="544"/>
      <c r="B62" s="478"/>
      <c r="C62" s="174" t="str">
        <f>IF(C61=0,"OK","Not OK")</f>
        <v>OK</v>
      </c>
      <c r="D62" s="174" t="str">
        <f>IF(D61=0,"OK","Not OK")</f>
        <v>OK</v>
      </c>
      <c r="E62" s="640"/>
      <c r="F62" s="640"/>
      <c r="G62" s="641"/>
      <c r="H62" s="478"/>
      <c r="I62" s="489"/>
      <c r="J62" s="489"/>
      <c r="K62" s="489"/>
      <c r="M62" s="544"/>
      <c r="N62" s="544"/>
      <c r="O62" s="544"/>
      <c r="P62" s="544"/>
      <c r="Q62" s="544"/>
      <c r="R62" s="544"/>
      <c r="S62" s="544"/>
      <c r="U62" s="544"/>
      <c r="V62" s="544"/>
      <c r="W62" s="544"/>
      <c r="X62" s="544"/>
      <c r="Y62" s="544"/>
      <c r="Z62" s="544"/>
      <c r="AB62" s="544"/>
      <c r="AC62" s="544"/>
      <c r="AD62" s="544"/>
      <c r="AE62" s="544"/>
      <c r="AF62" s="544"/>
      <c r="AG62" s="544"/>
      <c r="AH62" s="544"/>
      <c r="AJ62" s="544"/>
      <c r="AK62" s="544"/>
      <c r="AL62" s="544"/>
      <c r="AM62" s="544"/>
      <c r="AN62" s="544"/>
      <c r="AO62" s="544"/>
      <c r="AQ62" s="544"/>
      <c r="AR62" s="544"/>
      <c r="AS62" s="544"/>
      <c r="AT62" s="544"/>
      <c r="AU62" s="544"/>
      <c r="AV62" s="544"/>
      <c r="AW62" s="544"/>
      <c r="BD62" s="655"/>
      <c r="BE62" s="655"/>
      <c r="BF62" s="655"/>
      <c r="BG62" s="655"/>
      <c r="BH62" s="655"/>
      <c r="BI62" s="655"/>
      <c r="BJ62" s="655"/>
      <c r="BK62" s="655"/>
      <c r="BL62" s="655"/>
      <c r="BM62" s="655"/>
      <c r="BN62" s="655"/>
      <c r="BO62" s="655"/>
      <c r="BP62" s="655"/>
      <c r="BQ62" s="655"/>
      <c r="BR62" s="655"/>
      <c r="BS62" s="655"/>
      <c r="BT62" s="655"/>
      <c r="BU62" s="655"/>
      <c r="BV62" s="655"/>
    </row>
    <row r="63" spans="1:83" ht="17.149999999999999" customHeight="1" x14ac:dyDescent="0.35">
      <c r="A63" s="544"/>
      <c r="B63" s="478"/>
      <c r="C63" s="645"/>
      <c r="D63" s="645"/>
      <c r="E63" s="640"/>
      <c r="F63" s="640"/>
      <c r="G63" s="641"/>
      <c r="H63" s="478"/>
      <c r="I63" s="489"/>
      <c r="J63" s="489"/>
      <c r="K63" s="489"/>
      <c r="M63" s="544"/>
      <c r="N63" s="544"/>
      <c r="O63" s="544"/>
      <c r="P63" s="544"/>
      <c r="Q63" s="544"/>
      <c r="R63" s="544"/>
      <c r="S63" s="544"/>
      <c r="U63" s="544"/>
      <c r="V63" s="544"/>
      <c r="W63" s="544"/>
      <c r="X63" s="544"/>
      <c r="Y63" s="544"/>
      <c r="Z63" s="544"/>
      <c r="AB63" s="544"/>
      <c r="AC63" s="544"/>
      <c r="AD63" s="544"/>
      <c r="AE63" s="544"/>
      <c r="AF63" s="544"/>
      <c r="AG63" s="544"/>
      <c r="AH63" s="544"/>
      <c r="AJ63" s="544"/>
      <c r="AK63" s="544"/>
      <c r="AL63" s="544"/>
      <c r="AM63" s="544"/>
      <c r="AN63" s="544"/>
      <c r="AO63" s="544"/>
      <c r="AQ63" s="544"/>
      <c r="AR63" s="544"/>
      <c r="AS63" s="544"/>
      <c r="AT63" s="544"/>
      <c r="AU63" s="544"/>
      <c r="AV63" s="544"/>
      <c r="AW63" s="544"/>
      <c r="BD63" s="655"/>
      <c r="BE63" s="655"/>
      <c r="BF63" s="655"/>
      <c r="BG63" s="655"/>
      <c r="BH63" s="655"/>
      <c r="BI63" s="655"/>
      <c r="BJ63" s="655"/>
      <c r="BK63" s="655"/>
      <c r="BL63" s="655"/>
      <c r="BM63" s="655"/>
      <c r="BN63" s="655"/>
      <c r="BO63" s="655"/>
      <c r="BP63" s="655"/>
      <c r="BQ63" s="655"/>
      <c r="BR63" s="655"/>
      <c r="BS63" s="655"/>
      <c r="BT63" s="655"/>
      <c r="BU63" s="655"/>
      <c r="BV63" s="655"/>
    </row>
    <row r="64" spans="1:83" ht="17.149999999999999" customHeight="1" x14ac:dyDescent="0.35">
      <c r="A64" s="544"/>
      <c r="B64" s="478"/>
      <c r="C64" s="478"/>
      <c r="D64" s="478"/>
      <c r="E64" s="640"/>
      <c r="F64" s="640"/>
      <c r="G64" s="641"/>
      <c r="H64" s="478"/>
      <c r="I64" s="489"/>
      <c r="J64" s="489"/>
      <c r="K64" s="489"/>
      <c r="M64" s="544"/>
      <c r="N64" s="544"/>
      <c r="O64" s="544"/>
      <c r="P64" s="544"/>
      <c r="Q64" s="544"/>
      <c r="R64" s="544"/>
      <c r="S64" s="544"/>
      <c r="U64" s="544"/>
      <c r="V64" s="544"/>
      <c r="W64" s="544"/>
      <c r="X64" s="544"/>
      <c r="Y64" s="544"/>
      <c r="Z64" s="544"/>
      <c r="AB64" s="544"/>
      <c r="AC64" s="544"/>
      <c r="AD64" s="544"/>
      <c r="AE64" s="544"/>
      <c r="AF64" s="544"/>
      <c r="AG64" s="544"/>
      <c r="AH64" s="544"/>
      <c r="AJ64" s="544"/>
      <c r="AK64" s="544"/>
      <c r="AL64" s="544"/>
      <c r="AM64" s="544"/>
      <c r="AN64" s="544"/>
      <c r="AO64" s="544"/>
      <c r="AQ64" s="544"/>
      <c r="AR64" s="544"/>
      <c r="AS64" s="544"/>
      <c r="AT64" s="544"/>
      <c r="AU64" s="544"/>
      <c r="AV64" s="544"/>
      <c r="AW64" s="544"/>
      <c r="BD64" s="655"/>
      <c r="BE64" s="655"/>
      <c r="BF64" s="655"/>
      <c r="BG64" s="655"/>
      <c r="BH64" s="655"/>
      <c r="BI64" s="655"/>
      <c r="BJ64" s="655"/>
      <c r="BK64" s="655"/>
      <c r="BL64" s="655"/>
      <c r="BM64" s="655"/>
      <c r="BN64" s="655"/>
      <c r="BO64" s="655"/>
      <c r="BP64" s="655"/>
      <c r="BQ64" s="655"/>
      <c r="BR64" s="655"/>
      <c r="BS64" s="655"/>
      <c r="BT64" s="655"/>
      <c r="BU64" s="655"/>
      <c r="BV64" s="655"/>
    </row>
    <row r="65" spans="1:83" ht="17.149999999999999" customHeight="1" x14ac:dyDescent="0.35">
      <c r="A65" s="544"/>
      <c r="B65" s="564" t="s">
        <v>576</v>
      </c>
      <c r="C65" s="544"/>
      <c r="D65" s="544"/>
      <c r="E65" s="544"/>
      <c r="F65" s="544"/>
      <c r="G65" s="544"/>
      <c r="H65" s="633"/>
      <c r="I65" s="544"/>
      <c r="J65" s="544"/>
      <c r="K65" s="652" t="s">
        <v>506</v>
      </c>
      <c r="M65" s="544"/>
      <c r="N65" s="544"/>
      <c r="O65" s="544"/>
      <c r="P65" s="544"/>
      <c r="Q65" s="544"/>
      <c r="R65" s="544"/>
      <c r="S65" s="544"/>
      <c r="U65" s="564" t="s">
        <v>577</v>
      </c>
      <c r="V65" s="544"/>
      <c r="W65" s="544"/>
      <c r="X65" s="544"/>
      <c r="Y65" s="544"/>
      <c r="Z65" s="544"/>
      <c r="AB65" s="544"/>
      <c r="AC65" s="544"/>
      <c r="AD65" s="544"/>
      <c r="AE65" s="544"/>
      <c r="AF65" s="544"/>
      <c r="AG65" s="544"/>
      <c r="AH65" s="544"/>
      <c r="AJ65" s="564" t="s">
        <v>578</v>
      </c>
      <c r="AK65" s="544"/>
      <c r="AL65" s="544"/>
      <c r="AM65" s="544"/>
      <c r="AN65" s="544"/>
      <c r="AO65" s="544"/>
      <c r="AQ65" s="544"/>
      <c r="AR65" s="544"/>
      <c r="AS65" s="544"/>
      <c r="AT65" s="544"/>
      <c r="AU65" s="544"/>
      <c r="AV65" s="544"/>
      <c r="AW65" s="544"/>
      <c r="BD65" s="655"/>
      <c r="BE65" s="655"/>
      <c r="BF65" s="655"/>
      <c r="BG65" s="655"/>
      <c r="BH65" s="655"/>
      <c r="BI65" s="655"/>
      <c r="BJ65" s="655"/>
      <c r="BK65" s="655"/>
      <c r="BL65" s="655"/>
      <c r="BM65" s="655"/>
      <c r="BN65" s="655"/>
      <c r="BO65" s="655"/>
      <c r="BP65" s="655"/>
      <c r="BQ65" s="655"/>
      <c r="BR65" s="655"/>
      <c r="BS65" s="655"/>
      <c r="BT65" s="655"/>
      <c r="BU65" s="655"/>
      <c r="BV65" s="655"/>
    </row>
    <row r="66" spans="1:83" ht="17.149999999999999" customHeight="1" x14ac:dyDescent="0.35">
      <c r="A66" s="544"/>
      <c r="B66" s="478"/>
      <c r="C66" s="478"/>
      <c r="D66" s="478"/>
      <c r="E66" s="640"/>
      <c r="F66" s="640"/>
      <c r="G66" s="641"/>
      <c r="H66" s="478"/>
      <c r="I66" s="489"/>
      <c r="J66" s="489"/>
      <c r="K66" s="489"/>
      <c r="M66" s="544"/>
      <c r="N66" s="544"/>
      <c r="O66" s="544"/>
      <c r="P66" s="544"/>
      <c r="Q66" s="544"/>
      <c r="R66" s="544"/>
      <c r="S66" s="544"/>
      <c r="U66" s="1668" t="s">
        <v>509</v>
      </c>
      <c r="V66" s="1668"/>
      <c r="W66" s="1668"/>
      <c r="X66" s="1668"/>
      <c r="Y66" s="1668"/>
      <c r="Z66" s="1668"/>
      <c r="AB66" s="1668" t="s">
        <v>510</v>
      </c>
      <c r="AC66" s="1668"/>
      <c r="AD66" s="1668"/>
      <c r="AE66" s="1668"/>
      <c r="AF66" s="1668"/>
      <c r="AG66" s="1668"/>
      <c r="AH66" s="1668"/>
      <c r="AJ66" s="1697" t="s">
        <v>511</v>
      </c>
      <c r="AK66" s="1698"/>
      <c r="AL66" s="1698"/>
      <c r="AM66" s="1698"/>
      <c r="AN66" s="1698"/>
      <c r="AO66" s="1699"/>
      <c r="AQ66" s="1668" t="s">
        <v>512</v>
      </c>
      <c r="AR66" s="1668"/>
      <c r="AS66" s="1668"/>
      <c r="AT66" s="1668"/>
      <c r="AU66" s="1668"/>
      <c r="AV66" s="1668"/>
      <c r="AW66" s="1668"/>
      <c r="BD66" s="655"/>
      <c r="BE66" s="655"/>
      <c r="BF66" s="655"/>
      <c r="BG66" s="655"/>
      <c r="BH66" s="655"/>
      <c r="BI66" s="655"/>
      <c r="BJ66" s="655"/>
      <c r="BK66" s="655"/>
      <c r="BL66" s="655"/>
      <c r="BM66" s="655"/>
      <c r="BN66" s="655"/>
      <c r="BO66" s="655"/>
      <c r="BP66" s="655"/>
      <c r="BQ66" s="655"/>
      <c r="BR66" s="655"/>
      <c r="BS66" s="655"/>
      <c r="BT66" s="655"/>
      <c r="BU66" s="655"/>
      <c r="BV66" s="655"/>
    </row>
    <row r="67" spans="1:83" ht="17.149999999999999" customHeight="1" x14ac:dyDescent="0.35">
      <c r="A67" s="544"/>
      <c r="B67" s="1724" t="s">
        <v>579</v>
      </c>
      <c r="C67" s="1733" t="s">
        <v>514</v>
      </c>
      <c r="D67" s="1733" t="s">
        <v>515</v>
      </c>
      <c r="E67" s="1731" t="s">
        <v>516</v>
      </c>
      <c r="F67" s="1732"/>
      <c r="G67" s="1724" t="s">
        <v>580</v>
      </c>
      <c r="H67" s="1709" t="s">
        <v>518</v>
      </c>
      <c r="I67" s="1709"/>
      <c r="J67" s="1724" t="s">
        <v>519</v>
      </c>
      <c r="K67" s="1724" t="s">
        <v>520</v>
      </c>
      <c r="M67" s="544"/>
      <c r="N67" s="544"/>
      <c r="O67" s="544"/>
      <c r="P67" s="544"/>
      <c r="Q67" s="544"/>
      <c r="R67" s="544"/>
      <c r="S67" s="544"/>
      <c r="U67" s="1668" t="s">
        <v>522</v>
      </c>
      <c r="V67" s="1668"/>
      <c r="W67" s="1668"/>
      <c r="X67" s="1668"/>
      <c r="Y67" s="1668"/>
      <c r="Z67" s="1668"/>
      <c r="AB67" s="1724" t="s">
        <v>522</v>
      </c>
      <c r="AC67" s="1724"/>
      <c r="AD67" s="1724"/>
      <c r="AE67" s="1724"/>
      <c r="AF67" s="1724"/>
      <c r="AG67" s="1724"/>
      <c r="AH67" s="1724"/>
      <c r="AJ67" s="1668" t="s">
        <v>522</v>
      </c>
      <c r="AK67" s="1668"/>
      <c r="AL67" s="1668"/>
      <c r="AM67" s="1668"/>
      <c r="AN67" s="1668"/>
      <c r="AO67" s="1668"/>
      <c r="AQ67" s="1668" t="s">
        <v>522</v>
      </c>
      <c r="AR67" s="1668"/>
      <c r="AS67" s="1668"/>
      <c r="AT67" s="1668"/>
      <c r="AU67" s="1668"/>
      <c r="AV67" s="1668"/>
      <c r="AW67" s="1668"/>
      <c r="BD67" s="655"/>
      <c r="BE67" s="655"/>
      <c r="BF67" s="655"/>
      <c r="BG67" s="655"/>
      <c r="BH67" s="655"/>
      <c r="BI67" s="655"/>
      <c r="BJ67" s="655"/>
      <c r="BK67" s="655"/>
      <c r="BL67" s="655"/>
      <c r="BM67" s="655"/>
      <c r="BN67" s="655"/>
      <c r="BO67" s="655"/>
      <c r="BP67" s="655"/>
      <c r="BQ67" s="655"/>
      <c r="BR67" s="655"/>
      <c r="BS67" s="655"/>
      <c r="BT67" s="655"/>
      <c r="BU67" s="655"/>
      <c r="BV67" s="655"/>
    </row>
    <row r="68" spans="1:83" ht="60" customHeight="1" x14ac:dyDescent="0.35">
      <c r="A68" s="544"/>
      <c r="B68" s="1724"/>
      <c r="C68" s="1734"/>
      <c r="D68" s="1734"/>
      <c r="E68" s="1735"/>
      <c r="F68" s="1736"/>
      <c r="G68" s="1724"/>
      <c r="H68" s="1484" t="s">
        <v>523</v>
      </c>
      <c r="I68" s="1484" t="s">
        <v>524</v>
      </c>
      <c r="J68" s="1724"/>
      <c r="K68" s="1724"/>
      <c r="M68" s="544"/>
      <c r="N68" s="544"/>
      <c r="O68" s="544"/>
      <c r="P68" s="544"/>
      <c r="Q68" s="544"/>
      <c r="R68" s="544"/>
      <c r="S68" s="544"/>
      <c r="U68" s="1487" t="s">
        <v>531</v>
      </c>
      <c r="V68" s="1487" t="s">
        <v>532</v>
      </c>
      <c r="W68" s="1487" t="s">
        <v>533</v>
      </c>
      <c r="X68" s="1487" t="s">
        <v>333</v>
      </c>
      <c r="Y68" s="1487" t="s">
        <v>534</v>
      </c>
      <c r="Z68" s="1487" t="s">
        <v>535</v>
      </c>
      <c r="AB68" s="1487" t="s">
        <v>536</v>
      </c>
      <c r="AC68" s="1487" t="s">
        <v>531</v>
      </c>
      <c r="AD68" s="1487" t="s">
        <v>532</v>
      </c>
      <c r="AE68" s="1487" t="s">
        <v>533</v>
      </c>
      <c r="AF68" s="1487" t="s">
        <v>537</v>
      </c>
      <c r="AG68" s="1487" t="s">
        <v>208</v>
      </c>
      <c r="AH68" s="1487" t="s">
        <v>535</v>
      </c>
      <c r="AJ68" s="1487" t="s">
        <v>538</v>
      </c>
      <c r="AK68" s="1487" t="s">
        <v>539</v>
      </c>
      <c r="AL68" s="1487" t="s">
        <v>540</v>
      </c>
      <c r="AM68" s="1487" t="s">
        <v>333</v>
      </c>
      <c r="AN68" s="1487" t="s">
        <v>534</v>
      </c>
      <c r="AO68" s="1487" t="s">
        <v>535</v>
      </c>
      <c r="AQ68" s="1487" t="s">
        <v>536</v>
      </c>
      <c r="AR68" s="1487" t="s">
        <v>538</v>
      </c>
      <c r="AS68" s="1487" t="s">
        <v>539</v>
      </c>
      <c r="AT68" s="1487" t="s">
        <v>540</v>
      </c>
      <c r="AU68" s="1487" t="s">
        <v>537</v>
      </c>
      <c r="AV68" s="1487" t="s">
        <v>208</v>
      </c>
      <c r="AW68" s="1487" t="s">
        <v>535</v>
      </c>
      <c r="BD68" s="655"/>
      <c r="BE68" s="655"/>
      <c r="BF68" s="655"/>
      <c r="BG68" s="655"/>
      <c r="BH68" s="655"/>
      <c r="BI68" s="655"/>
      <c r="BJ68" s="655"/>
      <c r="BK68" s="655"/>
      <c r="BL68" s="655"/>
      <c r="BM68" s="655"/>
      <c r="BN68" s="655"/>
      <c r="BO68" s="655"/>
      <c r="BP68" s="655"/>
      <c r="BQ68" s="655"/>
      <c r="BR68" s="655"/>
      <c r="BS68" s="655"/>
      <c r="BT68" s="655"/>
      <c r="BU68" s="655"/>
      <c r="BV68" s="655"/>
    </row>
    <row r="69" spans="1:83" s="549" customFormat="1" ht="17.149999999999999" customHeight="1" x14ac:dyDescent="0.35">
      <c r="A69" s="544"/>
      <c r="B69" s="648"/>
      <c r="C69" s="647"/>
      <c r="D69" s="647"/>
      <c r="E69" s="647"/>
      <c r="F69" s="647"/>
      <c r="G69" s="648"/>
      <c r="H69" s="648"/>
      <c r="I69" s="648"/>
      <c r="J69" s="648"/>
      <c r="K69" s="648"/>
      <c r="U69" s="649"/>
      <c r="V69" s="649"/>
      <c r="W69" s="649"/>
      <c r="X69" s="649"/>
      <c r="Y69" s="649"/>
      <c r="Z69" s="556"/>
      <c r="AB69" s="548"/>
      <c r="AC69" s="649"/>
      <c r="AD69" s="649"/>
      <c r="AE69" s="649"/>
      <c r="AF69" s="649"/>
      <c r="AG69" s="649"/>
      <c r="AH69" s="556"/>
      <c r="AJ69" s="649"/>
      <c r="AK69" s="649"/>
      <c r="AL69" s="649"/>
      <c r="AM69" s="649"/>
      <c r="AN69" s="649"/>
      <c r="AO69" s="556"/>
      <c r="AQ69" s="548"/>
      <c r="AR69" s="649"/>
      <c r="AS69" s="649"/>
      <c r="AT69" s="649"/>
      <c r="AU69" s="649"/>
      <c r="AV69" s="649"/>
      <c r="AW69" s="556"/>
      <c r="BD69" s="657"/>
      <c r="BE69" s="657"/>
      <c r="BF69" s="657"/>
      <c r="BG69" s="653" t="s">
        <v>541</v>
      </c>
      <c r="BH69" s="657"/>
      <c r="BI69" s="657"/>
      <c r="BJ69" s="657"/>
      <c r="BK69" s="657"/>
      <c r="BL69" s="657"/>
      <c r="BM69" s="657"/>
      <c r="BN69" s="657"/>
      <c r="BO69" s="657"/>
      <c r="BP69" s="657"/>
      <c r="BQ69" s="657"/>
      <c r="BR69" s="657"/>
      <c r="BS69" s="657"/>
      <c r="BT69" s="657"/>
      <c r="BU69" s="657"/>
      <c r="BV69" s="657"/>
    </row>
    <row r="70" spans="1:83" s="3" customFormat="1" ht="17.149999999999999" customHeight="1" x14ac:dyDescent="0.35">
      <c r="A70" s="544"/>
      <c r="B70" s="1085" t="s">
        <v>581</v>
      </c>
      <c r="C70" s="901">
        <v>0.8</v>
      </c>
      <c r="D70" s="1228">
        <f t="shared" ref="D70:D75" si="48">C70*$D$77</f>
        <v>4926400</v>
      </c>
      <c r="E70" s="1737" t="s">
        <v>582</v>
      </c>
      <c r="F70" s="1738"/>
      <c r="G70" s="1289"/>
      <c r="H70" s="872">
        <f>D70</f>
        <v>4926400</v>
      </c>
      <c r="I70" s="646">
        <f t="shared" ref="I70:I75" si="49">D70-H70</f>
        <v>0</v>
      </c>
      <c r="J70" s="872" t="s">
        <v>324</v>
      </c>
      <c r="K70" s="872"/>
      <c r="L70" s="478"/>
      <c r="M70" s="478"/>
      <c r="N70" s="478"/>
      <c r="O70" s="478"/>
      <c r="P70" s="478"/>
      <c r="Q70" s="478"/>
      <c r="R70" s="478"/>
      <c r="S70" s="478"/>
      <c r="T70" s="478"/>
      <c r="U70" s="901"/>
      <c r="V70" s="901"/>
      <c r="W70" s="901"/>
      <c r="X70" s="901">
        <v>1</v>
      </c>
      <c r="Y70" s="635">
        <f t="shared" ref="Y70:Y75" si="50">SUM(U70:X70)</f>
        <v>1</v>
      </c>
      <c r="Z70" s="902" t="str">
        <f>IF(AND(H70=0,Y70=0),"OK",IF(AND(H70&gt;0,Y70=1),"OK","Not OK"))</f>
        <v>OK</v>
      </c>
      <c r="AA70" s="478"/>
      <c r="AB70" s="636">
        <f>'Treatment volumes'!K85</f>
        <v>0</v>
      </c>
      <c r="AC70" s="1227">
        <f t="shared" ref="AC70:AC75" si="51">IF($AB70&gt;0,U70,0)</f>
        <v>0</v>
      </c>
      <c r="AD70" s="1227">
        <f t="shared" ref="AD70:AF75" si="52">IF($AB70&gt;0,V70,0)</f>
        <v>0</v>
      </c>
      <c r="AE70" s="1227">
        <f t="shared" si="52"/>
        <v>0</v>
      </c>
      <c r="AF70" s="1227">
        <f t="shared" si="52"/>
        <v>0</v>
      </c>
      <c r="AG70" s="635">
        <f t="shared" ref="AG70:AG75" si="53">SUM(AC70:AF70)</f>
        <v>0</v>
      </c>
      <c r="AH70" s="902" t="str">
        <f t="shared" ref="AH70:AH75" si="54">IF(AND(AB70=0,AG70=0),"OK",IF(AND(AB70&gt;0,AG70=1),"OK","Not OK"))</f>
        <v>OK</v>
      </c>
      <c r="AI70" s="478"/>
      <c r="AJ70" s="901"/>
      <c r="AK70" s="901"/>
      <c r="AL70" s="901"/>
      <c r="AM70" s="901"/>
      <c r="AN70" s="635">
        <f t="shared" ref="AN70:AN75" si="55">SUM(AJ70:AM70)</f>
        <v>0</v>
      </c>
      <c r="AO70" s="902" t="str">
        <f t="shared" ref="AO70:AO75" si="56">IF(AND(I70=0,AN70=0),"OK",IF(AND(I70&gt;0,AN70=1),"OK","Not OK"))</f>
        <v>OK</v>
      </c>
      <c r="AP70" s="478"/>
      <c r="AQ70" s="904">
        <f>'Treatment volumes'!N85</f>
        <v>0</v>
      </c>
      <c r="AR70" s="1227">
        <f t="shared" ref="AR70:AR75" si="57">IF($AQ70&gt;0,AJ70,0)</f>
        <v>0</v>
      </c>
      <c r="AS70" s="1227">
        <f t="shared" ref="AS70:AS75" si="58">IF($AQ70&gt;0,AK70,0)</f>
        <v>0</v>
      </c>
      <c r="AT70" s="1227">
        <f t="shared" ref="AT70:AT75" si="59">IF($AQ70&gt;0,AL70,0)</f>
        <v>0</v>
      </c>
      <c r="AU70" s="1227">
        <f t="shared" ref="AU70:AU75" si="60">IF($AQ70&gt;0,AM70,0)</f>
        <v>0</v>
      </c>
      <c r="AV70" s="635">
        <f>SUM(AR70:AU70)</f>
        <v>0</v>
      </c>
      <c r="AW70" s="902" t="str">
        <f t="shared" ref="AW70:AW75" si="61">IF(AND(AQ70=0,AV70=0),"OK",IF(AND(AQ70&gt;0,AV70=1),"OK","Not OK"))</f>
        <v>OK</v>
      </c>
      <c r="AX70" s="478"/>
      <c r="AY70" s="478"/>
      <c r="AZ70" s="478"/>
      <c r="BA70" s="478"/>
      <c r="BB70" s="478"/>
      <c r="BC70" s="478"/>
      <c r="BD70" s="654"/>
      <c r="BE70" s="654"/>
      <c r="BF70" s="654"/>
      <c r="BG70" s="654" t="s">
        <v>582</v>
      </c>
      <c r="BH70" s="654"/>
      <c r="BI70" s="654"/>
      <c r="BJ70" s="654"/>
      <c r="BK70" s="654"/>
      <c r="BL70" s="654"/>
      <c r="BM70" s="654"/>
      <c r="BN70" s="654"/>
      <c r="BO70" s="654"/>
      <c r="BP70" s="654"/>
      <c r="BQ70" s="654"/>
      <c r="BR70" s="654"/>
      <c r="BS70" s="654"/>
      <c r="BT70" s="654"/>
      <c r="BU70" s="654"/>
      <c r="BV70" s="654"/>
      <c r="BW70" s="478"/>
      <c r="BX70" s="478"/>
      <c r="BY70" s="478"/>
      <c r="BZ70" s="478"/>
      <c r="CA70" s="478"/>
      <c r="CB70" s="478"/>
      <c r="CC70" s="478"/>
      <c r="CD70" s="478"/>
      <c r="CE70" s="478"/>
    </row>
    <row r="71" spans="1:83" s="3" customFormat="1" ht="17.149999999999999" customHeight="1" x14ac:dyDescent="0.35">
      <c r="A71" s="544"/>
      <c r="B71" s="1085" t="s">
        <v>583</v>
      </c>
      <c r="C71" s="901">
        <v>0.2</v>
      </c>
      <c r="D71" s="1228">
        <f t="shared" si="48"/>
        <v>1231600</v>
      </c>
      <c r="E71" s="1737" t="s">
        <v>584</v>
      </c>
      <c r="F71" s="1738"/>
      <c r="G71" s="1289"/>
      <c r="H71" s="872">
        <f t="shared" ref="H71:H73" si="62">D71</f>
        <v>1231600</v>
      </c>
      <c r="I71" s="646">
        <f t="shared" si="49"/>
        <v>0</v>
      </c>
      <c r="J71" s="872" t="s">
        <v>323</v>
      </c>
      <c r="K71" s="872"/>
      <c r="L71" s="478"/>
      <c r="M71" s="478"/>
      <c r="N71" s="478"/>
      <c r="O71" s="478"/>
      <c r="P71" s="478"/>
      <c r="Q71" s="478"/>
      <c r="R71" s="478"/>
      <c r="S71" s="478"/>
      <c r="T71" s="478"/>
      <c r="U71" s="901"/>
      <c r="V71" s="901"/>
      <c r="W71" s="901"/>
      <c r="X71" s="901">
        <v>1</v>
      </c>
      <c r="Y71" s="635">
        <f t="shared" si="50"/>
        <v>1</v>
      </c>
      <c r="Z71" s="902" t="str">
        <f>IF(AND(C71=0,Y71=0),"OK",IF(AND(C71&gt;0,Y71=1),"OK","Not OK"))</f>
        <v>OK</v>
      </c>
      <c r="AA71" s="478"/>
      <c r="AB71" s="636">
        <f>'Treatment volumes'!K86</f>
        <v>1231600</v>
      </c>
      <c r="AC71" s="1227">
        <f t="shared" si="51"/>
        <v>0</v>
      </c>
      <c r="AD71" s="1227">
        <f t="shared" si="52"/>
        <v>0</v>
      </c>
      <c r="AE71" s="1227">
        <f t="shared" si="52"/>
        <v>0</v>
      </c>
      <c r="AF71" s="1227">
        <f t="shared" si="52"/>
        <v>1</v>
      </c>
      <c r="AG71" s="635">
        <f t="shared" si="53"/>
        <v>1</v>
      </c>
      <c r="AH71" s="902" t="str">
        <f t="shared" si="54"/>
        <v>OK</v>
      </c>
      <c r="AI71" s="478"/>
      <c r="AJ71" s="901"/>
      <c r="AK71" s="901"/>
      <c r="AL71" s="901"/>
      <c r="AM71" s="901"/>
      <c r="AN71" s="635">
        <f t="shared" si="55"/>
        <v>0</v>
      </c>
      <c r="AO71" s="902" t="str">
        <f t="shared" si="56"/>
        <v>OK</v>
      </c>
      <c r="AP71" s="478"/>
      <c r="AQ71" s="904">
        <f>'Treatment volumes'!N86</f>
        <v>0</v>
      </c>
      <c r="AR71" s="1227">
        <f t="shared" si="57"/>
        <v>0</v>
      </c>
      <c r="AS71" s="1227">
        <f t="shared" si="58"/>
        <v>0</v>
      </c>
      <c r="AT71" s="1227">
        <f t="shared" si="59"/>
        <v>0</v>
      </c>
      <c r="AU71" s="1227">
        <f t="shared" si="60"/>
        <v>0</v>
      </c>
      <c r="AV71" s="635">
        <f>SUM(AP71:AU71)</f>
        <v>0</v>
      </c>
      <c r="AW71" s="902" t="str">
        <f t="shared" si="61"/>
        <v>OK</v>
      </c>
      <c r="AX71" s="478"/>
      <c r="AY71" s="478"/>
      <c r="AZ71" s="478"/>
      <c r="BA71" s="478"/>
      <c r="BB71" s="478"/>
      <c r="BC71" s="478"/>
      <c r="BD71" s="654"/>
      <c r="BE71" s="654"/>
      <c r="BF71" s="654"/>
      <c r="BG71" s="654" t="s">
        <v>584</v>
      </c>
      <c r="BH71" s="654"/>
      <c r="BI71" s="654"/>
      <c r="BJ71" s="654"/>
      <c r="BK71" s="654"/>
      <c r="BL71" s="654"/>
      <c r="BM71" s="654"/>
      <c r="BN71" s="654"/>
      <c r="BO71" s="654"/>
      <c r="BP71" s="654"/>
      <c r="BQ71" s="654"/>
      <c r="BR71" s="654"/>
      <c r="BS71" s="654"/>
      <c r="BT71" s="654"/>
      <c r="BU71" s="654"/>
      <c r="BV71" s="654"/>
      <c r="BW71" s="478"/>
      <c r="BX71" s="478"/>
      <c r="BY71" s="478"/>
      <c r="BZ71" s="478"/>
      <c r="CA71" s="478"/>
      <c r="CB71" s="478"/>
      <c r="CC71" s="478"/>
      <c r="CD71" s="478"/>
      <c r="CE71" s="478"/>
    </row>
    <row r="72" spans="1:83" s="3" customFormat="1" ht="17.149999999999999" customHeight="1" x14ac:dyDescent="0.35">
      <c r="A72" s="544"/>
      <c r="B72" s="1085" t="s">
        <v>585</v>
      </c>
      <c r="C72" s="901"/>
      <c r="D72" s="1228">
        <f t="shared" si="48"/>
        <v>0</v>
      </c>
      <c r="E72" s="1737"/>
      <c r="F72" s="1738"/>
      <c r="G72" s="1289"/>
      <c r="H72" s="872">
        <f t="shared" si="62"/>
        <v>0</v>
      </c>
      <c r="I72" s="646">
        <f t="shared" si="49"/>
        <v>0</v>
      </c>
      <c r="J72" s="872"/>
      <c r="K72" s="872"/>
      <c r="L72" s="478"/>
      <c r="M72" s="478"/>
      <c r="N72" s="478"/>
      <c r="O72" s="478"/>
      <c r="P72" s="478"/>
      <c r="Q72" s="478"/>
      <c r="R72" s="478"/>
      <c r="S72" s="478"/>
      <c r="T72" s="478"/>
      <c r="U72" s="901"/>
      <c r="V72" s="901"/>
      <c r="W72" s="901"/>
      <c r="X72" s="901"/>
      <c r="Y72" s="635">
        <f t="shared" si="50"/>
        <v>0</v>
      </c>
      <c r="Z72" s="902" t="str">
        <f>IF(AND(C72=0,Y72=0),"OK",IF(AND(C72&gt;0,Y72=1),"OK","Not OK"))</f>
        <v>OK</v>
      </c>
      <c r="AA72" s="478"/>
      <c r="AB72" s="636">
        <f>'Treatment volumes'!K87</f>
        <v>0</v>
      </c>
      <c r="AC72" s="1227">
        <f t="shared" si="51"/>
        <v>0</v>
      </c>
      <c r="AD72" s="1227">
        <f t="shared" si="52"/>
        <v>0</v>
      </c>
      <c r="AE72" s="1227">
        <f t="shared" si="52"/>
        <v>0</v>
      </c>
      <c r="AF72" s="1227">
        <f t="shared" si="52"/>
        <v>0</v>
      </c>
      <c r="AG72" s="635">
        <f t="shared" si="53"/>
        <v>0</v>
      </c>
      <c r="AH72" s="902" t="str">
        <f t="shared" si="54"/>
        <v>OK</v>
      </c>
      <c r="AI72" s="478"/>
      <c r="AJ72" s="901"/>
      <c r="AK72" s="901"/>
      <c r="AL72" s="901"/>
      <c r="AM72" s="901"/>
      <c r="AN72" s="635">
        <f t="shared" si="55"/>
        <v>0</v>
      </c>
      <c r="AO72" s="902" t="str">
        <f t="shared" si="56"/>
        <v>OK</v>
      </c>
      <c r="AP72" s="478"/>
      <c r="AQ72" s="904">
        <f>'Treatment volumes'!N87</f>
        <v>0</v>
      </c>
      <c r="AR72" s="1227">
        <f t="shared" si="57"/>
        <v>0</v>
      </c>
      <c r="AS72" s="1227">
        <f t="shared" si="58"/>
        <v>0</v>
      </c>
      <c r="AT72" s="1227">
        <f t="shared" si="59"/>
        <v>0</v>
      </c>
      <c r="AU72" s="1227">
        <f t="shared" si="60"/>
        <v>0</v>
      </c>
      <c r="AV72" s="635">
        <f>SUM(AP72:AU72)</f>
        <v>0</v>
      </c>
      <c r="AW72" s="902" t="str">
        <f t="shared" si="61"/>
        <v>OK</v>
      </c>
      <c r="AX72" s="478"/>
      <c r="AY72" s="478"/>
      <c r="AZ72" s="478"/>
      <c r="BA72" s="478"/>
      <c r="BB72" s="478"/>
      <c r="BC72" s="478"/>
      <c r="BD72" s="654"/>
      <c r="BE72" s="654"/>
      <c r="BF72" s="654"/>
      <c r="BG72" s="654" t="s">
        <v>586</v>
      </c>
      <c r="BH72" s="654"/>
      <c r="BI72" s="654"/>
      <c r="BJ72" s="654"/>
      <c r="BK72" s="654"/>
      <c r="BL72" s="654"/>
      <c r="BM72" s="654"/>
      <c r="BN72" s="654"/>
      <c r="BO72" s="654"/>
      <c r="BP72" s="654"/>
      <c r="BQ72" s="654"/>
      <c r="BR72" s="654"/>
      <c r="BS72" s="654"/>
      <c r="BT72" s="654"/>
      <c r="BU72" s="654"/>
      <c r="BV72" s="654"/>
      <c r="BW72" s="478"/>
      <c r="BX72" s="478"/>
      <c r="BY72" s="478"/>
      <c r="BZ72" s="478"/>
      <c r="CA72" s="478"/>
      <c r="CB72" s="478"/>
      <c r="CC72" s="478"/>
      <c r="CD72" s="478"/>
      <c r="CE72" s="478"/>
    </row>
    <row r="73" spans="1:83" s="3" customFormat="1" ht="17.149999999999999" customHeight="1" x14ac:dyDescent="0.35">
      <c r="A73" s="544"/>
      <c r="B73" s="1085" t="s">
        <v>585</v>
      </c>
      <c r="C73" s="901"/>
      <c r="D73" s="1228">
        <f t="shared" si="48"/>
        <v>0</v>
      </c>
      <c r="E73" s="1737"/>
      <c r="F73" s="1738"/>
      <c r="G73" s="1289"/>
      <c r="H73" s="872">
        <f t="shared" si="62"/>
        <v>0</v>
      </c>
      <c r="I73" s="646">
        <f t="shared" si="49"/>
        <v>0</v>
      </c>
      <c r="J73" s="872"/>
      <c r="K73" s="872"/>
      <c r="L73" s="478"/>
      <c r="M73" s="478"/>
      <c r="N73" s="478"/>
      <c r="O73" s="478"/>
      <c r="P73" s="478"/>
      <c r="Q73" s="478"/>
      <c r="R73" s="478"/>
      <c r="S73" s="478"/>
      <c r="T73" s="478"/>
      <c r="U73" s="901"/>
      <c r="V73" s="901"/>
      <c r="W73" s="901"/>
      <c r="X73" s="901"/>
      <c r="Y73" s="635">
        <f t="shared" si="50"/>
        <v>0</v>
      </c>
      <c r="Z73" s="902" t="str">
        <f>IF(AND(C73=0,Y73=0),"OK",IF(AND(C73&gt;0,Y73=1),"OK","Not OK"))</f>
        <v>OK</v>
      </c>
      <c r="AA73" s="478"/>
      <c r="AB73" s="636">
        <f>'Treatment volumes'!K88</f>
        <v>0</v>
      </c>
      <c r="AC73" s="1227">
        <f t="shared" si="51"/>
        <v>0</v>
      </c>
      <c r="AD73" s="1227">
        <f t="shared" si="52"/>
        <v>0</v>
      </c>
      <c r="AE73" s="1227">
        <f t="shared" si="52"/>
        <v>0</v>
      </c>
      <c r="AF73" s="1227">
        <f t="shared" si="52"/>
        <v>0</v>
      </c>
      <c r="AG73" s="635">
        <f t="shared" si="53"/>
        <v>0</v>
      </c>
      <c r="AH73" s="902" t="str">
        <f t="shared" si="54"/>
        <v>OK</v>
      </c>
      <c r="AI73" s="478"/>
      <c r="AJ73" s="901"/>
      <c r="AK73" s="901"/>
      <c r="AL73" s="901"/>
      <c r="AM73" s="901"/>
      <c r="AN73" s="635">
        <f t="shared" si="55"/>
        <v>0</v>
      </c>
      <c r="AO73" s="902" t="str">
        <f t="shared" si="56"/>
        <v>OK</v>
      </c>
      <c r="AP73" s="478"/>
      <c r="AQ73" s="904">
        <f>'Treatment volumes'!N88</f>
        <v>0</v>
      </c>
      <c r="AR73" s="1227">
        <f t="shared" si="57"/>
        <v>0</v>
      </c>
      <c r="AS73" s="1227">
        <f t="shared" si="58"/>
        <v>0</v>
      </c>
      <c r="AT73" s="1227">
        <f t="shared" si="59"/>
        <v>0</v>
      </c>
      <c r="AU73" s="1227">
        <f t="shared" si="60"/>
        <v>0</v>
      </c>
      <c r="AV73" s="635">
        <f>SUM(AP73:AU73)</f>
        <v>0</v>
      </c>
      <c r="AW73" s="902" t="str">
        <f t="shared" si="61"/>
        <v>OK</v>
      </c>
      <c r="AX73" s="478"/>
      <c r="AY73" s="478"/>
      <c r="AZ73" s="478"/>
      <c r="BA73" s="478"/>
      <c r="BB73" s="478"/>
      <c r="BC73" s="478"/>
      <c r="BD73" s="654"/>
      <c r="BE73" s="654"/>
      <c r="BF73" s="654"/>
      <c r="BG73" s="654"/>
      <c r="BH73" s="654"/>
      <c r="BI73" s="654"/>
      <c r="BJ73" s="654"/>
      <c r="BK73" s="654"/>
      <c r="BL73" s="654"/>
      <c r="BM73" s="654"/>
      <c r="BN73" s="654"/>
      <c r="BO73" s="654"/>
      <c r="BP73" s="654"/>
      <c r="BQ73" s="654"/>
      <c r="BR73" s="654"/>
      <c r="BS73" s="654"/>
      <c r="BT73" s="654"/>
      <c r="BU73" s="654"/>
      <c r="BV73" s="654"/>
      <c r="BW73" s="478"/>
      <c r="BX73" s="478"/>
      <c r="BY73" s="478"/>
      <c r="BZ73" s="478"/>
      <c r="CA73" s="478"/>
      <c r="CB73" s="478"/>
      <c r="CC73" s="478"/>
      <c r="CD73" s="478"/>
      <c r="CE73" s="478"/>
    </row>
    <row r="74" spans="1:83" s="3" customFormat="1" ht="17.149999999999999" customHeight="1" x14ac:dyDescent="0.35">
      <c r="A74" s="544"/>
      <c r="B74" s="878"/>
      <c r="C74" s="889"/>
      <c r="D74" s="1228">
        <f t="shared" si="48"/>
        <v>0</v>
      </c>
      <c r="E74" s="1737"/>
      <c r="F74" s="1738"/>
      <c r="G74" s="1289"/>
      <c r="H74" s="872"/>
      <c r="I74" s="646">
        <f t="shared" si="49"/>
        <v>0</v>
      </c>
      <c r="J74" s="872"/>
      <c r="K74" s="872"/>
      <c r="L74" s="478"/>
      <c r="M74" s="478"/>
      <c r="N74" s="478"/>
      <c r="O74" s="478"/>
      <c r="P74" s="478"/>
      <c r="Q74" s="478"/>
      <c r="R74" s="478"/>
      <c r="S74" s="478"/>
      <c r="T74" s="478"/>
      <c r="U74" s="901"/>
      <c r="V74" s="901"/>
      <c r="W74" s="901"/>
      <c r="X74" s="901"/>
      <c r="Y74" s="635">
        <f t="shared" si="50"/>
        <v>0</v>
      </c>
      <c r="Z74" s="902" t="str">
        <f>IF(AND(C74=0,Y74=0),"OK",IF(AND(C74&gt;0,Y74=1),"OK","Not OK"))</f>
        <v>OK</v>
      </c>
      <c r="AA74" s="478"/>
      <c r="AB74" s="636">
        <f>'Treatment volumes'!K89</f>
        <v>0</v>
      </c>
      <c r="AC74" s="1227">
        <f t="shared" si="51"/>
        <v>0</v>
      </c>
      <c r="AD74" s="1227">
        <f t="shared" si="52"/>
        <v>0</v>
      </c>
      <c r="AE74" s="1227">
        <f t="shared" si="52"/>
        <v>0</v>
      </c>
      <c r="AF74" s="1227">
        <f t="shared" si="52"/>
        <v>0</v>
      </c>
      <c r="AG74" s="635">
        <f t="shared" si="53"/>
        <v>0</v>
      </c>
      <c r="AH74" s="902" t="str">
        <f t="shared" si="54"/>
        <v>OK</v>
      </c>
      <c r="AI74" s="478"/>
      <c r="AJ74" s="901"/>
      <c r="AK74" s="901"/>
      <c r="AL74" s="901"/>
      <c r="AM74" s="901"/>
      <c r="AN74" s="635">
        <f t="shared" si="55"/>
        <v>0</v>
      </c>
      <c r="AO74" s="902" t="str">
        <f t="shared" si="56"/>
        <v>OK</v>
      </c>
      <c r="AP74" s="478"/>
      <c r="AQ74" s="904">
        <f>'Treatment volumes'!N89</f>
        <v>0</v>
      </c>
      <c r="AR74" s="1227">
        <f t="shared" si="57"/>
        <v>0</v>
      </c>
      <c r="AS74" s="1227">
        <f t="shared" si="58"/>
        <v>0</v>
      </c>
      <c r="AT74" s="1227">
        <f t="shared" si="59"/>
        <v>0</v>
      </c>
      <c r="AU74" s="1227">
        <f t="shared" si="60"/>
        <v>0</v>
      </c>
      <c r="AV74" s="635">
        <f>SUM(AP74:AU74)</f>
        <v>0</v>
      </c>
      <c r="AW74" s="902" t="str">
        <f t="shared" si="61"/>
        <v>OK</v>
      </c>
      <c r="AX74" s="478"/>
      <c r="AY74" s="478"/>
      <c r="AZ74" s="478"/>
      <c r="BA74" s="478"/>
      <c r="BB74" s="478"/>
      <c r="BC74" s="478"/>
      <c r="BD74" s="654"/>
      <c r="BE74" s="654"/>
      <c r="BF74" s="654"/>
      <c r="BG74" s="654"/>
      <c r="BH74" s="654"/>
      <c r="BI74" s="654"/>
      <c r="BJ74" s="654"/>
      <c r="BK74" s="654"/>
      <c r="BL74" s="654"/>
      <c r="BM74" s="654"/>
      <c r="BN74" s="654"/>
      <c r="BO74" s="654"/>
      <c r="BP74" s="654"/>
      <c r="BQ74" s="654"/>
      <c r="BR74" s="654"/>
      <c r="BS74" s="654"/>
      <c r="BT74" s="654"/>
      <c r="BU74" s="654"/>
      <c r="BV74" s="654"/>
      <c r="BW74" s="478"/>
      <c r="BX74" s="478"/>
      <c r="BY74" s="478"/>
      <c r="BZ74" s="478"/>
      <c r="CA74" s="478"/>
      <c r="CB74" s="478"/>
      <c r="CC74" s="478"/>
      <c r="CD74" s="478"/>
      <c r="CE74" s="478"/>
    </row>
    <row r="75" spans="1:83" s="3" customFormat="1" ht="17.149999999999999" customHeight="1" x14ac:dyDescent="0.35">
      <c r="A75" s="544"/>
      <c r="B75" s="878"/>
      <c r="C75" s="889"/>
      <c r="D75" s="1228">
        <f t="shared" si="48"/>
        <v>0</v>
      </c>
      <c r="E75" s="1737"/>
      <c r="F75" s="1738"/>
      <c r="G75" s="1289"/>
      <c r="H75" s="872"/>
      <c r="I75" s="646">
        <f t="shared" si="49"/>
        <v>0</v>
      </c>
      <c r="J75" s="872"/>
      <c r="K75" s="872"/>
      <c r="L75" s="478"/>
      <c r="M75" s="478"/>
      <c r="N75" s="478"/>
      <c r="O75" s="478"/>
      <c r="P75" s="478"/>
      <c r="Q75" s="478"/>
      <c r="R75" s="478"/>
      <c r="S75" s="478"/>
      <c r="T75" s="478"/>
      <c r="U75" s="901"/>
      <c r="V75" s="901"/>
      <c r="W75" s="901"/>
      <c r="X75" s="901"/>
      <c r="Y75" s="635">
        <f t="shared" si="50"/>
        <v>0</v>
      </c>
      <c r="Z75" s="902" t="str">
        <f>IF(AND(C75=0,Y75=0),"OK",IF(AND(C75&gt;0,Y75=1),"OK","Not OK"))</f>
        <v>OK</v>
      </c>
      <c r="AA75" s="478"/>
      <c r="AB75" s="636">
        <f>'Treatment volumes'!K90</f>
        <v>0</v>
      </c>
      <c r="AC75" s="1227">
        <f t="shared" si="51"/>
        <v>0</v>
      </c>
      <c r="AD75" s="1227">
        <f t="shared" si="52"/>
        <v>0</v>
      </c>
      <c r="AE75" s="1227">
        <f t="shared" si="52"/>
        <v>0</v>
      </c>
      <c r="AF75" s="1227">
        <f t="shared" si="52"/>
        <v>0</v>
      </c>
      <c r="AG75" s="635">
        <f t="shared" si="53"/>
        <v>0</v>
      </c>
      <c r="AH75" s="902" t="str">
        <f t="shared" si="54"/>
        <v>OK</v>
      </c>
      <c r="AI75" s="478"/>
      <c r="AJ75" s="901"/>
      <c r="AK75" s="901"/>
      <c r="AL75" s="901"/>
      <c r="AM75" s="901"/>
      <c r="AN75" s="635">
        <f t="shared" si="55"/>
        <v>0</v>
      </c>
      <c r="AO75" s="902" t="str">
        <f t="shared" si="56"/>
        <v>OK</v>
      </c>
      <c r="AP75" s="478"/>
      <c r="AQ75" s="904">
        <f>'Treatment volumes'!N90</f>
        <v>0</v>
      </c>
      <c r="AR75" s="1227">
        <f t="shared" si="57"/>
        <v>0</v>
      </c>
      <c r="AS75" s="1227">
        <f t="shared" si="58"/>
        <v>0</v>
      </c>
      <c r="AT75" s="1227">
        <f t="shared" si="59"/>
        <v>0</v>
      </c>
      <c r="AU75" s="1227">
        <f t="shared" si="60"/>
        <v>0</v>
      </c>
      <c r="AV75" s="635">
        <f>SUM(AP75:AU75)</f>
        <v>0</v>
      </c>
      <c r="AW75" s="902" t="str">
        <f t="shared" si="61"/>
        <v>OK</v>
      </c>
      <c r="AX75" s="478"/>
      <c r="AY75" s="478"/>
      <c r="AZ75" s="478"/>
      <c r="BA75" s="478"/>
      <c r="BB75" s="478"/>
      <c r="BC75" s="478"/>
      <c r="BD75" s="654"/>
      <c r="BE75" s="654"/>
      <c r="BF75" s="654"/>
      <c r="BG75" s="654"/>
      <c r="BH75" s="654"/>
      <c r="BI75" s="654"/>
      <c r="BJ75" s="654"/>
      <c r="BK75" s="654"/>
      <c r="BL75" s="654"/>
      <c r="BM75" s="654"/>
      <c r="BN75" s="654"/>
      <c r="BO75" s="654"/>
      <c r="BP75" s="654"/>
      <c r="BQ75" s="654"/>
      <c r="BR75" s="654"/>
      <c r="BS75" s="654"/>
      <c r="BT75" s="654"/>
      <c r="BU75" s="654"/>
      <c r="BV75" s="654"/>
      <c r="BW75" s="478"/>
      <c r="BX75" s="478"/>
      <c r="BY75" s="478"/>
      <c r="BZ75" s="478"/>
      <c r="CA75" s="478"/>
      <c r="CB75" s="478"/>
      <c r="CC75" s="478"/>
      <c r="CD75" s="478"/>
      <c r="CE75" s="478"/>
    </row>
    <row r="76" spans="1:83" ht="17.149999999999999" customHeight="1" x14ac:dyDescent="0.35">
      <c r="A76" s="544"/>
      <c r="B76" s="594" t="s">
        <v>208</v>
      </c>
      <c r="C76" s="1210">
        <f>SUM(C70:C75)</f>
        <v>1</v>
      </c>
      <c r="D76" s="1180">
        <f>SUM(D70:D75)</f>
        <v>6158000</v>
      </c>
      <c r="E76" s="544"/>
      <c r="F76" s="544"/>
      <c r="G76" s="544"/>
      <c r="H76" s="544"/>
      <c r="I76" s="544"/>
      <c r="J76" s="544"/>
      <c r="K76" s="544"/>
      <c r="M76" s="544"/>
      <c r="N76" s="544"/>
      <c r="O76" s="544"/>
      <c r="P76" s="544"/>
      <c r="Q76" s="544"/>
      <c r="R76" s="544"/>
      <c r="S76" s="544"/>
      <c r="U76" s="544"/>
      <c r="V76" s="544"/>
      <c r="W76" s="544"/>
      <c r="X76" s="544"/>
      <c r="Y76" s="544"/>
      <c r="Z76" s="544"/>
      <c r="AB76" s="544"/>
      <c r="AC76" s="544"/>
      <c r="AD76" s="544"/>
      <c r="AE76" s="544"/>
      <c r="AF76" s="544"/>
      <c r="AG76" s="544"/>
      <c r="AH76" s="544"/>
      <c r="AJ76" s="544"/>
      <c r="AK76" s="544"/>
      <c r="AL76" s="544"/>
      <c r="AM76" s="544"/>
      <c r="AN76" s="544"/>
      <c r="AO76" s="544"/>
      <c r="AQ76" s="544"/>
      <c r="AR76" s="544"/>
      <c r="AS76" s="544"/>
      <c r="AT76" s="544"/>
      <c r="AU76" s="544"/>
      <c r="AV76" s="544"/>
      <c r="AW76" s="544"/>
      <c r="BD76" s="655"/>
      <c r="BE76" s="655"/>
      <c r="BF76" s="655"/>
      <c r="BG76" s="655"/>
      <c r="BH76" s="655"/>
      <c r="BI76" s="655"/>
      <c r="BJ76" s="655"/>
      <c r="BK76" s="655"/>
      <c r="BL76" s="655"/>
      <c r="BM76" s="655"/>
      <c r="BN76" s="655"/>
      <c r="BO76" s="655"/>
      <c r="BP76" s="655"/>
      <c r="BQ76" s="655"/>
      <c r="BR76" s="655"/>
      <c r="BS76" s="655"/>
      <c r="BT76" s="655"/>
      <c r="BU76" s="655"/>
      <c r="BV76" s="655"/>
    </row>
    <row r="77" spans="1:83" ht="17.149999999999999" customHeight="1" x14ac:dyDescent="0.35">
      <c r="A77" s="544"/>
      <c r="B77" s="594" t="s">
        <v>587</v>
      </c>
      <c r="C77" s="1219"/>
      <c r="D77" s="1180">
        <f>'Transport volumes'!B121</f>
        <v>6158000</v>
      </c>
      <c r="E77" s="544"/>
      <c r="F77" s="544"/>
      <c r="G77" s="544"/>
      <c r="H77" s="544"/>
      <c r="I77" s="544"/>
      <c r="J77" s="544"/>
      <c r="K77" s="544"/>
      <c r="M77" s="544"/>
      <c r="N77" s="544"/>
      <c r="O77" s="544"/>
      <c r="P77" s="544"/>
      <c r="Q77" s="544"/>
      <c r="R77" s="544"/>
      <c r="S77" s="544"/>
      <c r="U77" s="544"/>
      <c r="V77" s="544"/>
      <c r="W77" s="544"/>
      <c r="X77" s="544"/>
      <c r="Y77" s="544"/>
      <c r="Z77" s="544"/>
      <c r="AB77" s="544"/>
      <c r="AC77" s="544"/>
      <c r="AD77" s="544"/>
      <c r="AE77" s="544"/>
      <c r="AF77" s="544"/>
      <c r="AG77" s="544"/>
      <c r="AH77" s="544"/>
      <c r="AJ77" s="544"/>
      <c r="AK77" s="544"/>
      <c r="AL77" s="544"/>
      <c r="AM77" s="544"/>
      <c r="AN77" s="544"/>
      <c r="AO77" s="544"/>
      <c r="AQ77" s="544"/>
      <c r="AR77" s="544"/>
      <c r="AS77" s="544"/>
      <c r="AT77" s="544"/>
      <c r="AU77" s="544"/>
      <c r="AV77" s="544"/>
      <c r="AW77" s="544"/>
      <c r="BD77" s="655"/>
      <c r="BE77" s="655"/>
      <c r="BF77" s="655"/>
      <c r="BG77" s="655"/>
      <c r="BH77" s="655"/>
      <c r="BI77" s="655"/>
      <c r="BJ77" s="655"/>
      <c r="BK77" s="655"/>
      <c r="BL77" s="655"/>
      <c r="BM77" s="655"/>
      <c r="BN77" s="655"/>
      <c r="BO77" s="655"/>
      <c r="BP77" s="655"/>
      <c r="BQ77" s="655"/>
      <c r="BR77" s="655"/>
      <c r="BS77" s="655"/>
      <c r="BT77" s="655"/>
      <c r="BU77" s="655"/>
      <c r="BV77" s="655"/>
    </row>
    <row r="78" spans="1:83" ht="17.149999999999999" customHeight="1" x14ac:dyDescent="0.35">
      <c r="A78" s="544"/>
      <c r="B78" s="567" t="s">
        <v>251</v>
      </c>
      <c r="C78" s="651">
        <f>IF(D77&gt;0,1-C76,0)</f>
        <v>0</v>
      </c>
      <c r="D78" s="651">
        <f>D76-D77</f>
        <v>0</v>
      </c>
      <c r="E78" s="544"/>
      <c r="F78" s="544"/>
      <c r="G78" s="544"/>
      <c r="H78" s="544"/>
      <c r="I78" s="544"/>
      <c r="J78" s="544"/>
      <c r="K78" s="544"/>
      <c r="M78" s="544"/>
      <c r="N78" s="544"/>
      <c r="O78" s="544"/>
      <c r="P78" s="544"/>
      <c r="Q78" s="544"/>
      <c r="R78" s="544"/>
      <c r="S78" s="544"/>
      <c r="U78" s="544"/>
      <c r="V78" s="544"/>
      <c r="W78" s="544"/>
      <c r="X78" s="544"/>
      <c r="Y78" s="544"/>
      <c r="Z78" s="544"/>
      <c r="AB78" s="544"/>
      <c r="AC78" s="544"/>
      <c r="AD78" s="544"/>
      <c r="AE78" s="544"/>
      <c r="AF78" s="544"/>
      <c r="AG78" s="544"/>
      <c r="AH78" s="544"/>
      <c r="AJ78" s="544"/>
      <c r="AK78" s="544"/>
      <c r="AL78" s="544"/>
      <c r="AM78" s="544"/>
      <c r="AN78" s="544"/>
      <c r="AO78" s="544"/>
      <c r="AQ78" s="544"/>
      <c r="AR78" s="544"/>
      <c r="AS78" s="544"/>
      <c r="AT78" s="544"/>
      <c r="AU78" s="544"/>
      <c r="AV78" s="544"/>
      <c r="AW78" s="544"/>
      <c r="BD78" s="655"/>
      <c r="BE78" s="655"/>
      <c r="BF78" s="655"/>
      <c r="BG78" s="655"/>
      <c r="BH78" s="655"/>
      <c r="BI78" s="655"/>
      <c r="BJ78" s="655"/>
      <c r="BK78" s="655"/>
      <c r="BL78" s="655"/>
      <c r="BM78" s="655"/>
      <c r="BN78" s="655"/>
      <c r="BO78" s="655"/>
      <c r="BP78" s="655"/>
      <c r="BQ78" s="655"/>
      <c r="BR78" s="655"/>
      <c r="BS78" s="655"/>
      <c r="BT78" s="655"/>
      <c r="BU78" s="655"/>
      <c r="BV78" s="655"/>
    </row>
    <row r="79" spans="1:83" ht="17.149999999999999" customHeight="1" x14ac:dyDescent="0.35">
      <c r="A79" s="544"/>
      <c r="B79" s="478"/>
      <c r="C79" s="174" t="str">
        <f>IF(C78=0,"OK","Not OK")</f>
        <v>OK</v>
      </c>
      <c r="D79" s="174" t="str">
        <f>IF(D78=0,"OK","Not OK")</f>
        <v>OK</v>
      </c>
      <c r="E79" s="544"/>
      <c r="F79" s="544"/>
      <c r="G79" s="544"/>
      <c r="H79" s="544"/>
      <c r="I79" s="544"/>
      <c r="J79" s="544"/>
      <c r="K79" s="544"/>
      <c r="M79" s="544"/>
      <c r="N79" s="544"/>
      <c r="O79" s="544"/>
      <c r="P79" s="544"/>
      <c r="Q79" s="544"/>
      <c r="R79" s="544"/>
      <c r="S79" s="544"/>
      <c r="U79" s="544"/>
      <c r="V79" s="544"/>
      <c r="W79" s="544"/>
      <c r="X79" s="544"/>
      <c r="Y79" s="544"/>
      <c r="Z79" s="544"/>
      <c r="AB79" s="544"/>
      <c r="AC79" s="544"/>
      <c r="AD79" s="544"/>
      <c r="AE79" s="544"/>
      <c r="AF79" s="544"/>
      <c r="AG79" s="544"/>
      <c r="AH79" s="544"/>
      <c r="AJ79" s="544"/>
      <c r="AK79" s="544"/>
      <c r="AL79" s="544"/>
      <c r="AM79" s="544"/>
      <c r="AN79" s="544"/>
      <c r="AO79" s="544"/>
      <c r="AQ79" s="544"/>
      <c r="AR79" s="544"/>
      <c r="AS79" s="544"/>
      <c r="AT79" s="544"/>
      <c r="AU79" s="544"/>
      <c r="AV79" s="544"/>
      <c r="AW79" s="544"/>
      <c r="BD79" s="655"/>
      <c r="BE79" s="655"/>
      <c r="BF79" s="655"/>
      <c r="BG79" s="655"/>
      <c r="BH79" s="655"/>
      <c r="BI79" s="655"/>
      <c r="BJ79" s="655"/>
      <c r="BK79" s="655"/>
      <c r="BL79" s="655"/>
      <c r="BM79" s="655"/>
      <c r="BN79" s="655"/>
      <c r="BO79" s="655"/>
      <c r="BP79" s="655"/>
      <c r="BQ79" s="655"/>
      <c r="BR79" s="655"/>
      <c r="BS79" s="655"/>
      <c r="BT79" s="655"/>
      <c r="BU79" s="655"/>
      <c r="BV79" s="655"/>
    </row>
    <row r="80" spans="1:83" ht="17.149999999999999" customHeight="1" x14ac:dyDescent="0.35">
      <c r="A80" s="544"/>
      <c r="B80" s="544"/>
      <c r="C80" s="544"/>
      <c r="D80" s="544"/>
      <c r="E80" s="544"/>
      <c r="F80" s="544"/>
      <c r="G80" s="544"/>
      <c r="H80" s="544"/>
      <c r="I80" s="544"/>
      <c r="J80" s="544"/>
      <c r="K80" s="544"/>
      <c r="M80" s="544"/>
      <c r="N80" s="544"/>
      <c r="O80" s="544"/>
      <c r="P80" s="544"/>
      <c r="Q80" s="544"/>
      <c r="R80" s="544"/>
      <c r="S80" s="544"/>
      <c r="U80" s="544"/>
      <c r="V80" s="544"/>
      <c r="W80" s="544"/>
      <c r="X80" s="544"/>
      <c r="Y80" s="544"/>
      <c r="Z80" s="544"/>
      <c r="AB80" s="544"/>
      <c r="AC80" s="544"/>
      <c r="AD80" s="544"/>
      <c r="AE80" s="544"/>
      <c r="AF80" s="544"/>
      <c r="AG80" s="544"/>
      <c r="AH80" s="544"/>
      <c r="AJ80" s="544"/>
      <c r="AK80" s="544"/>
      <c r="AL80" s="544"/>
      <c r="AM80" s="544"/>
      <c r="AN80" s="544"/>
      <c r="AO80" s="544"/>
      <c r="AQ80" s="544"/>
      <c r="AR80" s="544"/>
      <c r="AS80" s="544"/>
      <c r="AT80" s="544"/>
      <c r="AU80" s="544"/>
      <c r="AV80" s="544"/>
      <c r="AW80" s="544"/>
      <c r="BD80" s="655"/>
      <c r="BE80" s="655"/>
      <c r="BF80" s="655"/>
      <c r="BG80" s="655"/>
      <c r="BH80" s="655"/>
      <c r="BI80" s="655"/>
      <c r="BJ80" s="655"/>
      <c r="BK80" s="655"/>
      <c r="BL80" s="655"/>
      <c r="BM80" s="655"/>
      <c r="BN80" s="655"/>
      <c r="BO80" s="655"/>
      <c r="BP80" s="655"/>
      <c r="BQ80" s="655"/>
      <c r="BR80" s="655"/>
      <c r="BS80" s="655"/>
      <c r="BT80" s="655"/>
      <c r="BU80" s="655"/>
      <c r="BV80" s="655"/>
    </row>
    <row r="81" spans="1:74" ht="17.149999999999999" customHeight="1" x14ac:dyDescent="0.35">
      <c r="A81" s="544"/>
      <c r="B81" s="544"/>
      <c r="C81" s="544"/>
      <c r="D81" s="544"/>
      <c r="E81" s="544"/>
      <c r="F81" s="544"/>
      <c r="G81" s="544"/>
      <c r="H81" s="544"/>
      <c r="I81" s="544"/>
      <c r="J81" s="544"/>
      <c r="K81" s="544"/>
      <c r="M81" s="544"/>
      <c r="N81" s="544"/>
      <c r="O81" s="544"/>
      <c r="P81" s="544"/>
      <c r="Q81" s="544"/>
      <c r="R81" s="544"/>
      <c r="S81" s="544"/>
      <c r="U81" s="544"/>
      <c r="V81" s="544"/>
      <c r="W81" s="544"/>
      <c r="X81" s="544"/>
      <c r="Y81" s="544"/>
      <c r="Z81" s="544"/>
      <c r="AB81" s="544"/>
      <c r="AC81" s="544"/>
      <c r="AD81" s="544"/>
      <c r="AE81" s="544"/>
      <c r="AF81" s="544"/>
      <c r="AG81" s="544"/>
      <c r="AH81" s="544"/>
      <c r="AJ81" s="544"/>
      <c r="AK81" s="544"/>
      <c r="AL81" s="544"/>
      <c r="AM81" s="544"/>
      <c r="AN81" s="544"/>
      <c r="AO81" s="544"/>
      <c r="AQ81" s="544"/>
      <c r="AR81" s="544"/>
      <c r="AS81" s="544"/>
      <c r="AT81" s="544"/>
      <c r="AU81" s="544"/>
      <c r="AV81" s="544"/>
      <c r="AW81" s="544"/>
      <c r="BD81" s="655"/>
      <c r="BE81" s="655"/>
      <c r="BF81" s="655"/>
      <c r="BG81" s="655"/>
      <c r="BH81" s="655"/>
      <c r="BI81" s="655"/>
      <c r="BJ81" s="655"/>
      <c r="BK81" s="655"/>
      <c r="BL81" s="655"/>
      <c r="BM81" s="655"/>
      <c r="BN81" s="655"/>
      <c r="BO81" s="655"/>
      <c r="BP81" s="655"/>
      <c r="BQ81" s="655"/>
      <c r="BR81" s="655"/>
      <c r="BS81" s="655"/>
      <c r="BT81" s="655"/>
      <c r="BU81" s="655"/>
      <c r="BV81" s="655"/>
    </row>
    <row r="82" spans="1:74" x14ac:dyDescent="0.35">
      <c r="A82" s="544"/>
      <c r="B82" s="544"/>
      <c r="C82" s="544"/>
      <c r="D82" s="544"/>
      <c r="E82" s="544"/>
      <c r="F82" s="544"/>
      <c r="G82" s="544"/>
      <c r="H82" s="544"/>
      <c r="I82" s="544"/>
      <c r="J82" s="544"/>
      <c r="K82" s="544"/>
      <c r="M82" s="544"/>
      <c r="N82" s="544"/>
      <c r="O82" s="544"/>
      <c r="P82" s="544"/>
      <c r="Q82" s="544"/>
      <c r="R82" s="544"/>
      <c r="S82" s="544"/>
      <c r="U82" s="544"/>
      <c r="V82" s="544"/>
      <c r="W82" s="544"/>
      <c r="X82" s="544"/>
      <c r="Y82" s="544"/>
      <c r="Z82" s="544"/>
      <c r="AB82" s="544"/>
      <c r="AC82" s="544"/>
      <c r="AD82" s="544"/>
      <c r="AE82" s="544"/>
      <c r="AF82" s="544"/>
      <c r="AG82" s="544"/>
      <c r="AH82" s="544"/>
      <c r="AJ82" s="544"/>
      <c r="AK82" s="544"/>
      <c r="AL82" s="544"/>
      <c r="AM82" s="544"/>
      <c r="AN82" s="544"/>
      <c r="AO82" s="544"/>
      <c r="AQ82" s="544"/>
      <c r="AR82" s="544"/>
      <c r="AS82" s="544"/>
      <c r="AT82" s="544"/>
      <c r="AU82" s="544"/>
      <c r="AV82" s="544"/>
      <c r="AW82" s="544"/>
      <c r="BD82" s="655"/>
      <c r="BE82" s="655"/>
      <c r="BF82" s="655"/>
      <c r="BG82" s="655"/>
      <c r="BH82" s="655"/>
      <c r="BI82" s="655"/>
      <c r="BJ82" s="655"/>
      <c r="BK82" s="655"/>
      <c r="BL82" s="655"/>
      <c r="BM82" s="655"/>
      <c r="BN82" s="655"/>
      <c r="BO82" s="655"/>
      <c r="BP82" s="655"/>
      <c r="BQ82" s="655"/>
      <c r="BR82" s="655"/>
      <c r="BS82" s="655"/>
      <c r="BT82" s="655"/>
      <c r="BU82" s="655"/>
      <c r="BV82" s="655"/>
    </row>
    <row r="83" spans="1:74" x14ac:dyDescent="0.35">
      <c r="A83" s="544"/>
      <c r="B83" s="544"/>
      <c r="C83" s="544"/>
      <c r="D83" s="544"/>
      <c r="E83" s="544"/>
      <c r="F83" s="544"/>
      <c r="G83" s="544"/>
      <c r="H83" s="544"/>
      <c r="I83" s="544"/>
      <c r="J83" s="544"/>
      <c r="K83" s="544"/>
      <c r="M83" s="544"/>
      <c r="N83" s="544"/>
      <c r="O83" s="544"/>
      <c r="P83" s="544"/>
      <c r="Q83" s="544"/>
      <c r="R83" s="544"/>
      <c r="S83" s="544"/>
      <c r="U83" s="544"/>
      <c r="V83" s="544"/>
      <c r="W83" s="544"/>
      <c r="X83" s="544"/>
      <c r="Y83" s="544"/>
      <c r="Z83" s="544"/>
      <c r="AB83" s="544"/>
      <c r="AC83" s="544"/>
      <c r="AD83" s="544"/>
      <c r="AE83" s="544"/>
      <c r="AF83" s="544"/>
      <c r="AG83" s="544"/>
      <c r="AH83" s="544"/>
      <c r="AJ83" s="544"/>
      <c r="AK83" s="544"/>
      <c r="AL83" s="544"/>
      <c r="AM83" s="544"/>
      <c r="AN83" s="544"/>
      <c r="AO83" s="544"/>
      <c r="AQ83" s="544"/>
      <c r="AR83" s="544"/>
      <c r="AS83" s="544"/>
      <c r="AT83" s="544"/>
      <c r="AU83" s="544"/>
      <c r="AV83" s="544"/>
      <c r="AW83" s="544"/>
      <c r="BD83" s="655"/>
      <c r="BE83" s="655"/>
      <c r="BF83" s="655"/>
      <c r="BG83" s="655"/>
      <c r="BH83" s="655"/>
      <c r="BI83" s="655"/>
      <c r="BJ83" s="655"/>
      <c r="BK83" s="655"/>
      <c r="BL83" s="655"/>
      <c r="BM83" s="655"/>
      <c r="BN83" s="655"/>
      <c r="BO83" s="655"/>
      <c r="BP83" s="655"/>
      <c r="BQ83" s="655"/>
      <c r="BR83" s="655"/>
      <c r="BS83" s="655"/>
      <c r="BT83" s="655"/>
      <c r="BU83" s="655"/>
      <c r="BV83" s="655"/>
    </row>
    <row r="84" spans="1:74" x14ac:dyDescent="0.35">
      <c r="A84" s="544"/>
      <c r="B84" s="544"/>
      <c r="C84" s="544"/>
      <c r="D84" s="544"/>
      <c r="E84" s="544"/>
      <c r="F84" s="544"/>
      <c r="G84" s="544"/>
      <c r="H84" s="544"/>
      <c r="I84" s="544"/>
      <c r="J84" s="544"/>
      <c r="K84" s="544"/>
      <c r="M84" s="544"/>
      <c r="N84" s="544"/>
      <c r="O84" s="544"/>
      <c r="P84" s="544"/>
      <c r="Q84" s="544"/>
      <c r="R84" s="544"/>
      <c r="S84" s="544"/>
      <c r="U84" s="544"/>
      <c r="V84" s="544"/>
      <c r="W84" s="544"/>
      <c r="X84" s="544"/>
      <c r="Y84" s="544"/>
      <c r="Z84" s="544"/>
      <c r="AB84" s="544"/>
      <c r="AC84" s="544"/>
      <c r="AD84" s="544"/>
      <c r="AE84" s="544"/>
      <c r="AF84" s="544"/>
      <c r="AG84" s="544"/>
      <c r="AH84" s="544"/>
      <c r="AJ84" s="544"/>
      <c r="AK84" s="544"/>
      <c r="AL84" s="544"/>
      <c r="AM84" s="544"/>
      <c r="AN84" s="544"/>
      <c r="AO84" s="544"/>
      <c r="AQ84" s="544"/>
      <c r="AR84" s="544"/>
      <c r="AS84" s="544"/>
      <c r="AT84" s="544"/>
      <c r="AU84" s="544"/>
      <c r="AV84" s="544"/>
      <c r="AW84" s="544"/>
      <c r="BD84" s="655"/>
      <c r="BE84" s="655"/>
      <c r="BF84" s="655"/>
      <c r="BG84" s="655"/>
      <c r="BH84" s="655"/>
      <c r="BI84" s="655"/>
      <c r="BJ84" s="655"/>
      <c r="BK84" s="655"/>
      <c r="BL84" s="655"/>
      <c r="BM84" s="655"/>
      <c r="BN84" s="655"/>
      <c r="BO84" s="655"/>
      <c r="BP84" s="655"/>
      <c r="BQ84" s="655"/>
      <c r="BR84" s="655"/>
      <c r="BS84" s="655"/>
      <c r="BT84" s="655"/>
      <c r="BU84" s="655"/>
      <c r="BV84" s="655"/>
    </row>
    <row r="85" spans="1:74" x14ac:dyDescent="0.35">
      <c r="A85" s="544"/>
      <c r="B85" s="544"/>
      <c r="C85" s="544"/>
      <c r="D85" s="544"/>
      <c r="E85" s="544"/>
      <c r="F85" s="544"/>
      <c r="G85" s="544"/>
      <c r="H85" s="544"/>
      <c r="I85" s="544"/>
      <c r="J85" s="544"/>
      <c r="K85" s="544"/>
      <c r="M85" s="544"/>
      <c r="N85" s="544"/>
      <c r="O85" s="544"/>
      <c r="P85" s="544"/>
      <c r="Q85" s="544"/>
      <c r="R85" s="544"/>
      <c r="S85" s="544"/>
      <c r="U85" s="544"/>
      <c r="V85" s="544"/>
      <c r="W85" s="544"/>
      <c r="X85" s="544"/>
      <c r="Y85" s="544"/>
      <c r="Z85" s="544"/>
      <c r="AB85" s="544"/>
      <c r="AC85" s="544"/>
      <c r="AD85" s="544"/>
      <c r="AE85" s="544"/>
      <c r="AF85" s="544"/>
      <c r="AG85" s="544"/>
      <c r="AH85" s="544"/>
      <c r="AJ85" s="544"/>
      <c r="AK85" s="544"/>
      <c r="AL85" s="544"/>
      <c r="AM85" s="544"/>
      <c r="AN85" s="544"/>
      <c r="AO85" s="544"/>
      <c r="AQ85" s="544"/>
      <c r="AR85" s="544"/>
      <c r="AS85" s="544"/>
      <c r="AT85" s="544"/>
      <c r="AU85" s="544"/>
      <c r="AV85" s="544"/>
      <c r="AW85" s="544"/>
      <c r="BD85" s="655"/>
      <c r="BE85" s="655"/>
      <c r="BF85" s="655"/>
      <c r="BG85" s="655"/>
      <c r="BH85" s="655"/>
      <c r="BI85" s="655"/>
      <c r="BJ85" s="655"/>
      <c r="BK85" s="655"/>
      <c r="BL85" s="655"/>
      <c r="BM85" s="655"/>
      <c r="BN85" s="655"/>
      <c r="BO85" s="655"/>
      <c r="BP85" s="655"/>
      <c r="BQ85" s="655"/>
      <c r="BR85" s="655"/>
      <c r="BS85" s="655"/>
      <c r="BT85" s="655"/>
      <c r="BU85" s="655"/>
      <c r="BV85" s="655"/>
    </row>
    <row r="86" spans="1:74" x14ac:dyDescent="0.35">
      <c r="A86" s="544"/>
      <c r="B86" s="544"/>
      <c r="C86" s="544"/>
      <c r="D86" s="544"/>
      <c r="E86" s="544"/>
      <c r="F86" s="544"/>
      <c r="G86" s="544"/>
      <c r="H86" s="544"/>
      <c r="I86" s="544"/>
      <c r="J86" s="544"/>
      <c r="K86" s="544"/>
      <c r="M86" s="544"/>
      <c r="N86" s="544"/>
      <c r="O86" s="544"/>
      <c r="P86" s="544"/>
      <c r="Q86" s="544"/>
      <c r="R86" s="544"/>
      <c r="S86" s="544"/>
      <c r="U86" s="544"/>
      <c r="V86" s="544"/>
      <c r="W86" s="544"/>
      <c r="X86" s="544"/>
      <c r="Y86" s="544"/>
      <c r="Z86" s="544"/>
      <c r="AB86" s="544"/>
      <c r="AC86" s="544"/>
      <c r="AD86" s="544"/>
      <c r="AE86" s="544"/>
      <c r="AF86" s="544"/>
      <c r="AG86" s="544"/>
      <c r="AH86" s="544"/>
      <c r="AJ86" s="544"/>
      <c r="AK86" s="544"/>
      <c r="AL86" s="544"/>
      <c r="AM86" s="544"/>
      <c r="AN86" s="544"/>
      <c r="AO86" s="544"/>
      <c r="AQ86" s="544"/>
      <c r="AR86" s="544"/>
      <c r="AS86" s="544"/>
      <c r="AT86" s="544"/>
      <c r="AU86" s="544"/>
      <c r="AV86" s="544"/>
      <c r="AW86" s="544"/>
      <c r="BD86" s="655"/>
      <c r="BE86" s="655"/>
      <c r="BF86" s="655"/>
      <c r="BG86" s="655"/>
      <c r="BH86" s="655"/>
      <c r="BI86" s="655"/>
      <c r="BJ86" s="655"/>
      <c r="BK86" s="655"/>
      <c r="BL86" s="655"/>
      <c r="BM86" s="655"/>
      <c r="BN86" s="655"/>
      <c r="BO86" s="655"/>
      <c r="BP86" s="655"/>
      <c r="BQ86" s="655"/>
      <c r="BR86" s="655"/>
      <c r="BS86" s="655"/>
      <c r="BT86" s="655"/>
      <c r="BU86" s="655"/>
      <c r="BV86" s="655"/>
    </row>
    <row r="87" spans="1:74" x14ac:dyDescent="0.35">
      <c r="A87" s="544"/>
      <c r="B87" s="544"/>
      <c r="C87" s="544"/>
      <c r="D87" s="544"/>
      <c r="E87" s="544"/>
      <c r="F87" s="544"/>
      <c r="G87" s="544"/>
      <c r="H87" s="544"/>
      <c r="I87" s="544"/>
      <c r="J87" s="544"/>
      <c r="K87" s="544"/>
      <c r="M87" s="544"/>
      <c r="N87" s="544"/>
      <c r="O87" s="544"/>
      <c r="P87" s="544"/>
      <c r="Q87" s="544"/>
      <c r="R87" s="544"/>
      <c r="S87" s="544"/>
      <c r="U87" s="544"/>
      <c r="V87" s="544"/>
      <c r="W87" s="544"/>
      <c r="X87" s="544"/>
      <c r="Y87" s="544"/>
      <c r="Z87" s="544"/>
      <c r="AB87" s="544"/>
      <c r="AC87" s="544"/>
      <c r="AD87" s="544"/>
      <c r="AE87" s="544"/>
      <c r="AF87" s="544"/>
      <c r="AG87" s="544"/>
      <c r="AH87" s="544"/>
      <c r="AJ87" s="544"/>
      <c r="AK87" s="544"/>
      <c r="AL87" s="544"/>
      <c r="AM87" s="544"/>
      <c r="AN87" s="544"/>
      <c r="AO87" s="544"/>
      <c r="AQ87" s="544"/>
      <c r="AR87" s="544"/>
      <c r="AS87" s="544"/>
      <c r="AT87" s="544"/>
      <c r="AU87" s="544"/>
      <c r="AV87" s="544"/>
      <c r="AW87" s="544"/>
      <c r="BD87" s="655"/>
      <c r="BE87" s="655"/>
      <c r="BF87" s="655"/>
      <c r="BG87" s="655"/>
      <c r="BH87" s="655"/>
      <c r="BI87" s="655"/>
      <c r="BJ87" s="655"/>
      <c r="BK87" s="655"/>
      <c r="BL87" s="655"/>
      <c r="BM87" s="655"/>
      <c r="BN87" s="655"/>
      <c r="BO87" s="655"/>
      <c r="BP87" s="655"/>
      <c r="BQ87" s="655"/>
      <c r="BR87" s="655"/>
      <c r="BS87" s="655"/>
      <c r="BT87" s="655"/>
      <c r="BU87" s="655"/>
      <c r="BV87" s="655"/>
    </row>
    <row r="88" spans="1:74" x14ac:dyDescent="0.35">
      <c r="A88" s="544"/>
      <c r="B88" s="544"/>
      <c r="C88" s="544"/>
      <c r="D88" s="544"/>
      <c r="E88" s="544"/>
      <c r="F88" s="544"/>
      <c r="G88" s="544"/>
      <c r="H88" s="544"/>
      <c r="I88" s="544"/>
      <c r="J88" s="544"/>
      <c r="K88" s="544"/>
      <c r="M88" s="544"/>
      <c r="N88" s="544"/>
      <c r="O88" s="544"/>
      <c r="P88" s="544"/>
      <c r="Q88" s="544"/>
      <c r="R88" s="544"/>
      <c r="S88" s="544"/>
      <c r="U88" s="544"/>
      <c r="V88" s="544"/>
      <c r="W88" s="544"/>
      <c r="X88" s="544"/>
      <c r="Y88" s="544"/>
      <c r="Z88" s="544"/>
      <c r="AB88" s="544"/>
      <c r="AC88" s="544"/>
      <c r="AD88" s="544"/>
      <c r="AE88" s="544"/>
      <c r="AF88" s="544"/>
      <c r="AG88" s="544"/>
      <c r="AH88" s="544"/>
      <c r="AJ88" s="544"/>
      <c r="AK88" s="544"/>
      <c r="AL88" s="544"/>
      <c r="AM88" s="544"/>
      <c r="AN88" s="544"/>
      <c r="AO88" s="544"/>
      <c r="AQ88" s="544"/>
      <c r="AR88" s="544"/>
      <c r="AS88" s="544"/>
      <c r="AT88" s="544"/>
      <c r="AU88" s="544"/>
      <c r="AV88" s="544"/>
      <c r="AW88" s="544"/>
      <c r="BD88" s="655"/>
      <c r="BE88" s="655"/>
      <c r="BF88" s="655"/>
      <c r="BG88" s="655"/>
      <c r="BH88" s="655"/>
      <c r="BI88" s="655"/>
      <c r="BJ88" s="655"/>
      <c r="BK88" s="655"/>
      <c r="BL88" s="655"/>
      <c r="BM88" s="655"/>
      <c r="BN88" s="655"/>
      <c r="BO88" s="655"/>
      <c r="BP88" s="655"/>
      <c r="BQ88" s="655"/>
      <c r="BR88" s="655"/>
      <c r="BS88" s="655"/>
      <c r="BT88" s="655"/>
      <c r="BU88" s="655"/>
      <c r="BV88" s="655"/>
    </row>
    <row r="89" spans="1:74" x14ac:dyDescent="0.35">
      <c r="A89" s="544"/>
      <c r="B89" s="544"/>
      <c r="C89" s="544"/>
      <c r="D89" s="544"/>
      <c r="E89" s="544"/>
      <c r="F89" s="544"/>
      <c r="G89" s="544"/>
      <c r="H89" s="544"/>
      <c r="I89" s="544"/>
      <c r="J89" s="544"/>
      <c r="K89" s="544"/>
      <c r="M89" s="544"/>
      <c r="N89" s="544"/>
      <c r="O89" s="544"/>
      <c r="P89" s="544"/>
      <c r="Q89" s="544"/>
      <c r="R89" s="544"/>
      <c r="S89" s="544"/>
      <c r="U89" s="544"/>
      <c r="V89" s="544"/>
      <c r="W89" s="544"/>
      <c r="X89" s="544"/>
      <c r="Y89" s="544"/>
      <c r="Z89" s="544"/>
      <c r="AB89" s="544"/>
      <c r="AC89" s="544"/>
      <c r="AD89" s="544"/>
      <c r="AE89" s="544"/>
      <c r="AF89" s="544"/>
      <c r="AG89" s="544"/>
      <c r="AH89" s="544"/>
      <c r="AJ89" s="544"/>
      <c r="AK89" s="544"/>
      <c r="AL89" s="544"/>
      <c r="AM89" s="544"/>
      <c r="AN89" s="544"/>
      <c r="AO89" s="544"/>
      <c r="AQ89" s="544"/>
      <c r="AR89" s="544"/>
      <c r="AS89" s="544"/>
      <c r="AT89" s="544"/>
      <c r="AU89" s="544"/>
      <c r="AV89" s="544"/>
      <c r="AW89" s="544"/>
      <c r="BD89" s="655"/>
      <c r="BE89" s="655"/>
      <c r="BF89" s="655"/>
      <c r="BG89" s="655"/>
      <c r="BH89" s="655"/>
      <c r="BI89" s="655"/>
      <c r="BJ89" s="655"/>
      <c r="BK89" s="655"/>
      <c r="BL89" s="655"/>
      <c r="BM89" s="655"/>
      <c r="BN89" s="655"/>
      <c r="BO89" s="655"/>
      <c r="BP89" s="655"/>
      <c r="BQ89" s="655"/>
      <c r="BR89" s="655"/>
      <c r="BS89" s="655"/>
      <c r="BT89" s="655"/>
      <c r="BU89" s="655"/>
      <c r="BV89" s="655"/>
    </row>
    <row r="90" spans="1:74" x14ac:dyDescent="0.35">
      <c r="A90" s="544"/>
      <c r="B90" s="544"/>
      <c r="C90" s="544"/>
      <c r="D90" s="544"/>
      <c r="E90" s="544"/>
      <c r="F90" s="544"/>
      <c r="G90" s="544"/>
      <c r="H90" s="544"/>
      <c r="I90" s="544"/>
      <c r="J90" s="544"/>
      <c r="K90" s="544"/>
      <c r="M90" s="544"/>
      <c r="N90" s="544"/>
      <c r="O90" s="544"/>
      <c r="P90" s="544"/>
      <c r="Q90" s="544"/>
      <c r="R90" s="544"/>
      <c r="S90" s="544"/>
      <c r="U90" s="544"/>
      <c r="V90" s="544"/>
      <c r="W90" s="544"/>
      <c r="X90" s="544"/>
      <c r="Y90" s="544"/>
      <c r="Z90" s="544"/>
      <c r="AB90" s="544"/>
      <c r="AC90" s="544"/>
      <c r="AD90" s="544"/>
      <c r="AE90" s="544"/>
      <c r="AF90" s="544"/>
      <c r="AG90" s="544"/>
      <c r="AH90" s="544"/>
      <c r="AJ90" s="544"/>
      <c r="AK90" s="544"/>
      <c r="AL90" s="544"/>
      <c r="AM90" s="544"/>
      <c r="AN90" s="544"/>
      <c r="AO90" s="544"/>
      <c r="AQ90" s="544"/>
      <c r="AR90" s="544"/>
      <c r="AS90" s="544"/>
      <c r="AT90" s="544"/>
      <c r="AU90" s="544"/>
      <c r="AV90" s="544"/>
      <c r="AW90" s="544"/>
      <c r="BD90" s="655"/>
      <c r="BE90" s="655"/>
      <c r="BF90" s="655"/>
      <c r="BG90" s="655"/>
      <c r="BH90" s="655"/>
      <c r="BI90" s="655"/>
      <c r="BJ90" s="655"/>
      <c r="BK90" s="655"/>
      <c r="BL90" s="655"/>
      <c r="BM90" s="655"/>
      <c r="BN90" s="655"/>
      <c r="BO90" s="655"/>
      <c r="BP90" s="655"/>
      <c r="BQ90" s="655"/>
      <c r="BR90" s="655"/>
      <c r="BS90" s="655"/>
      <c r="BT90" s="655"/>
      <c r="BU90" s="655"/>
      <c r="BV90" s="655"/>
    </row>
    <row r="91" spans="1:74" x14ac:dyDescent="0.35">
      <c r="A91" s="544"/>
      <c r="B91" s="544"/>
      <c r="C91" s="544"/>
      <c r="D91" s="544"/>
      <c r="E91" s="544"/>
      <c r="F91" s="544"/>
      <c r="G91" s="544"/>
      <c r="H91" s="544"/>
      <c r="I91" s="544"/>
      <c r="J91" s="544"/>
      <c r="K91" s="544"/>
      <c r="M91" s="544"/>
      <c r="N91" s="544"/>
      <c r="O91" s="544"/>
      <c r="P91" s="544"/>
      <c r="Q91" s="544"/>
      <c r="R91" s="544"/>
      <c r="S91" s="544"/>
      <c r="U91" s="544"/>
      <c r="V91" s="544"/>
      <c r="W91" s="544"/>
      <c r="X91" s="544"/>
      <c r="Y91" s="544"/>
      <c r="Z91" s="544"/>
      <c r="AB91" s="544"/>
      <c r="AC91" s="544"/>
      <c r="AD91" s="544"/>
      <c r="AE91" s="544"/>
      <c r="AF91" s="544"/>
      <c r="AG91" s="544"/>
      <c r="AH91" s="544"/>
      <c r="AJ91" s="544"/>
      <c r="AK91" s="544"/>
      <c r="AL91" s="544"/>
      <c r="AM91" s="544"/>
      <c r="AN91" s="544"/>
      <c r="AO91" s="544"/>
      <c r="AQ91" s="544"/>
      <c r="AR91" s="544"/>
      <c r="AS91" s="544"/>
      <c r="AT91" s="544"/>
      <c r="AU91" s="544"/>
      <c r="AV91" s="544"/>
      <c r="AW91" s="544"/>
      <c r="BD91" s="655"/>
      <c r="BE91" s="655"/>
      <c r="BF91" s="655"/>
      <c r="BG91" s="655"/>
      <c r="BH91" s="655"/>
      <c r="BI91" s="655"/>
      <c r="BJ91" s="655"/>
      <c r="BK91" s="655"/>
      <c r="BL91" s="655"/>
      <c r="BM91" s="655"/>
      <c r="BN91" s="655"/>
      <c r="BO91" s="655"/>
      <c r="BP91" s="655"/>
      <c r="BQ91" s="655"/>
      <c r="BR91" s="655"/>
      <c r="BS91" s="655"/>
      <c r="BT91" s="655"/>
      <c r="BU91" s="655"/>
      <c r="BV91" s="655"/>
    </row>
    <row r="92" spans="1:74" x14ac:dyDescent="0.35">
      <c r="A92" s="544"/>
      <c r="B92" s="544"/>
      <c r="C92" s="544"/>
      <c r="D92" s="544"/>
      <c r="E92" s="544"/>
      <c r="F92" s="544"/>
      <c r="G92" s="544"/>
      <c r="H92" s="544"/>
      <c r="I92" s="544"/>
      <c r="J92" s="544"/>
      <c r="K92" s="544"/>
      <c r="M92" s="544"/>
      <c r="N92" s="544"/>
      <c r="O92" s="544"/>
      <c r="P92" s="544"/>
      <c r="Q92" s="544"/>
      <c r="R92" s="544"/>
      <c r="S92" s="544"/>
      <c r="U92" s="544"/>
      <c r="V92" s="544"/>
      <c r="W92" s="544"/>
      <c r="X92" s="544"/>
      <c r="Y92" s="544"/>
      <c r="Z92" s="544"/>
      <c r="AB92" s="544"/>
      <c r="AC92" s="544"/>
      <c r="AD92" s="544"/>
      <c r="AE92" s="544"/>
      <c r="AF92" s="544"/>
      <c r="AG92" s="544"/>
      <c r="AH92" s="544"/>
      <c r="AJ92" s="544"/>
      <c r="AK92" s="544"/>
      <c r="AL92" s="544"/>
      <c r="AM92" s="544"/>
      <c r="AN92" s="544"/>
      <c r="AO92" s="544"/>
      <c r="AQ92" s="544"/>
      <c r="AR92" s="544"/>
      <c r="AS92" s="544"/>
      <c r="AT92" s="544"/>
      <c r="AU92" s="544"/>
      <c r="AV92" s="544"/>
      <c r="AW92" s="544"/>
      <c r="BD92" s="655"/>
      <c r="BE92" s="655"/>
      <c r="BF92" s="655"/>
      <c r="BG92" s="655"/>
      <c r="BH92" s="655"/>
      <c r="BI92" s="655"/>
      <c r="BJ92" s="655"/>
      <c r="BK92" s="655"/>
      <c r="BL92" s="655"/>
      <c r="BM92" s="655"/>
      <c r="BN92" s="655"/>
      <c r="BO92" s="655"/>
      <c r="BP92" s="655"/>
      <c r="BQ92" s="655"/>
      <c r="BR92" s="655"/>
      <c r="BS92" s="655"/>
      <c r="BT92" s="655"/>
      <c r="BU92" s="655"/>
      <c r="BV92" s="655"/>
    </row>
    <row r="93" spans="1:74" x14ac:dyDescent="0.35">
      <c r="A93" s="544"/>
      <c r="B93" s="544"/>
      <c r="C93" s="544"/>
      <c r="D93" s="544"/>
      <c r="E93" s="544"/>
      <c r="F93" s="544"/>
      <c r="G93" s="544"/>
      <c r="H93" s="544"/>
      <c r="I93" s="544"/>
      <c r="J93" s="544"/>
      <c r="K93" s="544"/>
      <c r="M93" s="544"/>
      <c r="N93" s="544"/>
      <c r="O93" s="544"/>
      <c r="P93" s="544"/>
      <c r="Q93" s="544"/>
      <c r="R93" s="544"/>
      <c r="S93" s="544"/>
      <c r="U93" s="544"/>
      <c r="V93" s="544"/>
      <c r="W93" s="544"/>
      <c r="X93" s="544"/>
      <c r="Y93" s="544"/>
      <c r="Z93" s="544"/>
      <c r="AB93" s="544"/>
      <c r="AC93" s="544"/>
      <c r="AD93" s="544"/>
      <c r="AE93" s="544"/>
      <c r="AF93" s="544"/>
      <c r="AG93" s="544"/>
      <c r="AH93" s="544"/>
      <c r="AJ93" s="544"/>
      <c r="AK93" s="544"/>
      <c r="AL93" s="544"/>
      <c r="AM93" s="544"/>
      <c r="AN93" s="544"/>
      <c r="AO93" s="544"/>
      <c r="AQ93" s="544"/>
      <c r="AR93" s="544"/>
      <c r="AS93" s="544"/>
      <c r="AT93" s="544"/>
      <c r="AU93" s="544"/>
      <c r="AV93" s="544"/>
      <c r="AW93" s="544"/>
      <c r="BD93" s="655"/>
      <c r="BE93" s="655"/>
      <c r="BF93" s="655"/>
      <c r="BG93" s="655"/>
      <c r="BH93" s="655"/>
      <c r="BI93" s="655"/>
      <c r="BJ93" s="655"/>
      <c r="BK93" s="655"/>
      <c r="BL93" s="655"/>
      <c r="BM93" s="655"/>
      <c r="BN93" s="655"/>
      <c r="BO93" s="655"/>
      <c r="BP93" s="655"/>
      <c r="BQ93" s="655"/>
      <c r="BR93" s="655"/>
      <c r="BS93" s="655"/>
      <c r="BT93" s="655"/>
      <c r="BU93" s="655"/>
      <c r="BV93" s="655"/>
    </row>
    <row r="94" spans="1:74" x14ac:dyDescent="0.35">
      <c r="A94" s="544"/>
      <c r="B94" s="544"/>
      <c r="C94" s="544"/>
      <c r="D94" s="544"/>
      <c r="E94" s="544"/>
      <c r="F94" s="544"/>
      <c r="G94" s="544"/>
      <c r="H94" s="544"/>
      <c r="I94" s="544"/>
      <c r="J94" s="544"/>
      <c r="K94" s="544"/>
      <c r="M94" s="544"/>
      <c r="N94" s="544"/>
      <c r="O94" s="544"/>
      <c r="P94" s="544"/>
      <c r="Q94" s="544"/>
      <c r="R94" s="544"/>
      <c r="S94" s="544"/>
      <c r="U94" s="544"/>
      <c r="V94" s="544"/>
      <c r="W94" s="544"/>
      <c r="X94" s="544"/>
      <c r="Y94" s="544"/>
      <c r="Z94" s="544"/>
      <c r="AB94" s="544"/>
      <c r="AC94" s="544"/>
      <c r="AD94" s="544"/>
      <c r="AE94" s="544"/>
      <c r="AF94" s="544"/>
      <c r="AG94" s="544"/>
      <c r="AH94" s="544"/>
      <c r="AJ94" s="544"/>
      <c r="AK94" s="544"/>
      <c r="AL94" s="544"/>
      <c r="AM94" s="544"/>
      <c r="AN94" s="544"/>
      <c r="AO94" s="544"/>
      <c r="AQ94" s="544"/>
      <c r="AR94" s="544"/>
      <c r="AS94" s="544"/>
      <c r="AT94" s="544"/>
      <c r="AU94" s="544"/>
      <c r="AV94" s="544"/>
      <c r="AW94" s="544"/>
      <c r="BD94" s="655"/>
      <c r="BE94" s="655"/>
      <c r="BF94" s="655"/>
      <c r="BG94" s="655"/>
      <c r="BH94" s="655"/>
      <c r="BI94" s="655"/>
      <c r="BJ94" s="655"/>
      <c r="BK94" s="655"/>
      <c r="BL94" s="655"/>
      <c r="BM94" s="655"/>
      <c r="BN94" s="655"/>
      <c r="BO94" s="655"/>
      <c r="BP94" s="655"/>
      <c r="BQ94" s="655"/>
      <c r="BR94" s="655"/>
      <c r="BS94" s="655"/>
      <c r="BT94" s="655"/>
      <c r="BU94" s="655"/>
      <c r="BV94" s="655"/>
    </row>
    <row r="95" spans="1:74" x14ac:dyDescent="0.35">
      <c r="A95" s="544"/>
      <c r="B95" s="544"/>
      <c r="C95" s="544"/>
      <c r="D95" s="544"/>
      <c r="E95" s="544"/>
      <c r="F95" s="544"/>
      <c r="G95" s="544"/>
      <c r="H95" s="544"/>
      <c r="I95" s="544"/>
      <c r="J95" s="544"/>
      <c r="K95" s="544"/>
      <c r="M95" s="544"/>
      <c r="N95" s="544"/>
      <c r="O95" s="544"/>
      <c r="P95" s="544"/>
      <c r="Q95" s="544"/>
      <c r="R95" s="544"/>
      <c r="S95" s="544"/>
      <c r="U95" s="544"/>
      <c r="V95" s="544"/>
      <c r="W95" s="544"/>
      <c r="X95" s="544"/>
      <c r="Y95" s="544"/>
      <c r="Z95" s="544"/>
      <c r="AB95" s="544"/>
      <c r="AC95" s="544"/>
      <c r="AD95" s="544"/>
      <c r="AE95" s="544"/>
      <c r="AF95" s="544"/>
      <c r="AG95" s="544"/>
      <c r="AH95" s="544"/>
      <c r="AJ95" s="544"/>
      <c r="AK95" s="544"/>
      <c r="AL95" s="544"/>
      <c r="AM95" s="544"/>
      <c r="AN95" s="544"/>
      <c r="AO95" s="544"/>
      <c r="AQ95" s="544"/>
      <c r="AR95" s="544"/>
      <c r="AS95" s="544"/>
      <c r="AT95" s="544"/>
      <c r="AU95" s="544"/>
      <c r="AV95" s="544"/>
      <c r="AW95" s="544"/>
      <c r="BD95" s="655"/>
      <c r="BE95" s="655"/>
      <c r="BF95" s="655"/>
      <c r="BG95" s="655"/>
      <c r="BH95" s="655"/>
      <c r="BI95" s="655"/>
      <c r="BJ95" s="655"/>
      <c r="BK95" s="655"/>
      <c r="BL95" s="655"/>
      <c r="BM95" s="655"/>
      <c r="BN95" s="655"/>
      <c r="BO95" s="655"/>
      <c r="BP95" s="655"/>
      <c r="BQ95" s="655"/>
      <c r="BR95" s="655"/>
      <c r="BS95" s="655"/>
      <c r="BT95" s="655"/>
      <c r="BU95" s="655"/>
      <c r="BV95" s="655"/>
    </row>
    <row r="96" spans="1:74" x14ac:dyDescent="0.35">
      <c r="A96" s="544"/>
      <c r="B96" s="544"/>
      <c r="C96" s="544"/>
      <c r="D96" s="544"/>
      <c r="E96" s="544"/>
      <c r="F96" s="544"/>
      <c r="G96" s="544"/>
      <c r="H96" s="544"/>
      <c r="I96" s="544"/>
      <c r="J96" s="544"/>
      <c r="K96" s="544"/>
      <c r="M96" s="544"/>
      <c r="N96" s="544"/>
      <c r="O96" s="544"/>
      <c r="P96" s="544"/>
      <c r="Q96" s="544"/>
      <c r="R96" s="544"/>
      <c r="S96" s="544"/>
      <c r="U96" s="544"/>
      <c r="V96" s="544"/>
      <c r="W96" s="544"/>
      <c r="X96" s="544"/>
      <c r="Y96" s="544"/>
      <c r="Z96" s="544"/>
      <c r="AB96" s="544"/>
      <c r="AC96" s="544"/>
      <c r="AD96" s="544"/>
      <c r="AE96" s="544"/>
      <c r="AF96" s="544"/>
      <c r="AG96" s="544"/>
      <c r="AH96" s="544"/>
      <c r="AJ96" s="544"/>
      <c r="AK96" s="544"/>
      <c r="AL96" s="544"/>
      <c r="AM96" s="544"/>
      <c r="AN96" s="544"/>
      <c r="AO96" s="544"/>
      <c r="AQ96" s="544"/>
      <c r="AR96" s="544"/>
      <c r="AS96" s="544"/>
      <c r="AT96" s="544"/>
      <c r="AU96" s="544"/>
      <c r="AV96" s="544"/>
      <c r="AW96" s="544"/>
      <c r="BD96" s="655"/>
      <c r="BE96" s="655"/>
      <c r="BF96" s="655"/>
      <c r="BG96" s="655"/>
      <c r="BH96" s="655"/>
      <c r="BI96" s="655"/>
      <c r="BJ96" s="655"/>
      <c r="BK96" s="655"/>
      <c r="BL96" s="655"/>
      <c r="BM96" s="655"/>
      <c r="BN96" s="655"/>
      <c r="BO96" s="655"/>
      <c r="BP96" s="655"/>
      <c r="BQ96" s="655"/>
      <c r="BR96" s="655"/>
      <c r="BS96" s="655"/>
      <c r="BT96" s="655"/>
      <c r="BU96" s="655"/>
      <c r="BV96" s="655"/>
    </row>
    <row r="97" spans="1:74" x14ac:dyDescent="0.35">
      <c r="A97" s="544"/>
      <c r="B97" s="544"/>
      <c r="C97" s="544"/>
      <c r="D97" s="544"/>
      <c r="E97" s="544"/>
      <c r="F97" s="544"/>
      <c r="G97" s="544"/>
      <c r="H97" s="544"/>
      <c r="I97" s="544"/>
      <c r="J97" s="544"/>
      <c r="K97" s="544"/>
      <c r="M97" s="544"/>
      <c r="N97" s="544"/>
      <c r="O97" s="544"/>
      <c r="P97" s="544"/>
      <c r="Q97" s="544"/>
      <c r="R97" s="544"/>
      <c r="S97" s="544"/>
      <c r="U97" s="544"/>
      <c r="V97" s="544"/>
      <c r="W97" s="544"/>
      <c r="X97" s="544"/>
      <c r="Y97" s="544"/>
      <c r="Z97" s="544"/>
      <c r="AB97" s="544"/>
      <c r="AC97" s="544"/>
      <c r="AD97" s="544"/>
      <c r="AE97" s="544"/>
      <c r="AF97" s="544"/>
      <c r="AG97" s="544"/>
      <c r="AH97" s="544"/>
      <c r="AJ97" s="544"/>
      <c r="AK97" s="544"/>
      <c r="AL97" s="544"/>
      <c r="AM97" s="544"/>
      <c r="AN97" s="544"/>
      <c r="AO97" s="544"/>
      <c r="AQ97" s="544"/>
      <c r="AR97" s="544"/>
      <c r="AS97" s="544"/>
      <c r="AT97" s="544"/>
      <c r="AU97" s="544"/>
      <c r="AV97" s="544"/>
      <c r="AW97" s="544"/>
      <c r="BD97" s="655"/>
      <c r="BE97" s="655"/>
      <c r="BF97" s="655"/>
      <c r="BG97" s="655"/>
      <c r="BH97" s="655"/>
      <c r="BI97" s="655"/>
      <c r="BJ97" s="655"/>
      <c r="BK97" s="655"/>
      <c r="BL97" s="655"/>
      <c r="BM97" s="655"/>
      <c r="BN97" s="655"/>
      <c r="BO97" s="655"/>
      <c r="BP97" s="655"/>
      <c r="BQ97" s="655"/>
      <c r="BR97" s="655"/>
      <c r="BS97" s="655"/>
      <c r="BT97" s="655"/>
      <c r="BU97" s="655"/>
      <c r="BV97" s="655"/>
    </row>
    <row r="98" spans="1:74" x14ac:dyDescent="0.35">
      <c r="A98" s="544"/>
      <c r="B98" s="544"/>
      <c r="C98" s="544"/>
      <c r="D98" s="544"/>
      <c r="E98" s="544"/>
      <c r="F98" s="544"/>
      <c r="G98" s="544"/>
      <c r="H98" s="544"/>
      <c r="I98" s="544"/>
      <c r="J98" s="544"/>
      <c r="K98" s="544"/>
      <c r="M98" s="544"/>
      <c r="N98" s="544"/>
      <c r="O98" s="544"/>
      <c r="P98" s="544"/>
      <c r="Q98" s="544"/>
      <c r="R98" s="544"/>
      <c r="S98" s="544"/>
      <c r="U98" s="544"/>
      <c r="V98" s="544"/>
      <c r="W98" s="544"/>
      <c r="X98" s="544"/>
      <c r="Y98" s="544"/>
      <c r="Z98" s="544"/>
      <c r="AB98" s="544"/>
      <c r="AC98" s="544"/>
      <c r="AD98" s="544"/>
      <c r="AE98" s="544"/>
      <c r="AF98" s="544"/>
      <c r="AG98" s="544"/>
      <c r="AH98" s="544"/>
      <c r="AJ98" s="544"/>
      <c r="AK98" s="544"/>
      <c r="AL98" s="544"/>
      <c r="AM98" s="544"/>
      <c r="AN98" s="544"/>
      <c r="AO98" s="544"/>
      <c r="AQ98" s="544"/>
      <c r="AR98" s="544"/>
      <c r="AS98" s="544"/>
      <c r="AT98" s="544"/>
      <c r="AU98" s="544"/>
      <c r="AV98" s="544"/>
      <c r="AW98" s="544"/>
      <c r="BD98" s="655"/>
      <c r="BE98" s="655"/>
      <c r="BF98" s="655"/>
      <c r="BG98" s="655"/>
      <c r="BH98" s="655"/>
      <c r="BI98" s="655"/>
      <c r="BJ98" s="655"/>
      <c r="BK98" s="655"/>
      <c r="BL98" s="655"/>
      <c r="BM98" s="655"/>
      <c r="BN98" s="655"/>
      <c r="BO98" s="655"/>
      <c r="BP98" s="655"/>
      <c r="BQ98" s="655"/>
      <c r="BR98" s="655"/>
      <c r="BS98" s="655"/>
      <c r="BT98" s="655"/>
      <c r="BU98" s="655"/>
      <c r="BV98" s="655"/>
    </row>
    <row r="99" spans="1:74" x14ac:dyDescent="0.35">
      <c r="A99" s="544"/>
      <c r="B99" s="544"/>
      <c r="C99" s="544"/>
      <c r="D99" s="544"/>
      <c r="E99" s="544"/>
      <c r="F99" s="544"/>
      <c r="G99" s="544"/>
      <c r="H99" s="544"/>
      <c r="I99" s="544"/>
      <c r="J99" s="544"/>
      <c r="K99" s="544"/>
      <c r="M99" s="544"/>
      <c r="N99" s="544"/>
      <c r="O99" s="544"/>
      <c r="P99" s="544"/>
      <c r="Q99" s="544"/>
      <c r="R99" s="544"/>
      <c r="S99" s="544"/>
      <c r="U99" s="544"/>
      <c r="V99" s="544"/>
      <c r="W99" s="544"/>
      <c r="X99" s="544"/>
      <c r="Y99" s="544"/>
      <c r="Z99" s="544"/>
      <c r="AB99" s="544"/>
      <c r="AC99" s="544"/>
      <c r="AD99" s="544"/>
      <c r="AE99" s="544"/>
      <c r="AF99" s="544"/>
      <c r="AG99" s="544"/>
      <c r="AH99" s="544"/>
      <c r="AJ99" s="544"/>
      <c r="AK99" s="544"/>
      <c r="AL99" s="544"/>
      <c r="AM99" s="544"/>
      <c r="AN99" s="544"/>
      <c r="AO99" s="544"/>
      <c r="AQ99" s="544"/>
      <c r="AR99" s="544"/>
      <c r="AS99" s="544"/>
      <c r="AT99" s="544"/>
      <c r="AU99" s="544"/>
      <c r="AV99" s="544"/>
      <c r="AW99" s="544"/>
      <c r="BD99" s="655"/>
      <c r="BE99" s="655"/>
      <c r="BF99" s="655"/>
      <c r="BG99" s="655"/>
      <c r="BH99" s="655"/>
      <c r="BI99" s="655"/>
      <c r="BJ99" s="655"/>
      <c r="BK99" s="655"/>
      <c r="BL99" s="655"/>
      <c r="BM99" s="655"/>
      <c r="BN99" s="655"/>
      <c r="BO99" s="655"/>
      <c r="BP99" s="655"/>
      <c r="BQ99" s="655"/>
      <c r="BR99" s="655"/>
      <c r="BS99" s="655"/>
      <c r="BT99" s="655"/>
      <c r="BU99" s="655"/>
      <c r="BV99" s="655"/>
    </row>
    <row r="100" spans="1:74" x14ac:dyDescent="0.35">
      <c r="A100" s="544"/>
      <c r="B100" s="544"/>
      <c r="C100" s="544"/>
      <c r="D100" s="544"/>
      <c r="E100" s="544"/>
      <c r="F100" s="544"/>
      <c r="G100" s="544"/>
      <c r="H100" s="544"/>
      <c r="I100" s="544"/>
      <c r="J100" s="544"/>
      <c r="K100" s="544"/>
      <c r="M100" s="544"/>
      <c r="N100" s="544"/>
      <c r="O100" s="544"/>
      <c r="P100" s="544"/>
      <c r="Q100" s="544"/>
      <c r="R100" s="544"/>
      <c r="S100" s="544"/>
      <c r="U100" s="544"/>
      <c r="V100" s="544"/>
      <c r="W100" s="544"/>
      <c r="X100" s="544"/>
      <c r="Y100" s="544"/>
      <c r="Z100" s="544"/>
      <c r="AB100" s="544"/>
      <c r="AC100" s="544"/>
      <c r="AD100" s="544"/>
      <c r="AE100" s="544"/>
      <c r="AF100" s="544"/>
      <c r="AG100" s="544"/>
      <c r="AH100" s="544"/>
      <c r="AJ100" s="544"/>
      <c r="AK100" s="544"/>
      <c r="AL100" s="544"/>
      <c r="AM100" s="544"/>
      <c r="AN100" s="544"/>
      <c r="AO100" s="544"/>
      <c r="AQ100" s="544"/>
      <c r="AR100" s="544"/>
      <c r="AS100" s="544"/>
      <c r="AT100" s="544"/>
      <c r="AU100" s="544"/>
      <c r="AV100" s="544"/>
      <c r="AW100" s="544"/>
      <c r="BD100" s="655"/>
      <c r="BE100" s="655"/>
      <c r="BF100" s="655"/>
      <c r="BG100" s="655"/>
      <c r="BH100" s="655"/>
      <c r="BI100" s="655"/>
      <c r="BJ100" s="655"/>
      <c r="BK100" s="655"/>
      <c r="BL100" s="655"/>
      <c r="BM100" s="655"/>
      <c r="BN100" s="655"/>
      <c r="BO100" s="655"/>
      <c r="BP100" s="655"/>
      <c r="BQ100" s="655"/>
      <c r="BR100" s="655"/>
      <c r="BS100" s="655"/>
      <c r="BT100" s="655"/>
      <c r="BU100" s="655"/>
      <c r="BV100" s="655"/>
    </row>
    <row r="101" spans="1:74" x14ac:dyDescent="0.35">
      <c r="A101" s="544"/>
      <c r="B101" s="544"/>
      <c r="C101" s="544"/>
      <c r="D101" s="544"/>
      <c r="E101" s="544"/>
      <c r="F101" s="544"/>
      <c r="G101" s="544"/>
      <c r="H101" s="544"/>
      <c r="I101" s="544"/>
      <c r="J101" s="544"/>
      <c r="K101" s="544"/>
      <c r="M101" s="544"/>
      <c r="N101" s="544"/>
      <c r="O101" s="544"/>
      <c r="P101" s="544"/>
      <c r="Q101" s="544"/>
      <c r="R101" s="544"/>
      <c r="S101" s="544"/>
      <c r="U101" s="544"/>
      <c r="V101" s="544"/>
      <c r="W101" s="544"/>
      <c r="X101" s="544"/>
      <c r="Y101" s="544"/>
      <c r="Z101" s="544"/>
      <c r="AB101" s="544"/>
      <c r="AC101" s="544"/>
      <c r="AD101" s="544"/>
      <c r="AE101" s="544"/>
      <c r="AF101" s="544"/>
      <c r="AG101" s="544"/>
      <c r="AH101" s="544"/>
      <c r="AJ101" s="544"/>
      <c r="AK101" s="544"/>
      <c r="AL101" s="544"/>
      <c r="AM101" s="544"/>
      <c r="AN101" s="544"/>
      <c r="AO101" s="544"/>
      <c r="AQ101" s="544"/>
      <c r="AR101" s="544"/>
      <c r="AS101" s="544"/>
      <c r="AT101" s="544"/>
      <c r="AU101" s="544"/>
      <c r="AV101" s="544"/>
      <c r="AW101" s="544"/>
      <c r="BD101" s="655"/>
      <c r="BE101" s="655"/>
      <c r="BF101" s="655"/>
      <c r="BG101" s="655"/>
      <c r="BH101" s="655"/>
      <c r="BI101" s="655"/>
      <c r="BJ101" s="655"/>
      <c r="BK101" s="655"/>
      <c r="BL101" s="655"/>
      <c r="BM101" s="655"/>
      <c r="BN101" s="655"/>
      <c r="BO101" s="655"/>
      <c r="BP101" s="655"/>
      <c r="BQ101" s="655"/>
      <c r="BR101" s="655"/>
      <c r="BS101" s="655"/>
      <c r="BT101" s="655"/>
      <c r="BU101" s="655"/>
      <c r="BV101" s="655"/>
    </row>
    <row r="102" spans="1:74" x14ac:dyDescent="0.35">
      <c r="A102" s="544"/>
      <c r="B102" s="544"/>
      <c r="C102" s="544"/>
      <c r="D102" s="544"/>
      <c r="E102" s="544"/>
      <c r="F102" s="544"/>
      <c r="G102" s="544"/>
      <c r="H102" s="544"/>
      <c r="I102" s="544"/>
      <c r="J102" s="544"/>
      <c r="K102" s="544"/>
      <c r="M102" s="544"/>
      <c r="N102" s="544"/>
      <c r="O102" s="544"/>
      <c r="P102" s="544"/>
      <c r="Q102" s="544"/>
      <c r="R102" s="544"/>
      <c r="S102" s="544"/>
      <c r="U102" s="544"/>
      <c r="V102" s="544"/>
      <c r="W102" s="544"/>
      <c r="X102" s="544"/>
      <c r="Y102" s="544"/>
      <c r="Z102" s="544"/>
      <c r="AB102" s="544"/>
      <c r="AC102" s="544"/>
      <c r="AD102" s="544"/>
      <c r="AE102" s="544"/>
      <c r="AF102" s="544"/>
      <c r="AG102" s="544"/>
      <c r="AH102" s="544"/>
      <c r="AJ102" s="544"/>
      <c r="AK102" s="544"/>
      <c r="AL102" s="544"/>
      <c r="AM102" s="544"/>
      <c r="AN102" s="544"/>
      <c r="AO102" s="544"/>
      <c r="AQ102" s="544"/>
      <c r="AR102" s="544"/>
      <c r="AS102" s="544"/>
      <c r="AT102" s="544"/>
      <c r="AU102" s="544"/>
      <c r="AV102" s="544"/>
      <c r="AW102" s="544"/>
      <c r="BD102" s="655"/>
      <c r="BE102" s="655"/>
      <c r="BF102" s="655"/>
      <c r="BG102" s="655"/>
      <c r="BH102" s="655"/>
      <c r="BI102" s="655"/>
      <c r="BJ102" s="655"/>
      <c r="BK102" s="655"/>
      <c r="BL102" s="655"/>
      <c r="BM102" s="655"/>
      <c r="BN102" s="655"/>
      <c r="BO102" s="655"/>
      <c r="BP102" s="655"/>
      <c r="BQ102" s="655"/>
      <c r="BR102" s="655"/>
      <c r="BS102" s="655"/>
      <c r="BT102" s="655"/>
      <c r="BU102" s="655"/>
      <c r="BV102" s="655"/>
    </row>
    <row r="103" spans="1:74" x14ac:dyDescent="0.35">
      <c r="A103" s="544"/>
      <c r="B103" s="544"/>
      <c r="C103" s="544"/>
      <c r="D103" s="544"/>
      <c r="E103" s="544"/>
      <c r="F103" s="544"/>
      <c r="G103" s="544"/>
      <c r="H103" s="544"/>
      <c r="I103" s="544"/>
      <c r="J103" s="544"/>
      <c r="K103" s="544"/>
      <c r="M103" s="544"/>
      <c r="N103" s="544"/>
      <c r="O103" s="544"/>
      <c r="P103" s="544"/>
      <c r="Q103" s="544"/>
      <c r="R103" s="544"/>
      <c r="S103" s="544"/>
      <c r="U103" s="544"/>
      <c r="V103" s="544"/>
      <c r="W103" s="544"/>
      <c r="X103" s="544"/>
      <c r="Y103" s="544"/>
      <c r="Z103" s="544"/>
      <c r="AB103" s="544"/>
      <c r="AC103" s="544"/>
      <c r="AD103" s="544"/>
      <c r="AE103" s="544"/>
      <c r="AF103" s="544"/>
      <c r="AG103" s="544"/>
      <c r="AH103" s="544"/>
      <c r="AJ103" s="544"/>
      <c r="AK103" s="544"/>
      <c r="AL103" s="544"/>
      <c r="AM103" s="544"/>
      <c r="AN103" s="544"/>
      <c r="AO103" s="544"/>
      <c r="AQ103" s="544"/>
      <c r="AR103" s="544"/>
      <c r="AS103" s="544"/>
      <c r="AT103" s="544"/>
      <c r="AU103" s="544"/>
      <c r="AV103" s="544"/>
      <c r="AW103" s="544"/>
      <c r="BD103" s="655"/>
      <c r="BE103" s="655"/>
      <c r="BF103" s="655"/>
      <c r="BG103" s="655"/>
      <c r="BH103" s="655"/>
      <c r="BI103" s="655"/>
      <c r="BJ103" s="655"/>
      <c r="BK103" s="655"/>
      <c r="BL103" s="655"/>
      <c r="BM103" s="655"/>
      <c r="BN103" s="655"/>
      <c r="BO103" s="655"/>
      <c r="BP103" s="655"/>
      <c r="BQ103" s="655"/>
      <c r="BR103" s="655"/>
      <c r="BS103" s="655"/>
      <c r="BT103" s="655"/>
      <c r="BU103" s="655"/>
      <c r="BV103" s="655"/>
    </row>
    <row r="104" spans="1:74" x14ac:dyDescent="0.35">
      <c r="A104" s="544"/>
      <c r="B104" s="544"/>
      <c r="C104" s="544"/>
      <c r="D104" s="544"/>
      <c r="E104" s="544"/>
      <c r="F104" s="544"/>
      <c r="G104" s="544"/>
      <c r="H104" s="544"/>
      <c r="I104" s="544"/>
      <c r="J104" s="544"/>
      <c r="K104" s="544"/>
      <c r="M104" s="544"/>
      <c r="N104" s="544"/>
      <c r="O104" s="544"/>
      <c r="P104" s="544"/>
      <c r="Q104" s="544"/>
      <c r="R104" s="544"/>
      <c r="S104" s="544"/>
      <c r="U104" s="544"/>
      <c r="V104" s="544"/>
      <c r="W104" s="544"/>
      <c r="X104" s="544"/>
      <c r="Y104" s="544"/>
      <c r="Z104" s="544"/>
      <c r="AB104" s="544"/>
      <c r="AC104" s="544"/>
      <c r="AD104" s="544"/>
      <c r="AE104" s="544"/>
      <c r="AF104" s="544"/>
      <c r="AG104" s="544"/>
      <c r="AH104" s="544"/>
      <c r="AJ104" s="544"/>
      <c r="AK104" s="544"/>
      <c r="AL104" s="544"/>
      <c r="AM104" s="544"/>
      <c r="AN104" s="544"/>
      <c r="AO104" s="544"/>
      <c r="AQ104" s="544"/>
      <c r="AR104" s="544"/>
      <c r="AS104" s="544"/>
      <c r="AT104" s="544"/>
      <c r="AU104" s="544"/>
      <c r="AV104" s="544"/>
      <c r="AW104" s="544"/>
      <c r="BD104" s="655"/>
      <c r="BE104" s="655"/>
      <c r="BF104" s="655"/>
      <c r="BG104" s="655"/>
      <c r="BH104" s="655"/>
      <c r="BI104" s="655"/>
      <c r="BJ104" s="655"/>
      <c r="BK104" s="655"/>
      <c r="BL104" s="655"/>
      <c r="BM104" s="655"/>
      <c r="BN104" s="655"/>
      <c r="BO104" s="655"/>
      <c r="BP104" s="655"/>
      <c r="BQ104" s="655"/>
      <c r="BR104" s="655"/>
      <c r="BS104" s="655"/>
      <c r="BT104" s="655"/>
      <c r="BU104" s="655"/>
      <c r="BV104" s="655"/>
    </row>
    <row r="105" spans="1:74" x14ac:dyDescent="0.35">
      <c r="A105" s="544"/>
      <c r="B105" s="544"/>
      <c r="C105" s="544"/>
      <c r="D105" s="544"/>
      <c r="E105" s="544"/>
      <c r="F105" s="544"/>
      <c r="G105" s="544"/>
      <c r="H105" s="544"/>
      <c r="I105" s="544"/>
      <c r="J105" s="544"/>
      <c r="K105" s="544"/>
      <c r="M105" s="544"/>
      <c r="N105" s="544"/>
      <c r="O105" s="544"/>
      <c r="P105" s="544"/>
      <c r="Q105" s="544"/>
      <c r="R105" s="544"/>
      <c r="S105" s="544"/>
      <c r="U105" s="544"/>
      <c r="V105" s="544"/>
      <c r="W105" s="544"/>
      <c r="X105" s="544"/>
      <c r="Y105" s="544"/>
      <c r="Z105" s="544"/>
      <c r="AB105" s="544"/>
      <c r="AC105" s="544"/>
      <c r="AD105" s="544"/>
      <c r="AE105" s="544"/>
      <c r="AF105" s="544"/>
      <c r="AG105" s="544"/>
      <c r="AH105" s="544"/>
      <c r="AJ105" s="544"/>
      <c r="AK105" s="544"/>
      <c r="AL105" s="544"/>
      <c r="AM105" s="544"/>
      <c r="AN105" s="544"/>
      <c r="AO105" s="544"/>
      <c r="AQ105" s="544"/>
      <c r="AR105" s="544"/>
      <c r="AS105" s="544"/>
      <c r="AT105" s="544"/>
      <c r="AU105" s="544"/>
      <c r="AV105" s="544"/>
      <c r="AW105" s="544"/>
      <c r="BD105" s="655"/>
      <c r="BE105" s="655"/>
      <c r="BF105" s="655"/>
      <c r="BG105" s="655"/>
      <c r="BH105" s="655"/>
      <c r="BI105" s="655"/>
      <c r="BJ105" s="655"/>
      <c r="BK105" s="655"/>
      <c r="BL105" s="655"/>
      <c r="BM105" s="655"/>
      <c r="BN105" s="655"/>
      <c r="BO105" s="655"/>
      <c r="BP105" s="655"/>
      <c r="BQ105" s="655"/>
      <c r="BR105" s="655"/>
      <c r="BS105" s="655"/>
      <c r="BT105" s="655"/>
      <c r="BU105" s="655"/>
      <c r="BV105" s="655"/>
    </row>
    <row r="106" spans="1:74" x14ac:dyDescent="0.35">
      <c r="A106" s="544"/>
      <c r="B106" s="544"/>
      <c r="C106" s="544"/>
      <c r="D106" s="544"/>
      <c r="E106" s="544"/>
      <c r="F106" s="544"/>
      <c r="G106" s="544"/>
      <c r="H106" s="544"/>
      <c r="I106" s="544"/>
      <c r="J106" s="544"/>
      <c r="K106" s="544"/>
      <c r="M106" s="544"/>
      <c r="N106" s="544"/>
      <c r="O106" s="544"/>
      <c r="P106" s="544"/>
      <c r="Q106" s="544"/>
      <c r="R106" s="544"/>
      <c r="S106" s="544"/>
      <c r="U106" s="544"/>
      <c r="V106" s="544"/>
      <c r="W106" s="544"/>
      <c r="X106" s="544"/>
      <c r="Y106" s="544"/>
      <c r="Z106" s="544"/>
      <c r="AB106" s="544"/>
      <c r="AC106" s="544"/>
      <c r="AD106" s="544"/>
      <c r="AE106" s="544"/>
      <c r="AF106" s="544"/>
      <c r="AG106" s="544"/>
      <c r="AH106" s="544"/>
      <c r="AJ106" s="544"/>
      <c r="AK106" s="544"/>
      <c r="AL106" s="544"/>
      <c r="AM106" s="544"/>
      <c r="AN106" s="544"/>
      <c r="AO106" s="544"/>
      <c r="AQ106" s="544"/>
      <c r="AR106" s="544"/>
      <c r="AS106" s="544"/>
      <c r="AT106" s="544"/>
      <c r="AU106" s="544"/>
      <c r="AV106" s="544"/>
      <c r="AW106" s="544"/>
      <c r="BD106" s="655"/>
      <c r="BE106" s="655"/>
      <c r="BF106" s="655"/>
      <c r="BG106" s="655"/>
      <c r="BH106" s="655"/>
      <c r="BI106" s="655"/>
      <c r="BJ106" s="655"/>
      <c r="BK106" s="655"/>
      <c r="BL106" s="655"/>
      <c r="BM106" s="655"/>
      <c r="BN106" s="655"/>
      <c r="BO106" s="655"/>
      <c r="BP106" s="655"/>
      <c r="BQ106" s="655"/>
      <c r="BR106" s="655"/>
      <c r="BS106" s="655"/>
      <c r="BT106" s="655"/>
      <c r="BU106" s="655"/>
      <c r="BV106" s="655"/>
    </row>
    <row r="107" spans="1:74" x14ac:dyDescent="0.35">
      <c r="A107" s="544"/>
      <c r="B107" s="544"/>
      <c r="C107" s="544"/>
      <c r="D107" s="544"/>
      <c r="E107" s="544"/>
      <c r="F107" s="544"/>
      <c r="G107" s="544"/>
      <c r="H107" s="544"/>
      <c r="I107" s="544"/>
      <c r="J107" s="544"/>
      <c r="K107" s="544"/>
      <c r="M107" s="544"/>
      <c r="N107" s="544"/>
      <c r="O107" s="544"/>
      <c r="P107" s="544"/>
      <c r="Q107" s="544"/>
      <c r="R107" s="544"/>
      <c r="S107" s="544"/>
      <c r="U107" s="544"/>
      <c r="V107" s="544"/>
      <c r="W107" s="544"/>
      <c r="X107" s="544"/>
      <c r="Y107" s="544"/>
      <c r="Z107" s="544"/>
      <c r="AB107" s="544"/>
      <c r="AC107" s="544"/>
      <c r="AD107" s="544"/>
      <c r="AE107" s="544"/>
      <c r="AF107" s="544"/>
      <c r="AG107" s="544"/>
      <c r="AH107" s="544"/>
      <c r="AJ107" s="544"/>
      <c r="AK107" s="544"/>
      <c r="AL107" s="544"/>
      <c r="AM107" s="544"/>
      <c r="AN107" s="544"/>
      <c r="AO107" s="544"/>
      <c r="AQ107" s="544"/>
      <c r="AR107" s="544"/>
      <c r="AS107" s="544"/>
      <c r="AT107" s="544"/>
      <c r="AU107" s="544"/>
      <c r="AV107" s="544"/>
      <c r="AW107" s="544"/>
      <c r="BD107" s="655"/>
      <c r="BE107" s="655"/>
      <c r="BF107" s="655"/>
      <c r="BG107" s="655"/>
      <c r="BH107" s="655"/>
      <c r="BI107" s="655"/>
      <c r="BJ107" s="655"/>
      <c r="BK107" s="655"/>
      <c r="BL107" s="655"/>
      <c r="BM107" s="655"/>
      <c r="BN107" s="655"/>
      <c r="BO107" s="655"/>
      <c r="BP107" s="655"/>
      <c r="BQ107" s="655"/>
      <c r="BR107" s="655"/>
      <c r="BS107" s="655"/>
      <c r="BT107" s="655"/>
      <c r="BU107" s="655"/>
      <c r="BV107" s="655"/>
    </row>
    <row r="108" spans="1:74" x14ac:dyDescent="0.35">
      <c r="A108" s="544"/>
      <c r="B108" s="544"/>
      <c r="C108" s="544"/>
      <c r="D108" s="544"/>
      <c r="E108" s="544"/>
      <c r="F108" s="544"/>
      <c r="G108" s="544"/>
      <c r="H108" s="544"/>
      <c r="I108" s="544"/>
      <c r="J108" s="544"/>
      <c r="K108" s="544"/>
      <c r="M108" s="544"/>
      <c r="N108" s="544"/>
      <c r="O108" s="544"/>
      <c r="P108" s="544"/>
      <c r="Q108" s="544"/>
      <c r="R108" s="544"/>
      <c r="S108" s="544"/>
      <c r="U108" s="544"/>
      <c r="V108" s="544"/>
      <c r="W108" s="544"/>
      <c r="X108" s="544"/>
      <c r="Y108" s="544"/>
      <c r="Z108" s="544"/>
      <c r="AB108" s="544"/>
      <c r="AC108" s="544"/>
      <c r="AD108" s="544"/>
      <c r="AE108" s="544"/>
      <c r="AF108" s="544"/>
      <c r="AG108" s="544"/>
      <c r="AH108" s="544"/>
      <c r="AJ108" s="544"/>
      <c r="AK108" s="544"/>
      <c r="AL108" s="544"/>
      <c r="AM108" s="544"/>
      <c r="AN108" s="544"/>
      <c r="AO108" s="544"/>
      <c r="AQ108" s="544"/>
      <c r="AR108" s="544"/>
      <c r="AS108" s="544"/>
      <c r="AT108" s="544"/>
      <c r="AU108" s="544"/>
      <c r="AV108" s="544"/>
      <c r="AW108" s="544"/>
    </row>
    <row r="109" spans="1:74" x14ac:dyDescent="0.35">
      <c r="A109" s="544"/>
      <c r="B109" s="544"/>
      <c r="C109" s="544"/>
      <c r="D109" s="544"/>
      <c r="E109" s="544"/>
      <c r="F109" s="544"/>
      <c r="G109" s="544"/>
      <c r="H109" s="544"/>
      <c r="I109" s="544"/>
      <c r="J109" s="544"/>
      <c r="K109" s="544"/>
      <c r="M109" s="544"/>
      <c r="N109" s="544"/>
      <c r="O109" s="544"/>
      <c r="P109" s="544"/>
      <c r="Q109" s="544"/>
      <c r="R109" s="544"/>
      <c r="S109" s="544"/>
      <c r="U109" s="544"/>
      <c r="V109" s="544"/>
      <c r="W109" s="544"/>
      <c r="X109" s="544"/>
      <c r="Y109" s="544"/>
      <c r="Z109" s="544"/>
      <c r="AB109" s="544"/>
      <c r="AC109" s="544"/>
      <c r="AD109" s="544"/>
      <c r="AE109" s="544"/>
      <c r="AF109" s="544"/>
      <c r="AG109" s="544"/>
      <c r="AH109" s="544"/>
      <c r="AJ109" s="544"/>
      <c r="AK109" s="544"/>
      <c r="AL109" s="544"/>
      <c r="AM109" s="544"/>
      <c r="AN109" s="544"/>
      <c r="AO109" s="544"/>
      <c r="AQ109" s="544"/>
      <c r="AR109" s="544"/>
      <c r="AS109" s="544"/>
      <c r="AT109" s="544"/>
      <c r="AU109" s="544"/>
      <c r="AV109" s="544"/>
      <c r="AW109" s="544"/>
    </row>
    <row r="110" spans="1:74" x14ac:dyDescent="0.35">
      <c r="A110" s="544"/>
      <c r="B110" s="544"/>
      <c r="C110" s="544"/>
      <c r="D110" s="544"/>
      <c r="E110" s="544"/>
      <c r="F110" s="544"/>
      <c r="G110" s="544"/>
      <c r="H110" s="544"/>
      <c r="I110" s="544"/>
      <c r="J110" s="544"/>
      <c r="K110" s="544"/>
      <c r="M110" s="544"/>
      <c r="N110" s="544"/>
      <c r="O110" s="544"/>
      <c r="P110" s="544"/>
      <c r="Q110" s="544"/>
      <c r="R110" s="544"/>
      <c r="S110" s="544"/>
      <c r="U110" s="544"/>
      <c r="V110" s="544"/>
      <c r="W110" s="544"/>
      <c r="X110" s="544"/>
      <c r="Y110" s="544"/>
      <c r="Z110" s="544"/>
      <c r="AB110" s="544"/>
      <c r="AC110" s="544"/>
      <c r="AD110" s="544"/>
      <c r="AE110" s="544"/>
      <c r="AF110" s="544"/>
      <c r="AG110" s="544"/>
      <c r="AH110" s="544"/>
      <c r="AJ110" s="544"/>
      <c r="AK110" s="544"/>
      <c r="AL110" s="544"/>
      <c r="AM110" s="544"/>
      <c r="AN110" s="544"/>
      <c r="AO110" s="544"/>
      <c r="AQ110" s="544"/>
      <c r="AR110" s="544"/>
      <c r="AS110" s="544"/>
      <c r="AT110" s="544"/>
      <c r="AU110" s="544"/>
      <c r="AV110" s="544"/>
      <c r="AW110" s="544"/>
    </row>
    <row r="111" spans="1:74" x14ac:dyDescent="0.35">
      <c r="A111" s="544"/>
      <c r="B111" s="544"/>
      <c r="C111" s="544"/>
      <c r="D111" s="544"/>
      <c r="E111" s="544"/>
      <c r="F111" s="544"/>
      <c r="G111" s="544"/>
      <c r="H111" s="544"/>
      <c r="I111" s="544"/>
      <c r="J111" s="544"/>
      <c r="K111" s="544"/>
      <c r="M111" s="544"/>
      <c r="N111" s="544"/>
      <c r="O111" s="544"/>
      <c r="P111" s="544"/>
      <c r="Q111" s="544"/>
      <c r="R111" s="544"/>
      <c r="S111" s="544"/>
      <c r="U111" s="544"/>
      <c r="V111" s="544"/>
      <c r="W111" s="544"/>
      <c r="X111" s="544"/>
      <c r="Y111" s="544"/>
      <c r="Z111" s="544"/>
      <c r="AB111" s="544"/>
      <c r="AC111" s="544"/>
      <c r="AD111" s="544"/>
      <c r="AE111" s="544"/>
      <c r="AF111" s="544"/>
      <c r="AG111" s="544"/>
      <c r="AH111" s="544"/>
      <c r="AJ111" s="544"/>
      <c r="AK111" s="544"/>
      <c r="AL111" s="544"/>
      <c r="AM111" s="544"/>
      <c r="AN111" s="544"/>
      <c r="AO111" s="544"/>
      <c r="AQ111" s="544"/>
      <c r="AR111" s="544"/>
      <c r="AS111" s="544"/>
      <c r="AT111" s="544"/>
      <c r="AU111" s="544"/>
      <c r="AV111" s="544"/>
      <c r="AW111" s="544"/>
    </row>
    <row r="112" spans="1:74" x14ac:dyDescent="0.35">
      <c r="A112" s="544"/>
      <c r="B112" s="544"/>
      <c r="C112" s="544"/>
      <c r="D112" s="544"/>
      <c r="E112" s="544"/>
      <c r="F112" s="544"/>
      <c r="G112" s="544"/>
      <c r="H112" s="544"/>
      <c r="I112" s="544"/>
      <c r="J112" s="544"/>
      <c r="K112" s="544"/>
      <c r="M112" s="544"/>
      <c r="N112" s="544"/>
      <c r="O112" s="544"/>
      <c r="P112" s="544"/>
      <c r="Q112" s="544"/>
      <c r="R112" s="544"/>
      <c r="S112" s="544"/>
      <c r="U112" s="544"/>
      <c r="V112" s="544"/>
      <c r="W112" s="544"/>
      <c r="X112" s="544"/>
      <c r="Y112" s="544"/>
      <c r="Z112" s="544"/>
      <c r="AB112" s="544"/>
      <c r="AC112" s="544"/>
      <c r="AD112" s="544"/>
      <c r="AE112" s="544"/>
      <c r="AF112" s="544"/>
      <c r="AG112" s="544"/>
      <c r="AH112" s="544"/>
      <c r="AJ112" s="544"/>
      <c r="AK112" s="544"/>
      <c r="AL112" s="544"/>
      <c r="AM112" s="544"/>
      <c r="AN112" s="544"/>
      <c r="AO112" s="544"/>
      <c r="AQ112" s="544"/>
      <c r="AR112" s="544"/>
      <c r="AS112" s="544"/>
      <c r="AT112" s="544"/>
      <c r="AU112" s="544"/>
      <c r="AV112" s="544"/>
      <c r="AW112" s="544"/>
    </row>
    <row r="113" spans="1:49" x14ac:dyDescent="0.35">
      <c r="A113" s="544"/>
      <c r="B113" s="544"/>
      <c r="C113" s="544"/>
      <c r="D113" s="544"/>
      <c r="E113" s="544"/>
      <c r="F113" s="544"/>
      <c r="G113" s="544"/>
      <c r="H113" s="544"/>
      <c r="I113" s="544"/>
      <c r="J113" s="544"/>
      <c r="K113" s="544"/>
      <c r="M113" s="544"/>
      <c r="N113" s="544"/>
      <c r="O113" s="544"/>
      <c r="P113" s="544"/>
      <c r="Q113" s="544"/>
      <c r="R113" s="544"/>
      <c r="S113" s="544"/>
      <c r="U113" s="544"/>
      <c r="V113" s="544"/>
      <c r="W113" s="544"/>
      <c r="X113" s="544"/>
      <c r="Y113" s="544"/>
      <c r="Z113" s="544"/>
      <c r="AB113" s="544"/>
      <c r="AC113" s="544"/>
      <c r="AD113" s="544"/>
      <c r="AE113" s="544"/>
      <c r="AF113" s="544"/>
      <c r="AG113" s="544"/>
      <c r="AH113" s="544"/>
      <c r="AJ113" s="544"/>
      <c r="AK113" s="544"/>
      <c r="AL113" s="544"/>
      <c r="AM113" s="544"/>
      <c r="AN113" s="544"/>
      <c r="AO113" s="544"/>
      <c r="AQ113" s="544"/>
      <c r="AR113" s="544"/>
      <c r="AS113" s="544"/>
      <c r="AT113" s="544"/>
      <c r="AU113" s="544"/>
      <c r="AV113" s="544"/>
      <c r="AW113" s="544"/>
    </row>
    <row r="114" spans="1:49" x14ac:dyDescent="0.35">
      <c r="A114" s="544"/>
      <c r="B114" s="544"/>
      <c r="C114" s="544"/>
      <c r="D114" s="544"/>
      <c r="E114" s="544"/>
      <c r="F114" s="544"/>
      <c r="G114" s="544"/>
      <c r="H114" s="544"/>
      <c r="I114" s="544"/>
      <c r="J114" s="544"/>
      <c r="K114" s="544"/>
      <c r="M114" s="544"/>
      <c r="N114" s="544"/>
      <c r="O114" s="544"/>
      <c r="P114" s="544"/>
      <c r="Q114" s="544"/>
      <c r="R114" s="544"/>
      <c r="S114" s="544"/>
      <c r="U114" s="544"/>
      <c r="V114" s="544"/>
      <c r="W114" s="544"/>
      <c r="X114" s="544"/>
      <c r="Y114" s="544"/>
      <c r="Z114" s="544"/>
      <c r="AB114" s="544"/>
      <c r="AC114" s="544"/>
      <c r="AD114" s="544"/>
      <c r="AE114" s="544"/>
      <c r="AF114" s="544"/>
      <c r="AG114" s="544"/>
      <c r="AH114" s="544"/>
      <c r="AJ114" s="544"/>
      <c r="AK114" s="544"/>
      <c r="AL114" s="544"/>
      <c r="AM114" s="544"/>
      <c r="AN114" s="544"/>
      <c r="AO114" s="544"/>
      <c r="AQ114" s="544"/>
      <c r="AR114" s="544"/>
      <c r="AS114" s="544"/>
      <c r="AT114" s="544"/>
      <c r="AU114" s="544"/>
      <c r="AV114" s="544"/>
      <c r="AW114" s="544"/>
    </row>
    <row r="115" spans="1:49" x14ac:dyDescent="0.35">
      <c r="A115" s="544"/>
      <c r="B115" s="544"/>
      <c r="C115" s="544"/>
      <c r="D115" s="544"/>
      <c r="E115" s="544"/>
      <c r="F115" s="544"/>
      <c r="G115" s="544"/>
      <c r="H115" s="544"/>
      <c r="I115" s="544"/>
      <c r="J115" s="544"/>
      <c r="K115" s="544"/>
      <c r="M115" s="544"/>
      <c r="N115" s="544"/>
      <c r="O115" s="544"/>
      <c r="P115" s="544"/>
      <c r="Q115" s="544"/>
      <c r="R115" s="544"/>
      <c r="S115" s="544"/>
      <c r="U115" s="544"/>
      <c r="V115" s="544"/>
      <c r="W115" s="544"/>
      <c r="X115" s="544"/>
      <c r="Y115" s="544"/>
      <c r="Z115" s="544"/>
      <c r="AB115" s="544"/>
      <c r="AC115" s="544"/>
      <c r="AD115" s="544"/>
      <c r="AE115" s="544"/>
      <c r="AF115" s="544"/>
      <c r="AG115" s="544"/>
      <c r="AH115" s="544"/>
      <c r="AJ115" s="544"/>
      <c r="AK115" s="544"/>
      <c r="AL115" s="544"/>
      <c r="AM115" s="544"/>
      <c r="AN115" s="544"/>
      <c r="AO115" s="544"/>
      <c r="AQ115" s="544"/>
      <c r="AR115" s="544"/>
      <c r="AS115" s="544"/>
      <c r="AT115" s="544"/>
      <c r="AU115" s="544"/>
      <c r="AV115" s="544"/>
      <c r="AW115" s="544"/>
    </row>
    <row r="116" spans="1:49" x14ac:dyDescent="0.35">
      <c r="A116" s="544"/>
      <c r="B116" s="544"/>
      <c r="C116" s="544"/>
      <c r="D116" s="544"/>
      <c r="E116" s="544"/>
      <c r="F116" s="544"/>
      <c r="G116" s="544"/>
      <c r="H116" s="544"/>
      <c r="I116" s="544"/>
      <c r="J116" s="544"/>
      <c r="K116" s="544"/>
      <c r="M116" s="544"/>
      <c r="N116" s="544"/>
      <c r="O116" s="544"/>
      <c r="P116" s="544"/>
      <c r="Q116" s="544"/>
      <c r="R116" s="544"/>
      <c r="S116" s="544"/>
      <c r="U116" s="544"/>
      <c r="V116" s="544"/>
      <c r="W116" s="544"/>
      <c r="X116" s="544"/>
      <c r="Y116" s="544"/>
      <c r="Z116" s="544"/>
      <c r="AB116" s="544"/>
      <c r="AC116" s="544"/>
      <c r="AD116" s="544"/>
      <c r="AE116" s="544"/>
      <c r="AF116" s="544"/>
      <c r="AG116" s="544"/>
      <c r="AH116" s="544"/>
      <c r="AJ116" s="544"/>
      <c r="AK116" s="544"/>
      <c r="AL116" s="544"/>
      <c r="AM116" s="544"/>
      <c r="AN116" s="544"/>
      <c r="AO116" s="544"/>
      <c r="AQ116" s="544"/>
      <c r="AR116" s="544"/>
      <c r="AS116" s="544"/>
      <c r="AT116" s="544"/>
      <c r="AU116" s="544"/>
      <c r="AV116" s="544"/>
      <c r="AW116" s="544"/>
    </row>
    <row r="117" spans="1:49" x14ac:dyDescent="0.35">
      <c r="A117" s="544"/>
      <c r="B117" s="544"/>
      <c r="C117" s="544"/>
      <c r="D117" s="544"/>
      <c r="E117" s="544"/>
      <c r="F117" s="544"/>
      <c r="G117" s="544"/>
      <c r="H117" s="544"/>
      <c r="I117" s="544"/>
      <c r="J117" s="544"/>
      <c r="K117" s="544"/>
      <c r="M117" s="544"/>
      <c r="N117" s="544"/>
      <c r="O117" s="544"/>
      <c r="P117" s="544"/>
      <c r="Q117" s="544"/>
      <c r="R117" s="544"/>
      <c r="S117" s="544"/>
      <c r="U117" s="544"/>
      <c r="V117" s="544"/>
      <c r="W117" s="544"/>
      <c r="X117" s="544"/>
      <c r="Y117" s="544"/>
      <c r="Z117" s="544"/>
      <c r="AB117" s="544"/>
      <c r="AC117" s="544"/>
      <c r="AD117" s="544"/>
      <c r="AE117" s="544"/>
      <c r="AF117" s="544"/>
      <c r="AG117" s="544"/>
      <c r="AH117" s="544"/>
      <c r="AJ117" s="544"/>
      <c r="AK117" s="544"/>
      <c r="AL117" s="544"/>
      <c r="AM117" s="544"/>
      <c r="AN117" s="544"/>
      <c r="AO117" s="544"/>
      <c r="AQ117" s="544"/>
      <c r="AR117" s="544"/>
      <c r="AS117" s="544"/>
      <c r="AT117" s="544"/>
      <c r="AU117" s="544"/>
      <c r="AV117" s="544"/>
      <c r="AW117" s="544"/>
    </row>
    <row r="118" spans="1:49" x14ac:dyDescent="0.35">
      <c r="A118" s="544"/>
      <c r="B118" s="544"/>
      <c r="C118" s="544"/>
      <c r="D118" s="544"/>
      <c r="E118" s="544"/>
      <c r="F118" s="544"/>
      <c r="G118" s="544"/>
      <c r="H118" s="544"/>
      <c r="I118" s="544"/>
      <c r="J118" s="544"/>
      <c r="K118" s="544"/>
      <c r="M118" s="544"/>
      <c r="N118" s="544"/>
      <c r="O118" s="544"/>
      <c r="P118" s="544"/>
      <c r="Q118" s="544"/>
      <c r="R118" s="544"/>
      <c r="S118" s="544"/>
      <c r="U118" s="544"/>
      <c r="V118" s="544"/>
      <c r="W118" s="544"/>
      <c r="X118" s="544"/>
      <c r="Y118" s="544"/>
      <c r="Z118" s="544"/>
      <c r="AB118" s="544"/>
      <c r="AC118" s="544"/>
      <c r="AD118" s="544"/>
      <c r="AE118" s="544"/>
      <c r="AF118" s="544"/>
      <c r="AG118" s="544"/>
      <c r="AH118" s="544"/>
      <c r="AJ118" s="544"/>
      <c r="AK118" s="544"/>
      <c r="AL118" s="544"/>
      <c r="AM118" s="544"/>
      <c r="AN118" s="544"/>
      <c r="AO118" s="544"/>
      <c r="AQ118" s="544"/>
      <c r="AR118" s="544"/>
      <c r="AS118" s="544"/>
      <c r="AT118" s="544"/>
      <c r="AU118" s="544"/>
      <c r="AV118" s="544"/>
      <c r="AW118" s="544"/>
    </row>
    <row r="119" spans="1:49" x14ac:dyDescent="0.35">
      <c r="A119" s="544"/>
      <c r="B119" s="544"/>
      <c r="C119" s="544"/>
      <c r="D119" s="544"/>
      <c r="E119" s="544"/>
      <c r="F119" s="544"/>
      <c r="G119" s="544"/>
      <c r="H119" s="544"/>
      <c r="I119" s="544"/>
      <c r="J119" s="544"/>
      <c r="K119" s="544"/>
      <c r="M119" s="544"/>
      <c r="N119" s="544"/>
      <c r="O119" s="544"/>
      <c r="P119" s="544"/>
      <c r="Q119" s="544"/>
      <c r="R119" s="544"/>
      <c r="S119" s="544"/>
      <c r="U119" s="544"/>
      <c r="V119" s="544"/>
      <c r="W119" s="544"/>
      <c r="X119" s="544"/>
      <c r="Y119" s="544"/>
      <c r="Z119" s="544"/>
      <c r="AB119" s="544"/>
      <c r="AC119" s="544"/>
      <c r="AD119" s="544"/>
      <c r="AE119" s="544"/>
      <c r="AF119" s="544"/>
      <c r="AG119" s="544"/>
      <c r="AH119" s="544"/>
      <c r="AJ119" s="544"/>
      <c r="AK119" s="544"/>
      <c r="AL119" s="544"/>
      <c r="AM119" s="544"/>
      <c r="AN119" s="544"/>
      <c r="AO119" s="544"/>
      <c r="AQ119" s="544"/>
      <c r="AR119" s="544"/>
      <c r="AS119" s="544"/>
      <c r="AT119" s="544"/>
      <c r="AU119" s="544"/>
      <c r="AV119" s="544"/>
      <c r="AW119" s="544"/>
    </row>
    <row r="120" spans="1:49" x14ac:dyDescent="0.35">
      <c r="A120" s="544"/>
      <c r="B120" s="544"/>
      <c r="C120" s="544"/>
      <c r="D120" s="544"/>
      <c r="E120" s="544"/>
      <c r="F120" s="544"/>
      <c r="G120" s="544"/>
      <c r="H120" s="544"/>
      <c r="I120" s="544"/>
      <c r="J120" s="544"/>
      <c r="K120" s="544"/>
      <c r="M120" s="544"/>
      <c r="N120" s="544"/>
      <c r="O120" s="544"/>
      <c r="P120" s="544"/>
      <c r="Q120" s="544"/>
      <c r="R120" s="544"/>
      <c r="S120" s="544"/>
      <c r="U120" s="544"/>
      <c r="V120" s="544"/>
      <c r="W120" s="544"/>
      <c r="X120" s="544"/>
      <c r="Y120" s="544"/>
      <c r="Z120" s="544"/>
      <c r="AB120" s="544"/>
      <c r="AC120" s="544"/>
      <c r="AD120" s="544"/>
      <c r="AE120" s="544"/>
      <c r="AF120" s="544"/>
      <c r="AG120" s="544"/>
      <c r="AH120" s="544"/>
      <c r="AJ120" s="544"/>
      <c r="AK120" s="544"/>
      <c r="AL120" s="544"/>
      <c r="AM120" s="544"/>
      <c r="AN120" s="544"/>
      <c r="AO120" s="544"/>
      <c r="AQ120" s="544"/>
      <c r="AR120" s="544"/>
      <c r="AS120" s="544"/>
      <c r="AT120" s="544"/>
      <c r="AU120" s="544"/>
      <c r="AV120" s="544"/>
      <c r="AW120" s="544"/>
    </row>
    <row r="121" spans="1:49" x14ac:dyDescent="0.35">
      <c r="A121" s="544"/>
      <c r="B121" s="544"/>
      <c r="C121" s="544"/>
      <c r="D121" s="544"/>
      <c r="E121" s="544"/>
      <c r="F121" s="544"/>
      <c r="G121" s="544"/>
      <c r="H121" s="544"/>
      <c r="I121" s="544"/>
      <c r="J121" s="544"/>
      <c r="K121" s="544"/>
      <c r="M121" s="544"/>
      <c r="N121" s="544"/>
      <c r="O121" s="544"/>
      <c r="P121" s="544"/>
      <c r="Q121" s="544"/>
      <c r="R121" s="544"/>
      <c r="S121" s="544"/>
      <c r="U121" s="544"/>
      <c r="V121" s="544"/>
      <c r="W121" s="544"/>
      <c r="X121" s="544"/>
      <c r="Y121" s="544"/>
      <c r="Z121" s="544"/>
      <c r="AB121" s="544"/>
      <c r="AC121" s="544"/>
      <c r="AD121" s="544"/>
      <c r="AE121" s="544"/>
      <c r="AF121" s="544"/>
      <c r="AG121" s="544"/>
      <c r="AH121" s="544"/>
      <c r="AJ121" s="544"/>
      <c r="AK121" s="544"/>
      <c r="AL121" s="544"/>
      <c r="AM121" s="544"/>
      <c r="AN121" s="544"/>
      <c r="AO121" s="544"/>
      <c r="AQ121" s="544"/>
      <c r="AR121" s="544"/>
      <c r="AS121" s="544"/>
      <c r="AT121" s="544"/>
      <c r="AU121" s="544"/>
      <c r="AV121" s="544"/>
      <c r="AW121" s="544"/>
    </row>
    <row r="122" spans="1:49" x14ac:dyDescent="0.35">
      <c r="A122" s="544"/>
      <c r="B122" s="544"/>
      <c r="C122" s="544"/>
      <c r="D122" s="544"/>
      <c r="E122" s="544"/>
      <c r="F122" s="544"/>
      <c r="G122" s="544"/>
      <c r="H122" s="544"/>
      <c r="I122" s="544"/>
      <c r="J122" s="544"/>
      <c r="K122" s="544"/>
      <c r="M122" s="544"/>
      <c r="N122" s="544"/>
      <c r="O122" s="544"/>
      <c r="P122" s="544"/>
      <c r="Q122" s="544"/>
      <c r="R122" s="544"/>
      <c r="S122" s="544"/>
      <c r="U122" s="544"/>
      <c r="V122" s="544"/>
      <c r="W122" s="544"/>
      <c r="X122" s="544"/>
      <c r="Y122" s="544"/>
      <c r="Z122" s="544"/>
      <c r="AB122" s="544"/>
      <c r="AC122" s="544"/>
      <c r="AD122" s="544"/>
      <c r="AE122" s="544"/>
      <c r="AF122" s="544"/>
      <c r="AG122" s="544"/>
      <c r="AH122" s="544"/>
      <c r="AJ122" s="544"/>
      <c r="AK122" s="544"/>
      <c r="AL122" s="544"/>
      <c r="AM122" s="544"/>
      <c r="AN122" s="544"/>
      <c r="AO122" s="544"/>
      <c r="AQ122" s="544"/>
      <c r="AR122" s="544"/>
      <c r="AS122" s="544"/>
      <c r="AT122" s="544"/>
      <c r="AU122" s="544"/>
      <c r="AV122" s="544"/>
      <c r="AW122" s="544"/>
    </row>
    <row r="123" spans="1:49" x14ac:dyDescent="0.35">
      <c r="A123" s="544"/>
      <c r="B123" s="544"/>
      <c r="C123" s="544"/>
      <c r="D123" s="544"/>
      <c r="E123" s="544"/>
      <c r="F123" s="544"/>
      <c r="G123" s="544"/>
      <c r="H123" s="544"/>
      <c r="I123" s="544"/>
      <c r="J123" s="544"/>
      <c r="K123" s="544"/>
      <c r="M123" s="544"/>
      <c r="N123" s="544"/>
      <c r="O123" s="544"/>
      <c r="P123" s="544"/>
      <c r="Q123" s="544"/>
      <c r="R123" s="544"/>
      <c r="S123" s="544"/>
      <c r="U123" s="544"/>
      <c r="V123" s="544"/>
      <c r="W123" s="544"/>
      <c r="X123" s="544"/>
      <c r="Y123" s="544"/>
      <c r="Z123" s="544"/>
      <c r="AB123" s="544"/>
      <c r="AC123" s="544"/>
      <c r="AD123" s="544"/>
      <c r="AE123" s="544"/>
      <c r="AF123" s="544"/>
      <c r="AG123" s="544"/>
      <c r="AH123" s="544"/>
      <c r="AJ123" s="544"/>
      <c r="AK123" s="544"/>
      <c r="AL123" s="544"/>
      <c r="AM123" s="544"/>
      <c r="AN123" s="544"/>
      <c r="AO123" s="544"/>
      <c r="AQ123" s="544"/>
      <c r="AR123" s="544"/>
      <c r="AS123" s="544"/>
      <c r="AT123" s="544"/>
      <c r="AU123" s="544"/>
      <c r="AV123" s="544"/>
      <c r="AW123" s="544"/>
    </row>
    <row r="124" spans="1:49" x14ac:dyDescent="0.35">
      <c r="A124" s="544"/>
      <c r="B124" s="544"/>
      <c r="C124" s="544"/>
      <c r="D124" s="544"/>
      <c r="E124" s="544"/>
      <c r="F124" s="544"/>
      <c r="G124" s="544"/>
      <c r="H124" s="544"/>
      <c r="I124" s="544"/>
      <c r="J124" s="544"/>
      <c r="K124" s="544"/>
      <c r="M124" s="544"/>
      <c r="N124" s="544"/>
      <c r="O124" s="544"/>
      <c r="P124" s="544"/>
      <c r="Q124" s="544"/>
      <c r="R124" s="544"/>
      <c r="S124" s="544"/>
      <c r="U124" s="544"/>
      <c r="V124" s="544"/>
      <c r="W124" s="544"/>
      <c r="X124" s="544"/>
      <c r="Y124" s="544"/>
      <c r="Z124" s="544"/>
      <c r="AB124" s="544"/>
      <c r="AC124" s="544"/>
      <c r="AD124" s="544"/>
      <c r="AE124" s="544"/>
      <c r="AF124" s="544"/>
      <c r="AG124" s="544"/>
      <c r="AH124" s="544"/>
      <c r="AJ124" s="544"/>
      <c r="AK124" s="544"/>
      <c r="AL124" s="544"/>
      <c r="AM124" s="544"/>
      <c r="AN124" s="544"/>
      <c r="AO124" s="544"/>
      <c r="AQ124" s="544"/>
      <c r="AR124" s="544"/>
      <c r="AS124" s="544"/>
      <c r="AT124" s="544"/>
      <c r="AU124" s="544"/>
      <c r="AV124" s="544"/>
      <c r="AW124" s="544"/>
    </row>
    <row r="125" spans="1:49" x14ac:dyDescent="0.35">
      <c r="A125" s="544"/>
      <c r="B125" s="544"/>
      <c r="C125" s="544"/>
      <c r="D125" s="544"/>
      <c r="E125" s="544"/>
      <c r="F125" s="544"/>
      <c r="G125" s="544"/>
      <c r="H125" s="544"/>
      <c r="I125" s="544"/>
      <c r="J125" s="544"/>
      <c r="K125" s="544"/>
      <c r="M125" s="544"/>
      <c r="N125" s="544"/>
      <c r="O125" s="544"/>
      <c r="P125" s="544"/>
      <c r="Q125" s="544"/>
      <c r="R125" s="544"/>
      <c r="S125" s="544"/>
      <c r="U125" s="544"/>
      <c r="V125" s="544"/>
      <c r="W125" s="544"/>
      <c r="X125" s="544"/>
      <c r="Y125" s="544"/>
      <c r="Z125" s="544"/>
      <c r="AB125" s="544"/>
      <c r="AC125" s="544"/>
      <c r="AD125" s="544"/>
      <c r="AE125" s="544"/>
      <c r="AF125" s="544"/>
      <c r="AG125" s="544"/>
      <c r="AH125" s="544"/>
      <c r="AJ125" s="544"/>
      <c r="AK125" s="544"/>
      <c r="AL125" s="544"/>
      <c r="AM125" s="544"/>
      <c r="AN125" s="544"/>
      <c r="AO125" s="544"/>
      <c r="AQ125" s="544"/>
      <c r="AR125" s="544"/>
      <c r="AS125" s="544"/>
      <c r="AT125" s="544"/>
      <c r="AU125" s="544"/>
      <c r="AV125" s="544"/>
      <c r="AW125" s="544"/>
    </row>
    <row r="126" spans="1:49" x14ac:dyDescent="0.35">
      <c r="A126" s="544"/>
      <c r="B126" s="544"/>
      <c r="C126" s="544"/>
      <c r="D126" s="544"/>
      <c r="E126" s="544"/>
      <c r="F126" s="544"/>
      <c r="G126" s="544"/>
      <c r="H126" s="544"/>
      <c r="I126" s="544"/>
      <c r="J126" s="544"/>
      <c r="K126" s="544"/>
      <c r="M126" s="544"/>
      <c r="N126" s="544"/>
      <c r="O126" s="544"/>
      <c r="P126" s="544"/>
      <c r="Q126" s="544"/>
      <c r="R126" s="544"/>
      <c r="S126" s="544"/>
      <c r="U126" s="544"/>
      <c r="V126" s="544"/>
      <c r="W126" s="544"/>
      <c r="X126" s="544"/>
      <c r="Y126" s="544"/>
      <c r="Z126" s="544"/>
      <c r="AB126" s="544"/>
      <c r="AC126" s="544"/>
      <c r="AD126" s="544"/>
      <c r="AE126" s="544"/>
      <c r="AF126" s="544"/>
      <c r="AG126" s="544"/>
      <c r="AH126" s="544"/>
      <c r="AJ126" s="544"/>
      <c r="AK126" s="544"/>
      <c r="AL126" s="544"/>
      <c r="AM126" s="544"/>
      <c r="AN126" s="544"/>
      <c r="AO126" s="544"/>
      <c r="AQ126" s="544"/>
      <c r="AR126" s="544"/>
      <c r="AS126" s="544"/>
      <c r="AT126" s="544"/>
      <c r="AU126" s="544"/>
      <c r="AV126" s="544"/>
      <c r="AW126" s="544"/>
    </row>
    <row r="127" spans="1:49" x14ac:dyDescent="0.35">
      <c r="A127" s="544"/>
      <c r="B127" s="544"/>
      <c r="C127" s="544"/>
      <c r="D127" s="544"/>
      <c r="E127" s="544"/>
      <c r="F127" s="544"/>
      <c r="G127" s="544"/>
      <c r="H127" s="544"/>
      <c r="I127" s="544"/>
      <c r="J127" s="544"/>
      <c r="K127" s="544"/>
      <c r="M127" s="544"/>
      <c r="N127" s="544"/>
      <c r="O127" s="544"/>
      <c r="P127" s="544"/>
      <c r="Q127" s="544"/>
      <c r="R127" s="544"/>
      <c r="S127" s="544"/>
      <c r="U127" s="544"/>
      <c r="V127" s="544"/>
      <c r="W127" s="544"/>
      <c r="X127" s="544"/>
      <c r="Y127" s="544"/>
      <c r="Z127" s="544"/>
      <c r="AB127" s="544"/>
      <c r="AC127" s="544"/>
      <c r="AD127" s="544"/>
      <c r="AE127" s="544"/>
      <c r="AF127" s="544"/>
      <c r="AG127" s="544"/>
      <c r="AH127" s="544"/>
      <c r="AJ127" s="544"/>
      <c r="AK127" s="544"/>
      <c r="AL127" s="544"/>
      <c r="AM127" s="544"/>
      <c r="AN127" s="544"/>
      <c r="AO127" s="544"/>
      <c r="AQ127" s="544"/>
      <c r="AR127" s="544"/>
      <c r="AS127" s="544"/>
      <c r="AT127" s="544"/>
      <c r="AU127" s="544"/>
      <c r="AV127" s="544"/>
      <c r="AW127" s="544"/>
    </row>
    <row r="128" spans="1:49" x14ac:dyDescent="0.35">
      <c r="A128" s="544"/>
      <c r="B128" s="544"/>
      <c r="C128" s="544"/>
      <c r="D128" s="544"/>
      <c r="E128" s="544"/>
      <c r="F128" s="544"/>
      <c r="G128" s="544"/>
      <c r="H128" s="544"/>
      <c r="I128" s="544"/>
      <c r="J128" s="544"/>
      <c r="K128" s="544"/>
      <c r="M128" s="544"/>
      <c r="N128" s="544"/>
      <c r="O128" s="544"/>
      <c r="P128" s="544"/>
      <c r="Q128" s="544"/>
      <c r="R128" s="544"/>
      <c r="S128" s="544"/>
      <c r="U128" s="544"/>
      <c r="V128" s="544"/>
      <c r="W128" s="544"/>
      <c r="X128" s="544"/>
      <c r="Y128" s="544"/>
      <c r="Z128" s="544"/>
      <c r="AB128" s="544"/>
      <c r="AC128" s="544"/>
      <c r="AD128" s="544"/>
      <c r="AE128" s="544"/>
      <c r="AF128" s="544"/>
      <c r="AG128" s="544"/>
      <c r="AH128" s="544"/>
      <c r="AJ128" s="544"/>
      <c r="AK128" s="544"/>
      <c r="AL128" s="544"/>
      <c r="AM128" s="544"/>
      <c r="AN128" s="544"/>
      <c r="AO128" s="544"/>
      <c r="AQ128" s="544"/>
      <c r="AR128" s="544"/>
      <c r="AS128" s="544"/>
      <c r="AT128" s="544"/>
      <c r="AU128" s="544"/>
      <c r="AV128" s="544"/>
      <c r="AW128" s="544"/>
    </row>
    <row r="129" spans="1:49" x14ac:dyDescent="0.35">
      <c r="A129" s="544"/>
      <c r="B129" s="544"/>
      <c r="C129" s="544"/>
      <c r="D129" s="544"/>
      <c r="E129" s="544"/>
      <c r="F129" s="544"/>
      <c r="G129" s="544"/>
      <c r="H129" s="544"/>
      <c r="I129" s="544"/>
      <c r="J129" s="544"/>
      <c r="K129" s="544"/>
      <c r="M129" s="544"/>
      <c r="N129" s="544"/>
      <c r="O129" s="544"/>
      <c r="P129" s="544"/>
      <c r="Q129" s="544"/>
      <c r="R129" s="544"/>
      <c r="S129" s="544"/>
      <c r="U129" s="544"/>
      <c r="V129" s="544"/>
      <c r="W129" s="544"/>
      <c r="X129" s="544"/>
      <c r="Y129" s="544"/>
      <c r="Z129" s="544"/>
      <c r="AB129" s="544"/>
      <c r="AC129" s="544"/>
      <c r="AD129" s="544"/>
      <c r="AE129" s="544"/>
      <c r="AF129" s="544"/>
      <c r="AG129" s="544"/>
      <c r="AH129" s="544"/>
      <c r="AJ129" s="544"/>
      <c r="AK129" s="544"/>
      <c r="AL129" s="544"/>
      <c r="AM129" s="544"/>
      <c r="AN129" s="544"/>
      <c r="AO129" s="544"/>
      <c r="AQ129" s="544"/>
      <c r="AR129" s="544"/>
      <c r="AS129" s="544"/>
      <c r="AT129" s="544"/>
      <c r="AU129" s="544"/>
      <c r="AV129" s="544"/>
      <c r="AW129" s="544"/>
    </row>
    <row r="130" spans="1:49" x14ac:dyDescent="0.35">
      <c r="A130" s="544"/>
      <c r="B130" s="544"/>
      <c r="C130" s="544"/>
      <c r="D130" s="544"/>
      <c r="E130" s="544"/>
      <c r="F130" s="544"/>
      <c r="G130" s="544"/>
      <c r="H130" s="544"/>
      <c r="I130" s="544"/>
      <c r="J130" s="544"/>
      <c r="K130" s="544"/>
      <c r="M130" s="544"/>
      <c r="N130" s="544"/>
      <c r="O130" s="544"/>
      <c r="P130" s="544"/>
      <c r="Q130" s="544"/>
      <c r="R130" s="544"/>
      <c r="S130" s="544"/>
      <c r="U130" s="544"/>
      <c r="V130" s="544"/>
      <c r="W130" s="544"/>
      <c r="X130" s="544"/>
      <c r="Y130" s="544"/>
      <c r="Z130" s="544"/>
      <c r="AB130" s="544"/>
      <c r="AC130" s="544"/>
      <c r="AD130" s="544"/>
      <c r="AE130" s="544"/>
      <c r="AF130" s="544"/>
      <c r="AG130" s="544"/>
      <c r="AH130" s="544"/>
      <c r="AJ130" s="544"/>
      <c r="AK130" s="544"/>
      <c r="AL130" s="544"/>
      <c r="AM130" s="544"/>
      <c r="AN130" s="544"/>
      <c r="AO130" s="544"/>
      <c r="AQ130" s="544"/>
      <c r="AR130" s="544"/>
      <c r="AS130" s="544"/>
      <c r="AT130" s="544"/>
      <c r="AU130" s="544"/>
      <c r="AV130" s="544"/>
      <c r="AW130" s="544"/>
    </row>
    <row r="131" spans="1:49" x14ac:dyDescent="0.35">
      <c r="A131" s="544"/>
      <c r="B131" s="544"/>
      <c r="C131" s="544"/>
      <c r="D131" s="544"/>
      <c r="E131" s="544"/>
      <c r="F131" s="544"/>
      <c r="G131" s="544"/>
      <c r="H131" s="544"/>
      <c r="I131" s="544"/>
      <c r="J131" s="544"/>
      <c r="K131" s="544"/>
      <c r="M131" s="544"/>
      <c r="N131" s="544"/>
      <c r="O131" s="544"/>
      <c r="P131" s="544"/>
      <c r="Q131" s="544"/>
      <c r="R131" s="544"/>
      <c r="S131" s="544"/>
      <c r="U131" s="544"/>
      <c r="V131" s="544"/>
      <c r="W131" s="544"/>
      <c r="X131" s="544"/>
      <c r="Y131" s="544"/>
      <c r="Z131" s="544"/>
      <c r="AB131" s="544"/>
      <c r="AC131" s="544"/>
      <c r="AD131" s="544"/>
      <c r="AE131" s="544"/>
      <c r="AF131" s="544"/>
      <c r="AG131" s="544"/>
      <c r="AH131" s="544"/>
      <c r="AJ131" s="544"/>
      <c r="AK131" s="544"/>
      <c r="AL131" s="544"/>
      <c r="AM131" s="544"/>
      <c r="AN131" s="544"/>
      <c r="AO131" s="544"/>
      <c r="AQ131" s="544"/>
      <c r="AR131" s="544"/>
      <c r="AS131" s="544"/>
      <c r="AT131" s="544"/>
      <c r="AU131" s="544"/>
      <c r="AV131" s="544"/>
      <c r="AW131" s="544"/>
    </row>
    <row r="132" spans="1:49" x14ac:dyDescent="0.35">
      <c r="A132" s="544"/>
      <c r="B132" s="544"/>
      <c r="C132" s="544"/>
      <c r="D132" s="544"/>
      <c r="E132" s="544"/>
      <c r="F132" s="544"/>
      <c r="G132" s="544"/>
      <c r="H132" s="544"/>
      <c r="I132" s="544"/>
      <c r="J132" s="544"/>
      <c r="K132" s="544"/>
      <c r="M132" s="544"/>
      <c r="N132" s="544"/>
      <c r="O132" s="544"/>
      <c r="P132" s="544"/>
      <c r="Q132" s="544"/>
      <c r="R132" s="544"/>
      <c r="S132" s="544"/>
      <c r="U132" s="544"/>
      <c r="V132" s="544"/>
      <c r="W132" s="544"/>
      <c r="X132" s="544"/>
      <c r="Y132" s="544"/>
      <c r="Z132" s="544"/>
      <c r="AB132" s="544"/>
      <c r="AC132" s="544"/>
      <c r="AD132" s="544"/>
      <c r="AE132" s="544"/>
      <c r="AF132" s="544"/>
      <c r="AG132" s="544"/>
      <c r="AH132" s="544"/>
      <c r="AJ132" s="544"/>
      <c r="AK132" s="544"/>
      <c r="AL132" s="544"/>
      <c r="AM132" s="544"/>
      <c r="AN132" s="544"/>
      <c r="AO132" s="544"/>
      <c r="AQ132" s="544"/>
      <c r="AR132" s="544"/>
      <c r="AS132" s="544"/>
      <c r="AT132" s="544"/>
      <c r="AU132" s="544"/>
      <c r="AV132" s="544"/>
      <c r="AW132" s="544"/>
    </row>
    <row r="133" spans="1:49" x14ac:dyDescent="0.35">
      <c r="A133" s="544"/>
      <c r="B133" s="544"/>
      <c r="C133" s="544"/>
      <c r="D133" s="544"/>
      <c r="E133" s="544"/>
      <c r="F133" s="544"/>
      <c r="G133" s="544"/>
      <c r="H133" s="544"/>
      <c r="I133" s="544"/>
      <c r="J133" s="544"/>
      <c r="K133" s="544"/>
      <c r="M133" s="544"/>
      <c r="N133" s="544"/>
      <c r="O133" s="544"/>
      <c r="P133" s="544"/>
      <c r="Q133" s="544"/>
      <c r="R133" s="544"/>
      <c r="S133" s="544"/>
      <c r="U133" s="544"/>
      <c r="V133" s="544"/>
      <c r="W133" s="544"/>
      <c r="X133" s="544"/>
      <c r="Y133" s="544"/>
      <c r="Z133" s="544"/>
      <c r="AB133" s="544"/>
      <c r="AC133" s="544"/>
      <c r="AD133" s="544"/>
      <c r="AE133" s="544"/>
      <c r="AF133" s="544"/>
      <c r="AG133" s="544"/>
      <c r="AH133" s="544"/>
      <c r="AJ133" s="544"/>
      <c r="AK133" s="544"/>
      <c r="AL133" s="544"/>
      <c r="AM133" s="544"/>
      <c r="AN133" s="544"/>
      <c r="AO133" s="544"/>
      <c r="AQ133" s="544"/>
      <c r="AR133" s="544"/>
      <c r="AS133" s="544"/>
      <c r="AT133" s="544"/>
      <c r="AU133" s="544"/>
      <c r="AV133" s="544"/>
      <c r="AW133" s="544"/>
    </row>
    <row r="134" spans="1:49" x14ac:dyDescent="0.35">
      <c r="A134" s="544"/>
      <c r="B134" s="544"/>
      <c r="C134" s="544"/>
      <c r="D134" s="544"/>
      <c r="E134" s="544"/>
      <c r="F134" s="544"/>
      <c r="G134" s="544"/>
      <c r="H134" s="544"/>
      <c r="I134" s="544"/>
      <c r="J134" s="544"/>
      <c r="K134" s="544"/>
      <c r="M134" s="544"/>
      <c r="N134" s="544"/>
      <c r="O134" s="544"/>
      <c r="P134" s="544"/>
      <c r="Q134" s="544"/>
      <c r="R134" s="544"/>
      <c r="S134" s="544"/>
      <c r="U134" s="544"/>
      <c r="V134" s="544"/>
      <c r="W134" s="544"/>
      <c r="X134" s="544"/>
      <c r="Y134" s="544"/>
      <c r="Z134" s="544"/>
      <c r="AB134" s="544"/>
      <c r="AC134" s="544"/>
      <c r="AD134" s="544"/>
      <c r="AE134" s="544"/>
      <c r="AF134" s="544"/>
      <c r="AG134" s="544"/>
      <c r="AH134" s="544"/>
      <c r="AJ134" s="544"/>
      <c r="AK134" s="544"/>
      <c r="AL134" s="544"/>
      <c r="AM134" s="544"/>
      <c r="AN134" s="544"/>
      <c r="AO134" s="544"/>
      <c r="AQ134" s="544"/>
      <c r="AR134" s="544"/>
      <c r="AS134" s="544"/>
      <c r="AT134" s="544"/>
      <c r="AU134" s="544"/>
      <c r="AV134" s="544"/>
      <c r="AW134" s="544"/>
    </row>
    <row r="135" spans="1:49" x14ac:dyDescent="0.35">
      <c r="A135" s="544"/>
      <c r="B135" s="544"/>
      <c r="C135" s="544"/>
      <c r="D135" s="544"/>
      <c r="E135" s="544"/>
      <c r="F135" s="544"/>
      <c r="G135" s="544"/>
      <c r="H135" s="544"/>
      <c r="I135" s="544"/>
      <c r="J135" s="544"/>
      <c r="K135" s="544"/>
      <c r="M135" s="544"/>
      <c r="N135" s="544"/>
      <c r="O135" s="544"/>
      <c r="P135" s="544"/>
      <c r="Q135" s="544"/>
      <c r="R135" s="544"/>
      <c r="S135" s="544"/>
      <c r="U135" s="544"/>
      <c r="V135" s="544"/>
      <c r="W135" s="544"/>
      <c r="X135" s="544"/>
      <c r="Y135" s="544"/>
      <c r="Z135" s="544"/>
      <c r="AB135" s="544"/>
      <c r="AC135" s="544"/>
      <c r="AD135" s="544"/>
      <c r="AE135" s="544"/>
      <c r="AF135" s="544"/>
      <c r="AG135" s="544"/>
      <c r="AH135" s="544"/>
      <c r="AJ135" s="544"/>
      <c r="AK135" s="544"/>
      <c r="AL135" s="544"/>
      <c r="AM135" s="544"/>
      <c r="AN135" s="544"/>
      <c r="AO135" s="544"/>
      <c r="AQ135" s="544"/>
      <c r="AR135" s="544"/>
      <c r="AS135" s="544"/>
      <c r="AT135" s="544"/>
      <c r="AU135" s="544"/>
      <c r="AV135" s="544"/>
      <c r="AW135" s="544"/>
    </row>
    <row r="136" spans="1:49" x14ac:dyDescent="0.35">
      <c r="A136" s="544"/>
      <c r="B136" s="544"/>
      <c r="C136" s="544"/>
      <c r="D136" s="544"/>
      <c r="E136" s="544"/>
      <c r="F136" s="544"/>
      <c r="G136" s="544"/>
      <c r="H136" s="544"/>
      <c r="I136" s="544"/>
      <c r="J136" s="544"/>
      <c r="K136" s="544"/>
      <c r="M136" s="544"/>
      <c r="N136" s="544"/>
      <c r="O136" s="544"/>
      <c r="P136" s="544"/>
      <c r="Q136" s="544"/>
      <c r="R136" s="544"/>
      <c r="S136" s="544"/>
      <c r="U136" s="544"/>
      <c r="V136" s="544"/>
      <c r="W136" s="544"/>
      <c r="X136" s="544"/>
      <c r="Y136" s="544"/>
      <c r="Z136" s="544"/>
      <c r="AB136" s="544"/>
      <c r="AC136" s="544"/>
      <c r="AD136" s="544"/>
      <c r="AE136" s="544"/>
      <c r="AF136" s="544"/>
      <c r="AG136" s="544"/>
      <c r="AH136" s="544"/>
      <c r="AJ136" s="544"/>
      <c r="AK136" s="544"/>
      <c r="AL136" s="544"/>
      <c r="AM136" s="544"/>
      <c r="AN136" s="544"/>
      <c r="AO136" s="544"/>
      <c r="AQ136" s="544"/>
      <c r="AR136" s="544"/>
      <c r="AS136" s="544"/>
      <c r="AT136" s="544"/>
      <c r="AU136" s="544"/>
      <c r="AV136" s="544"/>
      <c r="AW136" s="544"/>
    </row>
    <row r="137" spans="1:49" x14ac:dyDescent="0.35">
      <c r="A137" s="544"/>
      <c r="B137" s="544"/>
      <c r="C137" s="544"/>
      <c r="D137" s="544"/>
      <c r="E137" s="544"/>
      <c r="F137" s="544"/>
      <c r="G137" s="544"/>
      <c r="H137" s="544"/>
      <c r="I137" s="544"/>
      <c r="J137" s="544"/>
      <c r="K137" s="544"/>
      <c r="M137" s="544"/>
      <c r="N137" s="544"/>
      <c r="O137" s="544"/>
      <c r="P137" s="544"/>
      <c r="Q137" s="544"/>
      <c r="R137" s="544"/>
      <c r="S137" s="544"/>
      <c r="U137" s="544"/>
      <c r="V137" s="544"/>
      <c r="W137" s="544"/>
      <c r="X137" s="544"/>
      <c r="Y137" s="544"/>
      <c r="Z137" s="544"/>
      <c r="AB137" s="544"/>
      <c r="AC137" s="544"/>
      <c r="AD137" s="544"/>
      <c r="AE137" s="544"/>
      <c r="AF137" s="544"/>
      <c r="AG137" s="544"/>
      <c r="AH137" s="544"/>
      <c r="AJ137" s="544"/>
      <c r="AK137" s="544"/>
      <c r="AL137" s="544"/>
      <c r="AM137" s="544"/>
      <c r="AN137" s="544"/>
      <c r="AO137" s="544"/>
      <c r="AQ137" s="544"/>
      <c r="AR137" s="544"/>
      <c r="AS137" s="544"/>
      <c r="AT137" s="544"/>
      <c r="AU137" s="544"/>
      <c r="AV137" s="544"/>
      <c r="AW137" s="544"/>
    </row>
    <row r="138" spans="1:49" x14ac:dyDescent="0.35">
      <c r="A138" s="544"/>
      <c r="B138" s="544"/>
      <c r="C138" s="544"/>
      <c r="D138" s="544"/>
      <c r="E138" s="544"/>
      <c r="F138" s="544"/>
      <c r="G138" s="544"/>
      <c r="H138" s="544"/>
      <c r="I138" s="544"/>
      <c r="J138" s="544"/>
      <c r="K138" s="544"/>
      <c r="M138" s="544"/>
      <c r="N138" s="544"/>
      <c r="O138" s="544"/>
      <c r="P138" s="544"/>
      <c r="Q138" s="544"/>
      <c r="R138" s="544"/>
      <c r="S138" s="544"/>
      <c r="U138" s="544"/>
      <c r="V138" s="544"/>
      <c r="W138" s="544"/>
      <c r="X138" s="544"/>
      <c r="Y138" s="544"/>
      <c r="Z138" s="544"/>
      <c r="AB138" s="544"/>
      <c r="AC138" s="544"/>
      <c r="AD138" s="544"/>
      <c r="AE138" s="544"/>
      <c r="AF138" s="544"/>
      <c r="AG138" s="544"/>
      <c r="AH138" s="544"/>
      <c r="AJ138" s="544"/>
      <c r="AK138" s="544"/>
      <c r="AL138" s="544"/>
      <c r="AM138" s="544"/>
      <c r="AN138" s="544"/>
      <c r="AO138" s="544"/>
      <c r="AQ138" s="544"/>
      <c r="AR138" s="544"/>
      <c r="AS138" s="544"/>
      <c r="AT138" s="544"/>
      <c r="AU138" s="544"/>
      <c r="AV138" s="544"/>
      <c r="AW138" s="544"/>
    </row>
    <row r="139" spans="1:49" x14ac:dyDescent="0.35">
      <c r="A139" s="544"/>
      <c r="B139" s="544"/>
      <c r="C139" s="544"/>
      <c r="D139" s="544"/>
      <c r="E139" s="544"/>
      <c r="F139" s="544"/>
      <c r="G139" s="544"/>
      <c r="H139" s="544"/>
      <c r="I139" s="544"/>
      <c r="J139" s="544"/>
      <c r="K139" s="544"/>
      <c r="M139" s="544"/>
      <c r="N139" s="544"/>
      <c r="O139" s="544"/>
      <c r="P139" s="544"/>
      <c r="Q139" s="544"/>
      <c r="R139" s="544"/>
      <c r="S139" s="544"/>
      <c r="U139" s="544"/>
      <c r="V139" s="544"/>
      <c r="W139" s="544"/>
      <c r="X139" s="544"/>
      <c r="Y139" s="544"/>
      <c r="Z139" s="544"/>
      <c r="AB139" s="544"/>
      <c r="AC139" s="544"/>
      <c r="AD139" s="544"/>
      <c r="AE139" s="544"/>
      <c r="AF139" s="544"/>
      <c r="AG139" s="544"/>
      <c r="AH139" s="544"/>
      <c r="AJ139" s="544"/>
      <c r="AK139" s="544"/>
      <c r="AL139" s="544"/>
      <c r="AM139" s="544"/>
      <c r="AN139" s="544"/>
      <c r="AO139" s="544"/>
      <c r="AQ139" s="544"/>
      <c r="AR139" s="544"/>
      <c r="AS139" s="544"/>
      <c r="AT139" s="544"/>
      <c r="AU139" s="544"/>
      <c r="AV139" s="544"/>
      <c r="AW139" s="544"/>
    </row>
    <row r="140" spans="1:49" x14ac:dyDescent="0.35">
      <c r="A140" s="544"/>
      <c r="B140" s="544"/>
      <c r="C140" s="544"/>
      <c r="D140" s="544"/>
      <c r="E140" s="544"/>
      <c r="F140" s="544"/>
      <c r="G140" s="544"/>
      <c r="H140" s="544"/>
      <c r="I140" s="544"/>
      <c r="J140" s="544"/>
      <c r="K140" s="544"/>
      <c r="M140" s="544"/>
      <c r="N140" s="544"/>
      <c r="O140" s="544"/>
      <c r="P140" s="544"/>
      <c r="Q140" s="544"/>
      <c r="R140" s="544"/>
      <c r="S140" s="544"/>
      <c r="U140" s="544"/>
      <c r="V140" s="544"/>
      <c r="W140" s="544"/>
      <c r="X140" s="544"/>
      <c r="Y140" s="544"/>
      <c r="Z140" s="544"/>
      <c r="AB140" s="544"/>
      <c r="AC140" s="544"/>
      <c r="AD140" s="544"/>
      <c r="AE140" s="544"/>
      <c r="AF140" s="544"/>
      <c r="AG140" s="544"/>
      <c r="AH140" s="544"/>
      <c r="AJ140" s="544"/>
      <c r="AK140" s="544"/>
      <c r="AL140" s="544"/>
      <c r="AM140" s="544"/>
      <c r="AN140" s="544"/>
      <c r="AO140" s="544"/>
      <c r="AQ140" s="544"/>
      <c r="AR140" s="544"/>
      <c r="AS140" s="544"/>
      <c r="AT140" s="544"/>
      <c r="AU140" s="544"/>
      <c r="AV140" s="544"/>
      <c r="AW140" s="544"/>
    </row>
    <row r="141" spans="1:49" x14ac:dyDescent="0.35">
      <c r="A141" s="544"/>
      <c r="B141" s="544"/>
      <c r="C141" s="544"/>
      <c r="D141" s="544"/>
      <c r="E141" s="544"/>
      <c r="F141" s="544"/>
      <c r="G141" s="544"/>
      <c r="H141" s="544"/>
      <c r="I141" s="544"/>
      <c r="J141" s="544"/>
      <c r="K141" s="544"/>
      <c r="M141" s="544"/>
      <c r="N141" s="544"/>
      <c r="O141" s="544"/>
      <c r="P141" s="544"/>
      <c r="Q141" s="544"/>
      <c r="R141" s="544"/>
      <c r="S141" s="544"/>
      <c r="U141" s="544"/>
      <c r="V141" s="544"/>
      <c r="W141" s="544"/>
      <c r="X141" s="544"/>
      <c r="Y141" s="544"/>
      <c r="Z141" s="544"/>
      <c r="AB141" s="544"/>
      <c r="AC141" s="544"/>
      <c r="AD141" s="544"/>
      <c r="AE141" s="544"/>
      <c r="AF141" s="544"/>
      <c r="AG141" s="544"/>
      <c r="AH141" s="544"/>
      <c r="AJ141" s="544"/>
      <c r="AK141" s="544"/>
      <c r="AL141" s="544"/>
      <c r="AM141" s="544"/>
      <c r="AN141" s="544"/>
      <c r="AO141" s="544"/>
      <c r="AQ141" s="544"/>
      <c r="AR141" s="544"/>
      <c r="AS141" s="544"/>
      <c r="AT141" s="544"/>
      <c r="AU141" s="544"/>
      <c r="AV141" s="544"/>
      <c r="AW141" s="544"/>
    </row>
    <row r="142" spans="1:49" x14ac:dyDescent="0.35">
      <c r="A142" s="544"/>
      <c r="B142" s="544"/>
      <c r="C142" s="544"/>
      <c r="D142" s="544"/>
      <c r="E142" s="544"/>
      <c r="F142" s="544"/>
      <c r="G142" s="544"/>
      <c r="H142" s="544"/>
      <c r="I142" s="544"/>
      <c r="J142" s="544"/>
      <c r="K142" s="544"/>
      <c r="M142" s="544"/>
      <c r="N142" s="544"/>
      <c r="O142" s="544"/>
      <c r="P142" s="544"/>
      <c r="Q142" s="544"/>
      <c r="R142" s="544"/>
      <c r="S142" s="544"/>
      <c r="U142" s="544"/>
      <c r="V142" s="544"/>
      <c r="W142" s="544"/>
      <c r="X142" s="544"/>
      <c r="Y142" s="544"/>
      <c r="Z142" s="544"/>
      <c r="AB142" s="544"/>
      <c r="AC142" s="544"/>
      <c r="AD142" s="544"/>
      <c r="AE142" s="544"/>
      <c r="AF142" s="544"/>
      <c r="AG142" s="544"/>
      <c r="AH142" s="544"/>
      <c r="AJ142" s="544"/>
      <c r="AK142" s="544"/>
      <c r="AL142" s="544"/>
      <c r="AM142" s="544"/>
      <c r="AN142" s="544"/>
      <c r="AO142" s="544"/>
      <c r="AQ142" s="544"/>
      <c r="AR142" s="544"/>
      <c r="AS142" s="544"/>
      <c r="AT142" s="544"/>
      <c r="AU142" s="544"/>
      <c r="AV142" s="544"/>
      <c r="AW142" s="544"/>
    </row>
    <row r="143" spans="1:49" x14ac:dyDescent="0.35">
      <c r="A143" s="544"/>
      <c r="B143" s="544"/>
      <c r="C143" s="544"/>
      <c r="D143" s="544"/>
      <c r="E143" s="544"/>
      <c r="F143" s="544"/>
      <c r="G143" s="544"/>
      <c r="H143" s="544"/>
      <c r="I143" s="544"/>
      <c r="J143" s="544"/>
      <c r="K143" s="544"/>
      <c r="M143" s="544"/>
      <c r="N143" s="544"/>
      <c r="O143" s="544"/>
      <c r="P143" s="544"/>
      <c r="Q143" s="544"/>
      <c r="R143" s="544"/>
      <c r="S143" s="544"/>
      <c r="U143" s="544"/>
      <c r="V143" s="544"/>
      <c r="W143" s="544"/>
      <c r="X143" s="544"/>
      <c r="Y143" s="544"/>
      <c r="Z143" s="544"/>
      <c r="AB143" s="544"/>
      <c r="AC143" s="544"/>
      <c r="AD143" s="544"/>
      <c r="AE143" s="544"/>
      <c r="AF143" s="544"/>
      <c r="AG143" s="544"/>
      <c r="AH143" s="544"/>
      <c r="AJ143" s="544"/>
      <c r="AK143" s="544"/>
      <c r="AL143" s="544"/>
      <c r="AM143" s="544"/>
      <c r="AN143" s="544"/>
      <c r="AO143" s="544"/>
      <c r="AQ143" s="544"/>
      <c r="AR143" s="544"/>
      <c r="AS143" s="544"/>
      <c r="AT143" s="544"/>
      <c r="AU143" s="544"/>
      <c r="AV143" s="544"/>
      <c r="AW143" s="544"/>
    </row>
    <row r="144" spans="1:49" x14ac:dyDescent="0.35">
      <c r="A144" s="544"/>
      <c r="B144" s="544"/>
      <c r="C144" s="544"/>
      <c r="D144" s="544"/>
      <c r="E144" s="544"/>
      <c r="F144" s="544"/>
      <c r="G144" s="544"/>
      <c r="H144" s="544"/>
      <c r="I144" s="544"/>
      <c r="J144" s="544"/>
      <c r="K144" s="544"/>
      <c r="M144" s="544"/>
      <c r="N144" s="544"/>
      <c r="O144" s="544"/>
      <c r="P144" s="544"/>
      <c r="Q144" s="544"/>
      <c r="R144" s="544"/>
      <c r="S144" s="544"/>
      <c r="U144" s="544"/>
      <c r="V144" s="544"/>
      <c r="W144" s="544"/>
      <c r="X144" s="544"/>
      <c r="Y144" s="544"/>
      <c r="Z144" s="544"/>
      <c r="AB144" s="544"/>
      <c r="AC144" s="544"/>
      <c r="AD144" s="544"/>
      <c r="AE144" s="544"/>
      <c r="AF144" s="544"/>
      <c r="AG144" s="544"/>
      <c r="AH144" s="544"/>
      <c r="AJ144" s="544"/>
      <c r="AK144" s="544"/>
      <c r="AL144" s="544"/>
      <c r="AM144" s="544"/>
      <c r="AN144" s="544"/>
      <c r="AO144" s="544"/>
      <c r="AQ144" s="544"/>
      <c r="AR144" s="544"/>
      <c r="AS144" s="544"/>
      <c r="AT144" s="544"/>
      <c r="AU144" s="544"/>
      <c r="AV144" s="544"/>
      <c r="AW144" s="544"/>
    </row>
    <row r="145" spans="1:49" x14ac:dyDescent="0.35">
      <c r="A145" s="544"/>
      <c r="B145" s="544"/>
      <c r="C145" s="544"/>
      <c r="D145" s="544"/>
      <c r="E145" s="544"/>
      <c r="F145" s="544"/>
      <c r="G145" s="544"/>
      <c r="H145" s="544"/>
      <c r="I145" s="544"/>
      <c r="J145" s="544"/>
      <c r="K145" s="544"/>
      <c r="M145" s="544"/>
      <c r="N145" s="544"/>
      <c r="O145" s="544"/>
      <c r="P145" s="544"/>
      <c r="Q145" s="544"/>
      <c r="R145" s="544"/>
      <c r="S145" s="544"/>
      <c r="U145" s="544"/>
      <c r="V145" s="544"/>
      <c r="W145" s="544"/>
      <c r="X145" s="544"/>
      <c r="Y145" s="544"/>
      <c r="Z145" s="544"/>
      <c r="AB145" s="544"/>
      <c r="AC145" s="544"/>
      <c r="AD145" s="544"/>
      <c r="AE145" s="544"/>
      <c r="AF145" s="544"/>
      <c r="AG145" s="544"/>
      <c r="AH145" s="544"/>
      <c r="AJ145" s="544"/>
      <c r="AK145" s="544"/>
      <c r="AL145" s="544"/>
      <c r="AM145" s="544"/>
      <c r="AN145" s="544"/>
      <c r="AO145" s="544"/>
      <c r="AQ145" s="544"/>
      <c r="AR145" s="544"/>
      <c r="AS145" s="544"/>
      <c r="AT145" s="544"/>
      <c r="AU145" s="544"/>
      <c r="AV145" s="544"/>
      <c r="AW145" s="544"/>
    </row>
    <row r="146" spans="1:49" x14ac:dyDescent="0.35">
      <c r="A146" s="544"/>
      <c r="B146" s="544"/>
      <c r="C146" s="544"/>
      <c r="D146" s="544"/>
      <c r="E146" s="544"/>
      <c r="F146" s="544"/>
      <c r="G146" s="544"/>
      <c r="H146" s="544"/>
      <c r="I146" s="544"/>
      <c r="J146" s="544"/>
      <c r="K146" s="544"/>
      <c r="M146" s="544"/>
      <c r="N146" s="544"/>
      <c r="O146" s="544"/>
      <c r="P146" s="544"/>
      <c r="Q146" s="544"/>
      <c r="R146" s="544"/>
      <c r="S146" s="544"/>
      <c r="U146" s="544"/>
      <c r="V146" s="544"/>
      <c r="W146" s="544"/>
      <c r="X146" s="544"/>
      <c r="Y146" s="544"/>
      <c r="Z146" s="544"/>
      <c r="AB146" s="544"/>
      <c r="AC146" s="544"/>
      <c r="AD146" s="544"/>
      <c r="AE146" s="544"/>
      <c r="AF146" s="544"/>
      <c r="AG146" s="544"/>
      <c r="AH146" s="544"/>
      <c r="AJ146" s="544"/>
      <c r="AK146" s="544"/>
      <c r="AL146" s="544"/>
      <c r="AM146" s="544"/>
      <c r="AN146" s="544"/>
      <c r="AO146" s="544"/>
      <c r="AQ146" s="544"/>
      <c r="AR146" s="544"/>
      <c r="AS146" s="544"/>
      <c r="AT146" s="544"/>
      <c r="AU146" s="544"/>
      <c r="AV146" s="544"/>
      <c r="AW146" s="544"/>
    </row>
    <row r="147" spans="1:49" x14ac:dyDescent="0.35">
      <c r="A147" s="544"/>
      <c r="B147" s="544"/>
      <c r="C147" s="544"/>
      <c r="D147" s="544"/>
      <c r="E147" s="544"/>
      <c r="F147" s="544"/>
      <c r="G147" s="544"/>
      <c r="H147" s="544"/>
      <c r="I147" s="544"/>
      <c r="J147" s="544"/>
      <c r="K147" s="544"/>
      <c r="M147" s="544"/>
      <c r="N147" s="544"/>
      <c r="O147" s="544"/>
      <c r="P147" s="544"/>
      <c r="Q147" s="544"/>
      <c r="R147" s="544"/>
      <c r="S147" s="544"/>
      <c r="U147" s="544"/>
      <c r="V147" s="544"/>
      <c r="W147" s="544"/>
      <c r="X147" s="544"/>
      <c r="Y147" s="544"/>
      <c r="Z147" s="544"/>
      <c r="AB147" s="544"/>
      <c r="AC147" s="544"/>
      <c r="AD147" s="544"/>
      <c r="AE147" s="544"/>
      <c r="AF147" s="544"/>
      <c r="AG147" s="544"/>
      <c r="AH147" s="544"/>
      <c r="AJ147" s="544"/>
      <c r="AK147" s="544"/>
      <c r="AL147" s="544"/>
      <c r="AM147" s="544"/>
      <c r="AN147" s="544"/>
      <c r="AO147" s="544"/>
      <c r="AQ147" s="544"/>
      <c r="AR147" s="544"/>
      <c r="AS147" s="544"/>
      <c r="AT147" s="544"/>
      <c r="AU147" s="544"/>
      <c r="AV147" s="544"/>
      <c r="AW147" s="544"/>
    </row>
    <row r="148" spans="1:49" x14ac:dyDescent="0.35">
      <c r="A148" s="544"/>
      <c r="B148" s="544"/>
      <c r="C148" s="544"/>
      <c r="D148" s="544"/>
      <c r="E148" s="544"/>
      <c r="F148" s="544"/>
      <c r="G148" s="544"/>
      <c r="H148" s="544"/>
      <c r="I148" s="544"/>
      <c r="J148" s="544"/>
      <c r="K148" s="544"/>
      <c r="M148" s="544"/>
      <c r="N148" s="544"/>
      <c r="O148" s="544"/>
      <c r="P148" s="544"/>
      <c r="Q148" s="544"/>
      <c r="R148" s="544"/>
      <c r="S148" s="544"/>
      <c r="U148" s="544"/>
      <c r="V148" s="544"/>
      <c r="W148" s="544"/>
      <c r="X148" s="544"/>
      <c r="Y148" s="544"/>
      <c r="Z148" s="544"/>
      <c r="AB148" s="544"/>
      <c r="AC148" s="544"/>
      <c r="AD148" s="544"/>
      <c r="AE148" s="544"/>
      <c r="AF148" s="544"/>
      <c r="AG148" s="544"/>
      <c r="AH148" s="544"/>
      <c r="AJ148" s="544"/>
      <c r="AK148" s="544"/>
      <c r="AL148" s="544"/>
      <c r="AM148" s="544"/>
      <c r="AN148" s="544"/>
      <c r="AO148" s="544"/>
      <c r="AQ148" s="544"/>
      <c r="AR148" s="544"/>
      <c r="AS148" s="544"/>
      <c r="AT148" s="544"/>
      <c r="AU148" s="544"/>
      <c r="AV148" s="544"/>
      <c r="AW148" s="544"/>
    </row>
    <row r="149" spans="1:49" x14ac:dyDescent="0.35">
      <c r="A149" s="544"/>
      <c r="B149" s="544"/>
      <c r="C149" s="544"/>
      <c r="D149" s="544"/>
      <c r="E149" s="544"/>
      <c r="F149" s="544"/>
      <c r="G149" s="544"/>
      <c r="H149" s="544"/>
      <c r="I149" s="544"/>
      <c r="J149" s="544"/>
      <c r="K149" s="544"/>
      <c r="M149" s="544"/>
      <c r="N149" s="544"/>
      <c r="O149" s="544"/>
      <c r="P149" s="544"/>
      <c r="Q149" s="544"/>
      <c r="R149" s="544"/>
      <c r="S149" s="544"/>
      <c r="U149" s="544"/>
      <c r="V149" s="544"/>
      <c r="W149" s="544"/>
      <c r="X149" s="544"/>
      <c r="Y149" s="544"/>
      <c r="Z149" s="544"/>
      <c r="AB149" s="544"/>
      <c r="AC149" s="544"/>
      <c r="AD149" s="544"/>
      <c r="AE149" s="544"/>
      <c r="AF149" s="544"/>
      <c r="AG149" s="544"/>
      <c r="AH149" s="544"/>
      <c r="AJ149" s="544"/>
      <c r="AK149" s="544"/>
      <c r="AL149" s="544"/>
      <c r="AM149" s="544"/>
      <c r="AN149" s="544"/>
      <c r="AO149" s="544"/>
      <c r="AQ149" s="544"/>
      <c r="AR149" s="544"/>
      <c r="AS149" s="544"/>
      <c r="AT149" s="544"/>
      <c r="AU149" s="544"/>
      <c r="AV149" s="544"/>
      <c r="AW149" s="544"/>
    </row>
    <row r="150" spans="1:49" x14ac:dyDescent="0.35">
      <c r="A150" s="544"/>
      <c r="B150" s="544"/>
      <c r="C150" s="544"/>
      <c r="D150" s="544"/>
      <c r="E150" s="544"/>
      <c r="F150" s="544"/>
      <c r="G150" s="544"/>
      <c r="H150" s="544"/>
      <c r="I150" s="544"/>
      <c r="J150" s="544"/>
      <c r="K150" s="544"/>
      <c r="M150" s="544"/>
      <c r="N150" s="544"/>
      <c r="O150" s="544"/>
      <c r="P150" s="544"/>
      <c r="Q150" s="544"/>
      <c r="R150" s="544"/>
      <c r="S150" s="544"/>
      <c r="U150" s="544"/>
      <c r="V150" s="544"/>
      <c r="W150" s="544"/>
      <c r="X150" s="544"/>
      <c r="Y150" s="544"/>
      <c r="Z150" s="544"/>
      <c r="AB150" s="544"/>
      <c r="AC150" s="544"/>
      <c r="AD150" s="544"/>
      <c r="AE150" s="544"/>
      <c r="AF150" s="544"/>
      <c r="AG150" s="544"/>
      <c r="AH150" s="544"/>
      <c r="AJ150" s="544"/>
      <c r="AK150" s="544"/>
      <c r="AL150" s="544"/>
      <c r="AM150" s="544"/>
      <c r="AN150" s="544"/>
      <c r="AO150" s="544"/>
      <c r="AQ150" s="544"/>
      <c r="AR150" s="544"/>
      <c r="AS150" s="544"/>
      <c r="AT150" s="544"/>
      <c r="AU150" s="544"/>
      <c r="AV150" s="544"/>
      <c r="AW150" s="544"/>
    </row>
    <row r="151" spans="1:49" x14ac:dyDescent="0.35">
      <c r="A151" s="544"/>
      <c r="B151" s="544"/>
      <c r="C151" s="544"/>
      <c r="D151" s="544"/>
      <c r="E151" s="544"/>
      <c r="F151" s="544"/>
      <c r="G151" s="544"/>
      <c r="H151" s="544"/>
      <c r="I151" s="544"/>
      <c r="J151" s="544"/>
      <c r="K151" s="544"/>
      <c r="M151" s="544"/>
      <c r="N151" s="544"/>
      <c r="O151" s="544"/>
      <c r="P151" s="544"/>
      <c r="Q151" s="544"/>
      <c r="R151" s="544"/>
      <c r="S151" s="544"/>
      <c r="U151" s="544"/>
      <c r="V151" s="544"/>
      <c r="W151" s="544"/>
      <c r="X151" s="544"/>
      <c r="Y151" s="544"/>
      <c r="Z151" s="544"/>
      <c r="AB151" s="544"/>
      <c r="AC151" s="544"/>
      <c r="AD151" s="544"/>
      <c r="AE151" s="544"/>
      <c r="AF151" s="544"/>
      <c r="AG151" s="544"/>
      <c r="AH151" s="544"/>
      <c r="AJ151" s="544"/>
      <c r="AK151" s="544"/>
      <c r="AL151" s="544"/>
      <c r="AM151" s="544"/>
      <c r="AN151" s="544"/>
      <c r="AO151" s="544"/>
      <c r="AQ151" s="544"/>
      <c r="AR151" s="544"/>
      <c r="AS151" s="544"/>
      <c r="AT151" s="544"/>
      <c r="AU151" s="544"/>
      <c r="AV151" s="544"/>
      <c r="AW151" s="544"/>
    </row>
    <row r="152" spans="1:49" x14ac:dyDescent="0.35">
      <c r="A152" s="544"/>
      <c r="B152" s="544"/>
      <c r="C152" s="544"/>
      <c r="D152" s="544"/>
      <c r="E152" s="544"/>
      <c r="F152" s="544"/>
      <c r="G152" s="544"/>
      <c r="H152" s="544"/>
      <c r="I152" s="544"/>
      <c r="J152" s="544"/>
      <c r="K152" s="544"/>
      <c r="M152" s="544"/>
      <c r="N152" s="544"/>
      <c r="O152" s="544"/>
      <c r="P152" s="544"/>
      <c r="Q152" s="544"/>
      <c r="R152" s="544"/>
      <c r="S152" s="544"/>
      <c r="U152" s="544"/>
      <c r="V152" s="544"/>
      <c r="W152" s="544"/>
      <c r="X152" s="544"/>
      <c r="Y152" s="544"/>
      <c r="Z152" s="544"/>
      <c r="AB152" s="544"/>
      <c r="AC152" s="544"/>
      <c r="AD152" s="544"/>
      <c r="AE152" s="544"/>
      <c r="AF152" s="544"/>
      <c r="AG152" s="544"/>
      <c r="AH152" s="544"/>
      <c r="AJ152" s="544"/>
      <c r="AK152" s="544"/>
      <c r="AL152" s="544"/>
      <c r="AM152" s="544"/>
      <c r="AN152" s="544"/>
      <c r="AO152" s="544"/>
      <c r="AQ152" s="544"/>
      <c r="AR152" s="544"/>
      <c r="AS152" s="544"/>
      <c r="AT152" s="544"/>
      <c r="AU152" s="544"/>
      <c r="AV152" s="544"/>
      <c r="AW152" s="544"/>
    </row>
    <row r="153" spans="1:49" x14ac:dyDescent="0.35">
      <c r="A153" s="544"/>
      <c r="B153" s="544"/>
      <c r="C153" s="544"/>
      <c r="D153" s="544"/>
      <c r="E153" s="544"/>
      <c r="F153" s="544"/>
      <c r="G153" s="544"/>
      <c r="H153" s="544"/>
      <c r="I153" s="544"/>
      <c r="J153" s="544"/>
      <c r="K153" s="544"/>
      <c r="M153" s="544"/>
      <c r="N153" s="544"/>
      <c r="O153" s="544"/>
      <c r="P153" s="544"/>
      <c r="Q153" s="544"/>
      <c r="R153" s="544"/>
      <c r="S153" s="544"/>
      <c r="U153" s="544"/>
      <c r="V153" s="544"/>
      <c r="W153" s="544"/>
      <c r="X153" s="544"/>
      <c r="Y153" s="544"/>
      <c r="Z153" s="544"/>
      <c r="AB153" s="544"/>
      <c r="AC153" s="544"/>
      <c r="AD153" s="544"/>
      <c r="AE153" s="544"/>
      <c r="AF153" s="544"/>
      <c r="AG153" s="544"/>
      <c r="AH153" s="544"/>
      <c r="AJ153" s="544"/>
      <c r="AK153" s="544"/>
      <c r="AL153" s="544"/>
      <c r="AM153" s="544"/>
      <c r="AN153" s="544"/>
      <c r="AO153" s="544"/>
      <c r="AQ153" s="544"/>
      <c r="AR153" s="544"/>
      <c r="AS153" s="544"/>
      <c r="AT153" s="544"/>
      <c r="AU153" s="544"/>
      <c r="AV153" s="544"/>
      <c r="AW153" s="544"/>
    </row>
    <row r="154" spans="1:49" x14ac:dyDescent="0.35">
      <c r="A154" s="544"/>
      <c r="B154" s="544"/>
      <c r="C154" s="544"/>
      <c r="D154" s="544"/>
      <c r="E154" s="544"/>
      <c r="F154" s="544"/>
      <c r="G154" s="544"/>
      <c r="H154" s="544"/>
      <c r="I154" s="544"/>
      <c r="J154" s="544"/>
      <c r="K154" s="544"/>
      <c r="M154" s="544"/>
      <c r="N154" s="544"/>
      <c r="O154" s="544"/>
      <c r="P154" s="544"/>
      <c r="Q154" s="544"/>
      <c r="R154" s="544"/>
      <c r="S154" s="544"/>
      <c r="U154" s="544"/>
      <c r="V154" s="544"/>
      <c r="W154" s="544"/>
      <c r="X154" s="544"/>
      <c r="Y154" s="544"/>
      <c r="Z154" s="544"/>
      <c r="AB154" s="544"/>
      <c r="AC154" s="544"/>
      <c r="AD154" s="544"/>
      <c r="AE154" s="544"/>
      <c r="AF154" s="544"/>
      <c r="AG154" s="544"/>
      <c r="AH154" s="544"/>
      <c r="AJ154" s="544"/>
      <c r="AK154" s="544"/>
      <c r="AL154" s="544"/>
      <c r="AM154" s="544"/>
      <c r="AN154" s="544"/>
      <c r="AO154" s="544"/>
      <c r="AQ154" s="544"/>
      <c r="AR154" s="544"/>
      <c r="AS154" s="544"/>
      <c r="AT154" s="544"/>
      <c r="AU154" s="544"/>
      <c r="AV154" s="544"/>
      <c r="AW154" s="544"/>
    </row>
    <row r="155" spans="1:49" x14ac:dyDescent="0.35">
      <c r="A155" s="544"/>
      <c r="B155" s="544"/>
      <c r="C155" s="544"/>
      <c r="D155" s="544"/>
      <c r="E155" s="544"/>
      <c r="F155" s="544"/>
      <c r="G155" s="544"/>
      <c r="H155" s="544"/>
      <c r="I155" s="544"/>
      <c r="J155" s="544"/>
      <c r="K155" s="544"/>
      <c r="M155" s="544"/>
      <c r="N155" s="544"/>
      <c r="O155" s="544"/>
      <c r="P155" s="544"/>
      <c r="Q155" s="544"/>
      <c r="R155" s="544"/>
      <c r="S155" s="544"/>
      <c r="U155" s="544"/>
      <c r="V155" s="544"/>
      <c r="W155" s="544"/>
      <c r="X155" s="544"/>
      <c r="Y155" s="544"/>
      <c r="Z155" s="544"/>
      <c r="AB155" s="544"/>
      <c r="AC155" s="544"/>
      <c r="AD155" s="544"/>
      <c r="AE155" s="544"/>
      <c r="AF155" s="544"/>
      <c r="AG155" s="544"/>
      <c r="AH155" s="544"/>
      <c r="AJ155" s="544"/>
      <c r="AK155" s="544"/>
      <c r="AL155" s="544"/>
      <c r="AM155" s="544"/>
      <c r="AN155" s="544"/>
      <c r="AO155" s="544"/>
      <c r="AQ155" s="544"/>
      <c r="AR155" s="544"/>
      <c r="AS155" s="544"/>
      <c r="AT155" s="544"/>
      <c r="AU155" s="544"/>
      <c r="AV155" s="544"/>
      <c r="AW155" s="544"/>
    </row>
    <row r="156" spans="1:49" x14ac:dyDescent="0.35">
      <c r="A156" s="544"/>
      <c r="B156" s="544"/>
      <c r="C156" s="544"/>
      <c r="D156" s="544"/>
      <c r="E156" s="544"/>
      <c r="F156" s="544"/>
      <c r="G156" s="544"/>
      <c r="H156" s="544"/>
      <c r="I156" s="544"/>
      <c r="J156" s="544"/>
      <c r="K156" s="544"/>
      <c r="M156" s="544"/>
      <c r="N156" s="544"/>
      <c r="O156" s="544"/>
      <c r="P156" s="544"/>
      <c r="Q156" s="544"/>
      <c r="R156" s="544"/>
      <c r="S156" s="544"/>
      <c r="U156" s="544"/>
      <c r="V156" s="544"/>
      <c r="W156" s="544"/>
      <c r="X156" s="544"/>
      <c r="Y156" s="544"/>
      <c r="Z156" s="544"/>
      <c r="AB156" s="544"/>
      <c r="AC156" s="544"/>
      <c r="AD156" s="544"/>
      <c r="AE156" s="544"/>
      <c r="AF156" s="544"/>
      <c r="AG156" s="544"/>
      <c r="AH156" s="544"/>
      <c r="AJ156" s="544"/>
      <c r="AK156" s="544"/>
      <c r="AL156" s="544"/>
      <c r="AM156" s="544"/>
      <c r="AN156" s="544"/>
      <c r="AO156" s="544"/>
      <c r="AQ156" s="544"/>
      <c r="AR156" s="544"/>
      <c r="AS156" s="544"/>
      <c r="AT156" s="544"/>
      <c r="AU156" s="544"/>
      <c r="AV156" s="544"/>
      <c r="AW156" s="544"/>
    </row>
    <row r="157" spans="1:49" x14ac:dyDescent="0.35">
      <c r="A157" s="544"/>
      <c r="B157" s="544"/>
      <c r="C157" s="544"/>
      <c r="D157" s="544"/>
      <c r="E157" s="544"/>
      <c r="F157" s="544"/>
      <c r="G157" s="544"/>
      <c r="H157" s="544"/>
      <c r="I157" s="544"/>
      <c r="J157" s="544"/>
      <c r="K157" s="544"/>
      <c r="M157" s="544"/>
      <c r="N157" s="544"/>
      <c r="O157" s="544"/>
      <c r="P157" s="544"/>
      <c r="Q157" s="544"/>
      <c r="R157" s="544"/>
      <c r="S157" s="544"/>
      <c r="U157" s="544"/>
      <c r="V157" s="544"/>
      <c r="W157" s="544"/>
      <c r="X157" s="544"/>
      <c r="Y157" s="544"/>
      <c r="Z157" s="544"/>
      <c r="AB157" s="544"/>
      <c r="AC157" s="544"/>
      <c r="AD157" s="544"/>
      <c r="AE157" s="544"/>
      <c r="AF157" s="544"/>
      <c r="AG157" s="544"/>
      <c r="AH157" s="544"/>
      <c r="AJ157" s="544"/>
      <c r="AK157" s="544"/>
      <c r="AL157" s="544"/>
      <c r="AM157" s="544"/>
      <c r="AN157" s="544"/>
      <c r="AO157" s="544"/>
      <c r="AQ157" s="544"/>
      <c r="AR157" s="544"/>
      <c r="AS157" s="544"/>
      <c r="AT157" s="544"/>
      <c r="AU157" s="544"/>
      <c r="AV157" s="544"/>
      <c r="AW157" s="544"/>
    </row>
    <row r="158" spans="1:49" x14ac:dyDescent="0.35">
      <c r="A158" s="544"/>
      <c r="B158" s="544"/>
      <c r="C158" s="544"/>
      <c r="D158" s="544"/>
      <c r="E158" s="544"/>
      <c r="F158" s="544"/>
      <c r="G158" s="544"/>
      <c r="H158" s="544"/>
      <c r="I158" s="544"/>
      <c r="J158" s="544"/>
      <c r="K158" s="544"/>
      <c r="M158" s="544"/>
      <c r="N158" s="544"/>
      <c r="O158" s="544"/>
      <c r="P158" s="544"/>
      <c r="Q158" s="544"/>
      <c r="R158" s="544"/>
      <c r="S158" s="544"/>
      <c r="U158" s="544"/>
      <c r="V158" s="544"/>
      <c r="W158" s="544"/>
      <c r="X158" s="544"/>
      <c r="Y158" s="544"/>
      <c r="Z158" s="544"/>
      <c r="AB158" s="544"/>
      <c r="AC158" s="544"/>
      <c r="AD158" s="544"/>
      <c r="AE158" s="544"/>
      <c r="AF158" s="544"/>
      <c r="AG158" s="544"/>
      <c r="AH158" s="544"/>
      <c r="AJ158" s="544"/>
      <c r="AK158" s="544"/>
      <c r="AL158" s="544"/>
      <c r="AM158" s="544"/>
      <c r="AN158" s="544"/>
      <c r="AO158" s="544"/>
      <c r="AQ158" s="544"/>
      <c r="AR158" s="544"/>
      <c r="AS158" s="544"/>
      <c r="AT158" s="544"/>
      <c r="AU158" s="544"/>
      <c r="AV158" s="544"/>
      <c r="AW158" s="544"/>
    </row>
    <row r="159" spans="1:49" x14ac:dyDescent="0.35">
      <c r="A159" s="544"/>
      <c r="B159" s="544"/>
      <c r="C159" s="544"/>
      <c r="D159" s="544"/>
      <c r="E159" s="544"/>
      <c r="F159" s="544"/>
      <c r="G159" s="544"/>
      <c r="H159" s="544"/>
      <c r="I159" s="544"/>
      <c r="J159" s="544"/>
      <c r="K159" s="544"/>
      <c r="M159" s="544"/>
      <c r="N159" s="544"/>
      <c r="O159" s="544"/>
      <c r="P159" s="544"/>
      <c r="Q159" s="544"/>
      <c r="R159" s="544"/>
      <c r="S159" s="544"/>
      <c r="U159" s="544"/>
      <c r="V159" s="544"/>
      <c r="W159" s="544"/>
      <c r="X159" s="544"/>
      <c r="Y159" s="544"/>
      <c r="Z159" s="544"/>
      <c r="AB159" s="544"/>
      <c r="AC159" s="544"/>
      <c r="AD159" s="544"/>
      <c r="AE159" s="544"/>
      <c r="AF159" s="544"/>
      <c r="AG159" s="544"/>
      <c r="AH159" s="544"/>
      <c r="AJ159" s="544"/>
      <c r="AK159" s="544"/>
      <c r="AL159" s="544"/>
      <c r="AM159" s="544"/>
      <c r="AN159" s="544"/>
      <c r="AO159" s="544"/>
      <c r="AQ159" s="544"/>
      <c r="AR159" s="544"/>
      <c r="AS159" s="544"/>
      <c r="AT159" s="544"/>
      <c r="AU159" s="544"/>
      <c r="AV159" s="544"/>
      <c r="AW159" s="544"/>
    </row>
    <row r="160" spans="1:49" x14ac:dyDescent="0.35">
      <c r="A160" s="544"/>
      <c r="B160" s="544"/>
      <c r="C160" s="544"/>
      <c r="D160" s="544"/>
      <c r="E160" s="544"/>
      <c r="F160" s="544"/>
      <c r="G160" s="544"/>
      <c r="H160" s="544"/>
      <c r="I160" s="544"/>
      <c r="J160" s="544"/>
      <c r="K160" s="544"/>
      <c r="M160" s="544"/>
      <c r="N160" s="544"/>
      <c r="O160" s="544"/>
      <c r="P160" s="544"/>
      <c r="Q160" s="544"/>
      <c r="R160" s="544"/>
      <c r="S160" s="544"/>
      <c r="U160" s="544"/>
      <c r="V160" s="544"/>
      <c r="W160" s="544"/>
      <c r="X160" s="544"/>
      <c r="Y160" s="544"/>
      <c r="Z160" s="544"/>
      <c r="AB160" s="544"/>
      <c r="AC160" s="544"/>
      <c r="AD160" s="544"/>
      <c r="AE160" s="544"/>
      <c r="AF160" s="544"/>
      <c r="AG160" s="544"/>
      <c r="AH160" s="544"/>
      <c r="AJ160" s="544"/>
      <c r="AK160" s="544"/>
      <c r="AL160" s="544"/>
      <c r="AM160" s="544"/>
      <c r="AN160" s="544"/>
      <c r="AO160" s="544"/>
      <c r="AQ160" s="544"/>
      <c r="AR160" s="544"/>
      <c r="AS160" s="544"/>
      <c r="AT160" s="544"/>
      <c r="AU160" s="544"/>
      <c r="AV160" s="544"/>
      <c r="AW160" s="544"/>
    </row>
    <row r="161" spans="1:49" x14ac:dyDescent="0.35">
      <c r="A161" s="544"/>
      <c r="B161" s="544"/>
      <c r="C161" s="544"/>
      <c r="D161" s="544"/>
      <c r="E161" s="544"/>
      <c r="F161" s="544"/>
      <c r="G161" s="544"/>
      <c r="H161" s="544"/>
      <c r="I161" s="544"/>
      <c r="J161" s="544"/>
      <c r="K161" s="544"/>
      <c r="M161" s="544"/>
      <c r="N161" s="544"/>
      <c r="O161" s="544"/>
      <c r="P161" s="544"/>
      <c r="Q161" s="544"/>
      <c r="R161" s="544"/>
      <c r="S161" s="544"/>
      <c r="U161" s="544"/>
      <c r="V161" s="544"/>
      <c r="W161" s="544"/>
      <c r="X161" s="544"/>
      <c r="Y161" s="544"/>
      <c r="Z161" s="544"/>
      <c r="AB161" s="544"/>
      <c r="AC161" s="544"/>
      <c r="AD161" s="544"/>
      <c r="AE161" s="544"/>
      <c r="AF161" s="544"/>
      <c r="AG161" s="544"/>
      <c r="AH161" s="544"/>
      <c r="AJ161" s="544"/>
      <c r="AK161" s="544"/>
      <c r="AL161" s="544"/>
      <c r="AM161" s="544"/>
      <c r="AN161" s="544"/>
      <c r="AO161" s="544"/>
      <c r="AQ161" s="544"/>
      <c r="AR161" s="544"/>
      <c r="AS161" s="544"/>
      <c r="AT161" s="544"/>
      <c r="AU161" s="544"/>
      <c r="AV161" s="544"/>
      <c r="AW161" s="544"/>
    </row>
    <row r="162" spans="1:49" x14ac:dyDescent="0.35">
      <c r="A162" s="544"/>
      <c r="B162" s="544"/>
      <c r="C162" s="544"/>
      <c r="D162" s="544"/>
      <c r="E162" s="544"/>
      <c r="F162" s="544"/>
      <c r="G162" s="544"/>
      <c r="H162" s="544"/>
      <c r="I162" s="544"/>
      <c r="J162" s="544"/>
      <c r="K162" s="544"/>
      <c r="M162" s="544"/>
      <c r="N162" s="544"/>
      <c r="O162" s="544"/>
      <c r="P162" s="544"/>
      <c r="Q162" s="544"/>
      <c r="R162" s="544"/>
      <c r="S162" s="544"/>
      <c r="U162" s="544"/>
      <c r="V162" s="544"/>
      <c r="W162" s="544"/>
      <c r="X162" s="544"/>
      <c r="Y162" s="544"/>
      <c r="Z162" s="544"/>
      <c r="AB162" s="544"/>
      <c r="AC162" s="544"/>
      <c r="AD162" s="544"/>
      <c r="AE162" s="544"/>
      <c r="AF162" s="544"/>
      <c r="AG162" s="544"/>
      <c r="AH162" s="544"/>
      <c r="AJ162" s="544"/>
      <c r="AK162" s="544"/>
      <c r="AL162" s="544"/>
      <c r="AM162" s="544"/>
      <c r="AN162" s="544"/>
      <c r="AO162" s="544"/>
      <c r="AQ162" s="544"/>
      <c r="AR162" s="544"/>
      <c r="AS162" s="544"/>
      <c r="AT162" s="544"/>
      <c r="AU162" s="544"/>
      <c r="AV162" s="544"/>
      <c r="AW162" s="544"/>
    </row>
    <row r="163" spans="1:49" x14ac:dyDescent="0.35">
      <c r="A163" s="544"/>
      <c r="B163" s="544"/>
      <c r="C163" s="544"/>
      <c r="D163" s="544"/>
      <c r="E163" s="544"/>
      <c r="F163" s="544"/>
      <c r="G163" s="544"/>
      <c r="H163" s="544"/>
      <c r="I163" s="544"/>
      <c r="J163" s="544"/>
      <c r="K163" s="544"/>
      <c r="M163" s="544"/>
      <c r="N163" s="544"/>
      <c r="O163" s="544"/>
      <c r="P163" s="544"/>
      <c r="Q163" s="544"/>
      <c r="R163" s="544"/>
      <c r="S163" s="544"/>
      <c r="U163" s="544"/>
      <c r="V163" s="544"/>
      <c r="W163" s="544"/>
      <c r="X163" s="544"/>
      <c r="Y163" s="544"/>
      <c r="Z163" s="544"/>
      <c r="AB163" s="544"/>
      <c r="AC163" s="544"/>
      <c r="AD163" s="544"/>
      <c r="AE163" s="544"/>
      <c r="AF163" s="544"/>
      <c r="AG163" s="544"/>
      <c r="AH163" s="544"/>
      <c r="AJ163" s="544"/>
      <c r="AK163" s="544"/>
      <c r="AL163" s="544"/>
      <c r="AM163" s="544"/>
      <c r="AN163" s="544"/>
      <c r="AO163" s="544"/>
      <c r="AQ163" s="544"/>
      <c r="AR163" s="544"/>
      <c r="AS163" s="544"/>
      <c r="AT163" s="544"/>
      <c r="AU163" s="544"/>
      <c r="AV163" s="544"/>
      <c r="AW163" s="544"/>
    </row>
    <row r="164" spans="1:49" x14ac:dyDescent="0.35">
      <c r="A164" s="544"/>
      <c r="B164" s="544"/>
      <c r="C164" s="544"/>
      <c r="D164" s="544"/>
      <c r="E164" s="544"/>
      <c r="F164" s="544"/>
      <c r="G164" s="544"/>
      <c r="H164" s="544"/>
      <c r="I164" s="544"/>
      <c r="J164" s="544"/>
      <c r="K164" s="544"/>
      <c r="M164" s="544"/>
      <c r="N164" s="544"/>
      <c r="O164" s="544"/>
      <c r="P164" s="544"/>
      <c r="Q164" s="544"/>
      <c r="R164" s="544"/>
      <c r="S164" s="544"/>
      <c r="U164" s="544"/>
      <c r="V164" s="544"/>
      <c r="W164" s="544"/>
      <c r="X164" s="544"/>
      <c r="Y164" s="544"/>
      <c r="Z164" s="544"/>
      <c r="AB164" s="544"/>
      <c r="AC164" s="544"/>
      <c r="AD164" s="544"/>
      <c r="AE164" s="544"/>
      <c r="AF164" s="544"/>
      <c r="AG164" s="544"/>
      <c r="AH164" s="544"/>
      <c r="AJ164" s="544"/>
      <c r="AK164" s="544"/>
      <c r="AL164" s="544"/>
      <c r="AM164" s="544"/>
      <c r="AN164" s="544"/>
      <c r="AO164" s="544"/>
      <c r="AQ164" s="544"/>
      <c r="AR164" s="544"/>
      <c r="AS164" s="544"/>
      <c r="AT164" s="544"/>
      <c r="AU164" s="544"/>
      <c r="AV164" s="544"/>
      <c r="AW164" s="544"/>
    </row>
    <row r="165" spans="1:49" x14ac:dyDescent="0.35">
      <c r="A165" s="544"/>
      <c r="B165" s="544"/>
      <c r="C165" s="544"/>
      <c r="D165" s="544"/>
      <c r="E165" s="544"/>
      <c r="F165" s="544"/>
      <c r="G165" s="544"/>
      <c r="H165" s="544"/>
      <c r="I165" s="544"/>
      <c r="J165" s="544"/>
      <c r="K165" s="544"/>
      <c r="M165" s="544"/>
      <c r="N165" s="544"/>
      <c r="O165" s="544"/>
      <c r="P165" s="544"/>
      <c r="Q165" s="544"/>
      <c r="R165" s="544"/>
      <c r="S165" s="544"/>
      <c r="U165" s="544"/>
      <c r="V165" s="544"/>
      <c r="W165" s="544"/>
      <c r="X165" s="544"/>
      <c r="Y165" s="544"/>
      <c r="Z165" s="544"/>
      <c r="AB165" s="544"/>
      <c r="AC165" s="544"/>
      <c r="AD165" s="544"/>
      <c r="AE165" s="544"/>
      <c r="AF165" s="544"/>
      <c r="AG165" s="544"/>
      <c r="AH165" s="544"/>
      <c r="AJ165" s="544"/>
      <c r="AK165" s="544"/>
      <c r="AL165" s="544"/>
      <c r="AM165" s="544"/>
      <c r="AN165" s="544"/>
      <c r="AO165" s="544"/>
      <c r="AQ165" s="544"/>
      <c r="AR165" s="544"/>
      <c r="AS165" s="544"/>
      <c r="AT165" s="544"/>
      <c r="AU165" s="544"/>
      <c r="AV165" s="544"/>
      <c r="AW165" s="544"/>
    </row>
    <row r="166" spans="1:49" x14ac:dyDescent="0.35">
      <c r="A166" s="544"/>
      <c r="B166" s="544"/>
      <c r="C166" s="544"/>
      <c r="D166" s="544"/>
      <c r="E166" s="544"/>
      <c r="F166" s="544"/>
      <c r="G166" s="544"/>
      <c r="H166" s="544"/>
      <c r="I166" s="544"/>
      <c r="J166" s="544"/>
      <c r="K166" s="544"/>
      <c r="M166" s="544"/>
      <c r="N166" s="544"/>
      <c r="O166" s="544"/>
      <c r="P166" s="544"/>
      <c r="Q166" s="544"/>
      <c r="R166" s="544"/>
      <c r="S166" s="544"/>
      <c r="U166" s="544"/>
      <c r="V166" s="544"/>
      <c r="W166" s="544"/>
      <c r="X166" s="544"/>
      <c r="Y166" s="544"/>
      <c r="Z166" s="544"/>
      <c r="AB166" s="544"/>
      <c r="AC166" s="544"/>
      <c r="AD166" s="544"/>
      <c r="AE166" s="544"/>
      <c r="AF166" s="544"/>
      <c r="AG166" s="544"/>
      <c r="AH166" s="544"/>
      <c r="AJ166" s="544"/>
      <c r="AK166" s="544"/>
      <c r="AL166" s="544"/>
      <c r="AM166" s="544"/>
      <c r="AN166" s="544"/>
      <c r="AO166" s="544"/>
      <c r="AQ166" s="544"/>
      <c r="AR166" s="544"/>
      <c r="AS166" s="544"/>
      <c r="AT166" s="544"/>
      <c r="AU166" s="544"/>
      <c r="AV166" s="544"/>
      <c r="AW166" s="544"/>
    </row>
    <row r="167" spans="1:49" x14ac:dyDescent="0.35">
      <c r="A167" s="544"/>
      <c r="B167" s="544"/>
      <c r="C167" s="544"/>
      <c r="D167" s="544"/>
      <c r="E167" s="544"/>
      <c r="F167" s="544"/>
      <c r="G167" s="544"/>
      <c r="H167" s="544"/>
      <c r="I167" s="544"/>
      <c r="J167" s="544"/>
      <c r="K167" s="544"/>
      <c r="M167" s="544"/>
      <c r="N167" s="544"/>
      <c r="O167" s="544"/>
      <c r="P167" s="544"/>
      <c r="Q167" s="544"/>
      <c r="R167" s="544"/>
      <c r="S167" s="544"/>
      <c r="U167" s="544"/>
      <c r="V167" s="544"/>
      <c r="W167" s="544"/>
      <c r="X167" s="544"/>
      <c r="Y167" s="544"/>
      <c r="Z167" s="544"/>
      <c r="AB167" s="544"/>
      <c r="AC167" s="544"/>
      <c r="AD167" s="544"/>
      <c r="AE167" s="544"/>
      <c r="AF167" s="544"/>
      <c r="AG167" s="544"/>
      <c r="AH167" s="544"/>
      <c r="AJ167" s="544"/>
      <c r="AK167" s="544"/>
      <c r="AL167" s="544"/>
      <c r="AM167" s="544"/>
      <c r="AN167" s="544"/>
      <c r="AO167" s="544"/>
      <c r="AQ167" s="544"/>
      <c r="AR167" s="544"/>
      <c r="AS167" s="544"/>
      <c r="AT167" s="544"/>
      <c r="AU167" s="544"/>
      <c r="AV167" s="544"/>
      <c r="AW167" s="544"/>
    </row>
    <row r="168" spans="1:49" x14ac:dyDescent="0.35">
      <c r="A168" s="544"/>
      <c r="B168" s="544"/>
      <c r="C168" s="544"/>
      <c r="D168" s="544"/>
      <c r="E168" s="544"/>
      <c r="F168" s="544"/>
      <c r="G168" s="544"/>
      <c r="H168" s="544"/>
      <c r="I168" s="544"/>
      <c r="J168" s="544"/>
      <c r="K168" s="544"/>
      <c r="M168" s="544"/>
      <c r="N168" s="544"/>
      <c r="O168" s="544"/>
      <c r="P168" s="544"/>
      <c r="Q168" s="544"/>
      <c r="R168" s="544"/>
      <c r="S168" s="544"/>
      <c r="U168" s="544"/>
      <c r="V168" s="544"/>
      <c r="W168" s="544"/>
      <c r="X168" s="544"/>
      <c r="Y168" s="544"/>
      <c r="Z168" s="544"/>
      <c r="AB168" s="544"/>
      <c r="AC168" s="544"/>
      <c r="AD168" s="544"/>
      <c r="AE168" s="544"/>
      <c r="AF168" s="544"/>
      <c r="AG168" s="544"/>
      <c r="AH168" s="544"/>
      <c r="AJ168" s="544"/>
      <c r="AK168" s="544"/>
      <c r="AL168" s="544"/>
      <c r="AM168" s="544"/>
      <c r="AN168" s="544"/>
      <c r="AO168" s="544"/>
      <c r="AQ168" s="544"/>
      <c r="AR168" s="544"/>
      <c r="AS168" s="544"/>
      <c r="AT168" s="544"/>
      <c r="AU168" s="544"/>
      <c r="AV168" s="544"/>
      <c r="AW168" s="544"/>
    </row>
    <row r="169" spans="1:49" x14ac:dyDescent="0.35">
      <c r="A169" s="544"/>
      <c r="B169" s="544"/>
      <c r="C169" s="544"/>
      <c r="D169" s="544"/>
      <c r="E169" s="544"/>
      <c r="F169" s="544"/>
      <c r="G169" s="544"/>
      <c r="H169" s="544"/>
      <c r="I169" s="544"/>
      <c r="J169" s="544"/>
      <c r="K169" s="544"/>
      <c r="M169" s="544"/>
      <c r="N169" s="544"/>
      <c r="O169" s="544"/>
      <c r="P169" s="544"/>
      <c r="Q169" s="544"/>
      <c r="R169" s="544"/>
      <c r="S169" s="544"/>
      <c r="U169" s="544"/>
      <c r="V169" s="544"/>
      <c r="W169" s="544"/>
      <c r="X169" s="544"/>
      <c r="Y169" s="544"/>
      <c r="Z169" s="544"/>
      <c r="AB169" s="544"/>
      <c r="AC169" s="544"/>
      <c r="AD169" s="544"/>
      <c r="AE169" s="544"/>
      <c r="AF169" s="544"/>
      <c r="AG169" s="544"/>
      <c r="AH169" s="544"/>
      <c r="AJ169" s="544"/>
      <c r="AK169" s="544"/>
      <c r="AL169" s="544"/>
      <c r="AM169" s="544"/>
      <c r="AN169" s="544"/>
      <c r="AO169" s="544"/>
      <c r="AQ169" s="544"/>
      <c r="AR169" s="544"/>
      <c r="AS169" s="544"/>
      <c r="AT169" s="544"/>
      <c r="AU169" s="544"/>
      <c r="AV169" s="544"/>
      <c r="AW169" s="544"/>
    </row>
    <row r="170" spans="1:49" x14ac:dyDescent="0.35">
      <c r="A170" s="544"/>
      <c r="B170" s="544"/>
      <c r="C170" s="544"/>
      <c r="D170" s="544"/>
      <c r="E170" s="544"/>
      <c r="F170" s="544"/>
      <c r="G170" s="544"/>
      <c r="H170" s="544"/>
      <c r="I170" s="544"/>
      <c r="J170" s="544"/>
      <c r="K170" s="544"/>
      <c r="M170" s="544"/>
      <c r="N170" s="544"/>
      <c r="O170" s="544"/>
      <c r="P170" s="544"/>
      <c r="Q170" s="544"/>
      <c r="R170" s="544"/>
      <c r="S170" s="544"/>
      <c r="U170" s="544"/>
      <c r="V170" s="544"/>
      <c r="W170" s="544"/>
      <c r="X170" s="544"/>
      <c r="Y170" s="544"/>
      <c r="Z170" s="544"/>
      <c r="AB170" s="544"/>
      <c r="AC170" s="544"/>
      <c r="AD170" s="544"/>
      <c r="AE170" s="544"/>
      <c r="AF170" s="544"/>
      <c r="AG170" s="544"/>
      <c r="AH170" s="544"/>
      <c r="AJ170" s="544"/>
      <c r="AK170" s="544"/>
      <c r="AL170" s="544"/>
      <c r="AM170" s="544"/>
      <c r="AN170" s="544"/>
      <c r="AO170" s="544"/>
      <c r="AQ170" s="544"/>
      <c r="AR170" s="544"/>
      <c r="AS170" s="544"/>
      <c r="AT170" s="544"/>
      <c r="AU170" s="544"/>
      <c r="AV170" s="544"/>
      <c r="AW170" s="544"/>
    </row>
    <row r="171" spans="1:49" x14ac:dyDescent="0.35">
      <c r="A171" s="544"/>
      <c r="B171" s="544"/>
      <c r="C171" s="544"/>
      <c r="D171" s="544"/>
      <c r="E171" s="544"/>
      <c r="F171" s="544"/>
      <c r="G171" s="544"/>
      <c r="H171" s="544"/>
      <c r="I171" s="544"/>
      <c r="J171" s="544"/>
      <c r="K171" s="544"/>
      <c r="M171" s="544"/>
      <c r="N171" s="544"/>
      <c r="O171" s="544"/>
      <c r="P171" s="544"/>
      <c r="Q171" s="544"/>
      <c r="R171" s="544"/>
      <c r="S171" s="544"/>
      <c r="U171" s="544"/>
      <c r="V171" s="544"/>
      <c r="W171" s="544"/>
      <c r="X171" s="544"/>
      <c r="Y171" s="544"/>
      <c r="Z171" s="544"/>
      <c r="AB171" s="544"/>
      <c r="AC171" s="544"/>
      <c r="AD171" s="544"/>
      <c r="AE171" s="544"/>
      <c r="AF171" s="544"/>
      <c r="AG171" s="544"/>
      <c r="AH171" s="544"/>
      <c r="AJ171" s="544"/>
      <c r="AK171" s="544"/>
      <c r="AL171" s="544"/>
      <c r="AM171" s="544"/>
      <c r="AN171" s="544"/>
      <c r="AO171" s="544"/>
      <c r="AQ171" s="544"/>
      <c r="AR171" s="544"/>
      <c r="AS171" s="544"/>
      <c r="AT171" s="544"/>
      <c r="AU171" s="544"/>
      <c r="AV171" s="544"/>
      <c r="AW171" s="544"/>
    </row>
    <row r="172" spans="1:49" x14ac:dyDescent="0.35">
      <c r="A172" s="544"/>
      <c r="B172" s="544"/>
      <c r="C172" s="544"/>
      <c r="D172" s="544"/>
      <c r="E172" s="544"/>
      <c r="F172" s="544"/>
      <c r="G172" s="544"/>
      <c r="H172" s="544"/>
      <c r="I172" s="544"/>
      <c r="J172" s="544"/>
      <c r="K172" s="544"/>
      <c r="M172" s="544"/>
      <c r="N172" s="544"/>
      <c r="O172" s="544"/>
      <c r="P172" s="544"/>
      <c r="Q172" s="544"/>
      <c r="R172" s="544"/>
      <c r="S172" s="544"/>
      <c r="U172" s="544"/>
      <c r="V172" s="544"/>
      <c r="W172" s="544"/>
      <c r="X172" s="544"/>
      <c r="Y172" s="544"/>
      <c r="Z172" s="544"/>
      <c r="AB172" s="544"/>
      <c r="AC172" s="544"/>
      <c r="AD172" s="544"/>
      <c r="AE172" s="544"/>
      <c r="AF172" s="544"/>
      <c r="AG172" s="544"/>
      <c r="AH172" s="544"/>
      <c r="AJ172" s="544"/>
      <c r="AK172" s="544"/>
      <c r="AL172" s="544"/>
      <c r="AM172" s="544"/>
      <c r="AN172" s="544"/>
      <c r="AO172" s="544"/>
      <c r="AQ172" s="544"/>
      <c r="AR172" s="544"/>
      <c r="AS172" s="544"/>
      <c r="AT172" s="544"/>
      <c r="AU172" s="544"/>
      <c r="AV172" s="544"/>
      <c r="AW172" s="544"/>
    </row>
    <row r="173" spans="1:49" x14ac:dyDescent="0.35">
      <c r="A173" s="544"/>
      <c r="B173" s="544"/>
      <c r="C173" s="544"/>
      <c r="D173" s="544"/>
      <c r="E173" s="544"/>
      <c r="F173" s="544"/>
      <c r="G173" s="544"/>
      <c r="H173" s="544"/>
      <c r="I173" s="544"/>
      <c r="J173" s="544"/>
      <c r="K173" s="544"/>
      <c r="M173" s="544"/>
      <c r="N173" s="544"/>
      <c r="O173" s="544"/>
      <c r="P173" s="544"/>
      <c r="Q173" s="544"/>
      <c r="R173" s="544"/>
      <c r="S173" s="544"/>
      <c r="U173" s="544"/>
      <c r="V173" s="544"/>
      <c r="W173" s="544"/>
      <c r="X173" s="544"/>
      <c r="Y173" s="544"/>
      <c r="Z173" s="544"/>
      <c r="AB173" s="544"/>
      <c r="AC173" s="544"/>
      <c r="AD173" s="544"/>
      <c r="AE173" s="544"/>
      <c r="AF173" s="544"/>
      <c r="AG173" s="544"/>
      <c r="AH173" s="544"/>
      <c r="AJ173" s="544"/>
      <c r="AK173" s="544"/>
      <c r="AL173" s="544"/>
      <c r="AM173" s="544"/>
      <c r="AN173" s="544"/>
      <c r="AO173" s="544"/>
      <c r="AQ173" s="544"/>
      <c r="AR173" s="544"/>
      <c r="AS173" s="544"/>
      <c r="AT173" s="544"/>
      <c r="AU173" s="544"/>
      <c r="AV173" s="544"/>
      <c r="AW173" s="544"/>
    </row>
    <row r="174" spans="1:49" x14ac:dyDescent="0.35">
      <c r="A174" s="544"/>
      <c r="B174" s="544"/>
      <c r="C174" s="544"/>
      <c r="D174" s="544"/>
      <c r="E174" s="544"/>
      <c r="F174" s="544"/>
      <c r="G174" s="544"/>
      <c r="H174" s="544"/>
      <c r="I174" s="544"/>
      <c r="J174" s="544"/>
      <c r="K174" s="544"/>
      <c r="M174" s="544"/>
      <c r="N174" s="544"/>
      <c r="O174" s="544"/>
      <c r="P174" s="544"/>
      <c r="Q174" s="544"/>
      <c r="R174" s="544"/>
      <c r="S174" s="544"/>
      <c r="U174" s="544"/>
      <c r="V174" s="544"/>
      <c r="W174" s="544"/>
      <c r="X174" s="544"/>
      <c r="Y174" s="544"/>
      <c r="Z174" s="544"/>
      <c r="AB174" s="544"/>
      <c r="AC174" s="544"/>
      <c r="AD174" s="544"/>
      <c r="AE174" s="544"/>
      <c r="AF174" s="544"/>
      <c r="AG174" s="544"/>
      <c r="AH174" s="544"/>
      <c r="AJ174" s="544"/>
      <c r="AK174" s="544"/>
      <c r="AL174" s="544"/>
      <c r="AM174" s="544"/>
      <c r="AN174" s="544"/>
      <c r="AO174" s="544"/>
      <c r="AQ174" s="544"/>
      <c r="AR174" s="544"/>
      <c r="AS174" s="544"/>
      <c r="AT174" s="544"/>
      <c r="AU174" s="544"/>
      <c r="AV174" s="544"/>
      <c r="AW174" s="544"/>
    </row>
    <row r="175" spans="1:49" x14ac:dyDescent="0.35">
      <c r="A175" s="544"/>
      <c r="B175" s="544"/>
      <c r="C175" s="544"/>
      <c r="D175" s="544"/>
      <c r="E175" s="544"/>
      <c r="F175" s="544"/>
      <c r="G175" s="544"/>
      <c r="H175" s="544"/>
      <c r="I175" s="544"/>
      <c r="J175" s="544"/>
      <c r="K175" s="544"/>
      <c r="M175" s="544"/>
      <c r="N175" s="544"/>
      <c r="O175" s="544"/>
      <c r="P175" s="544"/>
      <c r="Q175" s="544"/>
      <c r="R175" s="544"/>
      <c r="S175" s="544"/>
      <c r="U175" s="544"/>
      <c r="V175" s="544"/>
      <c r="W175" s="544"/>
      <c r="X175" s="544"/>
      <c r="Y175" s="544"/>
      <c r="Z175" s="544"/>
      <c r="AB175" s="544"/>
      <c r="AC175" s="544"/>
      <c r="AD175" s="544"/>
      <c r="AE175" s="544"/>
      <c r="AF175" s="544"/>
      <c r="AG175" s="544"/>
      <c r="AH175" s="544"/>
      <c r="AJ175" s="544"/>
      <c r="AK175" s="544"/>
      <c r="AL175" s="544"/>
      <c r="AM175" s="544"/>
      <c r="AN175" s="544"/>
      <c r="AO175" s="544"/>
      <c r="AQ175" s="544"/>
      <c r="AR175" s="544"/>
      <c r="AS175" s="544"/>
      <c r="AT175" s="544"/>
      <c r="AU175" s="544"/>
      <c r="AV175" s="544"/>
      <c r="AW175" s="544"/>
    </row>
    <row r="176" spans="1:49" x14ac:dyDescent="0.35">
      <c r="A176" s="544"/>
      <c r="B176" s="544"/>
      <c r="C176" s="544"/>
      <c r="D176" s="544"/>
      <c r="E176" s="544"/>
      <c r="F176" s="544"/>
      <c r="G176" s="544"/>
      <c r="H176" s="544"/>
      <c r="I176" s="544"/>
      <c r="J176" s="544"/>
      <c r="K176" s="544"/>
      <c r="M176" s="544"/>
      <c r="N176" s="544"/>
      <c r="O176" s="544"/>
      <c r="P176" s="544"/>
      <c r="Q176" s="544"/>
      <c r="R176" s="544"/>
      <c r="S176" s="544"/>
      <c r="U176" s="544"/>
      <c r="V176" s="544"/>
      <c r="W176" s="544"/>
      <c r="X176" s="544"/>
      <c r="Y176" s="544"/>
      <c r="Z176" s="544"/>
      <c r="AB176" s="544"/>
      <c r="AC176" s="544"/>
      <c r="AD176" s="544"/>
      <c r="AE176" s="544"/>
      <c r="AF176" s="544"/>
      <c r="AG176" s="544"/>
      <c r="AH176" s="544"/>
      <c r="AJ176" s="544"/>
      <c r="AK176" s="544"/>
      <c r="AL176" s="544"/>
      <c r="AM176" s="544"/>
      <c r="AN176" s="544"/>
      <c r="AO176" s="544"/>
      <c r="AQ176" s="544"/>
      <c r="AR176" s="544"/>
      <c r="AS176" s="544"/>
      <c r="AT176" s="544"/>
      <c r="AU176" s="544"/>
      <c r="AV176" s="544"/>
      <c r="AW176" s="544"/>
    </row>
    <row r="177" spans="1:49" x14ac:dyDescent="0.35">
      <c r="A177" s="544"/>
      <c r="B177" s="544"/>
      <c r="C177" s="544"/>
      <c r="D177" s="544"/>
      <c r="E177" s="544"/>
      <c r="F177" s="544"/>
      <c r="G177" s="544"/>
      <c r="H177" s="544"/>
      <c r="I177" s="544"/>
      <c r="J177" s="544"/>
      <c r="K177" s="544"/>
      <c r="M177" s="544"/>
      <c r="N177" s="544"/>
      <c r="O177" s="544"/>
      <c r="P177" s="544"/>
      <c r="Q177" s="544"/>
      <c r="R177" s="544"/>
      <c r="S177" s="544"/>
      <c r="U177" s="544"/>
      <c r="V177" s="544"/>
      <c r="W177" s="544"/>
      <c r="X177" s="544"/>
      <c r="Y177" s="544"/>
      <c r="Z177" s="544"/>
      <c r="AB177" s="544"/>
      <c r="AC177" s="544"/>
      <c r="AD177" s="544"/>
      <c r="AE177" s="544"/>
      <c r="AF177" s="544"/>
      <c r="AG177" s="544"/>
      <c r="AH177" s="544"/>
      <c r="AJ177" s="544"/>
      <c r="AK177" s="544"/>
      <c r="AL177" s="544"/>
      <c r="AM177" s="544"/>
      <c r="AN177" s="544"/>
      <c r="AO177" s="544"/>
      <c r="AQ177" s="544"/>
      <c r="AR177" s="544"/>
      <c r="AS177" s="544"/>
      <c r="AT177" s="544"/>
      <c r="AU177" s="544"/>
      <c r="AV177" s="544"/>
      <c r="AW177" s="544"/>
    </row>
    <row r="178" spans="1:49" x14ac:dyDescent="0.35">
      <c r="A178" s="544"/>
      <c r="B178" s="544"/>
      <c r="C178" s="544"/>
      <c r="D178" s="544"/>
      <c r="E178" s="544"/>
      <c r="F178" s="544"/>
      <c r="G178" s="544"/>
      <c r="H178" s="544"/>
      <c r="I178" s="544"/>
      <c r="J178" s="544"/>
      <c r="K178" s="544"/>
      <c r="M178" s="544"/>
      <c r="N178" s="544"/>
      <c r="O178" s="544"/>
      <c r="P178" s="544"/>
      <c r="Q178" s="544"/>
      <c r="R178" s="544"/>
      <c r="S178" s="544"/>
      <c r="U178" s="544"/>
      <c r="V178" s="544"/>
      <c r="W178" s="544"/>
      <c r="X178" s="544"/>
      <c r="Y178" s="544"/>
      <c r="Z178" s="544"/>
      <c r="AB178" s="544"/>
      <c r="AC178" s="544"/>
      <c r="AD178" s="544"/>
      <c r="AE178" s="544"/>
      <c r="AF178" s="544"/>
      <c r="AG178" s="544"/>
      <c r="AH178" s="544"/>
      <c r="AJ178" s="544"/>
      <c r="AK178" s="544"/>
      <c r="AL178" s="544"/>
      <c r="AM178" s="544"/>
      <c r="AN178" s="544"/>
      <c r="AO178" s="544"/>
      <c r="AQ178" s="544"/>
      <c r="AR178" s="544"/>
      <c r="AS178" s="544"/>
      <c r="AT178" s="544"/>
      <c r="AU178" s="544"/>
      <c r="AV178" s="544"/>
      <c r="AW178" s="544"/>
    </row>
    <row r="179" spans="1:49" x14ac:dyDescent="0.35">
      <c r="A179" s="544"/>
      <c r="B179" s="544"/>
      <c r="C179" s="544"/>
      <c r="D179" s="544"/>
      <c r="E179" s="544"/>
      <c r="F179" s="544"/>
      <c r="G179" s="544"/>
      <c r="H179" s="544"/>
      <c r="I179" s="544"/>
      <c r="J179" s="544"/>
      <c r="K179" s="544"/>
      <c r="M179" s="544"/>
      <c r="N179" s="544"/>
      <c r="O179" s="544"/>
      <c r="P179" s="544"/>
      <c r="Q179" s="544"/>
      <c r="R179" s="544"/>
      <c r="S179" s="544"/>
      <c r="U179" s="544"/>
      <c r="V179" s="544"/>
      <c r="W179" s="544"/>
      <c r="X179" s="544"/>
      <c r="Y179" s="544"/>
      <c r="Z179" s="544"/>
      <c r="AB179" s="544"/>
      <c r="AC179" s="544"/>
      <c r="AD179" s="544"/>
      <c r="AE179" s="544"/>
      <c r="AF179" s="544"/>
      <c r="AG179" s="544"/>
      <c r="AH179" s="544"/>
      <c r="AJ179" s="544"/>
      <c r="AK179" s="544"/>
      <c r="AL179" s="544"/>
      <c r="AM179" s="544"/>
      <c r="AN179" s="544"/>
      <c r="AO179" s="544"/>
      <c r="AQ179" s="544"/>
      <c r="AR179" s="544"/>
      <c r="AS179" s="544"/>
      <c r="AT179" s="544"/>
      <c r="AU179" s="544"/>
      <c r="AV179" s="544"/>
      <c r="AW179" s="544"/>
    </row>
    <row r="180" spans="1:49" x14ac:dyDescent="0.35">
      <c r="A180" s="544"/>
      <c r="B180" s="544"/>
      <c r="C180" s="544"/>
      <c r="D180" s="544"/>
      <c r="E180" s="544"/>
      <c r="F180" s="544"/>
      <c r="G180" s="544"/>
      <c r="H180" s="544"/>
      <c r="I180" s="544"/>
      <c r="J180" s="544"/>
      <c r="K180" s="544"/>
      <c r="M180" s="544"/>
      <c r="N180" s="544"/>
      <c r="O180" s="544"/>
      <c r="P180" s="544"/>
      <c r="Q180" s="544"/>
      <c r="R180" s="544"/>
      <c r="S180" s="544"/>
      <c r="U180" s="544"/>
      <c r="V180" s="544"/>
      <c r="W180" s="544"/>
      <c r="X180" s="544"/>
      <c r="Y180" s="544"/>
      <c r="Z180" s="544"/>
      <c r="AB180" s="544"/>
      <c r="AC180" s="544"/>
      <c r="AD180" s="544"/>
      <c r="AE180" s="544"/>
      <c r="AF180" s="544"/>
      <c r="AG180" s="544"/>
      <c r="AH180" s="544"/>
      <c r="AJ180" s="544"/>
      <c r="AK180" s="544"/>
      <c r="AL180" s="544"/>
      <c r="AM180" s="544"/>
      <c r="AN180" s="544"/>
      <c r="AO180" s="544"/>
      <c r="AQ180" s="544"/>
      <c r="AR180" s="544"/>
      <c r="AS180" s="544"/>
      <c r="AT180" s="544"/>
      <c r="AU180" s="544"/>
      <c r="AV180" s="544"/>
      <c r="AW180" s="544"/>
    </row>
    <row r="181" spans="1:49" x14ac:dyDescent="0.35">
      <c r="A181" s="544"/>
      <c r="B181" s="544"/>
      <c r="C181" s="544"/>
      <c r="D181" s="544"/>
      <c r="E181" s="544"/>
      <c r="F181" s="544"/>
      <c r="G181" s="544"/>
      <c r="H181" s="544"/>
      <c r="I181" s="544"/>
      <c r="J181" s="544"/>
      <c r="K181" s="544"/>
      <c r="M181" s="544"/>
      <c r="N181" s="544"/>
      <c r="O181" s="544"/>
      <c r="P181" s="544"/>
      <c r="Q181" s="544"/>
      <c r="R181" s="544"/>
      <c r="S181" s="544"/>
      <c r="U181" s="544"/>
      <c r="V181" s="544"/>
      <c r="W181" s="544"/>
      <c r="X181" s="544"/>
      <c r="Y181" s="544"/>
      <c r="Z181" s="544"/>
      <c r="AB181" s="544"/>
      <c r="AC181" s="544"/>
      <c r="AD181" s="544"/>
      <c r="AE181" s="544"/>
      <c r="AF181" s="544"/>
      <c r="AG181" s="544"/>
      <c r="AH181" s="544"/>
      <c r="AJ181" s="544"/>
      <c r="AK181" s="544"/>
      <c r="AL181" s="544"/>
      <c r="AM181" s="544"/>
      <c r="AN181" s="544"/>
      <c r="AO181" s="544"/>
      <c r="AQ181" s="544"/>
      <c r="AR181" s="544"/>
      <c r="AS181" s="544"/>
      <c r="AT181" s="544"/>
      <c r="AU181" s="544"/>
      <c r="AV181" s="544"/>
      <c r="AW181" s="544"/>
    </row>
    <row r="182" spans="1:49" x14ac:dyDescent="0.35">
      <c r="A182" s="544"/>
      <c r="B182" s="544"/>
      <c r="C182" s="544"/>
      <c r="D182" s="544"/>
      <c r="E182" s="544"/>
      <c r="F182" s="544"/>
      <c r="G182" s="544"/>
      <c r="H182" s="544"/>
      <c r="I182" s="544"/>
      <c r="J182" s="544"/>
      <c r="K182" s="544"/>
      <c r="M182" s="544"/>
      <c r="N182" s="544"/>
      <c r="O182" s="544"/>
      <c r="P182" s="544"/>
      <c r="Q182" s="544"/>
      <c r="R182" s="544"/>
      <c r="S182" s="544"/>
      <c r="U182" s="544"/>
      <c r="V182" s="544"/>
      <c r="W182" s="544"/>
      <c r="X182" s="544"/>
      <c r="Y182" s="544"/>
      <c r="Z182" s="544"/>
      <c r="AB182" s="544"/>
      <c r="AC182" s="544"/>
      <c r="AD182" s="544"/>
      <c r="AE182" s="544"/>
      <c r="AF182" s="544"/>
      <c r="AG182" s="544"/>
      <c r="AH182" s="544"/>
      <c r="AJ182" s="544"/>
      <c r="AK182" s="544"/>
      <c r="AL182" s="544"/>
      <c r="AM182" s="544"/>
      <c r="AN182" s="544"/>
      <c r="AO182" s="544"/>
      <c r="AQ182" s="544"/>
      <c r="AR182" s="544"/>
      <c r="AS182" s="544"/>
      <c r="AT182" s="544"/>
      <c r="AU182" s="544"/>
      <c r="AV182" s="544"/>
      <c r="AW182" s="544"/>
    </row>
    <row r="183" spans="1:49" x14ac:dyDescent="0.35">
      <c r="A183" s="544"/>
      <c r="B183" s="544"/>
      <c r="C183" s="544"/>
      <c r="D183" s="544"/>
      <c r="E183" s="544"/>
      <c r="F183" s="544"/>
      <c r="G183" s="544"/>
      <c r="H183" s="544"/>
      <c r="I183" s="544"/>
      <c r="J183" s="544"/>
      <c r="K183" s="544"/>
      <c r="M183" s="544"/>
      <c r="N183" s="544"/>
      <c r="O183" s="544"/>
      <c r="P183" s="544"/>
      <c r="Q183" s="544"/>
      <c r="R183" s="544"/>
      <c r="S183" s="544"/>
      <c r="U183" s="544"/>
      <c r="V183" s="544"/>
      <c r="W183" s="544"/>
      <c r="X183" s="544"/>
      <c r="Y183" s="544"/>
      <c r="Z183" s="544"/>
      <c r="AB183" s="544"/>
      <c r="AC183" s="544"/>
      <c r="AD183" s="544"/>
      <c r="AE183" s="544"/>
      <c r="AF183" s="544"/>
      <c r="AG183" s="544"/>
      <c r="AH183" s="544"/>
      <c r="AJ183" s="544"/>
      <c r="AK183" s="544"/>
      <c r="AL183" s="544"/>
      <c r="AM183" s="544"/>
      <c r="AN183" s="544"/>
      <c r="AO183" s="544"/>
      <c r="AQ183" s="544"/>
      <c r="AR183" s="544"/>
      <c r="AS183" s="544"/>
      <c r="AT183" s="544"/>
      <c r="AU183" s="544"/>
      <c r="AV183" s="544"/>
      <c r="AW183" s="544"/>
    </row>
    <row r="184" spans="1:49" x14ac:dyDescent="0.35">
      <c r="A184" s="544"/>
      <c r="B184" s="544"/>
      <c r="C184" s="544"/>
      <c r="D184" s="544"/>
      <c r="E184" s="544"/>
      <c r="F184" s="544"/>
      <c r="G184" s="544"/>
      <c r="H184" s="544"/>
      <c r="I184" s="544"/>
      <c r="J184" s="544"/>
      <c r="K184" s="544"/>
      <c r="M184" s="544"/>
      <c r="N184" s="544"/>
      <c r="O184" s="544"/>
      <c r="P184" s="544"/>
      <c r="Q184" s="544"/>
      <c r="R184" s="544"/>
      <c r="S184" s="544"/>
      <c r="U184" s="544"/>
      <c r="V184" s="544"/>
      <c r="W184" s="544"/>
      <c r="X184" s="544"/>
      <c r="Y184" s="544"/>
      <c r="Z184" s="544"/>
      <c r="AB184" s="544"/>
      <c r="AC184" s="544"/>
      <c r="AD184" s="544"/>
      <c r="AE184" s="544"/>
      <c r="AF184" s="544"/>
      <c r="AG184" s="544"/>
      <c r="AH184" s="544"/>
      <c r="AJ184" s="544"/>
      <c r="AK184" s="544"/>
      <c r="AL184" s="544"/>
      <c r="AM184" s="544"/>
      <c r="AN184" s="544"/>
      <c r="AO184" s="544"/>
      <c r="AQ184" s="544"/>
      <c r="AR184" s="544"/>
      <c r="AS184" s="544"/>
      <c r="AT184" s="544"/>
      <c r="AU184" s="544"/>
      <c r="AV184" s="544"/>
      <c r="AW184" s="544"/>
    </row>
    <row r="185" spans="1:49" x14ac:dyDescent="0.35">
      <c r="A185" s="544"/>
      <c r="B185" s="544"/>
      <c r="C185" s="544"/>
      <c r="D185" s="544"/>
      <c r="E185" s="544"/>
      <c r="F185" s="544"/>
      <c r="G185" s="544"/>
      <c r="H185" s="544"/>
      <c r="I185" s="544"/>
      <c r="J185" s="544"/>
      <c r="K185" s="544"/>
      <c r="M185" s="544"/>
      <c r="N185" s="544"/>
      <c r="O185" s="544"/>
      <c r="P185" s="544"/>
      <c r="Q185" s="544"/>
      <c r="R185" s="544"/>
      <c r="S185" s="544"/>
      <c r="U185" s="544"/>
      <c r="V185" s="544"/>
      <c r="W185" s="544"/>
      <c r="X185" s="544"/>
      <c r="Y185" s="544"/>
      <c r="Z185" s="544"/>
      <c r="AB185" s="544"/>
      <c r="AC185" s="544"/>
      <c r="AD185" s="544"/>
      <c r="AE185" s="544"/>
      <c r="AF185" s="544"/>
      <c r="AG185" s="544"/>
      <c r="AH185" s="544"/>
      <c r="AJ185" s="544"/>
      <c r="AK185" s="544"/>
      <c r="AL185" s="544"/>
      <c r="AM185" s="544"/>
      <c r="AN185" s="544"/>
      <c r="AO185" s="544"/>
      <c r="AQ185" s="544"/>
      <c r="AR185" s="544"/>
      <c r="AS185" s="544"/>
      <c r="AT185" s="544"/>
      <c r="AU185" s="544"/>
      <c r="AV185" s="544"/>
      <c r="AW185" s="544"/>
    </row>
    <row r="186" spans="1:49" x14ac:dyDescent="0.35">
      <c r="A186" s="544"/>
      <c r="B186" s="544"/>
      <c r="C186" s="544"/>
      <c r="D186" s="544"/>
      <c r="E186" s="544"/>
      <c r="F186" s="544"/>
      <c r="G186" s="544"/>
      <c r="H186" s="544"/>
      <c r="I186" s="544"/>
      <c r="J186" s="544"/>
      <c r="K186" s="544"/>
      <c r="M186" s="544"/>
      <c r="N186" s="544"/>
      <c r="O186" s="544"/>
      <c r="P186" s="544"/>
      <c r="Q186" s="544"/>
      <c r="R186" s="544"/>
      <c r="S186" s="544"/>
      <c r="U186" s="544"/>
      <c r="V186" s="544"/>
      <c r="W186" s="544"/>
      <c r="X186" s="544"/>
      <c r="Y186" s="544"/>
      <c r="Z186" s="544"/>
      <c r="AB186" s="544"/>
      <c r="AC186" s="544"/>
      <c r="AD186" s="544"/>
      <c r="AE186" s="544"/>
      <c r="AF186" s="544"/>
      <c r="AG186" s="544"/>
      <c r="AH186" s="544"/>
      <c r="AJ186" s="544"/>
      <c r="AK186" s="544"/>
      <c r="AL186" s="544"/>
      <c r="AM186" s="544"/>
      <c r="AN186" s="544"/>
      <c r="AO186" s="544"/>
      <c r="AQ186" s="544"/>
      <c r="AR186" s="544"/>
      <c r="AS186" s="544"/>
      <c r="AT186" s="544"/>
      <c r="AU186" s="544"/>
      <c r="AV186" s="544"/>
      <c r="AW186" s="544"/>
    </row>
    <row r="187" spans="1:49" x14ac:dyDescent="0.35">
      <c r="A187" s="544"/>
      <c r="B187" s="544"/>
      <c r="C187" s="544"/>
      <c r="D187" s="544"/>
      <c r="E187" s="544"/>
      <c r="F187" s="544"/>
      <c r="G187" s="544"/>
      <c r="H187" s="544"/>
      <c r="I187" s="544"/>
      <c r="J187" s="544"/>
      <c r="K187" s="544"/>
      <c r="M187" s="544"/>
      <c r="N187" s="544"/>
      <c r="O187" s="544"/>
      <c r="P187" s="544"/>
      <c r="Q187" s="544"/>
      <c r="R187" s="544"/>
      <c r="S187" s="544"/>
      <c r="U187" s="544"/>
      <c r="V187" s="544"/>
      <c r="W187" s="544"/>
      <c r="X187" s="544"/>
      <c r="Y187" s="544"/>
      <c r="Z187" s="544"/>
      <c r="AB187" s="544"/>
      <c r="AC187" s="544"/>
      <c r="AD187" s="544"/>
      <c r="AE187" s="544"/>
      <c r="AF187" s="544"/>
      <c r="AG187" s="544"/>
      <c r="AH187" s="544"/>
      <c r="AJ187" s="544"/>
      <c r="AK187" s="544"/>
      <c r="AL187" s="544"/>
      <c r="AM187" s="544"/>
      <c r="AN187" s="544"/>
      <c r="AO187" s="544"/>
      <c r="AQ187" s="544"/>
      <c r="AR187" s="544"/>
      <c r="AS187" s="544"/>
      <c r="AT187" s="544"/>
      <c r="AU187" s="544"/>
      <c r="AV187" s="544"/>
      <c r="AW187" s="544"/>
    </row>
    <row r="188" spans="1:49" x14ac:dyDescent="0.35">
      <c r="A188" s="544"/>
      <c r="B188" s="544"/>
      <c r="C188" s="544"/>
      <c r="D188" s="544"/>
      <c r="E188" s="544"/>
      <c r="F188" s="544"/>
      <c r="G188" s="544"/>
      <c r="H188" s="544"/>
      <c r="I188" s="544"/>
      <c r="J188" s="544"/>
      <c r="K188" s="544"/>
      <c r="M188" s="544"/>
      <c r="N188" s="544"/>
      <c r="O188" s="544"/>
      <c r="P188" s="544"/>
      <c r="Q188" s="544"/>
      <c r="R188" s="544"/>
      <c r="S188" s="544"/>
      <c r="U188" s="544"/>
      <c r="V188" s="544"/>
      <c r="W188" s="544"/>
      <c r="X188" s="544"/>
      <c r="Y188" s="544"/>
      <c r="Z188" s="544"/>
      <c r="AB188" s="544"/>
      <c r="AC188" s="544"/>
      <c r="AD188" s="544"/>
      <c r="AE188" s="544"/>
      <c r="AF188" s="544"/>
      <c r="AG188" s="544"/>
      <c r="AH188" s="544"/>
      <c r="AJ188" s="544"/>
      <c r="AK188" s="544"/>
      <c r="AL188" s="544"/>
      <c r="AM188" s="544"/>
      <c r="AN188" s="544"/>
      <c r="AO188" s="544"/>
      <c r="AQ188" s="544"/>
      <c r="AR188" s="544"/>
      <c r="AS188" s="544"/>
      <c r="AT188" s="544"/>
      <c r="AU188" s="544"/>
      <c r="AV188" s="544"/>
      <c r="AW188" s="544"/>
    </row>
    <row r="189" spans="1:49" x14ac:dyDescent="0.35">
      <c r="A189" s="544"/>
      <c r="B189" s="544"/>
      <c r="C189" s="544"/>
      <c r="D189" s="544"/>
      <c r="E189" s="544"/>
      <c r="F189" s="544"/>
      <c r="G189" s="544"/>
      <c r="H189" s="544"/>
      <c r="I189" s="544"/>
      <c r="J189" s="544"/>
      <c r="K189" s="544"/>
      <c r="M189" s="544"/>
      <c r="N189" s="544"/>
      <c r="O189" s="544"/>
      <c r="P189" s="544"/>
      <c r="Q189" s="544"/>
      <c r="R189" s="544"/>
      <c r="S189" s="544"/>
      <c r="U189" s="544"/>
      <c r="V189" s="544"/>
      <c r="W189" s="544"/>
      <c r="X189" s="544"/>
      <c r="Y189" s="544"/>
      <c r="Z189" s="544"/>
      <c r="AB189" s="544"/>
      <c r="AC189" s="544"/>
      <c r="AD189" s="544"/>
      <c r="AE189" s="544"/>
      <c r="AF189" s="544"/>
      <c r="AG189" s="544"/>
      <c r="AH189" s="544"/>
      <c r="AJ189" s="544"/>
      <c r="AK189" s="544"/>
      <c r="AL189" s="544"/>
      <c r="AM189" s="544"/>
      <c r="AN189" s="544"/>
      <c r="AO189" s="544"/>
      <c r="AQ189" s="544"/>
      <c r="AR189" s="544"/>
      <c r="AS189" s="544"/>
      <c r="AT189" s="544"/>
      <c r="AU189" s="544"/>
      <c r="AV189" s="544"/>
      <c r="AW189" s="544"/>
    </row>
    <row r="190" spans="1:49" x14ac:dyDescent="0.35">
      <c r="A190" s="544"/>
      <c r="B190" s="544"/>
      <c r="C190" s="544"/>
      <c r="D190" s="544"/>
      <c r="E190" s="544"/>
      <c r="F190" s="544"/>
      <c r="G190" s="544"/>
      <c r="H190" s="544"/>
      <c r="I190" s="544"/>
      <c r="J190" s="544"/>
      <c r="K190" s="544"/>
      <c r="M190" s="544"/>
      <c r="N190" s="544"/>
      <c r="O190" s="544"/>
      <c r="P190" s="544"/>
      <c r="Q190" s="544"/>
      <c r="R190" s="544"/>
      <c r="S190" s="544"/>
      <c r="U190" s="544"/>
      <c r="V190" s="544"/>
      <c r="W190" s="544"/>
      <c r="X190" s="544"/>
      <c r="Y190" s="544"/>
      <c r="Z190" s="544"/>
      <c r="AB190" s="544"/>
      <c r="AC190" s="544"/>
      <c r="AD190" s="544"/>
      <c r="AE190" s="544"/>
      <c r="AF190" s="544"/>
      <c r="AG190" s="544"/>
      <c r="AH190" s="544"/>
      <c r="AJ190" s="544"/>
      <c r="AK190" s="544"/>
      <c r="AL190" s="544"/>
      <c r="AM190" s="544"/>
      <c r="AN190" s="544"/>
      <c r="AO190" s="544"/>
      <c r="AQ190" s="544"/>
      <c r="AR190" s="544"/>
      <c r="AS190" s="544"/>
      <c r="AT190" s="544"/>
      <c r="AU190" s="544"/>
      <c r="AV190" s="544"/>
      <c r="AW190" s="544"/>
    </row>
    <row r="191" spans="1:49" x14ac:dyDescent="0.35">
      <c r="A191" s="544"/>
      <c r="B191" s="544"/>
      <c r="C191" s="544"/>
      <c r="D191" s="544"/>
      <c r="E191" s="544"/>
      <c r="F191" s="544"/>
      <c r="G191" s="544"/>
      <c r="H191" s="544"/>
      <c r="I191" s="544"/>
      <c r="J191" s="544"/>
      <c r="K191" s="544"/>
      <c r="M191" s="544"/>
      <c r="N191" s="544"/>
      <c r="O191" s="544"/>
      <c r="P191" s="544"/>
      <c r="Q191" s="544"/>
      <c r="R191" s="544"/>
      <c r="S191" s="544"/>
      <c r="U191" s="544"/>
      <c r="V191" s="544"/>
      <c r="W191" s="544"/>
      <c r="X191" s="544"/>
      <c r="Y191" s="544"/>
      <c r="Z191" s="544"/>
      <c r="AB191" s="544"/>
      <c r="AC191" s="544"/>
      <c r="AD191" s="544"/>
      <c r="AE191" s="544"/>
      <c r="AF191" s="544"/>
      <c r="AG191" s="544"/>
      <c r="AH191" s="544"/>
      <c r="AJ191" s="544"/>
      <c r="AK191" s="544"/>
      <c r="AL191" s="544"/>
      <c r="AM191" s="544"/>
      <c r="AN191" s="544"/>
      <c r="AO191" s="544"/>
      <c r="AQ191" s="544"/>
      <c r="AR191" s="544"/>
      <c r="AS191" s="544"/>
      <c r="AT191" s="544"/>
      <c r="AU191" s="544"/>
      <c r="AV191" s="544"/>
      <c r="AW191" s="544"/>
    </row>
    <row r="192" spans="1:49" x14ac:dyDescent="0.35">
      <c r="A192" s="544"/>
      <c r="B192" s="544"/>
      <c r="C192" s="544"/>
      <c r="D192" s="544"/>
      <c r="E192" s="544"/>
      <c r="F192" s="544"/>
      <c r="G192" s="544"/>
      <c r="H192" s="544"/>
      <c r="I192" s="544"/>
      <c r="J192" s="544"/>
      <c r="K192" s="544"/>
      <c r="M192" s="544"/>
      <c r="N192" s="544"/>
      <c r="O192" s="544"/>
      <c r="P192" s="544"/>
      <c r="Q192" s="544"/>
      <c r="R192" s="544"/>
      <c r="S192" s="544"/>
      <c r="U192" s="544"/>
      <c r="V192" s="544"/>
      <c r="W192" s="544"/>
      <c r="X192" s="544"/>
      <c r="Y192" s="544"/>
      <c r="Z192" s="544"/>
      <c r="AB192" s="544"/>
      <c r="AC192" s="544"/>
      <c r="AD192" s="544"/>
      <c r="AE192" s="544"/>
      <c r="AF192" s="544"/>
      <c r="AG192" s="544"/>
      <c r="AH192" s="544"/>
      <c r="AJ192" s="544"/>
      <c r="AK192" s="544"/>
      <c r="AL192" s="544"/>
      <c r="AM192" s="544"/>
      <c r="AN192" s="544"/>
      <c r="AO192" s="544"/>
      <c r="AQ192" s="544"/>
      <c r="AR192" s="544"/>
      <c r="AS192" s="544"/>
      <c r="AT192" s="544"/>
      <c r="AU192" s="544"/>
      <c r="AV192" s="544"/>
      <c r="AW192" s="544"/>
    </row>
    <row r="193" spans="1:49" x14ac:dyDescent="0.35">
      <c r="A193" s="544"/>
      <c r="B193" s="544"/>
      <c r="C193" s="544"/>
      <c r="D193" s="544"/>
      <c r="E193" s="544"/>
      <c r="F193" s="544"/>
      <c r="G193" s="544"/>
      <c r="H193" s="544"/>
      <c r="I193" s="544"/>
      <c r="J193" s="544"/>
      <c r="K193" s="544"/>
      <c r="M193" s="544"/>
      <c r="N193" s="544"/>
      <c r="O193" s="544"/>
      <c r="P193" s="544"/>
      <c r="Q193" s="544"/>
      <c r="R193" s="544"/>
      <c r="S193" s="544"/>
      <c r="U193" s="544"/>
      <c r="V193" s="544"/>
      <c r="W193" s="544"/>
      <c r="X193" s="544"/>
      <c r="Y193" s="544"/>
      <c r="Z193" s="544"/>
      <c r="AB193" s="544"/>
      <c r="AC193" s="544"/>
      <c r="AD193" s="544"/>
      <c r="AE193" s="544"/>
      <c r="AF193" s="544"/>
      <c r="AG193" s="544"/>
      <c r="AH193" s="544"/>
      <c r="AJ193" s="544"/>
      <c r="AK193" s="544"/>
      <c r="AL193" s="544"/>
      <c r="AM193" s="544"/>
      <c r="AN193" s="544"/>
      <c r="AO193" s="544"/>
      <c r="AQ193" s="544"/>
      <c r="AR193" s="544"/>
      <c r="AS193" s="544"/>
      <c r="AT193" s="544"/>
      <c r="AU193" s="544"/>
      <c r="AV193" s="544"/>
      <c r="AW193" s="544"/>
    </row>
    <row r="194" spans="1:49" x14ac:dyDescent="0.35">
      <c r="A194" s="544"/>
      <c r="B194" s="544"/>
      <c r="C194" s="544"/>
      <c r="D194" s="544"/>
      <c r="E194" s="544"/>
      <c r="F194" s="544"/>
      <c r="G194" s="544"/>
      <c r="H194" s="544"/>
      <c r="I194" s="544"/>
      <c r="J194" s="544"/>
      <c r="K194" s="544"/>
      <c r="M194" s="544"/>
      <c r="N194" s="544"/>
      <c r="O194" s="544"/>
      <c r="P194" s="544"/>
      <c r="Q194" s="544"/>
      <c r="R194" s="544"/>
      <c r="S194" s="544"/>
      <c r="U194" s="544"/>
      <c r="V194" s="544"/>
      <c r="W194" s="544"/>
      <c r="X194" s="544"/>
      <c r="Y194" s="544"/>
      <c r="Z194" s="544"/>
      <c r="AB194" s="544"/>
      <c r="AC194" s="544"/>
      <c r="AD194" s="544"/>
      <c r="AE194" s="544"/>
      <c r="AF194" s="544"/>
      <c r="AG194" s="544"/>
      <c r="AH194" s="544"/>
      <c r="AJ194" s="544"/>
      <c r="AK194" s="544"/>
      <c r="AL194" s="544"/>
      <c r="AM194" s="544"/>
      <c r="AN194" s="544"/>
      <c r="AO194" s="544"/>
      <c r="AQ194" s="544"/>
      <c r="AR194" s="544"/>
      <c r="AS194" s="544"/>
      <c r="AT194" s="544"/>
      <c r="AU194" s="544"/>
      <c r="AV194" s="544"/>
      <c r="AW194" s="544"/>
    </row>
    <row r="195" spans="1:49" x14ac:dyDescent="0.35">
      <c r="A195" s="544"/>
      <c r="B195" s="544"/>
      <c r="C195" s="544"/>
      <c r="D195" s="544"/>
      <c r="E195" s="544"/>
      <c r="F195" s="544"/>
      <c r="G195" s="544"/>
      <c r="H195" s="544"/>
      <c r="I195" s="544"/>
      <c r="J195" s="544"/>
      <c r="K195" s="544"/>
      <c r="M195" s="544"/>
      <c r="N195" s="544"/>
      <c r="O195" s="544"/>
      <c r="P195" s="544"/>
      <c r="Q195" s="544"/>
      <c r="R195" s="544"/>
      <c r="S195" s="544"/>
      <c r="U195" s="544"/>
      <c r="V195" s="544"/>
      <c r="W195" s="544"/>
      <c r="X195" s="544"/>
      <c r="Y195" s="544"/>
      <c r="Z195" s="544"/>
      <c r="AB195" s="544"/>
      <c r="AC195" s="544"/>
      <c r="AD195" s="544"/>
      <c r="AE195" s="544"/>
      <c r="AF195" s="544"/>
      <c r="AG195" s="544"/>
      <c r="AH195" s="544"/>
      <c r="AJ195" s="544"/>
      <c r="AK195" s="544"/>
      <c r="AL195" s="544"/>
      <c r="AM195" s="544"/>
      <c r="AN195" s="544"/>
      <c r="AO195" s="544"/>
      <c r="AQ195" s="544"/>
      <c r="AR195" s="544"/>
      <c r="AS195" s="544"/>
      <c r="AT195" s="544"/>
      <c r="AU195" s="544"/>
      <c r="AV195" s="544"/>
      <c r="AW195" s="544"/>
    </row>
    <row r="196" spans="1:49" x14ac:dyDescent="0.35">
      <c r="A196" s="544"/>
      <c r="B196" s="544"/>
      <c r="C196" s="544"/>
      <c r="D196" s="544"/>
      <c r="E196" s="544"/>
      <c r="F196" s="544"/>
      <c r="G196" s="544"/>
      <c r="H196" s="544"/>
      <c r="I196" s="544"/>
      <c r="J196" s="544"/>
      <c r="K196" s="544"/>
      <c r="M196" s="544"/>
      <c r="N196" s="544"/>
      <c r="O196" s="544"/>
      <c r="P196" s="544"/>
      <c r="Q196" s="544"/>
      <c r="R196" s="544"/>
      <c r="S196" s="544"/>
      <c r="U196" s="544"/>
      <c r="V196" s="544"/>
      <c r="W196" s="544"/>
      <c r="X196" s="544"/>
      <c r="Y196" s="544"/>
      <c r="Z196" s="544"/>
      <c r="AB196" s="544"/>
      <c r="AC196" s="544"/>
      <c r="AD196" s="544"/>
      <c r="AE196" s="544"/>
      <c r="AF196" s="544"/>
      <c r="AG196" s="544"/>
      <c r="AH196" s="544"/>
      <c r="AJ196" s="544"/>
      <c r="AK196" s="544"/>
      <c r="AL196" s="544"/>
      <c r="AM196" s="544"/>
      <c r="AN196" s="544"/>
      <c r="AO196" s="544"/>
      <c r="AQ196" s="544"/>
      <c r="AR196" s="544"/>
      <c r="AS196" s="544"/>
      <c r="AT196" s="544"/>
      <c r="AU196" s="544"/>
      <c r="AV196" s="544"/>
      <c r="AW196" s="544"/>
    </row>
    <row r="197" spans="1:49" x14ac:dyDescent="0.35">
      <c r="A197" s="544"/>
      <c r="B197" s="544"/>
      <c r="C197" s="544"/>
      <c r="D197" s="544"/>
      <c r="E197" s="544"/>
      <c r="F197" s="544"/>
      <c r="G197" s="544"/>
      <c r="H197" s="544"/>
      <c r="I197" s="544"/>
      <c r="J197" s="544"/>
      <c r="K197" s="544"/>
      <c r="M197" s="544"/>
      <c r="N197" s="544"/>
      <c r="O197" s="544"/>
      <c r="P197" s="544"/>
      <c r="Q197" s="544"/>
      <c r="R197" s="544"/>
      <c r="S197" s="544"/>
      <c r="U197" s="544"/>
      <c r="V197" s="544"/>
      <c r="W197" s="544"/>
      <c r="X197" s="544"/>
      <c r="Y197" s="544"/>
      <c r="Z197" s="544"/>
      <c r="AB197" s="544"/>
      <c r="AC197" s="544"/>
      <c r="AD197" s="544"/>
      <c r="AE197" s="544"/>
      <c r="AF197" s="544"/>
      <c r="AG197" s="544"/>
      <c r="AH197" s="544"/>
      <c r="AJ197" s="544"/>
      <c r="AK197" s="544"/>
      <c r="AL197" s="544"/>
      <c r="AM197" s="544"/>
      <c r="AN197" s="544"/>
      <c r="AO197" s="544"/>
      <c r="AQ197" s="544"/>
      <c r="AR197" s="544"/>
      <c r="AS197" s="544"/>
      <c r="AT197" s="544"/>
      <c r="AU197" s="544"/>
      <c r="AV197" s="544"/>
      <c r="AW197" s="544"/>
    </row>
    <row r="198" spans="1:49" x14ac:dyDescent="0.35">
      <c r="A198" s="544"/>
      <c r="B198" s="544"/>
      <c r="C198" s="544"/>
      <c r="D198" s="544"/>
      <c r="E198" s="544"/>
      <c r="F198" s="544"/>
      <c r="G198" s="544"/>
      <c r="H198" s="544"/>
      <c r="I198" s="544"/>
      <c r="J198" s="544"/>
      <c r="K198" s="544"/>
      <c r="M198" s="544"/>
      <c r="N198" s="544"/>
      <c r="O198" s="544"/>
      <c r="P198" s="544"/>
      <c r="Q198" s="544"/>
      <c r="R198" s="544"/>
      <c r="S198" s="544"/>
      <c r="U198" s="544"/>
      <c r="V198" s="544"/>
      <c r="W198" s="544"/>
      <c r="X198" s="544"/>
      <c r="Y198" s="544"/>
      <c r="Z198" s="544"/>
      <c r="AB198" s="544"/>
      <c r="AC198" s="544"/>
      <c r="AD198" s="544"/>
      <c r="AE198" s="544"/>
      <c r="AF198" s="544"/>
      <c r="AG198" s="544"/>
      <c r="AH198" s="544"/>
      <c r="AJ198" s="544"/>
      <c r="AK198" s="544"/>
      <c r="AL198" s="544"/>
      <c r="AM198" s="544"/>
      <c r="AN198" s="544"/>
      <c r="AO198" s="544"/>
      <c r="AQ198" s="544"/>
      <c r="AR198" s="544"/>
      <c r="AS198" s="544"/>
      <c r="AT198" s="544"/>
      <c r="AU198" s="544"/>
      <c r="AV198" s="544"/>
      <c r="AW198" s="544"/>
    </row>
    <row r="199" spans="1:49" x14ac:dyDescent="0.35">
      <c r="A199" s="544"/>
      <c r="B199" s="544"/>
      <c r="C199" s="544"/>
      <c r="D199" s="544"/>
      <c r="E199" s="544"/>
      <c r="F199" s="544"/>
      <c r="G199" s="544"/>
      <c r="H199" s="544"/>
      <c r="I199" s="544"/>
      <c r="J199" s="544"/>
      <c r="K199" s="544"/>
      <c r="M199" s="544"/>
      <c r="N199" s="544"/>
      <c r="O199" s="544"/>
      <c r="P199" s="544"/>
      <c r="Q199" s="544"/>
      <c r="R199" s="544"/>
      <c r="S199" s="544"/>
      <c r="U199" s="544"/>
      <c r="V199" s="544"/>
      <c r="W199" s="544"/>
      <c r="X199" s="544"/>
      <c r="Y199" s="544"/>
      <c r="Z199" s="544"/>
      <c r="AB199" s="544"/>
      <c r="AC199" s="544"/>
      <c r="AD199" s="544"/>
      <c r="AE199" s="544"/>
      <c r="AF199" s="544"/>
      <c r="AG199" s="544"/>
      <c r="AH199" s="544"/>
      <c r="AJ199" s="544"/>
      <c r="AK199" s="544"/>
      <c r="AL199" s="544"/>
      <c r="AM199" s="544"/>
      <c r="AN199" s="544"/>
      <c r="AO199" s="544"/>
      <c r="AQ199" s="544"/>
      <c r="AR199" s="544"/>
      <c r="AS199" s="544"/>
      <c r="AT199" s="544"/>
      <c r="AU199" s="544"/>
      <c r="AV199" s="544"/>
      <c r="AW199" s="544"/>
    </row>
    <row r="200" spans="1:49" x14ac:dyDescent="0.35">
      <c r="A200" s="544"/>
      <c r="B200" s="544"/>
      <c r="C200" s="544"/>
      <c r="D200" s="544"/>
      <c r="E200" s="544"/>
      <c r="F200" s="544"/>
      <c r="G200" s="544"/>
      <c r="H200" s="544"/>
      <c r="I200" s="544"/>
      <c r="J200" s="544"/>
      <c r="K200" s="544"/>
      <c r="M200" s="544"/>
      <c r="N200" s="544"/>
      <c r="O200" s="544"/>
      <c r="P200" s="544"/>
      <c r="Q200" s="544"/>
      <c r="R200" s="544"/>
      <c r="S200" s="544"/>
      <c r="U200" s="544"/>
      <c r="V200" s="544"/>
      <c r="W200" s="544"/>
      <c r="X200" s="544"/>
      <c r="Y200" s="544"/>
      <c r="Z200" s="544"/>
      <c r="AB200" s="544"/>
      <c r="AC200" s="544"/>
      <c r="AD200" s="544"/>
      <c r="AE200" s="544"/>
      <c r="AF200" s="544"/>
      <c r="AG200" s="544"/>
      <c r="AH200" s="544"/>
      <c r="AJ200" s="544"/>
      <c r="AK200" s="544"/>
      <c r="AL200" s="544"/>
      <c r="AM200" s="544"/>
      <c r="AN200" s="544"/>
      <c r="AO200" s="544"/>
      <c r="AQ200" s="544"/>
      <c r="AR200" s="544"/>
      <c r="AS200" s="544"/>
      <c r="AT200" s="544"/>
      <c r="AU200" s="544"/>
      <c r="AV200" s="544"/>
      <c r="AW200" s="544"/>
    </row>
    <row r="201" spans="1:49" x14ac:dyDescent="0.35">
      <c r="A201" s="544"/>
      <c r="B201" s="544"/>
      <c r="C201" s="544"/>
      <c r="D201" s="544"/>
      <c r="E201" s="544"/>
      <c r="F201" s="544"/>
      <c r="G201" s="544"/>
      <c r="H201" s="544"/>
      <c r="I201" s="544"/>
      <c r="J201" s="544"/>
      <c r="K201" s="544"/>
      <c r="M201" s="544"/>
      <c r="N201" s="544"/>
      <c r="O201" s="544"/>
      <c r="P201" s="544"/>
      <c r="Q201" s="544"/>
      <c r="R201" s="544"/>
      <c r="S201" s="544"/>
      <c r="U201" s="544"/>
      <c r="V201" s="544"/>
      <c r="W201" s="544"/>
      <c r="X201" s="544"/>
      <c r="Y201" s="544"/>
      <c r="Z201" s="544"/>
      <c r="AB201" s="544"/>
      <c r="AC201" s="544"/>
      <c r="AD201" s="544"/>
      <c r="AE201" s="544"/>
      <c r="AF201" s="544"/>
      <c r="AG201" s="544"/>
      <c r="AH201" s="544"/>
      <c r="AJ201" s="544"/>
      <c r="AK201" s="544"/>
      <c r="AL201" s="544"/>
      <c r="AM201" s="544"/>
      <c r="AN201" s="544"/>
      <c r="AO201" s="544"/>
      <c r="AQ201" s="544"/>
      <c r="AR201" s="544"/>
      <c r="AS201" s="544"/>
      <c r="AT201" s="544"/>
      <c r="AU201" s="544"/>
      <c r="AV201" s="544"/>
      <c r="AW201" s="544"/>
    </row>
    <row r="202" spans="1:49" x14ac:dyDescent="0.35">
      <c r="A202" s="544"/>
      <c r="B202" s="544"/>
      <c r="C202" s="544"/>
      <c r="D202" s="544"/>
      <c r="E202" s="544"/>
      <c r="F202" s="544"/>
      <c r="G202" s="544"/>
      <c r="H202" s="544"/>
      <c r="I202" s="544"/>
      <c r="J202" s="544"/>
      <c r="K202" s="544"/>
      <c r="M202" s="544"/>
      <c r="N202" s="544"/>
      <c r="O202" s="544"/>
      <c r="P202" s="544"/>
      <c r="Q202" s="544"/>
      <c r="R202" s="544"/>
      <c r="S202" s="544"/>
      <c r="U202" s="544"/>
      <c r="V202" s="544"/>
      <c r="W202" s="544"/>
      <c r="X202" s="544"/>
      <c r="Y202" s="544"/>
      <c r="Z202" s="544"/>
      <c r="AB202" s="544"/>
      <c r="AC202" s="544"/>
      <c r="AD202" s="544"/>
      <c r="AE202" s="544"/>
      <c r="AF202" s="544"/>
      <c r="AG202" s="544"/>
      <c r="AH202" s="544"/>
      <c r="AJ202" s="544"/>
      <c r="AK202" s="544"/>
      <c r="AL202" s="544"/>
      <c r="AM202" s="544"/>
      <c r="AN202" s="544"/>
      <c r="AO202" s="544"/>
      <c r="AQ202" s="544"/>
      <c r="AR202" s="544"/>
      <c r="AS202" s="544"/>
      <c r="AT202" s="544"/>
      <c r="AU202" s="544"/>
      <c r="AV202" s="544"/>
      <c r="AW202" s="544"/>
    </row>
    <row r="203" spans="1:49" x14ac:dyDescent="0.35">
      <c r="A203" s="544"/>
      <c r="B203" s="544"/>
      <c r="C203" s="544"/>
      <c r="D203" s="544"/>
      <c r="E203" s="544"/>
      <c r="F203" s="544"/>
      <c r="G203" s="544"/>
      <c r="H203" s="544"/>
      <c r="I203" s="544"/>
      <c r="J203" s="544"/>
      <c r="K203" s="544"/>
      <c r="M203" s="544"/>
      <c r="N203" s="544"/>
      <c r="O203" s="544"/>
      <c r="P203" s="544"/>
      <c r="Q203" s="544"/>
      <c r="R203" s="544"/>
      <c r="S203" s="544"/>
      <c r="U203" s="544"/>
      <c r="V203" s="544"/>
      <c r="W203" s="544"/>
      <c r="X203" s="544"/>
      <c r="Y203" s="544"/>
      <c r="Z203" s="544"/>
      <c r="AB203" s="544"/>
      <c r="AC203" s="544"/>
      <c r="AD203" s="544"/>
      <c r="AE203" s="544"/>
      <c r="AF203" s="544"/>
      <c r="AG203" s="544"/>
      <c r="AH203" s="544"/>
      <c r="AJ203" s="544"/>
      <c r="AK203" s="544"/>
      <c r="AL203" s="544"/>
      <c r="AM203" s="544"/>
      <c r="AN203" s="544"/>
      <c r="AO203" s="544"/>
      <c r="AQ203" s="544"/>
      <c r="AR203" s="544"/>
      <c r="AS203" s="544"/>
      <c r="AT203" s="544"/>
      <c r="AU203" s="544"/>
      <c r="AV203" s="544"/>
      <c r="AW203" s="544"/>
    </row>
    <row r="204" spans="1:49" x14ac:dyDescent="0.35">
      <c r="A204" s="544"/>
      <c r="B204" s="544"/>
      <c r="C204" s="544"/>
      <c r="D204" s="544"/>
      <c r="E204" s="544"/>
      <c r="F204" s="544"/>
      <c r="G204" s="544"/>
      <c r="H204" s="544"/>
      <c r="I204" s="544"/>
      <c r="J204" s="544"/>
      <c r="K204" s="544"/>
      <c r="M204" s="544"/>
      <c r="N204" s="544"/>
      <c r="O204" s="544"/>
      <c r="P204" s="544"/>
      <c r="Q204" s="544"/>
      <c r="R204" s="544"/>
      <c r="S204" s="544"/>
      <c r="U204" s="544"/>
      <c r="V204" s="544"/>
      <c r="W204" s="544"/>
      <c r="X204" s="544"/>
      <c r="Y204" s="544"/>
      <c r="Z204" s="544"/>
      <c r="AB204" s="544"/>
      <c r="AC204" s="544"/>
      <c r="AD204" s="544"/>
      <c r="AE204" s="544"/>
      <c r="AF204" s="544"/>
      <c r="AG204" s="544"/>
      <c r="AH204" s="544"/>
      <c r="AJ204" s="544"/>
      <c r="AK204" s="544"/>
      <c r="AL204" s="544"/>
      <c r="AM204" s="544"/>
      <c r="AN204" s="544"/>
      <c r="AO204" s="544"/>
      <c r="AQ204" s="544"/>
      <c r="AR204" s="544"/>
      <c r="AS204" s="544"/>
      <c r="AT204" s="544"/>
      <c r="AU204" s="544"/>
      <c r="AV204" s="544"/>
      <c r="AW204" s="544"/>
    </row>
    <row r="205" spans="1:49" x14ac:dyDescent="0.35">
      <c r="A205" s="544"/>
      <c r="B205" s="544"/>
      <c r="C205" s="544"/>
      <c r="D205" s="544"/>
      <c r="E205" s="544"/>
      <c r="F205" s="544"/>
      <c r="G205" s="544"/>
      <c r="H205" s="544"/>
      <c r="I205" s="544"/>
      <c r="J205" s="544"/>
      <c r="K205" s="544"/>
      <c r="M205" s="544"/>
      <c r="N205" s="544"/>
      <c r="O205" s="544"/>
      <c r="P205" s="544"/>
      <c r="Q205" s="544"/>
      <c r="R205" s="544"/>
      <c r="S205" s="544"/>
      <c r="U205" s="544"/>
      <c r="V205" s="544"/>
      <c r="W205" s="544"/>
      <c r="X205" s="544"/>
      <c r="Y205" s="544"/>
      <c r="Z205" s="544"/>
      <c r="AB205" s="544"/>
      <c r="AC205" s="544"/>
      <c r="AD205" s="544"/>
      <c r="AE205" s="544"/>
      <c r="AF205" s="544"/>
      <c r="AG205" s="544"/>
      <c r="AH205" s="544"/>
      <c r="AJ205" s="544"/>
      <c r="AK205" s="544"/>
      <c r="AL205" s="544"/>
      <c r="AM205" s="544"/>
      <c r="AN205" s="544"/>
      <c r="AO205" s="544"/>
      <c r="AQ205" s="544"/>
      <c r="AR205" s="544"/>
      <c r="AS205" s="544"/>
      <c r="AT205" s="544"/>
      <c r="AU205" s="544"/>
      <c r="AV205" s="544"/>
      <c r="AW205" s="544"/>
    </row>
    <row r="206" spans="1:49" x14ac:dyDescent="0.35">
      <c r="A206" s="544"/>
      <c r="B206" s="544"/>
      <c r="C206" s="544"/>
      <c r="D206" s="544"/>
      <c r="E206" s="544"/>
      <c r="F206" s="544"/>
      <c r="G206" s="544"/>
      <c r="H206" s="544"/>
      <c r="I206" s="544"/>
      <c r="J206" s="544"/>
      <c r="K206" s="544"/>
      <c r="M206" s="544"/>
      <c r="N206" s="544"/>
      <c r="O206" s="544"/>
      <c r="P206" s="544"/>
      <c r="Q206" s="544"/>
      <c r="R206" s="544"/>
      <c r="S206" s="544"/>
      <c r="U206" s="544"/>
      <c r="V206" s="544"/>
      <c r="W206" s="544"/>
      <c r="X206" s="544"/>
      <c r="Y206" s="544"/>
      <c r="Z206" s="544"/>
      <c r="AB206" s="544"/>
      <c r="AC206" s="544"/>
      <c r="AD206" s="544"/>
      <c r="AE206" s="544"/>
      <c r="AF206" s="544"/>
      <c r="AG206" s="544"/>
      <c r="AH206" s="544"/>
      <c r="AJ206" s="544"/>
      <c r="AK206" s="544"/>
      <c r="AL206" s="544"/>
      <c r="AM206" s="544"/>
      <c r="AN206" s="544"/>
      <c r="AO206" s="544"/>
      <c r="AQ206" s="544"/>
      <c r="AR206" s="544"/>
      <c r="AS206" s="544"/>
      <c r="AT206" s="544"/>
      <c r="AU206" s="544"/>
      <c r="AV206" s="544"/>
      <c r="AW206" s="544"/>
    </row>
    <row r="207" spans="1:49" x14ac:dyDescent="0.35">
      <c r="A207" s="544"/>
      <c r="B207" s="544"/>
      <c r="C207" s="544"/>
      <c r="D207" s="544"/>
      <c r="E207" s="544"/>
      <c r="F207" s="544"/>
      <c r="G207" s="544"/>
      <c r="H207" s="544"/>
      <c r="I207" s="544"/>
      <c r="J207" s="544"/>
      <c r="K207" s="544"/>
      <c r="M207" s="544"/>
      <c r="N207" s="544"/>
      <c r="O207" s="544"/>
      <c r="P207" s="544"/>
      <c r="Q207" s="544"/>
      <c r="R207" s="544"/>
      <c r="S207" s="544"/>
      <c r="U207" s="544"/>
      <c r="V207" s="544"/>
      <c r="W207" s="544"/>
      <c r="X207" s="544"/>
      <c r="Y207" s="544"/>
      <c r="Z207" s="544"/>
      <c r="AB207" s="544"/>
      <c r="AC207" s="544"/>
      <c r="AD207" s="544"/>
      <c r="AE207" s="544"/>
      <c r="AF207" s="544"/>
      <c r="AG207" s="544"/>
      <c r="AH207" s="544"/>
      <c r="AJ207" s="544"/>
      <c r="AK207" s="544"/>
      <c r="AL207" s="544"/>
      <c r="AM207" s="544"/>
      <c r="AN207" s="544"/>
      <c r="AO207" s="544"/>
      <c r="AQ207" s="544"/>
      <c r="AR207" s="544"/>
      <c r="AS207" s="544"/>
      <c r="AT207" s="544"/>
      <c r="AU207" s="544"/>
      <c r="AV207" s="544"/>
      <c r="AW207" s="544"/>
    </row>
    <row r="208" spans="1:49" x14ac:dyDescent="0.35">
      <c r="A208" s="544"/>
      <c r="B208" s="544"/>
      <c r="C208" s="544"/>
      <c r="D208" s="544"/>
      <c r="E208" s="544"/>
      <c r="F208" s="544"/>
      <c r="G208" s="544"/>
      <c r="H208" s="544"/>
      <c r="I208" s="544"/>
      <c r="J208" s="544"/>
      <c r="K208" s="544"/>
      <c r="M208" s="544"/>
      <c r="N208" s="544"/>
      <c r="O208" s="544"/>
      <c r="P208" s="544"/>
      <c r="Q208" s="544"/>
      <c r="R208" s="544"/>
      <c r="S208" s="544"/>
      <c r="U208" s="544"/>
      <c r="V208" s="544"/>
      <c r="W208" s="544"/>
      <c r="X208" s="544"/>
      <c r="Y208" s="544"/>
      <c r="Z208" s="544"/>
      <c r="AB208" s="544"/>
      <c r="AC208" s="544"/>
      <c r="AD208" s="544"/>
      <c r="AE208" s="544"/>
      <c r="AF208" s="544"/>
      <c r="AG208" s="544"/>
      <c r="AH208" s="544"/>
      <c r="AJ208" s="544"/>
      <c r="AK208" s="544"/>
      <c r="AL208" s="544"/>
      <c r="AM208" s="544"/>
      <c r="AN208" s="544"/>
      <c r="AO208" s="544"/>
      <c r="AQ208" s="544"/>
      <c r="AR208" s="544"/>
      <c r="AS208" s="544"/>
      <c r="AT208" s="544"/>
      <c r="AU208" s="544"/>
      <c r="AV208" s="544"/>
      <c r="AW208" s="544"/>
    </row>
    <row r="209" spans="1:49" x14ac:dyDescent="0.35">
      <c r="A209" s="544"/>
      <c r="B209" s="544"/>
      <c r="C209" s="544"/>
      <c r="D209" s="544"/>
      <c r="E209" s="544"/>
      <c r="F209" s="544"/>
      <c r="G209" s="544"/>
      <c r="H209" s="544"/>
      <c r="I209" s="544"/>
      <c r="J209" s="544"/>
      <c r="K209" s="544"/>
      <c r="M209" s="544"/>
      <c r="N209" s="544"/>
      <c r="O209" s="544"/>
      <c r="P209" s="544"/>
      <c r="Q209" s="544"/>
      <c r="R209" s="544"/>
      <c r="S209" s="544"/>
      <c r="U209" s="544"/>
      <c r="V209" s="544"/>
      <c r="W209" s="544"/>
      <c r="X209" s="544"/>
      <c r="Y209" s="544"/>
      <c r="Z209" s="544"/>
      <c r="AB209" s="544"/>
      <c r="AC209" s="544"/>
      <c r="AD209" s="544"/>
      <c r="AE209" s="544"/>
      <c r="AF209" s="544"/>
      <c r="AG209" s="544"/>
      <c r="AH209" s="544"/>
      <c r="AJ209" s="544"/>
      <c r="AK209" s="544"/>
      <c r="AL209" s="544"/>
      <c r="AM209" s="544"/>
      <c r="AN209" s="544"/>
      <c r="AO209" s="544"/>
      <c r="AQ209" s="544"/>
      <c r="AR209" s="544"/>
      <c r="AS209" s="544"/>
      <c r="AT209" s="544"/>
      <c r="AU209" s="544"/>
      <c r="AV209" s="544"/>
      <c r="AW209" s="544"/>
    </row>
    <row r="210" spans="1:49" x14ac:dyDescent="0.35">
      <c r="A210" s="544"/>
      <c r="B210" s="544"/>
      <c r="C210" s="544"/>
      <c r="D210" s="544"/>
      <c r="E210" s="544"/>
      <c r="F210" s="544"/>
      <c r="G210" s="544"/>
      <c r="H210" s="544"/>
      <c r="I210" s="544"/>
      <c r="J210" s="544"/>
      <c r="K210" s="544"/>
      <c r="M210" s="544"/>
      <c r="N210" s="544"/>
      <c r="O210" s="544"/>
      <c r="P210" s="544"/>
      <c r="Q210" s="544"/>
      <c r="R210" s="544"/>
      <c r="S210" s="544"/>
      <c r="U210" s="544"/>
      <c r="V210" s="544"/>
      <c r="W210" s="544"/>
      <c r="X210" s="544"/>
      <c r="Y210" s="544"/>
      <c r="Z210" s="544"/>
      <c r="AB210" s="544"/>
      <c r="AC210" s="544"/>
      <c r="AD210" s="544"/>
      <c r="AE210" s="544"/>
      <c r="AF210" s="544"/>
      <c r="AG210" s="544"/>
      <c r="AH210" s="544"/>
      <c r="AJ210" s="544"/>
      <c r="AK210" s="544"/>
      <c r="AL210" s="544"/>
      <c r="AM210" s="544"/>
      <c r="AN210" s="544"/>
      <c r="AO210" s="544"/>
      <c r="AQ210" s="544"/>
      <c r="AR210" s="544"/>
      <c r="AS210" s="544"/>
      <c r="AT210" s="544"/>
      <c r="AU210" s="544"/>
      <c r="AV210" s="544"/>
      <c r="AW210" s="544"/>
    </row>
    <row r="211" spans="1:49" x14ac:dyDescent="0.35">
      <c r="A211" s="544"/>
      <c r="B211" s="544"/>
      <c r="C211" s="544"/>
      <c r="D211" s="544"/>
      <c r="E211" s="544"/>
      <c r="F211" s="544"/>
      <c r="G211" s="544"/>
      <c r="H211" s="544"/>
      <c r="I211" s="544"/>
      <c r="J211" s="544"/>
      <c r="K211" s="544"/>
      <c r="M211" s="544"/>
      <c r="N211" s="544"/>
      <c r="O211" s="544"/>
      <c r="P211" s="544"/>
      <c r="Q211" s="544"/>
      <c r="R211" s="544"/>
      <c r="S211" s="544"/>
      <c r="U211" s="544"/>
      <c r="V211" s="544"/>
      <c r="W211" s="544"/>
      <c r="X211" s="544"/>
      <c r="Y211" s="544"/>
      <c r="Z211" s="544"/>
      <c r="AB211" s="544"/>
      <c r="AC211" s="544"/>
      <c r="AD211" s="544"/>
      <c r="AE211" s="544"/>
      <c r="AF211" s="544"/>
      <c r="AG211" s="544"/>
      <c r="AH211" s="544"/>
      <c r="AJ211" s="544"/>
      <c r="AK211" s="544"/>
      <c r="AL211" s="544"/>
      <c r="AM211" s="544"/>
      <c r="AN211" s="544"/>
      <c r="AO211" s="544"/>
      <c r="AQ211" s="544"/>
      <c r="AR211" s="544"/>
      <c r="AS211" s="544"/>
      <c r="AT211" s="544"/>
      <c r="AU211" s="544"/>
      <c r="AV211" s="544"/>
      <c r="AW211" s="544"/>
    </row>
    <row r="212" spans="1:49" x14ac:dyDescent="0.35">
      <c r="A212" s="544"/>
      <c r="B212" s="544"/>
      <c r="C212" s="544"/>
      <c r="D212" s="544"/>
      <c r="E212" s="544"/>
      <c r="F212" s="544"/>
      <c r="G212" s="544"/>
      <c r="H212" s="544"/>
      <c r="I212" s="544"/>
      <c r="J212" s="544"/>
      <c r="K212" s="544"/>
      <c r="M212" s="544"/>
      <c r="N212" s="544"/>
      <c r="O212" s="544"/>
      <c r="P212" s="544"/>
      <c r="Q212" s="544"/>
      <c r="R212" s="544"/>
      <c r="S212" s="544"/>
      <c r="U212" s="544"/>
      <c r="V212" s="544"/>
      <c r="W212" s="544"/>
      <c r="X212" s="544"/>
      <c r="Y212" s="544"/>
      <c r="Z212" s="544"/>
      <c r="AB212" s="544"/>
      <c r="AC212" s="544"/>
      <c r="AD212" s="544"/>
      <c r="AE212" s="544"/>
      <c r="AF212" s="544"/>
      <c r="AG212" s="544"/>
      <c r="AH212" s="544"/>
      <c r="AJ212" s="544"/>
      <c r="AK212" s="544"/>
      <c r="AL212" s="544"/>
      <c r="AM212" s="544"/>
      <c r="AN212" s="544"/>
      <c r="AO212" s="544"/>
      <c r="AQ212" s="544"/>
      <c r="AR212" s="544"/>
      <c r="AS212" s="544"/>
      <c r="AT212" s="544"/>
      <c r="AU212" s="544"/>
      <c r="AV212" s="544"/>
      <c r="AW212" s="544"/>
    </row>
    <row r="213" spans="1:49" x14ac:dyDescent="0.35">
      <c r="A213" s="544"/>
      <c r="B213" s="544"/>
      <c r="C213" s="544"/>
      <c r="D213" s="544"/>
      <c r="E213" s="544"/>
      <c r="F213" s="544"/>
      <c r="G213" s="544"/>
      <c r="H213" s="544"/>
      <c r="I213" s="544"/>
      <c r="J213" s="544"/>
      <c r="K213" s="544"/>
      <c r="M213" s="544"/>
      <c r="N213" s="544"/>
      <c r="O213" s="544"/>
      <c r="P213" s="544"/>
      <c r="Q213" s="544"/>
      <c r="R213" s="544"/>
      <c r="S213" s="544"/>
      <c r="U213" s="544"/>
      <c r="V213" s="544"/>
      <c r="W213" s="544"/>
      <c r="X213" s="544"/>
      <c r="Y213" s="544"/>
      <c r="Z213" s="544"/>
      <c r="AB213" s="544"/>
      <c r="AC213" s="544"/>
      <c r="AD213" s="544"/>
      <c r="AE213" s="544"/>
      <c r="AF213" s="544"/>
      <c r="AG213" s="544"/>
      <c r="AH213" s="544"/>
      <c r="AJ213" s="544"/>
      <c r="AK213" s="544"/>
      <c r="AL213" s="544"/>
      <c r="AM213" s="544"/>
      <c r="AN213" s="544"/>
      <c r="AO213" s="544"/>
      <c r="AQ213" s="544"/>
      <c r="AR213" s="544"/>
      <c r="AS213" s="544"/>
      <c r="AT213" s="544"/>
      <c r="AU213" s="544"/>
      <c r="AV213" s="544"/>
      <c r="AW213" s="544"/>
    </row>
    <row r="214" spans="1:49" x14ac:dyDescent="0.35">
      <c r="A214" s="544"/>
      <c r="B214" s="544"/>
      <c r="C214" s="544"/>
      <c r="D214" s="544"/>
      <c r="E214" s="544"/>
      <c r="F214" s="544"/>
      <c r="G214" s="544"/>
      <c r="H214" s="544"/>
      <c r="I214" s="544"/>
      <c r="J214" s="544"/>
      <c r="K214" s="544"/>
      <c r="M214" s="544"/>
      <c r="N214" s="544"/>
      <c r="O214" s="544"/>
      <c r="P214" s="544"/>
      <c r="Q214" s="544"/>
      <c r="R214" s="544"/>
      <c r="S214" s="544"/>
      <c r="U214" s="544"/>
      <c r="V214" s="544"/>
      <c r="W214" s="544"/>
      <c r="X214" s="544"/>
      <c r="Y214" s="544"/>
      <c r="Z214" s="544"/>
      <c r="AB214" s="544"/>
      <c r="AC214" s="544"/>
      <c r="AD214" s="544"/>
      <c r="AE214" s="544"/>
      <c r="AF214" s="544"/>
      <c r="AG214" s="544"/>
      <c r="AH214" s="544"/>
      <c r="AJ214" s="544"/>
      <c r="AK214" s="544"/>
      <c r="AL214" s="544"/>
      <c r="AM214" s="544"/>
      <c r="AN214" s="544"/>
      <c r="AO214" s="544"/>
      <c r="AQ214" s="544"/>
      <c r="AR214" s="544"/>
      <c r="AS214" s="544"/>
      <c r="AT214" s="544"/>
      <c r="AU214" s="544"/>
      <c r="AV214" s="544"/>
      <c r="AW214" s="544"/>
    </row>
    <row r="215" spans="1:49" x14ac:dyDescent="0.35">
      <c r="A215" s="544"/>
      <c r="B215" s="544"/>
      <c r="C215" s="544"/>
      <c r="D215" s="544"/>
      <c r="E215" s="544"/>
      <c r="F215" s="544"/>
      <c r="G215" s="544"/>
      <c r="H215" s="544"/>
      <c r="I215" s="544"/>
      <c r="J215" s="544"/>
      <c r="K215" s="544"/>
      <c r="M215" s="544"/>
      <c r="N215" s="544"/>
      <c r="O215" s="544"/>
      <c r="P215" s="544"/>
      <c r="Q215" s="544"/>
      <c r="R215" s="544"/>
      <c r="S215" s="544"/>
      <c r="U215" s="544"/>
      <c r="V215" s="544"/>
      <c r="W215" s="544"/>
      <c r="X215" s="544"/>
      <c r="Y215" s="544"/>
      <c r="Z215" s="544"/>
      <c r="AB215" s="544"/>
      <c r="AC215" s="544"/>
      <c r="AD215" s="544"/>
      <c r="AE215" s="544"/>
      <c r="AF215" s="544"/>
      <c r="AG215" s="544"/>
      <c r="AH215" s="544"/>
      <c r="AJ215" s="544"/>
      <c r="AK215" s="544"/>
      <c r="AL215" s="544"/>
      <c r="AM215" s="544"/>
      <c r="AN215" s="544"/>
      <c r="AO215" s="544"/>
      <c r="AQ215" s="544"/>
      <c r="AR215" s="544"/>
      <c r="AS215" s="544"/>
      <c r="AT215" s="544"/>
      <c r="AU215" s="544"/>
      <c r="AV215" s="544"/>
      <c r="AW215" s="544"/>
    </row>
    <row r="216" spans="1:49" x14ac:dyDescent="0.35">
      <c r="A216" s="544"/>
      <c r="B216" s="544"/>
      <c r="C216" s="544"/>
      <c r="D216" s="544"/>
      <c r="E216" s="544"/>
      <c r="F216" s="544"/>
      <c r="G216" s="544"/>
      <c r="H216" s="544"/>
      <c r="I216" s="544"/>
      <c r="J216" s="544"/>
      <c r="K216" s="544"/>
      <c r="M216" s="544"/>
      <c r="N216" s="544"/>
      <c r="O216" s="544"/>
      <c r="P216" s="544"/>
      <c r="Q216" s="544"/>
      <c r="R216" s="544"/>
      <c r="S216" s="544"/>
      <c r="U216" s="544"/>
      <c r="V216" s="544"/>
      <c r="W216" s="544"/>
      <c r="X216" s="544"/>
      <c r="Y216" s="544"/>
      <c r="Z216" s="544"/>
      <c r="AB216" s="544"/>
      <c r="AC216" s="544"/>
      <c r="AD216" s="544"/>
      <c r="AE216" s="544"/>
      <c r="AF216" s="544"/>
      <c r="AG216" s="544"/>
      <c r="AH216" s="544"/>
      <c r="AJ216" s="544"/>
      <c r="AK216" s="544"/>
      <c r="AL216" s="544"/>
      <c r="AM216" s="544"/>
      <c r="AN216" s="544"/>
      <c r="AO216" s="544"/>
      <c r="AQ216" s="544"/>
      <c r="AR216" s="544"/>
      <c r="AS216" s="544"/>
      <c r="AT216" s="544"/>
      <c r="AU216" s="544"/>
      <c r="AV216" s="544"/>
      <c r="AW216" s="544"/>
    </row>
    <row r="217" spans="1:49" x14ac:dyDescent="0.35">
      <c r="A217" s="544"/>
      <c r="B217" s="544"/>
      <c r="C217" s="544"/>
      <c r="D217" s="544"/>
      <c r="E217" s="544"/>
      <c r="F217" s="544"/>
      <c r="G217" s="544"/>
      <c r="H217" s="544"/>
      <c r="I217" s="544"/>
      <c r="J217" s="544"/>
      <c r="K217" s="544"/>
      <c r="M217" s="544"/>
      <c r="N217" s="544"/>
      <c r="O217" s="544"/>
      <c r="P217" s="544"/>
      <c r="Q217" s="544"/>
      <c r="R217" s="544"/>
      <c r="S217" s="544"/>
      <c r="U217" s="544"/>
      <c r="V217" s="544"/>
      <c r="W217" s="544"/>
      <c r="X217" s="544"/>
      <c r="Y217" s="544"/>
      <c r="Z217" s="544"/>
      <c r="AB217" s="544"/>
      <c r="AC217" s="544"/>
      <c r="AD217" s="544"/>
      <c r="AE217" s="544"/>
      <c r="AF217" s="544"/>
      <c r="AG217" s="544"/>
      <c r="AH217" s="544"/>
      <c r="AJ217" s="544"/>
      <c r="AK217" s="544"/>
      <c r="AL217" s="544"/>
      <c r="AM217" s="544"/>
      <c r="AN217" s="544"/>
      <c r="AO217" s="544"/>
      <c r="AQ217" s="544"/>
      <c r="AR217" s="544"/>
      <c r="AS217" s="544"/>
      <c r="AT217" s="544"/>
      <c r="AU217" s="544"/>
      <c r="AV217" s="544"/>
      <c r="AW217" s="544"/>
    </row>
    <row r="218" spans="1:49" x14ac:dyDescent="0.35">
      <c r="A218" s="544"/>
      <c r="B218" s="544"/>
      <c r="C218" s="544"/>
      <c r="D218" s="544"/>
      <c r="E218" s="544"/>
      <c r="F218" s="544"/>
      <c r="G218" s="544"/>
      <c r="H218" s="544"/>
      <c r="I218" s="544"/>
      <c r="J218" s="544"/>
      <c r="K218" s="544"/>
      <c r="M218" s="544"/>
      <c r="N218" s="544"/>
      <c r="O218" s="544"/>
      <c r="P218" s="544"/>
      <c r="Q218" s="544"/>
      <c r="R218" s="544"/>
      <c r="S218" s="544"/>
      <c r="U218" s="544"/>
      <c r="V218" s="544"/>
      <c r="W218" s="544"/>
      <c r="X218" s="544"/>
      <c r="Y218" s="544"/>
      <c r="Z218" s="544"/>
      <c r="AB218" s="544"/>
      <c r="AC218" s="544"/>
      <c r="AD218" s="544"/>
      <c r="AE218" s="544"/>
      <c r="AF218" s="544"/>
      <c r="AG218" s="544"/>
      <c r="AH218" s="544"/>
      <c r="AJ218" s="544"/>
      <c r="AK218" s="544"/>
      <c r="AL218" s="544"/>
      <c r="AM218" s="544"/>
      <c r="AN218" s="544"/>
      <c r="AO218" s="544"/>
      <c r="AQ218" s="544"/>
      <c r="AR218" s="544"/>
      <c r="AS218" s="544"/>
      <c r="AT218" s="544"/>
      <c r="AU218" s="544"/>
      <c r="AV218" s="544"/>
      <c r="AW218" s="544"/>
    </row>
    <row r="219" spans="1:49" x14ac:dyDescent="0.35">
      <c r="A219" s="544"/>
      <c r="B219" s="544"/>
      <c r="C219" s="544"/>
      <c r="D219" s="544"/>
      <c r="E219" s="544"/>
      <c r="F219" s="544"/>
      <c r="G219" s="544"/>
      <c r="H219" s="544"/>
      <c r="I219" s="544"/>
      <c r="J219" s="544"/>
      <c r="K219" s="544"/>
      <c r="M219" s="544"/>
      <c r="N219" s="544"/>
      <c r="O219" s="544"/>
      <c r="P219" s="544"/>
      <c r="Q219" s="544"/>
      <c r="R219" s="544"/>
      <c r="S219" s="544"/>
      <c r="U219" s="544"/>
      <c r="V219" s="544"/>
      <c r="W219" s="544"/>
      <c r="X219" s="544"/>
      <c r="Y219" s="544"/>
      <c r="Z219" s="544"/>
      <c r="AB219" s="544"/>
      <c r="AC219" s="544"/>
      <c r="AD219" s="544"/>
      <c r="AE219" s="544"/>
      <c r="AF219" s="544"/>
      <c r="AG219" s="544"/>
      <c r="AH219" s="544"/>
      <c r="AJ219" s="544"/>
      <c r="AK219" s="544"/>
      <c r="AL219" s="544"/>
      <c r="AM219" s="544"/>
      <c r="AN219" s="544"/>
      <c r="AO219" s="544"/>
      <c r="AQ219" s="544"/>
      <c r="AR219" s="544"/>
      <c r="AS219" s="544"/>
      <c r="AT219" s="544"/>
      <c r="AU219" s="544"/>
      <c r="AV219" s="544"/>
      <c r="AW219" s="544"/>
    </row>
    <row r="220" spans="1:49" x14ac:dyDescent="0.35">
      <c r="A220" s="544"/>
      <c r="B220" s="544"/>
      <c r="C220" s="544"/>
      <c r="D220" s="544"/>
      <c r="E220" s="544"/>
      <c r="F220" s="544"/>
      <c r="G220" s="544"/>
      <c r="H220" s="544"/>
      <c r="I220" s="544"/>
      <c r="J220" s="544"/>
      <c r="K220" s="544"/>
      <c r="M220" s="544"/>
      <c r="N220" s="544"/>
      <c r="O220" s="544"/>
      <c r="P220" s="544"/>
      <c r="Q220" s="544"/>
      <c r="R220" s="544"/>
      <c r="S220" s="544"/>
      <c r="U220" s="544"/>
      <c r="V220" s="544"/>
      <c r="W220" s="544"/>
      <c r="X220" s="544"/>
      <c r="Y220" s="544"/>
      <c r="Z220" s="544"/>
      <c r="AB220" s="544"/>
      <c r="AC220" s="544"/>
      <c r="AD220" s="544"/>
      <c r="AE220" s="544"/>
      <c r="AF220" s="544"/>
      <c r="AG220" s="544"/>
      <c r="AH220" s="544"/>
      <c r="AJ220" s="544"/>
      <c r="AK220" s="544"/>
      <c r="AL220" s="544"/>
      <c r="AM220" s="544"/>
      <c r="AN220" s="544"/>
      <c r="AO220" s="544"/>
      <c r="AQ220" s="544"/>
      <c r="AR220" s="544"/>
      <c r="AS220" s="544"/>
      <c r="AT220" s="544"/>
      <c r="AU220" s="544"/>
      <c r="AV220" s="544"/>
      <c r="AW220" s="544"/>
    </row>
    <row r="221" spans="1:49" x14ac:dyDescent="0.35">
      <c r="A221" s="544"/>
      <c r="B221" s="544"/>
      <c r="C221" s="544"/>
      <c r="D221" s="544"/>
      <c r="E221" s="544"/>
      <c r="F221" s="544"/>
      <c r="G221" s="544"/>
      <c r="H221" s="544"/>
      <c r="I221" s="544"/>
      <c r="J221" s="544"/>
      <c r="K221" s="544"/>
      <c r="M221" s="544"/>
      <c r="N221" s="544"/>
      <c r="O221" s="544"/>
      <c r="P221" s="544"/>
      <c r="Q221" s="544"/>
      <c r="R221" s="544"/>
      <c r="S221" s="544"/>
      <c r="U221" s="544"/>
      <c r="V221" s="544"/>
      <c r="W221" s="544"/>
      <c r="X221" s="544"/>
      <c r="Y221" s="544"/>
      <c r="Z221" s="544"/>
      <c r="AB221" s="544"/>
      <c r="AC221" s="544"/>
      <c r="AD221" s="544"/>
      <c r="AE221" s="544"/>
      <c r="AF221" s="544"/>
      <c r="AG221" s="544"/>
      <c r="AH221" s="544"/>
      <c r="AJ221" s="544"/>
      <c r="AK221" s="544"/>
      <c r="AL221" s="544"/>
      <c r="AM221" s="544"/>
      <c r="AN221" s="544"/>
      <c r="AO221" s="544"/>
      <c r="AQ221" s="544"/>
      <c r="AR221" s="544"/>
      <c r="AS221" s="544"/>
      <c r="AT221" s="544"/>
      <c r="AU221" s="544"/>
      <c r="AV221" s="544"/>
      <c r="AW221" s="544"/>
    </row>
    <row r="222" spans="1:49" x14ac:dyDescent="0.35">
      <c r="A222" s="544"/>
      <c r="B222" s="544"/>
      <c r="C222" s="544"/>
      <c r="D222" s="544"/>
      <c r="E222" s="544"/>
      <c r="F222" s="544"/>
      <c r="G222" s="544"/>
      <c r="H222" s="544"/>
      <c r="I222" s="544"/>
      <c r="J222" s="544"/>
      <c r="K222" s="544"/>
      <c r="M222" s="544"/>
      <c r="N222" s="544"/>
      <c r="O222" s="544"/>
      <c r="P222" s="544"/>
      <c r="Q222" s="544"/>
      <c r="R222" s="544"/>
      <c r="S222" s="544"/>
      <c r="U222" s="544"/>
      <c r="V222" s="544"/>
      <c r="W222" s="544"/>
      <c r="X222" s="544"/>
      <c r="Y222" s="544"/>
      <c r="Z222" s="544"/>
      <c r="AB222" s="544"/>
      <c r="AC222" s="544"/>
      <c r="AD222" s="544"/>
      <c r="AE222" s="544"/>
      <c r="AF222" s="544"/>
      <c r="AG222" s="544"/>
      <c r="AH222" s="544"/>
      <c r="AJ222" s="544"/>
      <c r="AK222" s="544"/>
      <c r="AL222" s="544"/>
      <c r="AM222" s="544"/>
      <c r="AN222" s="544"/>
      <c r="AO222" s="544"/>
      <c r="AQ222" s="544"/>
      <c r="AR222" s="544"/>
      <c r="AS222" s="544"/>
      <c r="AT222" s="544"/>
      <c r="AU222" s="544"/>
      <c r="AV222" s="544"/>
      <c r="AW222" s="544"/>
    </row>
    <row r="223" spans="1:49" x14ac:dyDescent="0.35">
      <c r="A223" s="544"/>
      <c r="B223" s="544"/>
      <c r="C223" s="544"/>
      <c r="D223" s="544"/>
      <c r="E223" s="544"/>
      <c r="F223" s="544"/>
      <c r="G223" s="544"/>
      <c r="H223" s="544"/>
      <c r="I223" s="544"/>
      <c r="J223" s="544"/>
      <c r="K223" s="544"/>
      <c r="M223" s="544"/>
      <c r="N223" s="544"/>
      <c r="O223" s="544"/>
      <c r="P223" s="544"/>
      <c r="Q223" s="544"/>
      <c r="R223" s="544"/>
      <c r="S223" s="544"/>
      <c r="U223" s="544"/>
      <c r="V223" s="544"/>
      <c r="W223" s="544"/>
      <c r="X223" s="544"/>
      <c r="Y223" s="544"/>
      <c r="Z223" s="544"/>
      <c r="AB223" s="544"/>
      <c r="AC223" s="544"/>
      <c r="AD223" s="544"/>
      <c r="AE223" s="544"/>
      <c r="AF223" s="544"/>
      <c r="AG223" s="544"/>
      <c r="AH223" s="544"/>
      <c r="AJ223" s="544"/>
      <c r="AK223" s="544"/>
      <c r="AL223" s="544"/>
      <c r="AM223" s="544"/>
      <c r="AN223" s="544"/>
      <c r="AO223" s="544"/>
      <c r="AQ223" s="544"/>
      <c r="AR223" s="544"/>
      <c r="AS223" s="544"/>
      <c r="AT223" s="544"/>
      <c r="AU223" s="544"/>
      <c r="AV223" s="544"/>
      <c r="AW223" s="544"/>
    </row>
    <row r="224" spans="1:49" x14ac:dyDescent="0.35">
      <c r="A224" s="544"/>
      <c r="B224" s="544"/>
      <c r="C224" s="544"/>
      <c r="D224" s="544"/>
      <c r="E224" s="544"/>
      <c r="F224" s="544"/>
      <c r="G224" s="544"/>
      <c r="H224" s="544"/>
      <c r="I224" s="544"/>
      <c r="J224" s="544"/>
      <c r="K224" s="544"/>
      <c r="M224" s="544"/>
      <c r="N224" s="544"/>
      <c r="O224" s="544"/>
      <c r="P224" s="544"/>
      <c r="Q224" s="544"/>
      <c r="R224" s="544"/>
      <c r="S224" s="544"/>
      <c r="U224" s="544"/>
      <c r="V224" s="544"/>
      <c r="W224" s="544"/>
      <c r="X224" s="544"/>
      <c r="Y224" s="544"/>
      <c r="Z224" s="544"/>
      <c r="AB224" s="544"/>
      <c r="AC224" s="544"/>
      <c r="AD224" s="544"/>
      <c r="AE224" s="544"/>
      <c r="AF224" s="544"/>
      <c r="AG224" s="544"/>
      <c r="AH224" s="544"/>
      <c r="AJ224" s="544"/>
      <c r="AK224" s="544"/>
      <c r="AL224" s="544"/>
      <c r="AM224" s="544"/>
      <c r="AN224" s="544"/>
      <c r="AO224" s="544"/>
      <c r="AQ224" s="544"/>
      <c r="AR224" s="544"/>
      <c r="AS224" s="544"/>
      <c r="AT224" s="544"/>
      <c r="AU224" s="544"/>
      <c r="AV224" s="544"/>
      <c r="AW224" s="544"/>
    </row>
    <row r="225" spans="1:49" x14ac:dyDescent="0.35">
      <c r="A225" s="544"/>
      <c r="B225" s="544"/>
      <c r="C225" s="544"/>
      <c r="D225" s="544"/>
      <c r="E225" s="544"/>
      <c r="F225" s="544"/>
      <c r="G225" s="544"/>
      <c r="H225" s="544"/>
      <c r="I225" s="544"/>
      <c r="J225" s="544"/>
      <c r="K225" s="544"/>
      <c r="M225" s="544"/>
      <c r="N225" s="544"/>
      <c r="O225" s="544"/>
      <c r="P225" s="544"/>
      <c r="Q225" s="544"/>
      <c r="R225" s="544"/>
      <c r="S225" s="544"/>
      <c r="U225" s="544"/>
      <c r="V225" s="544"/>
      <c r="W225" s="544"/>
      <c r="X225" s="544"/>
      <c r="Y225" s="544"/>
      <c r="Z225" s="544"/>
      <c r="AB225" s="544"/>
      <c r="AC225" s="544"/>
      <c r="AD225" s="544"/>
      <c r="AE225" s="544"/>
      <c r="AF225" s="544"/>
      <c r="AG225" s="544"/>
      <c r="AH225" s="544"/>
      <c r="AJ225" s="544"/>
      <c r="AK225" s="544"/>
      <c r="AL225" s="544"/>
      <c r="AM225" s="544"/>
      <c r="AN225" s="544"/>
      <c r="AO225" s="544"/>
      <c r="AQ225" s="544"/>
      <c r="AR225" s="544"/>
      <c r="AS225" s="544"/>
      <c r="AT225" s="544"/>
      <c r="AU225" s="544"/>
      <c r="AV225" s="544"/>
      <c r="AW225" s="544"/>
    </row>
    <row r="226" spans="1:49" x14ac:dyDescent="0.35">
      <c r="A226" s="544"/>
      <c r="B226" s="544"/>
      <c r="C226" s="544"/>
      <c r="D226" s="544"/>
      <c r="E226" s="544"/>
      <c r="F226" s="544"/>
      <c r="G226" s="544"/>
      <c r="H226" s="544"/>
      <c r="I226" s="544"/>
      <c r="J226" s="544"/>
      <c r="K226" s="544"/>
      <c r="M226" s="544"/>
      <c r="N226" s="544"/>
      <c r="O226" s="544"/>
      <c r="P226" s="544"/>
      <c r="Q226" s="544"/>
      <c r="R226" s="544"/>
      <c r="S226" s="544"/>
      <c r="U226" s="544"/>
      <c r="V226" s="544"/>
      <c r="W226" s="544"/>
      <c r="X226" s="544"/>
      <c r="Y226" s="544"/>
      <c r="Z226" s="544"/>
      <c r="AB226" s="544"/>
      <c r="AC226" s="544"/>
      <c r="AD226" s="544"/>
      <c r="AE226" s="544"/>
      <c r="AF226" s="544"/>
      <c r="AG226" s="544"/>
      <c r="AH226" s="544"/>
      <c r="AJ226" s="544"/>
      <c r="AK226" s="544"/>
      <c r="AL226" s="544"/>
      <c r="AM226" s="544"/>
      <c r="AN226" s="544"/>
      <c r="AO226" s="544"/>
      <c r="AQ226" s="544"/>
      <c r="AR226" s="544"/>
      <c r="AS226" s="544"/>
      <c r="AT226" s="544"/>
      <c r="AU226" s="544"/>
      <c r="AV226" s="544"/>
      <c r="AW226" s="544"/>
    </row>
    <row r="227" spans="1:49" x14ac:dyDescent="0.35">
      <c r="A227" s="544"/>
      <c r="B227" s="544"/>
      <c r="C227" s="544"/>
      <c r="D227" s="544"/>
      <c r="E227" s="544"/>
      <c r="F227" s="544"/>
      <c r="G227" s="544"/>
      <c r="H227" s="544"/>
      <c r="I227" s="544"/>
      <c r="J227" s="544"/>
      <c r="K227" s="544"/>
      <c r="M227" s="544"/>
      <c r="N227" s="544"/>
      <c r="O227" s="544"/>
      <c r="P227" s="544"/>
      <c r="Q227" s="544"/>
      <c r="R227" s="544"/>
      <c r="S227" s="544"/>
      <c r="U227" s="544"/>
      <c r="V227" s="544"/>
      <c r="W227" s="544"/>
      <c r="X227" s="544"/>
      <c r="Y227" s="544"/>
      <c r="Z227" s="544"/>
      <c r="AB227" s="544"/>
      <c r="AC227" s="544"/>
      <c r="AD227" s="544"/>
      <c r="AE227" s="544"/>
      <c r="AF227" s="544"/>
      <c r="AG227" s="544"/>
      <c r="AH227" s="544"/>
      <c r="AJ227" s="544"/>
      <c r="AK227" s="544"/>
      <c r="AL227" s="544"/>
      <c r="AM227" s="544"/>
      <c r="AN227" s="544"/>
      <c r="AO227" s="544"/>
      <c r="AQ227" s="544"/>
      <c r="AR227" s="544"/>
      <c r="AS227" s="544"/>
      <c r="AT227" s="544"/>
      <c r="AU227" s="544"/>
      <c r="AV227" s="544"/>
      <c r="AW227" s="544"/>
    </row>
    <row r="228" spans="1:49" x14ac:dyDescent="0.35">
      <c r="A228" s="544"/>
      <c r="B228" s="544"/>
      <c r="C228" s="544"/>
      <c r="D228" s="544"/>
      <c r="E228" s="544"/>
      <c r="F228" s="544"/>
      <c r="G228" s="544"/>
      <c r="H228" s="544"/>
      <c r="I228" s="544"/>
      <c r="J228" s="544"/>
      <c r="K228" s="544"/>
      <c r="M228" s="544"/>
      <c r="N228" s="544"/>
      <c r="O228" s="544"/>
      <c r="P228" s="544"/>
      <c r="Q228" s="544"/>
      <c r="R228" s="544"/>
      <c r="S228" s="544"/>
      <c r="U228" s="544"/>
      <c r="V228" s="544"/>
      <c r="W228" s="544"/>
      <c r="X228" s="544"/>
      <c r="Y228" s="544"/>
      <c r="Z228" s="544"/>
      <c r="AB228" s="544"/>
      <c r="AC228" s="544"/>
      <c r="AD228" s="544"/>
      <c r="AE228" s="544"/>
      <c r="AF228" s="544"/>
      <c r="AG228" s="544"/>
      <c r="AH228" s="544"/>
      <c r="AJ228" s="544"/>
      <c r="AK228" s="544"/>
      <c r="AL228" s="544"/>
      <c r="AM228" s="544"/>
      <c r="AN228" s="544"/>
      <c r="AO228" s="544"/>
      <c r="AQ228" s="544"/>
      <c r="AR228" s="544"/>
      <c r="AS228" s="544"/>
      <c r="AT228" s="544"/>
      <c r="AU228" s="544"/>
      <c r="AV228" s="544"/>
      <c r="AW228" s="544"/>
    </row>
    <row r="229" spans="1:49" x14ac:dyDescent="0.35">
      <c r="A229" s="544"/>
      <c r="B229" s="544"/>
      <c r="C229" s="544"/>
      <c r="D229" s="544"/>
      <c r="E229" s="544"/>
      <c r="F229" s="544"/>
      <c r="G229" s="544"/>
      <c r="H229" s="544"/>
      <c r="I229" s="544"/>
      <c r="J229" s="544"/>
      <c r="K229" s="544"/>
      <c r="M229" s="544"/>
      <c r="N229" s="544"/>
      <c r="O229" s="544"/>
      <c r="P229" s="544"/>
      <c r="Q229" s="544"/>
      <c r="R229" s="544"/>
      <c r="S229" s="544"/>
      <c r="U229" s="544"/>
      <c r="V229" s="544"/>
      <c r="W229" s="544"/>
      <c r="X229" s="544"/>
      <c r="Y229" s="544"/>
      <c r="Z229" s="544"/>
      <c r="AB229" s="544"/>
      <c r="AC229" s="544"/>
      <c r="AD229" s="544"/>
      <c r="AE229" s="544"/>
      <c r="AF229" s="544"/>
      <c r="AG229" s="544"/>
      <c r="AH229" s="544"/>
      <c r="AJ229" s="544"/>
      <c r="AK229" s="544"/>
      <c r="AL229" s="544"/>
      <c r="AM229" s="544"/>
      <c r="AN229" s="544"/>
      <c r="AO229" s="544"/>
      <c r="AQ229" s="544"/>
      <c r="AR229" s="544"/>
      <c r="AS229" s="544"/>
      <c r="AT229" s="544"/>
      <c r="AU229" s="544"/>
      <c r="AV229" s="544"/>
      <c r="AW229" s="544"/>
    </row>
    <row r="230" spans="1:49" x14ac:dyDescent="0.35">
      <c r="A230" s="544"/>
      <c r="B230" s="544"/>
      <c r="C230" s="544"/>
      <c r="D230" s="544"/>
      <c r="E230" s="544"/>
      <c r="F230" s="544"/>
      <c r="G230" s="544"/>
      <c r="H230" s="544"/>
      <c r="I230" s="544"/>
      <c r="J230" s="544"/>
      <c r="K230" s="544"/>
      <c r="M230" s="544"/>
      <c r="N230" s="544"/>
      <c r="O230" s="544"/>
      <c r="P230" s="544"/>
      <c r="Q230" s="544"/>
      <c r="R230" s="544"/>
      <c r="S230" s="544"/>
      <c r="U230" s="544"/>
      <c r="V230" s="544"/>
      <c r="W230" s="544"/>
      <c r="X230" s="544"/>
      <c r="Y230" s="544"/>
      <c r="Z230" s="544"/>
      <c r="AB230" s="544"/>
      <c r="AC230" s="544"/>
      <c r="AD230" s="544"/>
      <c r="AE230" s="544"/>
      <c r="AF230" s="544"/>
      <c r="AG230" s="544"/>
      <c r="AH230" s="544"/>
      <c r="AJ230" s="544"/>
      <c r="AK230" s="544"/>
      <c r="AL230" s="544"/>
      <c r="AM230" s="544"/>
      <c r="AN230" s="544"/>
      <c r="AO230" s="544"/>
      <c r="AQ230" s="544"/>
      <c r="AR230" s="544"/>
      <c r="AS230" s="544"/>
      <c r="AT230" s="544"/>
      <c r="AU230" s="544"/>
      <c r="AV230" s="544"/>
      <c r="AW230" s="544"/>
    </row>
    <row r="231" spans="1:49" x14ac:dyDescent="0.35">
      <c r="A231" s="544"/>
      <c r="B231" s="544"/>
      <c r="C231" s="544"/>
      <c r="D231" s="544"/>
      <c r="E231" s="544"/>
      <c r="F231" s="544"/>
      <c r="G231" s="544"/>
      <c r="H231" s="544"/>
      <c r="I231" s="544"/>
      <c r="J231" s="544"/>
      <c r="K231" s="544"/>
      <c r="M231" s="544"/>
      <c r="N231" s="544"/>
      <c r="O231" s="544"/>
      <c r="P231" s="544"/>
      <c r="Q231" s="544"/>
      <c r="R231" s="544"/>
      <c r="S231" s="544"/>
      <c r="U231" s="544"/>
      <c r="V231" s="544"/>
      <c r="W231" s="544"/>
      <c r="X231" s="544"/>
      <c r="Y231" s="544"/>
      <c r="Z231" s="544"/>
      <c r="AB231" s="544"/>
      <c r="AC231" s="544"/>
      <c r="AD231" s="544"/>
      <c r="AE231" s="544"/>
      <c r="AF231" s="544"/>
      <c r="AG231" s="544"/>
      <c r="AH231" s="544"/>
      <c r="AJ231" s="544"/>
      <c r="AK231" s="544"/>
      <c r="AL231" s="544"/>
      <c r="AM231" s="544"/>
      <c r="AN231" s="544"/>
      <c r="AO231" s="544"/>
      <c r="AQ231" s="544"/>
      <c r="AR231" s="544"/>
      <c r="AS231" s="544"/>
      <c r="AT231" s="544"/>
      <c r="AU231" s="544"/>
      <c r="AV231" s="544"/>
      <c r="AW231" s="544"/>
    </row>
    <row r="232" spans="1:49" x14ac:dyDescent="0.35">
      <c r="A232" s="544"/>
      <c r="B232" s="544"/>
      <c r="C232" s="544"/>
      <c r="D232" s="544"/>
      <c r="E232" s="544"/>
      <c r="F232" s="544"/>
      <c r="G232" s="544"/>
      <c r="H232" s="544"/>
      <c r="I232" s="544"/>
      <c r="J232" s="544"/>
      <c r="K232" s="544"/>
      <c r="M232" s="544"/>
      <c r="N232" s="544"/>
      <c r="O232" s="544"/>
      <c r="P232" s="544"/>
      <c r="Q232" s="544"/>
      <c r="R232" s="544"/>
      <c r="S232" s="544"/>
      <c r="U232" s="544"/>
      <c r="V232" s="544"/>
      <c r="W232" s="544"/>
      <c r="X232" s="544"/>
      <c r="Y232" s="544"/>
      <c r="Z232" s="544"/>
      <c r="AB232" s="544"/>
      <c r="AC232" s="544"/>
      <c r="AD232" s="544"/>
      <c r="AE232" s="544"/>
      <c r="AF232" s="544"/>
      <c r="AG232" s="544"/>
      <c r="AH232" s="544"/>
      <c r="AJ232" s="544"/>
      <c r="AK232" s="544"/>
      <c r="AL232" s="544"/>
      <c r="AM232" s="544"/>
      <c r="AN232" s="544"/>
      <c r="AO232" s="544"/>
      <c r="AQ232" s="544"/>
      <c r="AR232" s="544"/>
      <c r="AS232" s="544"/>
      <c r="AT232" s="544"/>
      <c r="AU232" s="544"/>
      <c r="AV232" s="544"/>
      <c r="AW232" s="544"/>
    </row>
    <row r="233" spans="1:49" x14ac:dyDescent="0.35">
      <c r="A233" s="544"/>
      <c r="B233" s="544"/>
      <c r="C233" s="544"/>
      <c r="D233" s="544"/>
      <c r="E233" s="544"/>
      <c r="F233" s="544"/>
      <c r="G233" s="544"/>
      <c r="H233" s="544"/>
      <c r="I233" s="544"/>
      <c r="J233" s="544"/>
      <c r="K233" s="544"/>
      <c r="M233" s="544"/>
      <c r="N233" s="544"/>
      <c r="O233" s="544"/>
      <c r="P233" s="544"/>
      <c r="Q233" s="544"/>
      <c r="R233" s="544"/>
      <c r="S233" s="544"/>
      <c r="U233" s="544"/>
      <c r="V233" s="544"/>
      <c r="W233" s="544"/>
      <c r="X233" s="544"/>
      <c r="Y233" s="544"/>
      <c r="Z233" s="544"/>
      <c r="AB233" s="544"/>
      <c r="AC233" s="544"/>
      <c r="AD233" s="544"/>
      <c r="AE233" s="544"/>
      <c r="AF233" s="544"/>
      <c r="AG233" s="544"/>
      <c r="AH233" s="544"/>
      <c r="AJ233" s="544"/>
      <c r="AK233" s="544"/>
      <c r="AL233" s="544"/>
      <c r="AM233" s="544"/>
      <c r="AN233" s="544"/>
      <c r="AO233" s="544"/>
      <c r="AQ233" s="544"/>
      <c r="AR233" s="544"/>
      <c r="AS233" s="544"/>
      <c r="AT233" s="544"/>
      <c r="AU233" s="544"/>
      <c r="AV233" s="544"/>
      <c r="AW233" s="544"/>
    </row>
    <row r="234" spans="1:49" x14ac:dyDescent="0.35">
      <c r="A234" s="544"/>
      <c r="B234" s="544"/>
      <c r="C234" s="544"/>
      <c r="D234" s="544"/>
      <c r="E234" s="544"/>
      <c r="F234" s="544"/>
      <c r="G234" s="544"/>
      <c r="H234" s="544"/>
      <c r="I234" s="544"/>
      <c r="J234" s="544"/>
      <c r="K234" s="544"/>
      <c r="M234" s="544"/>
      <c r="N234" s="544"/>
      <c r="O234" s="544"/>
      <c r="P234" s="544"/>
      <c r="Q234" s="544"/>
      <c r="R234" s="544"/>
      <c r="S234" s="544"/>
      <c r="U234" s="544"/>
      <c r="V234" s="544"/>
      <c r="W234" s="544"/>
      <c r="X234" s="544"/>
      <c r="Y234" s="544"/>
      <c r="Z234" s="544"/>
      <c r="AB234" s="544"/>
      <c r="AC234" s="544"/>
      <c r="AD234" s="544"/>
      <c r="AE234" s="544"/>
      <c r="AF234" s="544"/>
      <c r="AG234" s="544"/>
      <c r="AH234" s="544"/>
      <c r="AJ234" s="544"/>
      <c r="AK234" s="544"/>
      <c r="AL234" s="544"/>
      <c r="AM234" s="544"/>
      <c r="AN234" s="544"/>
      <c r="AO234" s="544"/>
      <c r="AQ234" s="544"/>
      <c r="AR234" s="544"/>
      <c r="AS234" s="544"/>
      <c r="AT234" s="544"/>
      <c r="AU234" s="544"/>
      <c r="AV234" s="544"/>
      <c r="AW234" s="544"/>
    </row>
    <row r="235" spans="1:49" x14ac:dyDescent="0.35">
      <c r="A235" s="544"/>
      <c r="B235" s="544"/>
      <c r="C235" s="544"/>
      <c r="D235" s="544"/>
      <c r="E235" s="544"/>
      <c r="F235" s="544"/>
      <c r="G235" s="544"/>
      <c r="H235" s="544"/>
      <c r="I235" s="544"/>
      <c r="J235" s="544"/>
      <c r="K235" s="544"/>
      <c r="M235" s="544"/>
      <c r="N235" s="544"/>
      <c r="O235" s="544"/>
      <c r="P235" s="544"/>
      <c r="Q235" s="544"/>
      <c r="R235" s="544"/>
      <c r="S235" s="544"/>
      <c r="U235" s="544"/>
      <c r="V235" s="544"/>
      <c r="W235" s="544"/>
      <c r="X235" s="544"/>
      <c r="Y235" s="544"/>
      <c r="Z235" s="544"/>
      <c r="AB235" s="544"/>
      <c r="AC235" s="544"/>
      <c r="AD235" s="544"/>
      <c r="AE235" s="544"/>
      <c r="AF235" s="544"/>
      <c r="AG235" s="544"/>
      <c r="AH235" s="544"/>
      <c r="AJ235" s="544"/>
      <c r="AK235" s="544"/>
      <c r="AL235" s="544"/>
      <c r="AM235" s="544"/>
      <c r="AN235" s="544"/>
      <c r="AO235" s="544"/>
      <c r="AQ235" s="544"/>
      <c r="AR235" s="544"/>
      <c r="AS235" s="544"/>
      <c r="AT235" s="544"/>
      <c r="AU235" s="544"/>
      <c r="AV235" s="544"/>
      <c r="AW235" s="544"/>
    </row>
    <row r="236" spans="1:49" x14ac:dyDescent="0.35">
      <c r="A236" s="544"/>
      <c r="B236" s="544"/>
      <c r="C236" s="544"/>
      <c r="D236" s="544"/>
      <c r="E236" s="544"/>
      <c r="F236" s="544"/>
      <c r="G236" s="544"/>
      <c r="H236" s="544"/>
      <c r="I236" s="544"/>
      <c r="J236" s="544"/>
      <c r="K236" s="544"/>
      <c r="M236" s="544"/>
      <c r="N236" s="544"/>
      <c r="O236" s="544"/>
      <c r="P236" s="544"/>
      <c r="Q236" s="544"/>
      <c r="R236" s="544"/>
      <c r="S236" s="544"/>
      <c r="U236" s="544"/>
      <c r="V236" s="544"/>
      <c r="W236" s="544"/>
      <c r="X236" s="544"/>
      <c r="Y236" s="544"/>
      <c r="Z236" s="544"/>
      <c r="AB236" s="544"/>
      <c r="AC236" s="544"/>
      <c r="AD236" s="544"/>
      <c r="AE236" s="544"/>
      <c r="AF236" s="544"/>
      <c r="AG236" s="544"/>
      <c r="AH236" s="544"/>
      <c r="AJ236" s="544"/>
      <c r="AK236" s="544"/>
      <c r="AL236" s="544"/>
      <c r="AM236" s="544"/>
      <c r="AN236" s="544"/>
      <c r="AO236" s="544"/>
      <c r="AQ236" s="544"/>
      <c r="AR236" s="544"/>
      <c r="AS236" s="544"/>
      <c r="AT236" s="544"/>
      <c r="AU236" s="544"/>
      <c r="AV236" s="544"/>
      <c r="AW236" s="544"/>
    </row>
    <row r="237" spans="1:49" x14ac:dyDescent="0.35">
      <c r="A237" s="544"/>
      <c r="B237" s="544"/>
      <c r="C237" s="544"/>
      <c r="D237" s="544"/>
      <c r="E237" s="544"/>
      <c r="F237" s="544"/>
      <c r="G237" s="544"/>
      <c r="H237" s="544"/>
      <c r="I237" s="544"/>
      <c r="J237" s="544"/>
      <c r="K237" s="544"/>
      <c r="M237" s="544"/>
      <c r="N237" s="544"/>
      <c r="O237" s="544"/>
      <c r="P237" s="544"/>
      <c r="Q237" s="544"/>
      <c r="R237" s="544"/>
      <c r="S237" s="544"/>
      <c r="U237" s="544"/>
      <c r="V237" s="544"/>
      <c r="W237" s="544"/>
      <c r="X237" s="544"/>
      <c r="Y237" s="544"/>
      <c r="Z237" s="544"/>
      <c r="AB237" s="544"/>
      <c r="AC237" s="544"/>
      <c r="AD237" s="544"/>
      <c r="AE237" s="544"/>
      <c r="AF237" s="544"/>
      <c r="AG237" s="544"/>
      <c r="AH237" s="544"/>
      <c r="AJ237" s="544"/>
      <c r="AK237" s="544"/>
      <c r="AL237" s="544"/>
      <c r="AM237" s="544"/>
      <c r="AN237" s="544"/>
      <c r="AO237" s="544"/>
      <c r="AQ237" s="544"/>
      <c r="AR237" s="544"/>
      <c r="AS237" s="544"/>
      <c r="AT237" s="544"/>
      <c r="AU237" s="544"/>
      <c r="AV237" s="544"/>
      <c r="AW237" s="544"/>
    </row>
    <row r="238" spans="1:49" x14ac:dyDescent="0.35">
      <c r="A238" s="544"/>
      <c r="B238" s="544"/>
      <c r="C238" s="544"/>
      <c r="D238" s="544"/>
      <c r="E238" s="544"/>
      <c r="F238" s="544"/>
      <c r="G238" s="544"/>
      <c r="H238" s="544"/>
      <c r="I238" s="544"/>
      <c r="J238" s="544"/>
      <c r="K238" s="544"/>
      <c r="M238" s="544"/>
      <c r="N238" s="544"/>
      <c r="O238" s="544"/>
      <c r="P238" s="544"/>
      <c r="Q238" s="544"/>
      <c r="R238" s="544"/>
      <c r="S238" s="544"/>
      <c r="U238" s="544"/>
      <c r="V238" s="544"/>
      <c r="W238" s="544"/>
      <c r="X238" s="544"/>
      <c r="Y238" s="544"/>
      <c r="Z238" s="544"/>
      <c r="AB238" s="544"/>
      <c r="AC238" s="544"/>
      <c r="AD238" s="544"/>
      <c r="AE238" s="544"/>
      <c r="AF238" s="544"/>
      <c r="AG238" s="544"/>
      <c r="AH238" s="544"/>
      <c r="AJ238" s="544"/>
      <c r="AK238" s="544"/>
      <c r="AL238" s="544"/>
      <c r="AM238" s="544"/>
      <c r="AN238" s="544"/>
      <c r="AO238" s="544"/>
      <c r="AQ238" s="544"/>
      <c r="AR238" s="544"/>
      <c r="AS238" s="544"/>
      <c r="AT238" s="544"/>
      <c r="AU238" s="544"/>
      <c r="AV238" s="544"/>
      <c r="AW238" s="544"/>
    </row>
    <row r="239" spans="1:49" x14ac:dyDescent="0.35">
      <c r="A239" s="544"/>
      <c r="B239" s="544"/>
      <c r="C239" s="544"/>
      <c r="D239" s="544"/>
      <c r="E239" s="544"/>
      <c r="F239" s="544"/>
      <c r="G239" s="544"/>
      <c r="H239" s="544"/>
      <c r="I239" s="544"/>
      <c r="J239" s="544"/>
      <c r="K239" s="544"/>
      <c r="M239" s="544"/>
      <c r="N239" s="544"/>
      <c r="O239" s="544"/>
      <c r="P239" s="544"/>
      <c r="Q239" s="544"/>
      <c r="R239" s="544"/>
      <c r="S239" s="544"/>
      <c r="U239" s="544"/>
      <c r="V239" s="544"/>
      <c r="W239" s="544"/>
      <c r="X239" s="544"/>
      <c r="Y239" s="544"/>
      <c r="Z239" s="544"/>
      <c r="AB239" s="544"/>
      <c r="AC239" s="544"/>
      <c r="AD239" s="544"/>
      <c r="AE239" s="544"/>
      <c r="AF239" s="544"/>
      <c r="AG239" s="544"/>
      <c r="AH239" s="544"/>
      <c r="AJ239" s="544"/>
      <c r="AK239" s="544"/>
      <c r="AL239" s="544"/>
      <c r="AM239" s="544"/>
      <c r="AN239" s="544"/>
      <c r="AO239" s="544"/>
      <c r="AQ239" s="544"/>
      <c r="AR239" s="544"/>
      <c r="AS239" s="544"/>
      <c r="AT239" s="544"/>
      <c r="AU239" s="544"/>
      <c r="AV239" s="544"/>
      <c r="AW239" s="544"/>
    </row>
    <row r="240" spans="1:49" x14ac:dyDescent="0.35">
      <c r="A240" s="544"/>
      <c r="B240" s="544"/>
      <c r="C240" s="544"/>
      <c r="D240" s="544"/>
      <c r="E240" s="544"/>
      <c r="F240" s="544"/>
      <c r="G240" s="544"/>
      <c r="H240" s="544"/>
      <c r="I240" s="544"/>
      <c r="J240" s="544"/>
      <c r="K240" s="544"/>
      <c r="M240" s="544"/>
      <c r="N240" s="544"/>
      <c r="O240" s="544"/>
      <c r="P240" s="544"/>
      <c r="Q240" s="544"/>
      <c r="R240" s="544"/>
      <c r="S240" s="544"/>
      <c r="U240" s="544"/>
      <c r="V240" s="544"/>
      <c r="W240" s="544"/>
      <c r="X240" s="544"/>
      <c r="Y240" s="544"/>
      <c r="Z240" s="544"/>
      <c r="AB240" s="544"/>
      <c r="AC240" s="544"/>
      <c r="AD240" s="544"/>
      <c r="AE240" s="544"/>
      <c r="AF240" s="544"/>
      <c r="AG240" s="544"/>
      <c r="AH240" s="544"/>
      <c r="AJ240" s="544"/>
      <c r="AK240" s="544"/>
      <c r="AL240" s="544"/>
      <c r="AM240" s="544"/>
      <c r="AN240" s="544"/>
      <c r="AO240" s="544"/>
      <c r="AQ240" s="544"/>
      <c r="AR240" s="544"/>
      <c r="AS240" s="544"/>
      <c r="AT240" s="544"/>
      <c r="AU240" s="544"/>
      <c r="AV240" s="544"/>
      <c r="AW240" s="544"/>
    </row>
    <row r="241" spans="1:49" x14ac:dyDescent="0.35">
      <c r="A241" s="544"/>
      <c r="B241" s="544"/>
      <c r="C241" s="544"/>
      <c r="D241" s="544"/>
      <c r="E241" s="544"/>
      <c r="F241" s="544"/>
      <c r="G241" s="544"/>
      <c r="H241" s="544"/>
      <c r="I241" s="544"/>
      <c r="J241" s="544"/>
      <c r="K241" s="544"/>
      <c r="M241" s="544"/>
      <c r="N241" s="544"/>
      <c r="O241" s="544"/>
      <c r="P241" s="544"/>
      <c r="Q241" s="544"/>
      <c r="R241" s="544"/>
      <c r="S241" s="544"/>
      <c r="U241" s="544"/>
      <c r="V241" s="544"/>
      <c r="W241" s="544"/>
      <c r="X241" s="544"/>
      <c r="Y241" s="544"/>
      <c r="Z241" s="544"/>
      <c r="AB241" s="544"/>
      <c r="AC241" s="544"/>
      <c r="AD241" s="544"/>
      <c r="AE241" s="544"/>
      <c r="AF241" s="544"/>
      <c r="AG241" s="544"/>
      <c r="AH241" s="544"/>
      <c r="AJ241" s="544"/>
      <c r="AK241" s="544"/>
      <c r="AL241" s="544"/>
      <c r="AM241" s="544"/>
      <c r="AN241" s="544"/>
      <c r="AO241" s="544"/>
      <c r="AQ241" s="544"/>
      <c r="AR241" s="544"/>
      <c r="AS241" s="544"/>
      <c r="AT241" s="544"/>
      <c r="AU241" s="544"/>
      <c r="AV241" s="544"/>
      <c r="AW241" s="544"/>
    </row>
    <row r="242" spans="1:49" x14ac:dyDescent="0.35">
      <c r="A242" s="544"/>
      <c r="B242" s="544"/>
      <c r="C242" s="544"/>
      <c r="D242" s="544"/>
      <c r="E242" s="544"/>
      <c r="F242" s="544"/>
      <c r="G242" s="544"/>
      <c r="H242" s="544"/>
      <c r="I242" s="544"/>
      <c r="J242" s="544"/>
      <c r="K242" s="544"/>
      <c r="M242" s="544"/>
      <c r="N242" s="544"/>
      <c r="O242" s="544"/>
      <c r="P242" s="544"/>
      <c r="Q242" s="544"/>
      <c r="R242" s="544"/>
      <c r="S242" s="544"/>
      <c r="U242" s="544"/>
      <c r="V242" s="544"/>
      <c r="W242" s="544"/>
      <c r="X242" s="544"/>
      <c r="Y242" s="544"/>
      <c r="Z242" s="544"/>
      <c r="AB242" s="544"/>
      <c r="AC242" s="544"/>
      <c r="AD242" s="544"/>
      <c r="AE242" s="544"/>
      <c r="AF242" s="544"/>
      <c r="AG242" s="544"/>
      <c r="AH242" s="544"/>
      <c r="AJ242" s="544"/>
      <c r="AK242" s="544"/>
      <c r="AL242" s="544"/>
      <c r="AM242" s="544"/>
      <c r="AN242" s="544"/>
      <c r="AO242" s="544"/>
      <c r="AQ242" s="544"/>
      <c r="AR242" s="544"/>
      <c r="AS242" s="544"/>
      <c r="AT242" s="544"/>
      <c r="AU242" s="544"/>
      <c r="AV242" s="544"/>
      <c r="AW242" s="544"/>
    </row>
    <row r="243" spans="1:49" x14ac:dyDescent="0.35">
      <c r="A243" s="544"/>
      <c r="B243" s="544"/>
      <c r="C243" s="544"/>
      <c r="D243" s="544"/>
      <c r="E243" s="544"/>
      <c r="F243" s="544"/>
      <c r="G243" s="544"/>
      <c r="H243" s="544"/>
      <c r="I243" s="544"/>
      <c r="J243" s="544"/>
      <c r="K243" s="544"/>
      <c r="M243" s="544"/>
      <c r="N243" s="544"/>
      <c r="O243" s="544"/>
      <c r="P243" s="544"/>
      <c r="Q243" s="544"/>
      <c r="R243" s="544"/>
      <c r="S243" s="544"/>
      <c r="U243" s="544"/>
      <c r="V243" s="544"/>
      <c r="W243" s="544"/>
      <c r="X243" s="544"/>
      <c r="Y243" s="544"/>
      <c r="Z243" s="544"/>
      <c r="AB243" s="544"/>
      <c r="AC243" s="544"/>
      <c r="AD243" s="544"/>
      <c r="AE243" s="544"/>
      <c r="AF243" s="544"/>
      <c r="AG243" s="544"/>
      <c r="AH243" s="544"/>
      <c r="AJ243" s="544"/>
      <c r="AK243" s="544"/>
      <c r="AL243" s="544"/>
      <c r="AM243" s="544"/>
      <c r="AN243" s="544"/>
      <c r="AO243" s="544"/>
      <c r="AQ243" s="544"/>
      <c r="AR243" s="544"/>
      <c r="AS243" s="544"/>
      <c r="AT243" s="544"/>
      <c r="AU243" s="544"/>
      <c r="AV243" s="544"/>
      <c r="AW243" s="544"/>
    </row>
    <row r="244" spans="1:49" x14ac:dyDescent="0.35">
      <c r="A244" s="544"/>
      <c r="B244" s="544"/>
      <c r="C244" s="544"/>
      <c r="D244" s="544"/>
      <c r="E244" s="544"/>
      <c r="F244" s="544"/>
      <c r="G244" s="544"/>
      <c r="H244" s="544"/>
      <c r="I244" s="544"/>
      <c r="J244" s="544"/>
      <c r="K244" s="544"/>
      <c r="M244" s="544"/>
      <c r="N244" s="544"/>
      <c r="O244" s="544"/>
      <c r="P244" s="544"/>
      <c r="Q244" s="544"/>
      <c r="R244" s="544"/>
      <c r="S244" s="544"/>
      <c r="U244" s="544"/>
      <c r="V244" s="544"/>
      <c r="W244" s="544"/>
      <c r="X244" s="544"/>
      <c r="Y244" s="544"/>
      <c r="Z244" s="544"/>
      <c r="AB244" s="544"/>
      <c r="AC244" s="544"/>
      <c r="AD244" s="544"/>
      <c r="AE244" s="544"/>
      <c r="AF244" s="544"/>
      <c r="AG244" s="544"/>
      <c r="AH244" s="544"/>
      <c r="AJ244" s="544"/>
      <c r="AK244" s="544"/>
      <c r="AL244" s="544"/>
      <c r="AM244" s="544"/>
      <c r="AN244" s="544"/>
      <c r="AO244" s="544"/>
      <c r="AQ244" s="544"/>
      <c r="AR244" s="544"/>
      <c r="AS244" s="544"/>
      <c r="AT244" s="544"/>
      <c r="AU244" s="544"/>
      <c r="AV244" s="544"/>
      <c r="AW244" s="544"/>
    </row>
    <row r="245" spans="1:49" x14ac:dyDescent="0.35">
      <c r="A245" s="544"/>
      <c r="B245" s="544"/>
      <c r="C245" s="544"/>
      <c r="D245" s="544"/>
      <c r="E245" s="544"/>
      <c r="F245" s="544"/>
      <c r="G245" s="544"/>
      <c r="H245" s="544"/>
      <c r="I245" s="544"/>
      <c r="J245" s="544"/>
      <c r="K245" s="544"/>
      <c r="M245" s="544"/>
      <c r="N245" s="544"/>
      <c r="O245" s="544"/>
      <c r="P245" s="544"/>
      <c r="Q245" s="544"/>
      <c r="R245" s="544"/>
      <c r="S245" s="544"/>
      <c r="U245" s="544"/>
      <c r="V245" s="544"/>
      <c r="W245" s="544"/>
      <c r="X245" s="544"/>
      <c r="Y245" s="544"/>
      <c r="Z245" s="544"/>
      <c r="AB245" s="544"/>
      <c r="AC245" s="544"/>
      <c r="AD245" s="544"/>
      <c r="AE245" s="544"/>
      <c r="AF245" s="544"/>
      <c r="AG245" s="544"/>
      <c r="AH245" s="544"/>
      <c r="AJ245" s="544"/>
      <c r="AK245" s="544"/>
      <c r="AL245" s="544"/>
      <c r="AM245" s="544"/>
      <c r="AN245" s="544"/>
      <c r="AO245" s="544"/>
      <c r="AQ245" s="544"/>
      <c r="AR245" s="544"/>
      <c r="AS245" s="544"/>
      <c r="AT245" s="544"/>
      <c r="AU245" s="544"/>
      <c r="AV245" s="544"/>
      <c r="AW245" s="544"/>
    </row>
    <row r="246" spans="1:49" x14ac:dyDescent="0.35">
      <c r="A246" s="544"/>
      <c r="B246" s="544"/>
      <c r="C246" s="544"/>
      <c r="D246" s="544"/>
      <c r="E246" s="544"/>
      <c r="F246" s="544"/>
      <c r="G246" s="544"/>
      <c r="H246" s="544"/>
      <c r="I246" s="544"/>
      <c r="J246" s="544"/>
      <c r="K246" s="544"/>
      <c r="M246" s="544"/>
      <c r="N246" s="544"/>
      <c r="O246" s="544"/>
      <c r="P246" s="544"/>
      <c r="Q246" s="544"/>
      <c r="R246" s="544"/>
      <c r="S246" s="544"/>
      <c r="U246" s="544"/>
      <c r="V246" s="544"/>
      <c r="W246" s="544"/>
      <c r="X246" s="544"/>
      <c r="Y246" s="544"/>
      <c r="Z246" s="544"/>
      <c r="AB246" s="544"/>
      <c r="AC246" s="544"/>
      <c r="AD246" s="544"/>
      <c r="AE246" s="544"/>
      <c r="AF246" s="544"/>
      <c r="AG246" s="544"/>
      <c r="AH246" s="544"/>
      <c r="AJ246" s="544"/>
      <c r="AK246" s="544"/>
      <c r="AL246" s="544"/>
      <c r="AM246" s="544"/>
      <c r="AN246" s="544"/>
      <c r="AO246" s="544"/>
      <c r="AQ246" s="544"/>
      <c r="AR246" s="544"/>
      <c r="AS246" s="544"/>
      <c r="AT246" s="544"/>
      <c r="AU246" s="544"/>
      <c r="AV246" s="544"/>
      <c r="AW246" s="544"/>
    </row>
    <row r="247" spans="1:49" x14ac:dyDescent="0.35">
      <c r="A247" s="544"/>
      <c r="B247" s="544"/>
      <c r="C247" s="544"/>
      <c r="D247" s="544"/>
      <c r="E247" s="544"/>
      <c r="F247" s="544"/>
      <c r="G247" s="544"/>
      <c r="H247" s="544"/>
      <c r="I247" s="544"/>
      <c r="J247" s="544"/>
      <c r="K247" s="544"/>
      <c r="M247" s="544"/>
      <c r="N247" s="544"/>
      <c r="O247" s="544"/>
      <c r="P247" s="544"/>
      <c r="Q247" s="544"/>
      <c r="R247" s="544"/>
      <c r="S247" s="544"/>
      <c r="U247" s="544"/>
      <c r="V247" s="544"/>
      <c r="W247" s="544"/>
      <c r="X247" s="544"/>
      <c r="Y247" s="544"/>
      <c r="Z247" s="544"/>
      <c r="AB247" s="544"/>
      <c r="AC247" s="544"/>
      <c r="AD247" s="544"/>
      <c r="AE247" s="544"/>
      <c r="AF247" s="544"/>
      <c r="AG247" s="544"/>
      <c r="AH247" s="544"/>
      <c r="AJ247" s="544"/>
      <c r="AK247" s="544"/>
      <c r="AL247" s="544"/>
      <c r="AM247" s="544"/>
      <c r="AN247" s="544"/>
      <c r="AO247" s="544"/>
      <c r="AQ247" s="544"/>
      <c r="AR247" s="544"/>
      <c r="AS247" s="544"/>
      <c r="AT247" s="544"/>
      <c r="AU247" s="544"/>
      <c r="AV247" s="544"/>
      <c r="AW247" s="544"/>
    </row>
    <row r="248" spans="1:49" x14ac:dyDescent="0.35">
      <c r="A248" s="544"/>
      <c r="B248" s="544"/>
      <c r="C248" s="544"/>
      <c r="D248" s="544"/>
      <c r="E248" s="544"/>
      <c r="F248" s="544"/>
      <c r="G248" s="544"/>
      <c r="H248" s="544"/>
      <c r="I248" s="544"/>
      <c r="J248" s="544"/>
      <c r="K248" s="544"/>
      <c r="M248" s="544"/>
      <c r="N248" s="544"/>
      <c r="O248" s="544"/>
      <c r="P248" s="544"/>
      <c r="Q248" s="544"/>
      <c r="R248" s="544"/>
      <c r="S248" s="544"/>
      <c r="U248" s="544"/>
      <c r="V248" s="544"/>
      <c r="W248" s="544"/>
      <c r="X248" s="544"/>
      <c r="Y248" s="544"/>
      <c r="Z248" s="544"/>
      <c r="AB248" s="544"/>
      <c r="AC248" s="544"/>
      <c r="AD248" s="544"/>
      <c r="AE248" s="544"/>
      <c r="AF248" s="544"/>
      <c r="AG248" s="544"/>
      <c r="AH248" s="544"/>
      <c r="AJ248" s="544"/>
      <c r="AK248" s="544"/>
      <c r="AL248" s="544"/>
      <c r="AM248" s="544"/>
      <c r="AN248" s="544"/>
      <c r="AO248" s="544"/>
      <c r="AQ248" s="544"/>
      <c r="AR248" s="544"/>
      <c r="AS248" s="544"/>
      <c r="AT248" s="544"/>
      <c r="AU248" s="544"/>
      <c r="AV248" s="544"/>
      <c r="AW248" s="544"/>
    </row>
    <row r="249" spans="1:49" x14ac:dyDescent="0.35">
      <c r="A249" s="544"/>
      <c r="B249" s="544"/>
      <c r="C249" s="544"/>
      <c r="D249" s="544"/>
      <c r="E249" s="544"/>
      <c r="F249" s="544"/>
      <c r="G249" s="544"/>
      <c r="H249" s="544"/>
      <c r="I249" s="544"/>
      <c r="J249" s="544"/>
      <c r="K249" s="544"/>
      <c r="M249" s="544"/>
      <c r="N249" s="544"/>
      <c r="O249" s="544"/>
      <c r="P249" s="544"/>
      <c r="Q249" s="544"/>
      <c r="R249" s="544"/>
      <c r="S249" s="544"/>
      <c r="U249" s="544"/>
      <c r="V249" s="544"/>
      <c r="W249" s="544"/>
      <c r="X249" s="544"/>
      <c r="Y249" s="544"/>
      <c r="Z249" s="544"/>
      <c r="AB249" s="544"/>
      <c r="AC249" s="544"/>
      <c r="AD249" s="544"/>
      <c r="AE249" s="544"/>
      <c r="AF249" s="544"/>
      <c r="AG249" s="544"/>
      <c r="AH249" s="544"/>
      <c r="AJ249" s="544"/>
      <c r="AK249" s="544"/>
      <c r="AL249" s="544"/>
      <c r="AM249" s="544"/>
      <c r="AN249" s="544"/>
      <c r="AO249" s="544"/>
      <c r="AQ249" s="544"/>
      <c r="AR249" s="544"/>
      <c r="AS249" s="544"/>
      <c r="AT249" s="544"/>
      <c r="AU249" s="544"/>
      <c r="AV249" s="544"/>
      <c r="AW249" s="544"/>
    </row>
    <row r="250" spans="1:49" x14ac:dyDescent="0.35">
      <c r="A250" s="544"/>
      <c r="B250" s="544"/>
      <c r="C250" s="544"/>
      <c r="D250" s="544"/>
      <c r="E250" s="544"/>
      <c r="F250" s="544"/>
      <c r="G250" s="544"/>
      <c r="H250" s="544"/>
      <c r="I250" s="544"/>
      <c r="J250" s="544"/>
      <c r="K250" s="544"/>
      <c r="M250" s="544"/>
      <c r="N250" s="544"/>
      <c r="O250" s="544"/>
      <c r="P250" s="544"/>
      <c r="Q250" s="544"/>
      <c r="R250" s="544"/>
      <c r="S250" s="544"/>
      <c r="U250" s="544"/>
      <c r="V250" s="544"/>
      <c r="W250" s="544"/>
      <c r="X250" s="544"/>
      <c r="Y250" s="544"/>
      <c r="Z250" s="544"/>
      <c r="AB250" s="544"/>
      <c r="AC250" s="544"/>
      <c r="AD250" s="544"/>
      <c r="AE250" s="544"/>
      <c r="AF250" s="544"/>
      <c r="AG250" s="544"/>
      <c r="AH250" s="544"/>
      <c r="AJ250" s="544"/>
      <c r="AK250" s="544"/>
      <c r="AL250" s="544"/>
      <c r="AM250" s="544"/>
      <c r="AN250" s="544"/>
      <c r="AO250" s="544"/>
      <c r="AQ250" s="544"/>
      <c r="AR250" s="544"/>
      <c r="AS250" s="544"/>
      <c r="AT250" s="544"/>
      <c r="AU250" s="544"/>
      <c r="AV250" s="544"/>
      <c r="AW250" s="544"/>
    </row>
    <row r="251" spans="1:49" x14ac:dyDescent="0.35">
      <c r="A251" s="544"/>
      <c r="B251" s="544"/>
      <c r="C251" s="544"/>
      <c r="D251" s="544"/>
      <c r="E251" s="544"/>
      <c r="F251" s="544"/>
      <c r="G251" s="544"/>
      <c r="H251" s="544"/>
      <c r="I251" s="544"/>
      <c r="J251" s="544"/>
      <c r="K251" s="544"/>
      <c r="M251" s="544"/>
      <c r="N251" s="544"/>
      <c r="O251" s="544"/>
      <c r="P251" s="544"/>
      <c r="Q251" s="544"/>
      <c r="R251" s="544"/>
      <c r="S251" s="544"/>
      <c r="U251" s="544"/>
      <c r="V251" s="544"/>
      <c r="W251" s="544"/>
      <c r="X251" s="544"/>
      <c r="Y251" s="544"/>
      <c r="Z251" s="544"/>
      <c r="AB251" s="544"/>
      <c r="AC251" s="544"/>
      <c r="AD251" s="544"/>
      <c r="AE251" s="544"/>
      <c r="AF251" s="544"/>
      <c r="AG251" s="544"/>
      <c r="AH251" s="544"/>
      <c r="AJ251" s="544"/>
      <c r="AK251" s="544"/>
      <c r="AL251" s="544"/>
      <c r="AM251" s="544"/>
      <c r="AN251" s="544"/>
      <c r="AO251" s="544"/>
      <c r="AQ251" s="544"/>
      <c r="AR251" s="544"/>
      <c r="AS251" s="544"/>
      <c r="AT251" s="544"/>
      <c r="AU251" s="544"/>
      <c r="AV251" s="544"/>
      <c r="AW251" s="544"/>
    </row>
    <row r="252" spans="1:49" x14ac:dyDescent="0.35">
      <c r="A252" s="544"/>
      <c r="B252" s="544"/>
      <c r="C252" s="544"/>
      <c r="D252" s="544"/>
      <c r="E252" s="544"/>
      <c r="F252" s="544"/>
      <c r="G252" s="544"/>
      <c r="H252" s="544"/>
      <c r="I252" s="544"/>
      <c r="J252" s="544"/>
      <c r="K252" s="544"/>
      <c r="M252" s="544"/>
      <c r="N252" s="544"/>
      <c r="O252" s="544"/>
      <c r="P252" s="544"/>
      <c r="Q252" s="544"/>
      <c r="R252" s="544"/>
      <c r="S252" s="544"/>
      <c r="U252" s="544"/>
      <c r="V252" s="544"/>
      <c r="W252" s="544"/>
      <c r="X252" s="544"/>
      <c r="Y252" s="544"/>
      <c r="Z252" s="544"/>
      <c r="AB252" s="544"/>
      <c r="AC252" s="544"/>
      <c r="AD252" s="544"/>
      <c r="AE252" s="544"/>
      <c r="AF252" s="544"/>
      <c r="AG252" s="544"/>
      <c r="AH252" s="544"/>
      <c r="AJ252" s="544"/>
      <c r="AK252" s="544"/>
      <c r="AL252" s="544"/>
      <c r="AM252" s="544"/>
      <c r="AN252" s="544"/>
      <c r="AO252" s="544"/>
      <c r="AQ252" s="544"/>
      <c r="AR252" s="544"/>
      <c r="AS252" s="544"/>
      <c r="AT252" s="544"/>
      <c r="AU252" s="544"/>
      <c r="AV252" s="544"/>
      <c r="AW252" s="544"/>
    </row>
    <row r="253" spans="1:49" x14ac:dyDescent="0.35">
      <c r="A253" s="544"/>
      <c r="B253" s="544"/>
      <c r="C253" s="544"/>
      <c r="D253" s="544"/>
      <c r="E253" s="544"/>
      <c r="F253" s="544"/>
      <c r="G253" s="544"/>
      <c r="H253" s="544"/>
      <c r="I253" s="544"/>
      <c r="J253" s="544"/>
      <c r="K253" s="544"/>
      <c r="M253" s="544"/>
      <c r="N253" s="544"/>
      <c r="O253" s="544"/>
      <c r="P253" s="544"/>
      <c r="Q253" s="544"/>
      <c r="R253" s="544"/>
      <c r="S253" s="544"/>
      <c r="U253" s="544"/>
      <c r="V253" s="544"/>
      <c r="W253" s="544"/>
      <c r="X253" s="544"/>
      <c r="Y253" s="544"/>
      <c r="Z253" s="544"/>
      <c r="AB253" s="544"/>
      <c r="AC253" s="544"/>
      <c r="AD253" s="544"/>
      <c r="AE253" s="544"/>
      <c r="AF253" s="544"/>
      <c r="AG253" s="544"/>
      <c r="AH253" s="544"/>
      <c r="AJ253" s="544"/>
      <c r="AK253" s="544"/>
      <c r="AL253" s="544"/>
      <c r="AM253" s="544"/>
      <c r="AN253" s="544"/>
      <c r="AO253" s="544"/>
      <c r="AQ253" s="544"/>
      <c r="AR253" s="544"/>
      <c r="AS253" s="544"/>
      <c r="AT253" s="544"/>
      <c r="AU253" s="544"/>
      <c r="AV253" s="544"/>
      <c r="AW253" s="544"/>
    </row>
    <row r="254" spans="1:49" x14ac:dyDescent="0.35">
      <c r="A254" s="544"/>
      <c r="B254" s="544"/>
      <c r="C254" s="544"/>
      <c r="D254" s="544"/>
      <c r="E254" s="544"/>
      <c r="F254" s="544"/>
      <c r="G254" s="544"/>
      <c r="H254" s="544"/>
      <c r="I254" s="544"/>
      <c r="J254" s="544"/>
      <c r="K254" s="544"/>
      <c r="M254" s="544"/>
      <c r="N254" s="544"/>
      <c r="O254" s="544"/>
      <c r="P254" s="544"/>
      <c r="Q254" s="544"/>
      <c r="R254" s="544"/>
      <c r="S254" s="544"/>
      <c r="U254" s="544"/>
      <c r="V254" s="544"/>
      <c r="W254" s="544"/>
      <c r="X254" s="544"/>
      <c r="Y254" s="544"/>
      <c r="Z254" s="544"/>
      <c r="AB254" s="544"/>
      <c r="AC254" s="544"/>
      <c r="AD254" s="544"/>
      <c r="AE254" s="544"/>
      <c r="AF254" s="544"/>
      <c r="AG254" s="544"/>
      <c r="AH254" s="544"/>
      <c r="AJ254" s="544"/>
      <c r="AK254" s="544"/>
      <c r="AL254" s="544"/>
      <c r="AM254" s="544"/>
      <c r="AN254" s="544"/>
      <c r="AO254" s="544"/>
      <c r="AQ254" s="544"/>
      <c r="AR254" s="544"/>
      <c r="AS254" s="544"/>
      <c r="AT254" s="544"/>
      <c r="AU254" s="544"/>
      <c r="AV254" s="544"/>
      <c r="AW254" s="544"/>
    </row>
    <row r="255" spans="1:49" x14ac:dyDescent="0.35">
      <c r="A255" s="544"/>
      <c r="B255" s="544"/>
      <c r="C255" s="544"/>
      <c r="D255" s="544"/>
      <c r="E255" s="544"/>
      <c r="F255" s="544"/>
      <c r="G255" s="544"/>
      <c r="H255" s="544"/>
      <c r="I255" s="544"/>
      <c r="J255" s="544"/>
      <c r="K255" s="544"/>
      <c r="M255" s="544"/>
      <c r="N255" s="544"/>
      <c r="O255" s="544"/>
      <c r="P255" s="544"/>
      <c r="Q255" s="544"/>
      <c r="R255" s="544"/>
      <c r="S255" s="544"/>
      <c r="U255" s="544"/>
      <c r="V255" s="544"/>
      <c r="W255" s="544"/>
      <c r="X255" s="544"/>
      <c r="Y255" s="544"/>
      <c r="Z255" s="544"/>
      <c r="AB255" s="544"/>
      <c r="AC255" s="544"/>
      <c r="AD255" s="544"/>
      <c r="AE255" s="544"/>
      <c r="AF255" s="544"/>
      <c r="AG255" s="544"/>
      <c r="AH255" s="544"/>
      <c r="AJ255" s="544"/>
      <c r="AK255" s="544"/>
      <c r="AL255" s="544"/>
      <c r="AM255" s="544"/>
      <c r="AN255" s="544"/>
      <c r="AO255" s="544"/>
      <c r="AQ255" s="544"/>
      <c r="AR255" s="544"/>
      <c r="AS255" s="544"/>
      <c r="AT255" s="544"/>
      <c r="AU255" s="544"/>
      <c r="AV255" s="544"/>
      <c r="AW255" s="544"/>
    </row>
    <row r="256" spans="1:49" x14ac:dyDescent="0.35">
      <c r="B256" s="544"/>
      <c r="C256" s="544"/>
      <c r="D256" s="544"/>
      <c r="E256" s="544"/>
      <c r="F256" s="544"/>
      <c r="G256" s="544"/>
      <c r="H256" s="544"/>
      <c r="I256" s="544"/>
      <c r="J256" s="544"/>
      <c r="K256" s="544"/>
      <c r="M256" s="544"/>
      <c r="N256" s="544"/>
      <c r="O256" s="544"/>
      <c r="P256" s="544"/>
      <c r="Q256" s="544"/>
      <c r="R256" s="544"/>
      <c r="S256" s="544"/>
      <c r="U256" s="544"/>
      <c r="V256" s="544"/>
      <c r="W256" s="544"/>
      <c r="X256" s="544"/>
      <c r="Y256" s="544"/>
      <c r="Z256" s="544"/>
      <c r="AB256" s="544"/>
      <c r="AC256" s="544"/>
      <c r="AD256" s="544"/>
      <c r="AE256" s="544"/>
      <c r="AF256" s="544"/>
      <c r="AG256" s="544"/>
      <c r="AH256" s="544"/>
      <c r="AJ256" s="544"/>
      <c r="AK256" s="544"/>
      <c r="AL256" s="544"/>
      <c r="AM256" s="544"/>
      <c r="AN256" s="544"/>
      <c r="AO256" s="544"/>
      <c r="AQ256" s="544"/>
      <c r="AR256" s="544"/>
      <c r="AS256" s="544"/>
      <c r="AT256" s="544"/>
      <c r="AU256" s="544"/>
      <c r="AV256" s="544"/>
      <c r="AW256" s="544"/>
    </row>
    <row r="257" spans="2:49" x14ac:dyDescent="0.35">
      <c r="B257" s="544"/>
      <c r="C257" s="544"/>
      <c r="D257" s="544"/>
      <c r="E257" s="544"/>
      <c r="F257" s="544"/>
      <c r="G257" s="544"/>
      <c r="H257" s="544"/>
      <c r="I257" s="544"/>
      <c r="J257" s="544"/>
      <c r="K257" s="544"/>
      <c r="M257" s="544"/>
      <c r="N257" s="544"/>
      <c r="O257" s="544"/>
      <c r="P257" s="544"/>
      <c r="Q257" s="544"/>
      <c r="R257" s="544"/>
      <c r="S257" s="544"/>
      <c r="U257" s="544"/>
      <c r="V257" s="544"/>
      <c r="W257" s="544"/>
      <c r="X257" s="544"/>
      <c r="Y257" s="544"/>
      <c r="Z257" s="544"/>
      <c r="AB257" s="544"/>
      <c r="AC257" s="544"/>
      <c r="AD257" s="544"/>
      <c r="AE257" s="544"/>
      <c r="AF257" s="544"/>
      <c r="AG257" s="544"/>
      <c r="AH257" s="544"/>
      <c r="AJ257" s="544"/>
      <c r="AK257" s="544"/>
      <c r="AL257" s="544"/>
      <c r="AM257" s="544"/>
      <c r="AN257" s="544"/>
      <c r="AO257" s="544"/>
      <c r="AQ257" s="544"/>
      <c r="AR257" s="544"/>
      <c r="AS257" s="544"/>
      <c r="AT257" s="544"/>
      <c r="AU257" s="544"/>
      <c r="AV257" s="544"/>
      <c r="AW257" s="544"/>
    </row>
    <row r="258" spans="2:49" x14ac:dyDescent="0.35">
      <c r="B258" s="544"/>
      <c r="C258" s="544"/>
      <c r="D258" s="544"/>
      <c r="E258" s="544"/>
      <c r="F258" s="544"/>
      <c r="G258" s="544"/>
      <c r="H258" s="544"/>
      <c r="I258" s="544"/>
      <c r="J258" s="544"/>
      <c r="K258" s="544"/>
      <c r="M258" s="544"/>
      <c r="N258" s="544"/>
      <c r="O258" s="544"/>
      <c r="P258" s="544"/>
      <c r="Q258" s="544"/>
      <c r="R258" s="544"/>
      <c r="S258" s="544"/>
      <c r="U258" s="544"/>
      <c r="V258" s="544"/>
      <c r="W258" s="544"/>
      <c r="X258" s="544"/>
      <c r="Y258" s="544"/>
      <c r="Z258" s="544"/>
      <c r="AB258" s="544"/>
      <c r="AC258" s="544"/>
      <c r="AD258" s="544"/>
      <c r="AE258" s="544"/>
      <c r="AF258" s="544"/>
      <c r="AG258" s="544"/>
      <c r="AH258" s="544"/>
      <c r="AJ258" s="544"/>
      <c r="AK258" s="544"/>
      <c r="AL258" s="544"/>
      <c r="AM258" s="544"/>
      <c r="AN258" s="544"/>
      <c r="AO258" s="544"/>
      <c r="AQ258" s="544"/>
      <c r="AR258" s="544"/>
      <c r="AS258" s="544"/>
      <c r="AT258" s="544"/>
      <c r="AU258" s="544"/>
      <c r="AV258" s="544"/>
      <c r="AW258" s="544"/>
    </row>
    <row r="259" spans="2:49" x14ac:dyDescent="0.35">
      <c r="B259" s="544"/>
      <c r="C259" s="544"/>
      <c r="D259" s="544"/>
      <c r="E259" s="544"/>
      <c r="F259" s="544"/>
      <c r="G259" s="544"/>
      <c r="H259" s="544"/>
      <c r="I259" s="544"/>
      <c r="J259" s="544"/>
      <c r="K259" s="544"/>
      <c r="M259" s="544"/>
      <c r="N259" s="544"/>
      <c r="O259" s="544"/>
      <c r="P259" s="544"/>
      <c r="Q259" s="544"/>
      <c r="R259" s="544"/>
      <c r="S259" s="544"/>
      <c r="U259" s="544"/>
      <c r="V259" s="544"/>
      <c r="W259" s="544"/>
      <c r="X259" s="544"/>
      <c r="Y259" s="544"/>
      <c r="Z259" s="544"/>
      <c r="AB259" s="544"/>
      <c r="AC259" s="544"/>
      <c r="AD259" s="544"/>
      <c r="AE259" s="544"/>
      <c r="AF259" s="544"/>
      <c r="AG259" s="544"/>
      <c r="AH259" s="544"/>
      <c r="AJ259" s="544"/>
      <c r="AK259" s="544"/>
      <c r="AL259" s="544"/>
      <c r="AM259" s="544"/>
      <c r="AN259" s="544"/>
      <c r="AO259" s="544"/>
      <c r="AQ259" s="544"/>
      <c r="AR259" s="544"/>
      <c r="AS259" s="544"/>
      <c r="AT259" s="544"/>
      <c r="AU259" s="544"/>
      <c r="AV259" s="544"/>
      <c r="AW259" s="544"/>
    </row>
    <row r="260" spans="2:49" x14ac:dyDescent="0.35">
      <c r="B260" s="544"/>
      <c r="C260" s="544"/>
      <c r="D260" s="544"/>
      <c r="E260" s="544"/>
      <c r="F260" s="544"/>
      <c r="G260" s="544"/>
      <c r="H260" s="544"/>
      <c r="I260" s="544"/>
      <c r="J260" s="544"/>
      <c r="K260" s="544"/>
      <c r="M260" s="544"/>
      <c r="N260" s="544"/>
      <c r="O260" s="544"/>
      <c r="P260" s="544"/>
      <c r="Q260" s="544"/>
      <c r="R260" s="544"/>
      <c r="S260" s="544"/>
      <c r="U260" s="544"/>
      <c r="V260" s="544"/>
      <c r="W260" s="544"/>
      <c r="X260" s="544"/>
      <c r="Y260" s="544"/>
      <c r="Z260" s="544"/>
      <c r="AB260" s="544"/>
      <c r="AC260" s="544"/>
      <c r="AD260" s="544"/>
      <c r="AE260" s="544"/>
      <c r="AF260" s="544"/>
      <c r="AG260" s="544"/>
      <c r="AH260" s="544"/>
      <c r="AJ260" s="544"/>
      <c r="AK260" s="544"/>
      <c r="AL260" s="544"/>
      <c r="AM260" s="544"/>
      <c r="AN260" s="544"/>
      <c r="AO260" s="544"/>
      <c r="AQ260" s="544"/>
      <c r="AR260" s="544"/>
      <c r="AS260" s="544"/>
      <c r="AT260" s="544"/>
      <c r="AU260" s="544"/>
      <c r="AV260" s="544"/>
      <c r="AW260" s="544"/>
    </row>
    <row r="261" spans="2:49" x14ac:dyDescent="0.35">
      <c r="B261" s="544"/>
      <c r="C261" s="544"/>
      <c r="D261" s="544"/>
      <c r="E261" s="544"/>
      <c r="F261" s="544"/>
      <c r="G261" s="544"/>
      <c r="H261" s="544"/>
      <c r="I261" s="544"/>
      <c r="J261" s="544"/>
      <c r="K261" s="544"/>
      <c r="M261" s="544"/>
      <c r="N261" s="544"/>
      <c r="O261" s="544"/>
      <c r="P261" s="544"/>
      <c r="Q261" s="544"/>
      <c r="R261" s="544"/>
      <c r="S261" s="544"/>
      <c r="U261" s="544"/>
      <c r="V261" s="544"/>
      <c r="W261" s="544"/>
      <c r="X261" s="544"/>
      <c r="Y261" s="544"/>
      <c r="Z261" s="544"/>
      <c r="AB261" s="544"/>
      <c r="AC261" s="544"/>
      <c r="AD261" s="544"/>
      <c r="AE261" s="544"/>
      <c r="AF261" s="544"/>
      <c r="AG261" s="544"/>
      <c r="AH261" s="544"/>
      <c r="AJ261" s="544"/>
      <c r="AK261" s="544"/>
      <c r="AL261" s="544"/>
      <c r="AM261" s="544"/>
      <c r="AN261" s="544"/>
      <c r="AO261" s="544"/>
      <c r="AQ261" s="544"/>
      <c r="AR261" s="544"/>
      <c r="AS261" s="544"/>
      <c r="AT261" s="544"/>
      <c r="AU261" s="544"/>
      <c r="AV261" s="544"/>
      <c r="AW261" s="544"/>
    </row>
    <row r="262" spans="2:49" x14ac:dyDescent="0.35">
      <c r="B262" s="544"/>
      <c r="C262" s="544"/>
      <c r="D262" s="544"/>
      <c r="E262" s="544"/>
      <c r="F262" s="544"/>
      <c r="G262" s="544"/>
      <c r="H262" s="544"/>
      <c r="I262" s="544"/>
      <c r="J262" s="544"/>
      <c r="K262" s="544"/>
      <c r="M262" s="544"/>
      <c r="N262" s="544"/>
      <c r="O262" s="544"/>
      <c r="P262" s="544"/>
      <c r="Q262" s="544"/>
      <c r="R262" s="544"/>
      <c r="S262" s="544"/>
      <c r="U262" s="544"/>
      <c r="V262" s="544"/>
      <c r="W262" s="544"/>
      <c r="X262" s="544"/>
      <c r="Y262" s="544"/>
      <c r="Z262" s="544"/>
      <c r="AB262" s="544"/>
      <c r="AC262" s="544"/>
      <c r="AD262" s="544"/>
      <c r="AE262" s="544"/>
      <c r="AF262" s="544"/>
      <c r="AG262" s="544"/>
      <c r="AH262" s="544"/>
      <c r="AJ262" s="544"/>
      <c r="AK262" s="544"/>
      <c r="AL262" s="544"/>
      <c r="AM262" s="544"/>
      <c r="AN262" s="544"/>
      <c r="AO262" s="544"/>
      <c r="AQ262" s="544"/>
      <c r="AR262" s="544"/>
      <c r="AS262" s="544"/>
      <c r="AT262" s="544"/>
      <c r="AU262" s="544"/>
      <c r="AV262" s="544"/>
      <c r="AW262" s="544"/>
    </row>
    <row r="263" spans="2:49" x14ac:dyDescent="0.35">
      <c r="B263" s="544"/>
      <c r="C263" s="544"/>
      <c r="D263" s="544"/>
      <c r="E263" s="544"/>
      <c r="F263" s="544"/>
      <c r="G263" s="544"/>
      <c r="H263" s="544"/>
      <c r="I263" s="544"/>
      <c r="J263" s="544"/>
      <c r="K263" s="544"/>
      <c r="M263" s="544"/>
      <c r="N263" s="544"/>
      <c r="O263" s="544"/>
      <c r="P263" s="544"/>
      <c r="Q263" s="544"/>
      <c r="R263" s="544"/>
      <c r="S263" s="544"/>
      <c r="U263" s="544"/>
      <c r="V263" s="544"/>
      <c r="W263" s="544"/>
      <c r="X263" s="544"/>
      <c r="Y263" s="544"/>
      <c r="Z263" s="544"/>
      <c r="AB263" s="544"/>
      <c r="AC263" s="544"/>
      <c r="AD263" s="544"/>
      <c r="AE263" s="544"/>
      <c r="AF263" s="544"/>
      <c r="AG263" s="544"/>
      <c r="AH263" s="544"/>
      <c r="AJ263" s="544"/>
      <c r="AK263" s="544"/>
      <c r="AL263" s="544"/>
      <c r="AM263" s="544"/>
      <c r="AN263" s="544"/>
      <c r="AO263" s="544"/>
      <c r="AQ263" s="544"/>
      <c r="AR263" s="544"/>
      <c r="AS263" s="544"/>
      <c r="AT263" s="544"/>
      <c r="AU263" s="544"/>
      <c r="AV263" s="544"/>
      <c r="AW263" s="544"/>
    </row>
    <row r="264" spans="2:49" x14ac:dyDescent="0.35">
      <c r="B264" s="544"/>
      <c r="C264" s="544"/>
      <c r="D264" s="544"/>
      <c r="E264" s="544"/>
      <c r="F264" s="544"/>
      <c r="G264" s="544"/>
      <c r="H264" s="544"/>
      <c r="I264" s="544"/>
      <c r="J264" s="544"/>
      <c r="K264" s="544"/>
      <c r="M264" s="544"/>
      <c r="N264" s="544"/>
      <c r="O264" s="544"/>
      <c r="P264" s="544"/>
      <c r="Q264" s="544"/>
      <c r="R264" s="544"/>
      <c r="S264" s="544"/>
      <c r="U264" s="544"/>
      <c r="V264" s="544"/>
      <c r="W264" s="544"/>
      <c r="X264" s="544"/>
      <c r="Y264" s="544"/>
      <c r="Z264" s="544"/>
      <c r="AB264" s="544"/>
      <c r="AC264" s="544"/>
      <c r="AD264" s="544"/>
      <c r="AE264" s="544"/>
      <c r="AF264" s="544"/>
      <c r="AG264" s="544"/>
      <c r="AH264" s="544"/>
      <c r="AJ264" s="544"/>
      <c r="AK264" s="544"/>
      <c r="AL264" s="544"/>
      <c r="AM264" s="544"/>
      <c r="AN264" s="544"/>
      <c r="AO264" s="544"/>
      <c r="AQ264" s="544"/>
      <c r="AR264" s="544"/>
      <c r="AS264" s="544"/>
      <c r="AT264" s="544"/>
      <c r="AU264" s="544"/>
      <c r="AV264" s="544"/>
      <c r="AW264" s="544"/>
    </row>
    <row r="265" spans="2:49" x14ac:dyDescent="0.35">
      <c r="B265" s="544"/>
      <c r="C265" s="544"/>
      <c r="D265" s="544"/>
      <c r="E265" s="544"/>
      <c r="F265" s="544"/>
      <c r="G265" s="544"/>
      <c r="H265" s="544"/>
      <c r="I265" s="544"/>
      <c r="J265" s="544"/>
      <c r="K265" s="544"/>
      <c r="M265" s="544"/>
      <c r="N265" s="544"/>
      <c r="O265" s="544"/>
      <c r="P265" s="544"/>
      <c r="Q265" s="544"/>
      <c r="R265" s="544"/>
      <c r="S265" s="544"/>
      <c r="U265" s="544"/>
      <c r="V265" s="544"/>
      <c r="W265" s="544"/>
      <c r="X265" s="544"/>
      <c r="Y265" s="544"/>
      <c r="Z265" s="544"/>
      <c r="AB265" s="544"/>
      <c r="AC265" s="544"/>
      <c r="AD265" s="544"/>
      <c r="AE265" s="544"/>
      <c r="AF265" s="544"/>
      <c r="AG265" s="544"/>
      <c r="AH265" s="544"/>
      <c r="AJ265" s="544"/>
      <c r="AK265" s="544"/>
      <c r="AL265" s="544"/>
      <c r="AM265" s="544"/>
      <c r="AN265" s="544"/>
      <c r="AO265" s="544"/>
      <c r="AQ265" s="544"/>
      <c r="AR265" s="544"/>
      <c r="AS265" s="544"/>
      <c r="AT265" s="544"/>
      <c r="AU265" s="544"/>
      <c r="AV265" s="544"/>
      <c r="AW265" s="544"/>
    </row>
    <row r="266" spans="2:49" x14ac:dyDescent="0.35">
      <c r="B266" s="544"/>
      <c r="C266" s="544"/>
      <c r="D266" s="544"/>
      <c r="E266" s="544"/>
      <c r="F266" s="544"/>
      <c r="G266" s="544"/>
      <c r="H266" s="544"/>
      <c r="I266" s="544"/>
      <c r="J266" s="544"/>
      <c r="K266" s="544"/>
      <c r="M266" s="544"/>
      <c r="N266" s="544"/>
      <c r="O266" s="544"/>
      <c r="P266" s="544"/>
      <c r="Q266" s="544"/>
      <c r="R266" s="544"/>
      <c r="S266" s="544"/>
      <c r="U266" s="544"/>
      <c r="V266" s="544"/>
      <c r="W266" s="544"/>
      <c r="X266" s="544"/>
      <c r="Y266" s="544"/>
      <c r="Z266" s="544"/>
      <c r="AB266" s="544"/>
      <c r="AC266" s="544"/>
      <c r="AD266" s="544"/>
      <c r="AE266" s="544"/>
      <c r="AF266" s="544"/>
      <c r="AG266" s="544"/>
      <c r="AH266" s="544"/>
      <c r="AJ266" s="544"/>
      <c r="AK266" s="544"/>
      <c r="AL266" s="544"/>
      <c r="AM266" s="544"/>
      <c r="AN266" s="544"/>
      <c r="AO266" s="544"/>
      <c r="AQ266" s="544"/>
      <c r="AR266" s="544"/>
      <c r="AS266" s="544"/>
      <c r="AT266" s="544"/>
      <c r="AU266" s="544"/>
      <c r="AV266" s="544"/>
      <c r="AW266" s="544"/>
    </row>
    <row r="267" spans="2:49" x14ac:dyDescent="0.35">
      <c r="B267" s="544"/>
      <c r="C267" s="544"/>
      <c r="D267" s="544"/>
      <c r="E267" s="544"/>
      <c r="F267" s="544"/>
      <c r="G267" s="544"/>
      <c r="H267" s="544"/>
      <c r="I267" s="544"/>
      <c r="J267" s="544"/>
      <c r="K267" s="544"/>
      <c r="M267" s="544"/>
      <c r="N267" s="544"/>
      <c r="O267" s="544"/>
      <c r="P267" s="544"/>
      <c r="Q267" s="544"/>
      <c r="R267" s="544"/>
      <c r="S267" s="544"/>
      <c r="U267" s="544"/>
      <c r="V267" s="544"/>
      <c r="W267" s="544"/>
      <c r="X267" s="544"/>
      <c r="Y267" s="544"/>
      <c r="Z267" s="544"/>
      <c r="AB267" s="544"/>
      <c r="AC267" s="544"/>
      <c r="AD267" s="544"/>
      <c r="AE267" s="544"/>
      <c r="AF267" s="544"/>
      <c r="AG267" s="544"/>
      <c r="AH267" s="544"/>
      <c r="AJ267" s="544"/>
      <c r="AK267" s="544"/>
      <c r="AL267" s="544"/>
      <c r="AM267" s="544"/>
      <c r="AN267" s="544"/>
      <c r="AO267" s="544"/>
      <c r="AQ267" s="544"/>
      <c r="AR267" s="544"/>
      <c r="AS267" s="544"/>
      <c r="AT267" s="544"/>
      <c r="AU267" s="544"/>
      <c r="AV267" s="544"/>
      <c r="AW267" s="544"/>
    </row>
    <row r="268" spans="2:49" x14ac:dyDescent="0.35">
      <c r="B268" s="544"/>
      <c r="C268" s="544"/>
      <c r="D268" s="544"/>
      <c r="E268" s="544"/>
      <c r="F268" s="544"/>
      <c r="G268" s="544"/>
      <c r="H268" s="544"/>
      <c r="I268" s="544"/>
      <c r="J268" s="544"/>
      <c r="K268" s="544"/>
      <c r="M268" s="544"/>
      <c r="N268" s="544"/>
      <c r="O268" s="544"/>
      <c r="P268" s="544"/>
      <c r="Q268" s="544"/>
      <c r="R268" s="544"/>
      <c r="S268" s="544"/>
      <c r="U268" s="544"/>
      <c r="V268" s="544"/>
      <c r="W268" s="544"/>
      <c r="X268" s="544"/>
      <c r="Y268" s="544"/>
      <c r="Z268" s="544"/>
      <c r="AB268" s="544"/>
      <c r="AC268" s="544"/>
      <c r="AD268" s="544"/>
      <c r="AE268" s="544"/>
      <c r="AF268" s="544"/>
      <c r="AG268" s="544"/>
      <c r="AH268" s="544"/>
      <c r="AJ268" s="544"/>
      <c r="AK268" s="544"/>
      <c r="AL268" s="544"/>
      <c r="AM268" s="544"/>
      <c r="AN268" s="544"/>
      <c r="AO268" s="544"/>
      <c r="AQ268" s="544"/>
      <c r="AR268" s="544"/>
      <c r="AS268" s="544"/>
      <c r="AT268" s="544"/>
      <c r="AU268" s="544"/>
      <c r="AV268" s="544"/>
      <c r="AW268" s="544"/>
    </row>
    <row r="269" spans="2:49" x14ac:dyDescent="0.35">
      <c r="B269" s="544"/>
      <c r="C269" s="544"/>
      <c r="D269" s="544"/>
      <c r="E269" s="544"/>
      <c r="F269" s="544"/>
      <c r="G269" s="544"/>
      <c r="H269" s="544"/>
      <c r="I269" s="544"/>
      <c r="J269" s="544"/>
      <c r="K269" s="544"/>
      <c r="M269" s="544"/>
      <c r="N269" s="544"/>
      <c r="O269" s="544"/>
      <c r="P269" s="544"/>
      <c r="Q269" s="544"/>
      <c r="R269" s="544"/>
      <c r="S269" s="544"/>
      <c r="U269" s="544"/>
      <c r="V269" s="544"/>
      <c r="W269" s="544"/>
      <c r="X269" s="544"/>
      <c r="Y269" s="544"/>
      <c r="Z269" s="544"/>
      <c r="AB269" s="544"/>
      <c r="AC269" s="544"/>
      <c r="AD269" s="544"/>
      <c r="AE269" s="544"/>
      <c r="AF269" s="544"/>
      <c r="AG269" s="544"/>
      <c r="AH269" s="544"/>
      <c r="AJ269" s="544"/>
      <c r="AK269" s="544"/>
      <c r="AL269" s="544"/>
      <c r="AM269" s="544"/>
      <c r="AN269" s="544"/>
      <c r="AO269" s="544"/>
      <c r="AQ269" s="544"/>
      <c r="AR269" s="544"/>
      <c r="AS269" s="544"/>
      <c r="AT269" s="544"/>
      <c r="AU269" s="544"/>
      <c r="AV269" s="544"/>
      <c r="AW269" s="544"/>
    </row>
    <row r="270" spans="2:49" x14ac:dyDescent="0.35">
      <c r="B270" s="544"/>
      <c r="C270" s="544"/>
      <c r="D270" s="544"/>
      <c r="E270" s="544"/>
      <c r="F270" s="544"/>
      <c r="G270" s="544"/>
      <c r="H270" s="544"/>
      <c r="I270" s="544"/>
      <c r="J270" s="544"/>
      <c r="K270" s="544"/>
      <c r="M270" s="544"/>
      <c r="N270" s="544"/>
      <c r="O270" s="544"/>
      <c r="P270" s="544"/>
      <c r="Q270" s="544"/>
      <c r="R270" s="544"/>
      <c r="S270" s="544"/>
      <c r="U270" s="544"/>
      <c r="V270" s="544"/>
      <c r="W270" s="544"/>
      <c r="X270" s="544"/>
      <c r="Y270" s="544"/>
      <c r="Z270" s="544"/>
      <c r="AB270" s="544"/>
      <c r="AC270" s="544"/>
      <c r="AD270" s="544"/>
      <c r="AE270" s="544"/>
      <c r="AF270" s="544"/>
      <c r="AG270" s="544"/>
      <c r="AH270" s="544"/>
      <c r="AJ270" s="544"/>
      <c r="AK270" s="544"/>
      <c r="AL270" s="544"/>
      <c r="AM270" s="544"/>
      <c r="AN270" s="544"/>
      <c r="AO270" s="544"/>
      <c r="AQ270" s="544"/>
      <c r="AR270" s="544"/>
      <c r="AS270" s="544"/>
      <c r="AT270" s="544"/>
      <c r="AU270" s="544"/>
      <c r="AV270" s="544"/>
      <c r="AW270" s="544"/>
    </row>
  </sheetData>
  <sheetProtection password="C8C1" sheet="1" objects="1" scenarios="1" selectLockedCells="1"/>
  <mergeCells count="93">
    <mergeCell ref="K12:K13"/>
    <mergeCell ref="E15:F15"/>
    <mergeCell ref="J12:J13"/>
    <mergeCell ref="B12:B13"/>
    <mergeCell ref="C12:C13"/>
    <mergeCell ref="E12:F13"/>
    <mergeCell ref="G12:G13"/>
    <mergeCell ref="H12:I12"/>
    <mergeCell ref="D12:D13"/>
    <mergeCell ref="E16:F16"/>
    <mergeCell ref="G29:G30"/>
    <mergeCell ref="H29:I29"/>
    <mergeCell ref="E20:F20"/>
    <mergeCell ref="E17:F17"/>
    <mergeCell ref="E18:F18"/>
    <mergeCell ref="E19:F19"/>
    <mergeCell ref="E40:F40"/>
    <mergeCell ref="E41:F41"/>
    <mergeCell ref="E34:F34"/>
    <mergeCell ref="E35:F35"/>
    <mergeCell ref="E32:F32"/>
    <mergeCell ref="E33:F33"/>
    <mergeCell ref="E36:F36"/>
    <mergeCell ref="E37:F37"/>
    <mergeCell ref="E39:F39"/>
    <mergeCell ref="B50:B51"/>
    <mergeCell ref="C50:C51"/>
    <mergeCell ref="E50:F51"/>
    <mergeCell ref="G50:G51"/>
    <mergeCell ref="H50:I50"/>
    <mergeCell ref="D50:D51"/>
    <mergeCell ref="E75:F75"/>
    <mergeCell ref="E72:F72"/>
    <mergeCell ref="E73:F73"/>
    <mergeCell ref="E70:F70"/>
    <mergeCell ref="E71:F71"/>
    <mergeCell ref="K50:K51"/>
    <mergeCell ref="E57:F57"/>
    <mergeCell ref="E58:F58"/>
    <mergeCell ref="E55:F55"/>
    <mergeCell ref="E56:F56"/>
    <mergeCell ref="E53:F53"/>
    <mergeCell ref="E54:F54"/>
    <mergeCell ref="J50:J51"/>
    <mergeCell ref="K67:K68"/>
    <mergeCell ref="E74:F74"/>
    <mergeCell ref="J67:J68"/>
    <mergeCell ref="B67:B68"/>
    <mergeCell ref="C67:C68"/>
    <mergeCell ref="E67:F68"/>
    <mergeCell ref="G67:G68"/>
    <mergeCell ref="H67:I67"/>
    <mergeCell ref="D67:D68"/>
    <mergeCell ref="K29:K30"/>
    <mergeCell ref="J29:J30"/>
    <mergeCell ref="B29:B30"/>
    <mergeCell ref="C29:C30"/>
    <mergeCell ref="E29:F30"/>
    <mergeCell ref="D29:D30"/>
    <mergeCell ref="AQ11:AW11"/>
    <mergeCell ref="AQ12:AW12"/>
    <mergeCell ref="M12:S12"/>
    <mergeCell ref="M29:S29"/>
    <mergeCell ref="U28:Z28"/>
    <mergeCell ref="AB28:AH28"/>
    <mergeCell ref="AJ28:AO28"/>
    <mergeCell ref="AQ28:AW28"/>
    <mergeCell ref="U29:Z29"/>
    <mergeCell ref="AB29:AH29"/>
    <mergeCell ref="AJ29:AO29"/>
    <mergeCell ref="AQ29:AW29"/>
    <mergeCell ref="AJ12:AO12"/>
    <mergeCell ref="AJ11:AO11"/>
    <mergeCell ref="U11:Z11"/>
    <mergeCell ref="U12:Z12"/>
    <mergeCell ref="AB11:AH11"/>
    <mergeCell ref="AB12:AH12"/>
    <mergeCell ref="U49:Z49"/>
    <mergeCell ref="AB49:AH49"/>
    <mergeCell ref="AJ49:AO49"/>
    <mergeCell ref="AQ49:AW49"/>
    <mergeCell ref="U50:Z50"/>
    <mergeCell ref="AB50:AH50"/>
    <mergeCell ref="AJ50:AO50"/>
    <mergeCell ref="AQ50:AW50"/>
    <mergeCell ref="U66:Z66"/>
    <mergeCell ref="AB66:AH66"/>
    <mergeCell ref="AJ66:AO66"/>
    <mergeCell ref="AQ66:AW66"/>
    <mergeCell ref="U67:Z67"/>
    <mergeCell ref="AB67:AH67"/>
    <mergeCell ref="AJ67:AO67"/>
    <mergeCell ref="AQ67:AW67"/>
  </mergeCells>
  <conditionalFormatting sqref="C24:D24">
    <cfRule type="expression" dxfId="370" priority="63">
      <formula>C23&lt;0</formula>
    </cfRule>
    <cfRule type="expression" dxfId="369" priority="64">
      <formula>C23&gt;0</formula>
    </cfRule>
    <cfRule type="expression" dxfId="368" priority="65">
      <formula>C23=0</formula>
    </cfRule>
  </conditionalFormatting>
  <conditionalFormatting sqref="D45">
    <cfRule type="expression" dxfId="367" priority="60">
      <formula>D44&lt;0</formula>
    </cfRule>
    <cfRule type="expression" dxfId="366" priority="61">
      <formula>D44&gt;0</formula>
    </cfRule>
    <cfRule type="expression" dxfId="365" priority="62">
      <formula>D44=0</formula>
    </cfRule>
  </conditionalFormatting>
  <conditionalFormatting sqref="D79">
    <cfRule type="expression" dxfId="364" priority="54">
      <formula>D78&lt;0</formula>
    </cfRule>
    <cfRule type="expression" dxfId="363" priority="55">
      <formula>D78&gt;0</formula>
    </cfRule>
    <cfRule type="expression" dxfId="362" priority="56">
      <formula>D78=0</formula>
    </cfRule>
  </conditionalFormatting>
  <conditionalFormatting sqref="AH15:AH20">
    <cfRule type="expression" dxfId="361" priority="52">
      <formula>AND(AB15&gt;0,AG15=1)</formula>
    </cfRule>
    <cfRule type="expression" dxfId="360" priority="53">
      <formula>AND(AB15=0,AG15=0)</formula>
    </cfRule>
  </conditionalFormatting>
  <conditionalFormatting sqref="AW15:AW20">
    <cfRule type="expression" dxfId="359" priority="48">
      <formula>AND(AQ15&gt;0,AV15=1)</formula>
    </cfRule>
    <cfRule type="expression" dxfId="358" priority="49">
      <formula>AND(AQ15=0,AV15=0)</formula>
    </cfRule>
  </conditionalFormatting>
  <conditionalFormatting sqref="AH32:AH41">
    <cfRule type="expression" dxfId="357" priority="44">
      <formula>AND(AB32&gt;0,AG32=1)</formula>
    </cfRule>
    <cfRule type="expression" dxfId="356" priority="45">
      <formula>AND(AB32=0,AG32=0)</formula>
    </cfRule>
  </conditionalFormatting>
  <conditionalFormatting sqref="AW32:AW41">
    <cfRule type="expression" dxfId="355" priority="40">
      <formula>AND(AQ32&gt;0,AV32=1)</formula>
    </cfRule>
    <cfRule type="expression" dxfId="354" priority="41">
      <formula>AND(AQ32=0,AV32=0)</formula>
    </cfRule>
  </conditionalFormatting>
  <conditionalFormatting sqref="AH53:AH58">
    <cfRule type="expression" dxfId="353" priority="36">
      <formula>AND(AB53&gt;0,AG53=1)</formula>
    </cfRule>
    <cfRule type="expression" dxfId="352" priority="37">
      <formula>AND(AB53=0,AG53=0)</formula>
    </cfRule>
  </conditionalFormatting>
  <conditionalFormatting sqref="AW53:AW58">
    <cfRule type="expression" dxfId="351" priority="32">
      <formula>AND(AQ53&gt;0,AV53=1)</formula>
    </cfRule>
    <cfRule type="expression" dxfId="350" priority="33">
      <formula>AND(AQ53=0,AV53=0)</formula>
    </cfRule>
  </conditionalFormatting>
  <conditionalFormatting sqref="AH70:AH75">
    <cfRule type="expression" dxfId="349" priority="28">
      <formula>AND(AB70&gt;0,AG70=1)</formula>
    </cfRule>
    <cfRule type="expression" dxfId="348" priority="29">
      <formula>AND(AB70=0,AG70=0)</formula>
    </cfRule>
  </conditionalFormatting>
  <conditionalFormatting sqref="AW70:AW75">
    <cfRule type="expression" dxfId="347" priority="24">
      <formula>AND(AQ70&gt;0,AV70=1)</formula>
    </cfRule>
    <cfRule type="expression" dxfId="346" priority="25">
      <formula>AND(AQ70=0,AV70=0)</formula>
    </cfRule>
  </conditionalFormatting>
  <conditionalFormatting sqref="AO15:AO20 AO53:AO58 AO70:AO75 AO32:AO41">
    <cfRule type="expression" dxfId="345" priority="294">
      <formula>AND(I15&gt;0,AN15=1)</formula>
    </cfRule>
    <cfRule type="expression" dxfId="344" priority="295">
      <formula>AND(I15=0,AN15=0)</formula>
    </cfRule>
  </conditionalFormatting>
  <conditionalFormatting sqref="Z15:Z20 Z53:Z58 Z70:Z75 Z32:Z41">
    <cfRule type="expression" dxfId="343" priority="296">
      <formula>AND(H15&gt;0,Y15=1)</formula>
    </cfRule>
    <cfRule type="expression" dxfId="342" priority="297">
      <formula>AND(H15=0,Y15=0)</formula>
    </cfRule>
  </conditionalFormatting>
  <conditionalFormatting sqref="D62">
    <cfRule type="expression" dxfId="341" priority="16">
      <formula>D61&lt;0</formula>
    </cfRule>
    <cfRule type="expression" dxfId="340" priority="17">
      <formula>D61&gt;0</formula>
    </cfRule>
    <cfRule type="expression" dxfId="339" priority="18">
      <formula>D61=0</formula>
    </cfRule>
  </conditionalFormatting>
  <conditionalFormatting sqref="C62">
    <cfRule type="expression" dxfId="338" priority="13">
      <formula>C61&lt;0</formula>
    </cfRule>
    <cfRule type="expression" dxfId="337" priority="14">
      <formula>C61&gt;0</formula>
    </cfRule>
    <cfRule type="expression" dxfId="336" priority="15">
      <formula>C61=0</formula>
    </cfRule>
  </conditionalFormatting>
  <conditionalFormatting sqref="C79">
    <cfRule type="expression" dxfId="335" priority="10">
      <formula>C78&lt;0</formula>
    </cfRule>
    <cfRule type="expression" dxfId="334" priority="11">
      <formula>C78&gt;0</formula>
    </cfRule>
    <cfRule type="expression" dxfId="333" priority="12">
      <formula>C78=0</formula>
    </cfRule>
  </conditionalFormatting>
  <conditionalFormatting sqref="C45">
    <cfRule type="expression" dxfId="332" priority="1">
      <formula>C44&lt;0</formula>
    </cfRule>
    <cfRule type="expression" dxfId="331" priority="2">
      <formula>C44&gt;0</formula>
    </cfRule>
    <cfRule type="expression" dxfId="330" priority="3">
      <formula>C44=0</formula>
    </cfRule>
  </conditionalFormatting>
  <dataValidations count="3">
    <dataValidation type="list" allowBlank="1" showInputMessage="1" showErrorMessage="1" sqref="J15:K20 J32:K41 J53:K58 J70:K75">
      <formula1>"YES, NO"</formula1>
    </dataValidation>
    <dataValidation type="list" allowBlank="1" showInputMessage="1" showErrorMessage="1" sqref="E70:F75">
      <formula1>$BG$70:$BG$72</formula1>
    </dataValidation>
    <dataValidation type="list" allowBlank="1" showInputMessage="1" showErrorMessage="1" sqref="E32:E41 E53:F58 F41 F32:F35 E15:F20">
      <formula1>$BG$15:$BG$21</formula1>
    </dataValidation>
  </dataValidations>
  <pageMargins left="0.7" right="0.7" top="0.75" bottom="0.75" header="0.3" footer="0.3"/>
  <ignoredErrors>
    <ignoredError sqref="Z32:Z41 AH32:AH41 AO32:AO41 AW32:AW41 Z70:Z75 AH70:AH75 AO70:AO75 AW70:AW75 AO53:AQ58 AG53:AH58 AG16:AH20 AO16:AQ20 Z16:AB20 Z53:AB58 Z15:AB15 AG15:AH15 AO15:AQ15 AV15:AW15 AV16:AW20 AC70:AF75 AC53:AF58 AC32:AF41 AC15:AF20 AR15:AU20 AR32:AU41 AV53:AW58 AR53:AU58 AR70:AU75 D15:D20 D32:D41 D53:D58 D70:D75 H70 H16 H71:H73 H32:H35" unlockedFormula="1"/>
  </ignoredErrors>
  <drawing r:id="rId1"/>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00B050"/>
  </sheetPr>
  <dimension ref="A1:CD270"/>
  <sheetViews>
    <sheetView showGridLines="0" showRowColHeaders="0" topLeftCell="A2" zoomScale="80" zoomScaleNormal="80" workbookViewId="0">
      <pane ySplit="3" topLeftCell="A59" activePane="bottomLeft" state="frozen"/>
      <selection activeCell="A2" sqref="A2"/>
      <selection pane="bottomLeft" activeCell="AI15" sqref="AI15"/>
    </sheetView>
  </sheetViews>
  <sheetFormatPr defaultColWidth="9.1796875" defaultRowHeight="14.5" x14ac:dyDescent="0.35"/>
  <cols>
    <col min="1" max="1" width="3.26953125" style="17" customWidth="1"/>
    <col min="2" max="2" width="41.81640625" style="17" customWidth="1"/>
    <col min="3" max="10" width="16.7265625" style="17" customWidth="1"/>
    <col min="11" max="11" width="8.7265625" style="544" customWidth="1"/>
    <col min="12" max="17" width="16.7265625" style="17" customWidth="1"/>
    <col min="18" max="18" width="51.54296875" style="17" bestFit="1" customWidth="1"/>
    <col min="19" max="19" width="8.7265625" style="544" customWidth="1"/>
    <col min="20" max="25" width="16.7265625" style="17" customWidth="1"/>
    <col min="26" max="26" width="8.7265625" style="544" customWidth="1"/>
    <col min="27" max="33" width="16.7265625" style="17" customWidth="1"/>
    <col min="34" max="34" width="8.7265625" style="544" customWidth="1"/>
    <col min="35" max="40" width="16.7265625" style="17" customWidth="1"/>
    <col min="41" max="41" width="8.7265625" style="544" customWidth="1"/>
    <col min="42" max="48" width="16.7265625" style="17" customWidth="1"/>
    <col min="49" max="82" width="9.1796875" style="544"/>
    <col min="83" max="16384" width="9.1796875" style="17"/>
  </cols>
  <sheetData>
    <row r="1" spans="1:82" s="522" customFormat="1" ht="13.5" hidden="1" customHeight="1" x14ac:dyDescent="0.35">
      <c r="B1" s="518" t="e">
        <f>Overview_SLUDGE!#REF!</f>
        <v>#REF!</v>
      </c>
      <c r="K1" s="642"/>
      <c r="S1" s="642"/>
      <c r="Z1" s="642"/>
      <c r="AH1" s="642"/>
      <c r="AO1" s="642"/>
      <c r="AW1" s="642"/>
      <c r="AX1" s="642"/>
      <c r="AY1" s="642"/>
      <c r="AZ1" s="642"/>
      <c r="BA1" s="642"/>
      <c r="BB1" s="642"/>
      <c r="BC1" s="642"/>
      <c r="BD1" s="642"/>
      <c r="BE1" s="642"/>
      <c r="BF1" s="642"/>
      <c r="BG1" s="642"/>
      <c r="BH1" s="642"/>
      <c r="BI1" s="642"/>
      <c r="BJ1" s="642"/>
      <c r="BK1" s="642"/>
      <c r="BL1" s="642"/>
      <c r="BM1" s="642"/>
      <c r="BN1" s="642"/>
      <c r="BO1" s="642"/>
      <c r="BP1" s="642"/>
      <c r="BQ1" s="642"/>
      <c r="BR1" s="642"/>
      <c r="BS1" s="642"/>
      <c r="BT1" s="642"/>
      <c r="BU1" s="642"/>
      <c r="BV1" s="642"/>
      <c r="BW1" s="642"/>
      <c r="BX1" s="642"/>
      <c r="BY1" s="642"/>
      <c r="BZ1" s="642"/>
      <c r="CA1" s="642"/>
      <c r="CB1" s="642"/>
      <c r="CC1" s="642"/>
      <c r="CD1" s="642"/>
    </row>
    <row r="2" spans="1:82" s="520" customFormat="1" ht="36.75" customHeight="1" x14ac:dyDescent="0.45">
      <c r="A2" s="1400"/>
      <c r="B2" s="1401" t="str">
        <f>'User interface_RES'!AJ11</f>
        <v>Any city in , the world</v>
      </c>
      <c r="C2" s="1400"/>
      <c r="D2" s="1400"/>
      <c r="E2" s="1400"/>
      <c r="F2" s="1400"/>
      <c r="G2" s="1400"/>
      <c r="H2" s="1400"/>
      <c r="I2" s="1400"/>
      <c r="J2" s="1400"/>
      <c r="K2" s="1400"/>
      <c r="L2" s="1400"/>
      <c r="M2" s="1400"/>
      <c r="N2" s="1400"/>
      <c r="O2" s="1400"/>
      <c r="P2" s="1400"/>
      <c r="Q2" s="1400"/>
      <c r="R2" s="1400"/>
      <c r="S2" s="1400"/>
      <c r="T2" s="1400"/>
      <c r="U2" s="1400"/>
      <c r="V2" s="1400"/>
      <c r="W2" s="1400"/>
      <c r="X2" s="1400"/>
      <c r="Y2" s="1400"/>
      <c r="Z2" s="1400"/>
      <c r="AA2" s="1400"/>
      <c r="AB2" s="1400"/>
      <c r="AC2" s="1400"/>
      <c r="AD2" s="1400"/>
      <c r="AE2" s="1400"/>
      <c r="AF2" s="1400"/>
      <c r="AG2" s="1400"/>
      <c r="BL2" s="643"/>
      <c r="BM2" s="643"/>
      <c r="BN2" s="643"/>
      <c r="BO2" s="643"/>
      <c r="BP2" s="643"/>
      <c r="BQ2" s="643"/>
      <c r="BR2" s="643"/>
      <c r="BS2" s="643"/>
      <c r="BT2" s="643"/>
      <c r="BU2" s="643"/>
      <c r="BV2" s="643"/>
      <c r="BW2" s="643"/>
      <c r="BX2" s="643"/>
      <c r="BY2" s="643"/>
      <c r="BZ2" s="643"/>
      <c r="CA2" s="643"/>
      <c r="CB2" s="643"/>
      <c r="CC2" s="643"/>
      <c r="CD2" s="643"/>
    </row>
    <row r="3" spans="1:82" s="521" customFormat="1" ht="10.5" hidden="1" x14ac:dyDescent="0.35">
      <c r="A3" s="1402"/>
      <c r="B3" s="1402"/>
      <c r="C3" s="1402"/>
      <c r="D3" s="1402"/>
      <c r="E3" s="1402"/>
      <c r="F3" s="1402"/>
      <c r="G3" s="1402"/>
      <c r="H3" s="1402"/>
      <c r="I3" s="1402"/>
      <c r="J3" s="1402"/>
      <c r="K3" s="1402"/>
      <c r="L3" s="1402"/>
      <c r="M3" s="1402"/>
      <c r="N3" s="1402"/>
      <c r="O3" s="1402"/>
      <c r="P3" s="1402"/>
      <c r="Q3" s="1402"/>
      <c r="R3" s="1402"/>
      <c r="S3" s="1402"/>
      <c r="T3" s="1402"/>
      <c r="U3" s="1402"/>
      <c r="V3" s="1402"/>
      <c r="W3" s="1402"/>
      <c r="X3" s="1402"/>
      <c r="Y3" s="1402"/>
      <c r="Z3" s="1402"/>
      <c r="AA3" s="1402"/>
      <c r="AB3" s="1402"/>
      <c r="AC3" s="1402"/>
      <c r="AD3" s="1402"/>
      <c r="AE3" s="1402"/>
      <c r="AF3" s="1402"/>
      <c r="AG3" s="1402"/>
      <c r="BL3" s="644"/>
      <c r="BM3" s="644"/>
      <c r="BN3" s="644"/>
      <c r="BO3" s="644"/>
      <c r="BP3" s="644"/>
      <c r="BQ3" s="644"/>
      <c r="BR3" s="644"/>
      <c r="BS3" s="644"/>
      <c r="BT3" s="644"/>
      <c r="BU3" s="644"/>
      <c r="BV3" s="644"/>
      <c r="BW3" s="644"/>
      <c r="BX3" s="644"/>
      <c r="BY3" s="644"/>
      <c r="BZ3" s="644"/>
      <c r="CA3" s="644"/>
      <c r="CB3" s="644"/>
      <c r="CC3" s="644"/>
      <c r="CD3" s="644"/>
    </row>
    <row r="4" spans="1:82" s="658" customFormat="1" ht="57" customHeight="1" thickBot="1" x14ac:dyDescent="0.6">
      <c r="A4" s="1403"/>
      <c r="B4" s="1404" t="s">
        <v>502</v>
      </c>
      <c r="C4" s="1405"/>
      <c r="D4" s="1405"/>
      <c r="E4" s="1405"/>
      <c r="F4" s="1405"/>
      <c r="G4" s="1405"/>
      <c r="H4" s="1403"/>
      <c r="I4" s="1403"/>
      <c r="J4" s="1403"/>
      <c r="K4" s="1403"/>
      <c r="L4" s="1403"/>
      <c r="M4" s="1403"/>
      <c r="N4" s="1403"/>
      <c r="O4" s="1403"/>
      <c r="P4" s="1403"/>
      <c r="Q4" s="1403"/>
      <c r="R4" s="1403"/>
      <c r="S4" s="1403"/>
      <c r="T4" s="1403"/>
      <c r="U4" s="1403"/>
      <c r="V4" s="1403"/>
      <c r="W4" s="1403"/>
      <c r="X4" s="1403"/>
      <c r="Y4" s="1403"/>
      <c r="Z4" s="1403"/>
      <c r="AA4" s="1403"/>
      <c r="AB4" s="1403"/>
      <c r="AC4" s="1403"/>
      <c r="AD4" s="1403"/>
      <c r="AE4" s="1403"/>
      <c r="AF4" s="1403"/>
      <c r="AG4" s="1403"/>
      <c r="BL4" s="659"/>
      <c r="BM4" s="659"/>
      <c r="BN4" s="659"/>
      <c r="BO4" s="659"/>
      <c r="BP4" s="659"/>
      <c r="BQ4" s="659"/>
      <c r="BR4" s="659"/>
      <c r="BS4" s="659"/>
      <c r="BT4" s="659"/>
      <c r="BU4" s="659"/>
      <c r="BV4" s="659"/>
      <c r="BW4" s="659"/>
      <c r="BX4" s="659"/>
      <c r="BY4" s="659"/>
      <c r="BZ4" s="659"/>
      <c r="CA4" s="659"/>
      <c r="CB4" s="659"/>
      <c r="CC4" s="659"/>
      <c r="CD4" s="659"/>
    </row>
    <row r="5" spans="1:82" s="544" customFormat="1" ht="17.149999999999999" customHeight="1" x14ac:dyDescent="0.35">
      <c r="A5" s="1406"/>
      <c r="B5" s="1406"/>
      <c r="C5" s="1406"/>
      <c r="D5" s="1406"/>
      <c r="E5" s="1406"/>
      <c r="F5" s="1406"/>
      <c r="G5" s="1406"/>
      <c r="H5" s="1406"/>
      <c r="I5" s="1406"/>
      <c r="J5" s="1406"/>
      <c r="K5" s="1406"/>
      <c r="L5" s="1406"/>
      <c r="M5" s="1406"/>
      <c r="N5" s="1406"/>
      <c r="O5" s="1406"/>
      <c r="P5" s="1406"/>
      <c r="Q5" s="1406"/>
      <c r="R5" s="1406"/>
      <c r="S5" s="1406"/>
      <c r="T5" s="1406"/>
      <c r="U5" s="1406"/>
      <c r="V5" s="1406"/>
      <c r="W5" s="1406"/>
      <c r="X5" s="1406"/>
      <c r="Y5" s="1406"/>
      <c r="Z5" s="1406"/>
      <c r="AA5" s="1406"/>
      <c r="AB5" s="1406"/>
      <c r="AC5" s="1406"/>
      <c r="AD5" s="1406"/>
      <c r="AE5" s="1406"/>
      <c r="AF5" s="1406"/>
      <c r="AG5" s="1406"/>
    </row>
    <row r="6" spans="1:82" s="544" customFormat="1" ht="17.149999999999999" customHeight="1" x14ac:dyDescent="0.35">
      <c r="A6" s="1406"/>
      <c r="B6" s="1455" t="s">
        <v>588</v>
      </c>
      <c r="C6" s="1406"/>
      <c r="D6" s="1406"/>
      <c r="E6" s="1406"/>
      <c r="F6" s="1406"/>
      <c r="G6" s="1406"/>
      <c r="H6" s="1406"/>
      <c r="I6" s="1406"/>
      <c r="J6" s="1406"/>
      <c r="K6" s="1406"/>
      <c r="L6" s="1406"/>
      <c r="M6" s="1406"/>
      <c r="N6" s="1406"/>
      <c r="O6" s="1406"/>
      <c r="P6" s="1406"/>
      <c r="Q6" s="1406"/>
      <c r="R6" s="1406"/>
      <c r="S6" s="1406"/>
      <c r="T6" s="1406"/>
      <c r="U6" s="1406"/>
      <c r="V6" s="1406"/>
      <c r="W6" s="1406"/>
      <c r="X6" s="1406"/>
      <c r="Y6" s="1406"/>
      <c r="Z6" s="1406"/>
      <c r="AA6" s="1406"/>
      <c r="AB6" s="1406"/>
      <c r="AC6" s="1406"/>
      <c r="AD6" s="1406"/>
      <c r="AE6" s="1406"/>
      <c r="AF6" s="1406"/>
      <c r="AG6" s="1406"/>
    </row>
    <row r="7" spans="1:82" s="544" customFormat="1" ht="17.149999999999999" customHeight="1" x14ac:dyDescent="0.35">
      <c r="A7" s="1406"/>
      <c r="B7" s="1407"/>
      <c r="C7" s="1408"/>
      <c r="D7" s="1408"/>
      <c r="E7" s="1408"/>
      <c r="F7" s="1408"/>
      <c r="G7" s="1408"/>
      <c r="H7" s="1408"/>
      <c r="I7" s="1408"/>
      <c r="J7" s="1408"/>
      <c r="K7" s="1408"/>
      <c r="L7" s="1408"/>
      <c r="M7" s="1406"/>
      <c r="N7" s="1406"/>
      <c r="O7" s="1406"/>
      <c r="P7" s="1406"/>
      <c r="Q7" s="1406"/>
      <c r="R7" s="1406"/>
      <c r="S7" s="1406"/>
      <c r="T7" s="1406"/>
      <c r="U7" s="1406"/>
      <c r="V7" s="1406"/>
      <c r="W7" s="1406"/>
      <c r="X7" s="1406"/>
      <c r="Y7" s="1406"/>
      <c r="Z7" s="1406"/>
      <c r="AA7" s="1406"/>
      <c r="AB7" s="1406"/>
      <c r="AC7" s="1406"/>
      <c r="AD7" s="1406"/>
      <c r="AE7" s="1406"/>
      <c r="AF7" s="1406"/>
      <c r="AG7" s="1406"/>
    </row>
    <row r="8" spans="1:82" s="544" customFormat="1" ht="17.149999999999999" customHeight="1" x14ac:dyDescent="0.35">
      <c r="A8" s="1406"/>
      <c r="B8" s="1407"/>
      <c r="C8" s="1408"/>
      <c r="D8" s="1408"/>
      <c r="E8" s="1408"/>
      <c r="F8" s="1408"/>
      <c r="G8" s="1408"/>
      <c r="H8" s="1408"/>
      <c r="I8" s="1408"/>
      <c r="J8" s="1408"/>
      <c r="K8" s="1408"/>
      <c r="L8" s="1408"/>
      <c r="M8" s="1406"/>
      <c r="N8" s="1406"/>
      <c r="O8" s="1406"/>
      <c r="P8" s="1406"/>
      <c r="Q8" s="1406"/>
      <c r="R8" s="1406"/>
      <c r="S8" s="1406"/>
      <c r="T8" s="1406"/>
      <c r="U8" s="1406"/>
      <c r="V8" s="1406"/>
      <c r="W8" s="1406"/>
      <c r="X8" s="1406"/>
      <c r="Y8" s="1406"/>
      <c r="Z8" s="1406"/>
      <c r="AA8" s="1406"/>
      <c r="AB8" s="1406"/>
      <c r="AC8" s="1406"/>
      <c r="AD8" s="1406"/>
      <c r="AE8" s="1406"/>
      <c r="AF8" s="1406"/>
      <c r="AG8" s="1406"/>
    </row>
    <row r="9" spans="1:82" s="544" customFormat="1" ht="17.149999999999999" customHeight="1" x14ac:dyDescent="0.35">
      <c r="A9" s="1406"/>
      <c r="B9" s="1406"/>
      <c r="C9" s="1406"/>
      <c r="D9" s="1406"/>
      <c r="E9" s="1406"/>
      <c r="F9" s="1406"/>
      <c r="G9" s="1406"/>
      <c r="H9" s="1406"/>
      <c r="I9" s="1406"/>
      <c r="J9" s="1406"/>
      <c r="K9" s="1406"/>
      <c r="L9" s="1406"/>
      <c r="M9" s="1406"/>
      <c r="N9" s="1406"/>
      <c r="O9" s="1406"/>
      <c r="P9" s="1406"/>
      <c r="Q9" s="1406"/>
      <c r="R9" s="1406"/>
      <c r="S9" s="1406"/>
      <c r="T9" s="1406"/>
      <c r="U9" s="1406"/>
      <c r="V9" s="1406"/>
      <c r="W9" s="1406"/>
      <c r="X9" s="1406"/>
      <c r="Y9" s="1406"/>
      <c r="Z9" s="1406"/>
      <c r="AA9" s="1406"/>
      <c r="AB9" s="1406"/>
      <c r="AC9" s="1406"/>
      <c r="AD9" s="1406"/>
      <c r="AE9" s="1406"/>
      <c r="AF9" s="1406"/>
      <c r="AG9" s="1406"/>
    </row>
    <row r="10" spans="1:82" s="544" customFormat="1" ht="27" customHeight="1" x14ac:dyDescent="0.35">
      <c r="A10" s="1406"/>
      <c r="B10" s="1409" t="s">
        <v>505</v>
      </c>
      <c r="C10" s="1406"/>
      <c r="D10" s="1406"/>
      <c r="E10" s="1406"/>
      <c r="F10" s="1406"/>
      <c r="G10" s="1410"/>
      <c r="H10" s="1406"/>
      <c r="I10" s="1406"/>
      <c r="J10" s="1411" t="s">
        <v>589</v>
      </c>
      <c r="K10" s="1406"/>
      <c r="L10" s="1406"/>
      <c r="M10" s="1406"/>
      <c r="N10" s="1406"/>
      <c r="O10" s="1406"/>
      <c r="P10" s="1406"/>
      <c r="Q10" s="1406"/>
      <c r="R10" s="1406"/>
      <c r="S10" s="1406"/>
      <c r="T10" s="1409" t="s">
        <v>507</v>
      </c>
      <c r="U10" s="1406"/>
      <c r="V10" s="1406"/>
      <c r="W10" s="1406"/>
      <c r="X10" s="1406"/>
      <c r="Y10" s="1406"/>
      <c r="Z10" s="1406"/>
      <c r="AA10" s="1406"/>
      <c r="AB10" s="1406"/>
      <c r="AC10" s="1406"/>
      <c r="AD10" s="1406"/>
      <c r="AE10" s="1406"/>
      <c r="AF10" s="1406"/>
      <c r="AG10" s="1406"/>
      <c r="AI10" s="564" t="s">
        <v>508</v>
      </c>
    </row>
    <row r="11" spans="1:82" ht="17.149999999999999" customHeight="1" x14ac:dyDescent="0.35">
      <c r="A11" s="1406"/>
      <c r="B11" s="1406"/>
      <c r="C11" s="1406"/>
      <c r="D11" s="1406"/>
      <c r="E11" s="1406"/>
      <c r="F11" s="1406"/>
      <c r="G11" s="1406"/>
      <c r="H11" s="1406"/>
      <c r="I11" s="1406"/>
      <c r="J11" s="1406"/>
      <c r="K11" s="1406"/>
      <c r="L11" s="1406"/>
      <c r="M11" s="1406"/>
      <c r="N11" s="1406"/>
      <c r="O11" s="1406"/>
      <c r="P11" s="1406"/>
      <c r="Q11" s="1406"/>
      <c r="R11" s="1406"/>
      <c r="S11" s="1406"/>
      <c r="T11" s="1747" t="s">
        <v>509</v>
      </c>
      <c r="U11" s="1747"/>
      <c r="V11" s="1747"/>
      <c r="W11" s="1747"/>
      <c r="X11" s="1747"/>
      <c r="Y11" s="1747"/>
      <c r="Z11" s="1406"/>
      <c r="AA11" s="1747" t="s">
        <v>510</v>
      </c>
      <c r="AB11" s="1747"/>
      <c r="AC11" s="1747"/>
      <c r="AD11" s="1747"/>
      <c r="AE11" s="1747"/>
      <c r="AF11" s="1747"/>
      <c r="AG11" s="1747"/>
      <c r="AI11" s="1697" t="s">
        <v>511</v>
      </c>
      <c r="AJ11" s="1698"/>
      <c r="AK11" s="1698"/>
      <c r="AL11" s="1698"/>
      <c r="AM11" s="1698"/>
      <c r="AN11" s="1699"/>
      <c r="AP11" s="1668" t="s">
        <v>512</v>
      </c>
      <c r="AQ11" s="1668"/>
      <c r="AR11" s="1668"/>
      <c r="AS11" s="1668"/>
      <c r="AT11" s="1668"/>
      <c r="AU11" s="1668"/>
      <c r="AV11" s="1668"/>
    </row>
    <row r="12" spans="1:82" ht="17.149999999999999" customHeight="1" x14ac:dyDescent="0.35">
      <c r="A12" s="1406"/>
      <c r="B12" s="1739" t="s">
        <v>513</v>
      </c>
      <c r="C12" s="1740" t="s">
        <v>590</v>
      </c>
      <c r="D12" s="1742" t="s">
        <v>516</v>
      </c>
      <c r="E12" s="1743"/>
      <c r="F12" s="1739" t="s">
        <v>569</v>
      </c>
      <c r="G12" s="1746" t="s">
        <v>518</v>
      </c>
      <c r="H12" s="1746"/>
      <c r="I12" s="1739" t="s">
        <v>519</v>
      </c>
      <c r="J12" s="1739" t="s">
        <v>520</v>
      </c>
      <c r="K12" s="1406"/>
      <c r="L12" s="1739" t="s">
        <v>521</v>
      </c>
      <c r="M12" s="1739"/>
      <c r="N12" s="1739"/>
      <c r="O12" s="1739"/>
      <c r="P12" s="1739"/>
      <c r="Q12" s="1739"/>
      <c r="R12" s="1739"/>
      <c r="S12" s="1406"/>
      <c r="T12" s="1747" t="s">
        <v>522</v>
      </c>
      <c r="U12" s="1747"/>
      <c r="V12" s="1747"/>
      <c r="W12" s="1747"/>
      <c r="X12" s="1747"/>
      <c r="Y12" s="1747"/>
      <c r="Z12" s="1406"/>
      <c r="AA12" s="1739" t="s">
        <v>522</v>
      </c>
      <c r="AB12" s="1739"/>
      <c r="AC12" s="1739"/>
      <c r="AD12" s="1739"/>
      <c r="AE12" s="1739"/>
      <c r="AF12" s="1739"/>
      <c r="AG12" s="1739"/>
      <c r="AI12" s="1668" t="s">
        <v>522</v>
      </c>
      <c r="AJ12" s="1668"/>
      <c r="AK12" s="1668"/>
      <c r="AL12" s="1668"/>
      <c r="AM12" s="1668"/>
      <c r="AN12" s="1668"/>
      <c r="AP12" s="1668" t="s">
        <v>522</v>
      </c>
      <c r="AQ12" s="1668"/>
      <c r="AR12" s="1668"/>
      <c r="AS12" s="1668"/>
      <c r="AT12" s="1668"/>
      <c r="AU12" s="1668"/>
      <c r="AV12" s="1668"/>
      <c r="BC12" s="655"/>
      <c r="BD12" s="655"/>
      <c r="BE12" s="655"/>
      <c r="BF12" s="655"/>
      <c r="BG12" s="655"/>
      <c r="BH12" s="655"/>
      <c r="BI12" s="655"/>
      <c r="BJ12" s="655"/>
      <c r="BK12" s="655"/>
      <c r="BL12" s="655"/>
      <c r="BM12" s="655"/>
      <c r="BN12" s="655"/>
      <c r="BO12" s="655"/>
      <c r="BP12" s="655"/>
      <c r="BQ12" s="655"/>
      <c r="BR12" s="655"/>
      <c r="BS12" s="655"/>
      <c r="BT12" s="655"/>
      <c r="BU12" s="655"/>
    </row>
    <row r="13" spans="1:82" ht="50.15" customHeight="1" x14ac:dyDescent="0.35">
      <c r="A13" s="1406"/>
      <c r="B13" s="1739"/>
      <c r="C13" s="1741"/>
      <c r="D13" s="1744"/>
      <c r="E13" s="1745"/>
      <c r="F13" s="1739"/>
      <c r="G13" s="1493" t="s">
        <v>523</v>
      </c>
      <c r="H13" s="1493" t="s">
        <v>524</v>
      </c>
      <c r="I13" s="1739"/>
      <c r="J13" s="1739"/>
      <c r="K13" s="1406"/>
      <c r="L13" s="1494" t="s">
        <v>486</v>
      </c>
      <c r="M13" s="1412" t="s">
        <v>525</v>
      </c>
      <c r="N13" s="1412" t="s">
        <v>526</v>
      </c>
      <c r="O13" s="1412" t="s">
        <v>527</v>
      </c>
      <c r="P13" s="1412" t="s">
        <v>528</v>
      </c>
      <c r="Q13" s="1412" t="s">
        <v>529</v>
      </c>
      <c r="R13" s="1413" t="s">
        <v>530</v>
      </c>
      <c r="S13" s="1406"/>
      <c r="T13" s="1412" t="s">
        <v>531</v>
      </c>
      <c r="U13" s="1412" t="s">
        <v>532</v>
      </c>
      <c r="V13" s="1412" t="s">
        <v>533</v>
      </c>
      <c r="W13" s="1412" t="s">
        <v>333</v>
      </c>
      <c r="X13" s="1412" t="s">
        <v>208</v>
      </c>
      <c r="Y13" s="1412" t="s">
        <v>535</v>
      </c>
      <c r="Z13" s="1406"/>
      <c r="AA13" s="1412" t="s">
        <v>536</v>
      </c>
      <c r="AB13" s="1412" t="s">
        <v>531</v>
      </c>
      <c r="AC13" s="1412" t="s">
        <v>532</v>
      </c>
      <c r="AD13" s="1412" t="s">
        <v>533</v>
      </c>
      <c r="AE13" s="1412" t="s">
        <v>537</v>
      </c>
      <c r="AF13" s="1412" t="s">
        <v>208</v>
      </c>
      <c r="AG13" s="1412" t="s">
        <v>535</v>
      </c>
      <c r="AI13" s="1487" t="s">
        <v>538</v>
      </c>
      <c r="AJ13" s="1487" t="s">
        <v>539</v>
      </c>
      <c r="AK13" s="1487" t="s">
        <v>540</v>
      </c>
      <c r="AL13" s="1487" t="s">
        <v>333</v>
      </c>
      <c r="AM13" s="1487" t="s">
        <v>208</v>
      </c>
      <c r="AN13" s="1487" t="s">
        <v>535</v>
      </c>
      <c r="AP13" s="1487" t="s">
        <v>536</v>
      </c>
      <c r="AQ13" s="1487" t="s">
        <v>538</v>
      </c>
      <c r="AR13" s="1487" t="s">
        <v>539</v>
      </c>
      <c r="AS13" s="1487" t="s">
        <v>540</v>
      </c>
      <c r="AT13" s="1487" t="s">
        <v>537</v>
      </c>
      <c r="AU13" s="1487" t="s">
        <v>208</v>
      </c>
      <c r="AV13" s="1487" t="s">
        <v>535</v>
      </c>
      <c r="BC13" s="655"/>
      <c r="BD13" s="655"/>
      <c r="BE13" s="655"/>
      <c r="BF13" s="656"/>
      <c r="BG13" s="655"/>
      <c r="BH13" s="655"/>
      <c r="BI13" s="655"/>
      <c r="BJ13" s="655"/>
      <c r="BK13" s="655"/>
      <c r="BL13" s="655"/>
      <c r="BM13" s="655"/>
      <c r="BN13" s="655"/>
      <c r="BO13" s="655"/>
      <c r="BP13" s="655"/>
      <c r="BQ13" s="655"/>
      <c r="BR13" s="655"/>
      <c r="BS13" s="655"/>
      <c r="BT13" s="655"/>
      <c r="BU13" s="655"/>
    </row>
    <row r="14" spans="1:82" s="20" customFormat="1" ht="17.149999999999999" customHeight="1" x14ac:dyDescent="0.35">
      <c r="A14" s="1406"/>
      <c r="B14" s="1414"/>
      <c r="C14" s="1415"/>
      <c r="D14" s="1415"/>
      <c r="E14" s="1415"/>
      <c r="F14" s="1416"/>
      <c r="G14" s="1416"/>
      <c r="H14" s="1416"/>
      <c r="I14" s="1416"/>
      <c r="J14" s="1416"/>
      <c r="K14" s="1417"/>
      <c r="L14" s="1418"/>
      <c r="M14" s="1419"/>
      <c r="N14" s="1419"/>
      <c r="O14" s="1419"/>
      <c r="P14" s="1419"/>
      <c r="Q14" s="1419"/>
      <c r="R14" s="1418"/>
      <c r="S14" s="1417"/>
      <c r="T14" s="1420"/>
      <c r="U14" s="1420"/>
      <c r="V14" s="1420"/>
      <c r="W14" s="1420"/>
      <c r="X14" s="1420"/>
      <c r="Y14" s="1421"/>
      <c r="Z14" s="1417"/>
      <c r="AA14" s="1418"/>
      <c r="AB14" s="1420"/>
      <c r="AC14" s="1420"/>
      <c r="AD14" s="1420"/>
      <c r="AE14" s="1420"/>
      <c r="AF14" s="1420"/>
      <c r="AG14" s="1421"/>
      <c r="AH14" s="549"/>
      <c r="AI14" s="649"/>
      <c r="AJ14" s="649"/>
      <c r="AK14" s="649"/>
      <c r="AL14" s="649"/>
      <c r="AM14" s="649"/>
      <c r="AN14" s="556"/>
      <c r="AO14" s="549"/>
      <c r="AP14" s="548"/>
      <c r="AQ14" s="649"/>
      <c r="AR14" s="649"/>
      <c r="AS14" s="649"/>
      <c r="AT14" s="649"/>
      <c r="AU14" s="649"/>
      <c r="AV14" s="556"/>
      <c r="AW14" s="549"/>
      <c r="AX14" s="549"/>
      <c r="AY14" s="549"/>
      <c r="AZ14" s="549"/>
      <c r="BA14" s="549"/>
      <c r="BB14" s="549"/>
      <c r="BC14" s="657"/>
      <c r="BD14" s="657"/>
      <c r="BE14" s="657"/>
      <c r="BF14" s="653" t="s">
        <v>541</v>
      </c>
      <c r="BG14" s="657"/>
      <c r="BH14" s="657"/>
      <c r="BI14" s="657"/>
      <c r="BJ14" s="657"/>
      <c r="BK14" s="657"/>
      <c r="BL14" s="657"/>
      <c r="BM14" s="657"/>
      <c r="BN14" s="657"/>
      <c r="BO14" s="657"/>
      <c r="BP14" s="657"/>
      <c r="BQ14" s="657"/>
      <c r="BR14" s="657"/>
      <c r="BS14" s="657"/>
      <c r="BT14" s="657"/>
      <c r="BU14" s="657"/>
      <c r="BV14" s="549"/>
      <c r="BW14" s="549"/>
      <c r="BX14" s="549"/>
      <c r="BY14" s="549"/>
      <c r="BZ14" s="549"/>
      <c r="CA14" s="549"/>
      <c r="CB14" s="549"/>
      <c r="CC14" s="549"/>
      <c r="CD14" s="549"/>
    </row>
    <row r="15" spans="1:82" s="3" customFormat="1" ht="17.149999999999999" customHeight="1" x14ac:dyDescent="0.35">
      <c r="A15" s="1406"/>
      <c r="B15" s="1422" t="str">
        <f>Interface_Treatment!B15</f>
        <v>Plant 1 [sewerage treatment works]</v>
      </c>
      <c r="C15" s="1423">
        <f>IF($C$22=0,0,Interface_Treatment!C15*'Treatment Sludge_NO INPUTS'!$C$22)</f>
        <v>0</v>
      </c>
      <c r="D15" s="1748">
        <f>Interface_Treatment!E15</f>
        <v>0</v>
      </c>
      <c r="E15" s="1749"/>
      <c r="F15" s="1424">
        <f>Interface_Treatment!G15</f>
        <v>0</v>
      </c>
      <c r="G15" s="1425">
        <f>IF(Interface_Treatment!D15=0,0,(Interface_Treatment!H15/Interface_Treatment!D15)*'Treatment Sludge_NO INPUTS'!C15)</f>
        <v>0</v>
      </c>
      <c r="H15" s="1426">
        <f t="shared" ref="H15:H20" si="0">C15-G15</f>
        <v>0</v>
      </c>
      <c r="I15" s="1424">
        <f>Interface_Treatment!J15</f>
        <v>0</v>
      </c>
      <c r="J15" s="1424">
        <f>Interface_Treatment!K15</f>
        <v>0</v>
      </c>
      <c r="K15" s="1427"/>
      <c r="L15" s="1428"/>
      <c r="M15" s="1429"/>
      <c r="N15" s="1429"/>
      <c r="O15" s="1430"/>
      <c r="P15" s="1429"/>
      <c r="Q15" s="1430"/>
      <c r="R15" s="1428"/>
      <c r="S15" s="1427"/>
      <c r="T15" s="1431">
        <f>Interface_Treatment!U15</f>
        <v>0</v>
      </c>
      <c r="U15" s="1431">
        <f>Interface_Treatment!V15</f>
        <v>0</v>
      </c>
      <c r="V15" s="1431">
        <f>Interface_Treatment!W15</f>
        <v>0</v>
      </c>
      <c r="W15" s="1431">
        <f>Interface_Treatment!X15</f>
        <v>0</v>
      </c>
      <c r="X15" s="1432">
        <f t="shared" ref="X15:X20" si="1">SUM(T15:W15)</f>
        <v>0</v>
      </c>
      <c r="Y15" s="1433" t="str">
        <f>IF(AND(G15=0,X15=0),"OK",IF(AND(G15&gt;0,X15=1),"OK","Not OK"))</f>
        <v>OK</v>
      </c>
      <c r="Z15" s="1427"/>
      <c r="AA15" s="1434">
        <f>'FS_Treatment volumes'!K27</f>
        <v>0</v>
      </c>
      <c r="AB15" s="1431">
        <f>Interface_Treatment!AC15</f>
        <v>0</v>
      </c>
      <c r="AC15" s="1431">
        <f>Interface_Treatment!AD15</f>
        <v>0</v>
      </c>
      <c r="AD15" s="1431">
        <f>Interface_Treatment!AE15</f>
        <v>0</v>
      </c>
      <c r="AE15" s="1431">
        <f>Interface_Treatment!AF15</f>
        <v>0</v>
      </c>
      <c r="AF15" s="1432">
        <f t="shared" ref="AF15:AF20" si="2">SUM(AB15:AE15)</f>
        <v>0</v>
      </c>
      <c r="AG15" s="1433" t="str">
        <f t="shared" ref="AG15:AG20" si="3">IF(AND(AA15=0,AF15=0),"OK",IF(AND(AA15&gt;0,AF15=1),"OK","Not OK"))</f>
        <v>OK</v>
      </c>
      <c r="AH15" s="478"/>
      <c r="AI15" s="901">
        <f>Interface_Treatment!AJ15</f>
        <v>0</v>
      </c>
      <c r="AJ15" s="901">
        <f>Interface_Treatment!AK15</f>
        <v>0</v>
      </c>
      <c r="AK15" s="901">
        <f>Interface_Treatment!AL15</f>
        <v>0</v>
      </c>
      <c r="AL15" s="901">
        <f>Interface_Treatment!AM15</f>
        <v>0</v>
      </c>
      <c r="AM15" s="635">
        <f t="shared" ref="AM15:AM20" si="4">SUM(AI15:AL15)</f>
        <v>0</v>
      </c>
      <c r="AN15" s="902" t="str">
        <f t="shared" ref="AN15:AN20" si="5">IF(AND(H15=0,AM15=0),"OK",IF(AND(H15&gt;0,AM15=1),"OK","Not OK"))</f>
        <v>OK</v>
      </c>
      <c r="AO15" s="478"/>
      <c r="AP15" s="636">
        <f>'FS_Treatment volumes'!N27</f>
        <v>0</v>
      </c>
      <c r="AQ15" s="901">
        <f>Interface_Treatment!AR15</f>
        <v>0</v>
      </c>
      <c r="AR15" s="901">
        <f>Interface_Treatment!AS15</f>
        <v>0</v>
      </c>
      <c r="AS15" s="901">
        <f>Interface_Treatment!AT15</f>
        <v>0</v>
      </c>
      <c r="AT15" s="901">
        <f>Interface_Treatment!AU15</f>
        <v>0</v>
      </c>
      <c r="AU15" s="635">
        <f>SUM(AQ15:AT15)</f>
        <v>0</v>
      </c>
      <c r="AV15" s="902" t="str">
        <f t="shared" ref="AV15:AV20" si="6">IF(AND(AP15=0,AU15=0),"OK",IF(AND(AP15&gt;0,AU15=1),"OK","Not OK"))</f>
        <v>OK</v>
      </c>
      <c r="AW15" s="478"/>
      <c r="AX15" s="478"/>
      <c r="AY15" s="478"/>
      <c r="AZ15" s="478"/>
      <c r="BA15" s="478"/>
      <c r="BB15" s="478"/>
      <c r="BC15" s="654"/>
      <c r="BD15" s="654"/>
      <c r="BE15" s="654"/>
      <c r="BF15" s="654" t="s">
        <v>542</v>
      </c>
      <c r="BG15" s="654"/>
      <c r="BH15" s="654"/>
      <c r="BI15" s="654"/>
      <c r="BJ15" s="654"/>
      <c r="BK15" s="654"/>
      <c r="BL15" s="654"/>
      <c r="BM15" s="654"/>
      <c r="BN15" s="654"/>
      <c r="BO15" s="654"/>
      <c r="BP15" s="654"/>
      <c r="BQ15" s="654"/>
      <c r="BR15" s="654"/>
      <c r="BS15" s="654"/>
      <c r="BT15" s="654"/>
      <c r="BU15" s="654"/>
      <c r="BV15" s="478"/>
      <c r="BW15" s="478"/>
      <c r="BX15" s="478"/>
      <c r="BY15" s="478"/>
      <c r="BZ15" s="478"/>
      <c r="CA15" s="478"/>
      <c r="CB15" s="478"/>
      <c r="CC15" s="478"/>
      <c r="CD15" s="478"/>
    </row>
    <row r="16" spans="1:82" s="3" customFormat="1" ht="17.149999999999999" customHeight="1" x14ac:dyDescent="0.35">
      <c r="A16" s="1406"/>
      <c r="B16" s="1422" t="str">
        <f>Interface_Treatment!B16</f>
        <v>Plant 2 [sewerage treatment works]</v>
      </c>
      <c r="C16" s="1423">
        <f>IF($C$22=0,0,Interface_Treatment!C16*'Treatment Sludge_NO INPUTS'!$C$22)</f>
        <v>0</v>
      </c>
      <c r="D16" s="1748">
        <f>Interface_Treatment!E16</f>
        <v>0</v>
      </c>
      <c r="E16" s="1749"/>
      <c r="F16" s="1424">
        <f>Interface_Treatment!G16</f>
        <v>0</v>
      </c>
      <c r="G16" s="1425">
        <f>IF(Interface_Treatment!D16=0,0,(Interface_Treatment!H16/Interface_Treatment!D16)*'Treatment Sludge_NO INPUTS'!C16)</f>
        <v>0</v>
      </c>
      <c r="H16" s="1426">
        <f t="shared" si="0"/>
        <v>0</v>
      </c>
      <c r="I16" s="1424">
        <f>Interface_Treatment!J16</f>
        <v>0</v>
      </c>
      <c r="J16" s="1424">
        <f>Interface_Treatment!K16</f>
        <v>0</v>
      </c>
      <c r="K16" s="1427"/>
      <c r="L16" s="1428"/>
      <c r="M16" s="1429"/>
      <c r="N16" s="1429"/>
      <c r="O16" s="1430"/>
      <c r="P16" s="1429"/>
      <c r="Q16" s="1430"/>
      <c r="R16" s="1428"/>
      <c r="S16" s="1427"/>
      <c r="T16" s="1431">
        <f>Interface_Treatment!U16</f>
        <v>0</v>
      </c>
      <c r="U16" s="1431">
        <f>Interface_Treatment!V16</f>
        <v>0</v>
      </c>
      <c r="V16" s="1431">
        <f>Interface_Treatment!W16</f>
        <v>0</v>
      </c>
      <c r="W16" s="1431">
        <f>Interface_Treatment!X16</f>
        <v>0</v>
      </c>
      <c r="X16" s="1432">
        <f t="shared" si="1"/>
        <v>0</v>
      </c>
      <c r="Y16" s="1433" t="str">
        <f>IF(AND(C16=0,X16=0),"OK",IF(AND(C16&gt;0,X16=1),"OK","Not OK"))</f>
        <v>OK</v>
      </c>
      <c r="Z16" s="1427"/>
      <c r="AA16" s="1434">
        <f>'FS_Treatment volumes'!K28</f>
        <v>0</v>
      </c>
      <c r="AB16" s="1431">
        <f>Interface_Treatment!AC16</f>
        <v>0</v>
      </c>
      <c r="AC16" s="1431">
        <f>Interface_Treatment!AD16</f>
        <v>0</v>
      </c>
      <c r="AD16" s="1431">
        <f>Interface_Treatment!AE16</f>
        <v>0</v>
      </c>
      <c r="AE16" s="1431">
        <f>Interface_Treatment!AF16</f>
        <v>0</v>
      </c>
      <c r="AF16" s="1432">
        <f t="shared" si="2"/>
        <v>0</v>
      </c>
      <c r="AG16" s="1433" t="str">
        <f t="shared" si="3"/>
        <v>OK</v>
      </c>
      <c r="AH16" s="478"/>
      <c r="AI16" s="901">
        <f>Interface_Treatment!AJ16</f>
        <v>0</v>
      </c>
      <c r="AJ16" s="901">
        <f>Interface_Treatment!AK16</f>
        <v>0</v>
      </c>
      <c r="AK16" s="901">
        <f>Interface_Treatment!AL16</f>
        <v>0</v>
      </c>
      <c r="AL16" s="901">
        <f>Interface_Treatment!AM16</f>
        <v>0</v>
      </c>
      <c r="AM16" s="635">
        <f t="shared" si="4"/>
        <v>0</v>
      </c>
      <c r="AN16" s="902" t="str">
        <f t="shared" si="5"/>
        <v>OK</v>
      </c>
      <c r="AO16" s="478"/>
      <c r="AP16" s="636">
        <f>'FS_Treatment volumes'!N28</f>
        <v>0</v>
      </c>
      <c r="AQ16" s="901">
        <f>Interface_Treatment!AR16</f>
        <v>0</v>
      </c>
      <c r="AR16" s="901">
        <f>Interface_Treatment!AS16</f>
        <v>0</v>
      </c>
      <c r="AS16" s="901">
        <f>Interface_Treatment!AT16</f>
        <v>0</v>
      </c>
      <c r="AT16" s="901">
        <f>Interface_Treatment!AU16</f>
        <v>0</v>
      </c>
      <c r="AU16" s="635">
        <f>SUM(AO16:AT16)</f>
        <v>0</v>
      </c>
      <c r="AV16" s="902" t="str">
        <f t="shared" si="6"/>
        <v>OK</v>
      </c>
      <c r="AW16" s="478"/>
      <c r="AX16" s="478"/>
      <c r="AY16" s="478"/>
      <c r="AZ16" s="478"/>
      <c r="BA16" s="478"/>
      <c r="BB16" s="478"/>
      <c r="BC16" s="654"/>
      <c r="BD16" s="654"/>
      <c r="BE16" s="654"/>
      <c r="BF16" s="654" t="s">
        <v>543</v>
      </c>
      <c r="BG16" s="654"/>
      <c r="BH16" s="654"/>
      <c r="BI16" s="654"/>
      <c r="BJ16" s="654"/>
      <c r="BK16" s="654"/>
      <c r="BL16" s="654"/>
      <c r="BM16" s="654"/>
      <c r="BN16" s="654"/>
      <c r="BO16" s="654"/>
      <c r="BP16" s="654"/>
      <c r="BQ16" s="654"/>
      <c r="BR16" s="654"/>
      <c r="BS16" s="654"/>
      <c r="BT16" s="654"/>
      <c r="BU16" s="654"/>
      <c r="BV16" s="478"/>
      <c r="BW16" s="478"/>
      <c r="BX16" s="478"/>
      <c r="BY16" s="478"/>
      <c r="BZ16" s="478"/>
      <c r="CA16" s="478"/>
      <c r="CB16" s="478"/>
      <c r="CC16" s="478"/>
      <c r="CD16" s="478"/>
    </row>
    <row r="17" spans="1:82" s="3" customFormat="1" ht="17.149999999999999" customHeight="1" x14ac:dyDescent="0.35">
      <c r="A17" s="1406"/>
      <c r="B17" s="1422" t="str">
        <f>Interface_Treatment!B17</f>
        <v>Plant 3 [insert name]</v>
      </c>
      <c r="C17" s="1423">
        <f>IF($C$22=0,0,Interface_Treatment!C17*'Treatment Sludge_NO INPUTS'!$C$22)</f>
        <v>0</v>
      </c>
      <c r="D17" s="1748">
        <f>Interface_Treatment!E17</f>
        <v>0</v>
      </c>
      <c r="E17" s="1749"/>
      <c r="F17" s="1424">
        <f>Interface_Treatment!G17</f>
        <v>0</v>
      </c>
      <c r="G17" s="1425">
        <f>IF(Interface_Treatment!D17=0,0,(Interface_Treatment!H17/Interface_Treatment!D17)*'Treatment Sludge_NO INPUTS'!C17)</f>
        <v>0</v>
      </c>
      <c r="H17" s="1426">
        <f t="shared" si="0"/>
        <v>0</v>
      </c>
      <c r="I17" s="1424">
        <f>Interface_Treatment!J17</f>
        <v>0</v>
      </c>
      <c r="J17" s="1424">
        <f>Interface_Treatment!K17</f>
        <v>0</v>
      </c>
      <c r="K17" s="1427"/>
      <c r="L17" s="1428"/>
      <c r="M17" s="1429"/>
      <c r="N17" s="1429"/>
      <c r="O17" s="1430"/>
      <c r="P17" s="1429"/>
      <c r="Q17" s="1430"/>
      <c r="R17" s="1428"/>
      <c r="S17" s="1427"/>
      <c r="T17" s="1431">
        <f>Interface_Treatment!U17</f>
        <v>0</v>
      </c>
      <c r="U17" s="1431">
        <f>Interface_Treatment!V17</f>
        <v>0</v>
      </c>
      <c r="V17" s="1431">
        <f>Interface_Treatment!W17</f>
        <v>0</v>
      </c>
      <c r="W17" s="1431">
        <f>Interface_Treatment!X17</f>
        <v>0</v>
      </c>
      <c r="X17" s="1432">
        <f t="shared" si="1"/>
        <v>0</v>
      </c>
      <c r="Y17" s="1433" t="str">
        <f>IF(AND(C17=0,X17=0),"OK",IF(AND(C17&gt;0,X17=1),"OK","Not OK"))</f>
        <v>OK</v>
      </c>
      <c r="Z17" s="1427"/>
      <c r="AA17" s="1434">
        <f>'FS_Treatment volumes'!K29</f>
        <v>0</v>
      </c>
      <c r="AB17" s="1431">
        <f>Interface_Treatment!AC17</f>
        <v>0</v>
      </c>
      <c r="AC17" s="1431">
        <f>Interface_Treatment!AD17</f>
        <v>0</v>
      </c>
      <c r="AD17" s="1431">
        <f>Interface_Treatment!AE17</f>
        <v>0</v>
      </c>
      <c r="AE17" s="1431">
        <f>Interface_Treatment!AF17</f>
        <v>0</v>
      </c>
      <c r="AF17" s="1432">
        <f t="shared" si="2"/>
        <v>0</v>
      </c>
      <c r="AG17" s="1433" t="str">
        <f t="shared" si="3"/>
        <v>OK</v>
      </c>
      <c r="AH17" s="478"/>
      <c r="AI17" s="901">
        <f>Interface_Treatment!AJ17</f>
        <v>0</v>
      </c>
      <c r="AJ17" s="901">
        <f>Interface_Treatment!AK17</f>
        <v>0</v>
      </c>
      <c r="AK17" s="901">
        <f>Interface_Treatment!AL17</f>
        <v>0</v>
      </c>
      <c r="AL17" s="901">
        <f>Interface_Treatment!AM17</f>
        <v>0</v>
      </c>
      <c r="AM17" s="635">
        <f t="shared" si="4"/>
        <v>0</v>
      </c>
      <c r="AN17" s="902" t="str">
        <f t="shared" si="5"/>
        <v>OK</v>
      </c>
      <c r="AO17" s="478"/>
      <c r="AP17" s="636">
        <f>'FS_Treatment volumes'!N29</f>
        <v>0</v>
      </c>
      <c r="AQ17" s="901">
        <f>Interface_Treatment!AR17</f>
        <v>0</v>
      </c>
      <c r="AR17" s="901">
        <f>Interface_Treatment!AS17</f>
        <v>0</v>
      </c>
      <c r="AS17" s="901">
        <f>Interface_Treatment!AT17</f>
        <v>0</v>
      </c>
      <c r="AT17" s="901">
        <f>Interface_Treatment!AU17</f>
        <v>0</v>
      </c>
      <c r="AU17" s="635">
        <f>SUM(AO17:AT17)</f>
        <v>0</v>
      </c>
      <c r="AV17" s="902" t="str">
        <f t="shared" si="6"/>
        <v>OK</v>
      </c>
      <c r="AW17" s="478"/>
      <c r="AX17" s="478"/>
      <c r="AY17" s="478"/>
      <c r="AZ17" s="478"/>
      <c r="BA17" s="478"/>
      <c r="BB17" s="478"/>
      <c r="BC17" s="654"/>
      <c r="BD17" s="654"/>
      <c r="BE17" s="654"/>
      <c r="BF17" s="654" t="s">
        <v>545</v>
      </c>
      <c r="BG17" s="654"/>
      <c r="BH17" s="654"/>
      <c r="BI17" s="654"/>
      <c r="BJ17" s="654"/>
      <c r="BK17" s="654"/>
      <c r="BL17" s="654"/>
      <c r="BM17" s="654"/>
      <c r="BN17" s="654"/>
      <c r="BO17" s="654"/>
      <c r="BP17" s="654"/>
      <c r="BQ17" s="654"/>
      <c r="BR17" s="654"/>
      <c r="BS17" s="654"/>
      <c r="BT17" s="654"/>
      <c r="BU17" s="654"/>
      <c r="BV17" s="478"/>
      <c r="BW17" s="478"/>
      <c r="BX17" s="478"/>
      <c r="BY17" s="478"/>
      <c r="BZ17" s="478"/>
      <c r="CA17" s="478"/>
      <c r="CB17" s="478"/>
      <c r="CC17" s="478"/>
      <c r="CD17" s="478"/>
    </row>
    <row r="18" spans="1:82" s="3" customFormat="1" ht="17.149999999999999" customHeight="1" x14ac:dyDescent="0.35">
      <c r="A18" s="1406"/>
      <c r="B18" s="1422" t="str">
        <f>Interface_Treatment!B18</f>
        <v>Plant 4 [insert name]</v>
      </c>
      <c r="C18" s="1423">
        <f>IF($C$22=0,0,Interface_Treatment!C18*'Treatment Sludge_NO INPUTS'!$C$22)</f>
        <v>0</v>
      </c>
      <c r="D18" s="1748">
        <f>Interface_Treatment!E18</f>
        <v>0</v>
      </c>
      <c r="E18" s="1749"/>
      <c r="F18" s="1424">
        <f>Interface_Treatment!G18</f>
        <v>0</v>
      </c>
      <c r="G18" s="1425">
        <f>IF(Interface_Treatment!D18=0,0,(Interface_Treatment!H18/Interface_Treatment!D18)*'Treatment Sludge_NO INPUTS'!C18)</f>
        <v>0</v>
      </c>
      <c r="H18" s="1426">
        <f t="shared" si="0"/>
        <v>0</v>
      </c>
      <c r="I18" s="1424">
        <f>Interface_Treatment!J18</f>
        <v>0</v>
      </c>
      <c r="J18" s="1424">
        <f>Interface_Treatment!K18</f>
        <v>0</v>
      </c>
      <c r="K18" s="1427"/>
      <c r="L18" s="1428"/>
      <c r="M18" s="1429"/>
      <c r="N18" s="1429"/>
      <c r="O18" s="1430"/>
      <c r="P18" s="1429"/>
      <c r="Q18" s="1430"/>
      <c r="R18" s="1428"/>
      <c r="S18" s="1427"/>
      <c r="T18" s="1431">
        <f>Interface_Treatment!U18</f>
        <v>0</v>
      </c>
      <c r="U18" s="1431">
        <f>Interface_Treatment!V18</f>
        <v>0</v>
      </c>
      <c r="V18" s="1431">
        <f>Interface_Treatment!W18</f>
        <v>0</v>
      </c>
      <c r="W18" s="1431">
        <f>Interface_Treatment!X18</f>
        <v>0</v>
      </c>
      <c r="X18" s="1432">
        <f t="shared" si="1"/>
        <v>0</v>
      </c>
      <c r="Y18" s="1433" t="str">
        <f>IF(AND(C18=0,X18=0),"OK",IF(AND(C18&gt;0,X18=1),"OK","Not OK"))</f>
        <v>OK</v>
      </c>
      <c r="Z18" s="1427"/>
      <c r="AA18" s="1434">
        <f>'FS_Treatment volumes'!K30</f>
        <v>0</v>
      </c>
      <c r="AB18" s="1431">
        <f>Interface_Treatment!AC18</f>
        <v>0</v>
      </c>
      <c r="AC18" s="1431">
        <f>Interface_Treatment!AD18</f>
        <v>0</v>
      </c>
      <c r="AD18" s="1431">
        <f>Interface_Treatment!AE18</f>
        <v>0</v>
      </c>
      <c r="AE18" s="1431">
        <f>Interface_Treatment!AF18</f>
        <v>0</v>
      </c>
      <c r="AF18" s="1432">
        <f t="shared" si="2"/>
        <v>0</v>
      </c>
      <c r="AG18" s="1433" t="str">
        <f t="shared" si="3"/>
        <v>OK</v>
      </c>
      <c r="AH18" s="478"/>
      <c r="AI18" s="901">
        <f>Interface_Treatment!AJ18</f>
        <v>0</v>
      </c>
      <c r="AJ18" s="901">
        <f>Interface_Treatment!AK18</f>
        <v>0</v>
      </c>
      <c r="AK18" s="901">
        <f>Interface_Treatment!AL18</f>
        <v>0</v>
      </c>
      <c r="AL18" s="901">
        <f>Interface_Treatment!AM18</f>
        <v>0</v>
      </c>
      <c r="AM18" s="635">
        <f t="shared" si="4"/>
        <v>0</v>
      </c>
      <c r="AN18" s="902" t="str">
        <f t="shared" si="5"/>
        <v>OK</v>
      </c>
      <c r="AO18" s="478"/>
      <c r="AP18" s="636">
        <f>'FS_Treatment volumes'!N30</f>
        <v>0</v>
      </c>
      <c r="AQ18" s="901">
        <f>Interface_Treatment!AR18</f>
        <v>0</v>
      </c>
      <c r="AR18" s="901">
        <f>Interface_Treatment!AS18</f>
        <v>0</v>
      </c>
      <c r="AS18" s="901">
        <f>Interface_Treatment!AT18</f>
        <v>0</v>
      </c>
      <c r="AT18" s="901">
        <f>Interface_Treatment!AU18</f>
        <v>0</v>
      </c>
      <c r="AU18" s="635">
        <f>SUM(AO18:AT18)</f>
        <v>0</v>
      </c>
      <c r="AV18" s="902" t="str">
        <f t="shared" si="6"/>
        <v>OK</v>
      </c>
      <c r="AW18" s="478"/>
      <c r="AX18" s="478"/>
      <c r="AY18" s="478"/>
      <c r="AZ18" s="478"/>
      <c r="BA18" s="478"/>
      <c r="BB18" s="478"/>
      <c r="BC18" s="654"/>
      <c r="BD18" s="654"/>
      <c r="BE18" s="654"/>
      <c r="BF18" s="654" t="s">
        <v>547</v>
      </c>
      <c r="BG18" s="654"/>
      <c r="BH18" s="654"/>
      <c r="BI18" s="654"/>
      <c r="BJ18" s="654"/>
      <c r="BK18" s="654"/>
      <c r="BL18" s="654"/>
      <c r="BM18" s="654"/>
      <c r="BN18" s="654"/>
      <c r="BO18" s="654"/>
      <c r="BP18" s="654"/>
      <c r="BQ18" s="654"/>
      <c r="BR18" s="654"/>
      <c r="BS18" s="654"/>
      <c r="BT18" s="654"/>
      <c r="BU18" s="654"/>
      <c r="BV18" s="478"/>
      <c r="BW18" s="478"/>
      <c r="BX18" s="478"/>
      <c r="BY18" s="478"/>
      <c r="BZ18" s="478"/>
      <c r="CA18" s="478"/>
      <c r="CB18" s="478"/>
      <c r="CC18" s="478"/>
      <c r="CD18" s="478"/>
    </row>
    <row r="19" spans="1:82" s="3" customFormat="1" ht="17.149999999999999" customHeight="1" x14ac:dyDescent="0.35">
      <c r="A19" s="1406"/>
      <c r="B19" s="1422" t="str">
        <f>Interface_Treatment!B19</f>
        <v>Plant 5 [insert name]</v>
      </c>
      <c r="C19" s="1423">
        <f>IF($C$22=0,0,Interface_Treatment!C19*'Treatment Sludge_NO INPUTS'!$C$22)</f>
        <v>0</v>
      </c>
      <c r="D19" s="1748">
        <f>Interface_Treatment!E19</f>
        <v>0</v>
      </c>
      <c r="E19" s="1749"/>
      <c r="F19" s="1424">
        <f>Interface_Treatment!G19</f>
        <v>0</v>
      </c>
      <c r="G19" s="1425">
        <f>IF(Interface_Treatment!D19=0,0,(Interface_Treatment!H19/Interface_Treatment!D19)*'Treatment Sludge_NO INPUTS'!C19)</f>
        <v>0</v>
      </c>
      <c r="H19" s="1426">
        <f t="shared" si="0"/>
        <v>0</v>
      </c>
      <c r="I19" s="1424">
        <f>Interface_Treatment!J19</f>
        <v>0</v>
      </c>
      <c r="J19" s="1424">
        <f>Interface_Treatment!K19</f>
        <v>0</v>
      </c>
      <c r="K19" s="1427"/>
      <c r="L19" s="1428"/>
      <c r="M19" s="1429"/>
      <c r="N19" s="1429"/>
      <c r="O19" s="1430"/>
      <c r="P19" s="1429"/>
      <c r="Q19" s="1430"/>
      <c r="R19" s="1428"/>
      <c r="S19" s="1427"/>
      <c r="T19" s="1431">
        <f>Interface_Treatment!U19</f>
        <v>0</v>
      </c>
      <c r="U19" s="1431">
        <f>Interface_Treatment!V19</f>
        <v>0</v>
      </c>
      <c r="V19" s="1431">
        <f>Interface_Treatment!W19</f>
        <v>0</v>
      </c>
      <c r="W19" s="1431">
        <f>Interface_Treatment!X19</f>
        <v>0</v>
      </c>
      <c r="X19" s="1432">
        <f t="shared" si="1"/>
        <v>0</v>
      </c>
      <c r="Y19" s="1433" t="str">
        <f>IF(AND(C19=0,X19=0),"OK",IF(AND(C19&gt;0,X19=1),"OK","Not OK"))</f>
        <v>OK</v>
      </c>
      <c r="Z19" s="1427"/>
      <c r="AA19" s="1434">
        <f>'FS_Treatment volumes'!K31</f>
        <v>0</v>
      </c>
      <c r="AB19" s="1431">
        <f>Interface_Treatment!AC19</f>
        <v>0</v>
      </c>
      <c r="AC19" s="1431">
        <f>Interface_Treatment!AD19</f>
        <v>0</v>
      </c>
      <c r="AD19" s="1431">
        <f>Interface_Treatment!AE19</f>
        <v>0</v>
      </c>
      <c r="AE19" s="1431">
        <f>Interface_Treatment!AF19</f>
        <v>0</v>
      </c>
      <c r="AF19" s="1432">
        <f t="shared" si="2"/>
        <v>0</v>
      </c>
      <c r="AG19" s="1433" t="str">
        <f t="shared" si="3"/>
        <v>OK</v>
      </c>
      <c r="AH19" s="478"/>
      <c r="AI19" s="901">
        <f>Interface_Treatment!AJ19</f>
        <v>0</v>
      </c>
      <c r="AJ19" s="901">
        <f>Interface_Treatment!AK19</f>
        <v>0</v>
      </c>
      <c r="AK19" s="901">
        <f>Interface_Treatment!AL19</f>
        <v>0</v>
      </c>
      <c r="AL19" s="901">
        <f>Interface_Treatment!AM19</f>
        <v>0</v>
      </c>
      <c r="AM19" s="635">
        <f t="shared" si="4"/>
        <v>0</v>
      </c>
      <c r="AN19" s="902" t="str">
        <f t="shared" si="5"/>
        <v>OK</v>
      </c>
      <c r="AO19" s="478"/>
      <c r="AP19" s="636">
        <f>'FS_Treatment volumes'!N31</f>
        <v>0</v>
      </c>
      <c r="AQ19" s="901">
        <f>Interface_Treatment!AR19</f>
        <v>0</v>
      </c>
      <c r="AR19" s="901">
        <f>Interface_Treatment!AS19</f>
        <v>0</v>
      </c>
      <c r="AS19" s="901">
        <f>Interface_Treatment!AT19</f>
        <v>0</v>
      </c>
      <c r="AT19" s="901">
        <f>Interface_Treatment!AU19</f>
        <v>0</v>
      </c>
      <c r="AU19" s="635">
        <f>SUM(AO19:AT19)</f>
        <v>0</v>
      </c>
      <c r="AV19" s="902" t="str">
        <f t="shared" si="6"/>
        <v>OK</v>
      </c>
      <c r="AW19" s="478"/>
      <c r="AX19" s="478"/>
      <c r="AY19" s="478"/>
      <c r="AZ19" s="478"/>
      <c r="BA19" s="478"/>
      <c r="BB19" s="478"/>
      <c r="BC19" s="654"/>
      <c r="BD19" s="654"/>
      <c r="BE19" s="654"/>
      <c r="BF19" s="654" t="s">
        <v>549</v>
      </c>
      <c r="BG19" s="654"/>
      <c r="BH19" s="654"/>
      <c r="BI19" s="654"/>
      <c r="BJ19" s="654"/>
      <c r="BK19" s="654"/>
      <c r="BL19" s="654"/>
      <c r="BM19" s="654"/>
      <c r="BN19" s="654"/>
      <c r="BO19" s="654"/>
      <c r="BP19" s="654"/>
      <c r="BQ19" s="654"/>
      <c r="BR19" s="654"/>
      <c r="BS19" s="654"/>
      <c r="BT19" s="654"/>
      <c r="BU19" s="654"/>
      <c r="BV19" s="478"/>
      <c r="BW19" s="478"/>
      <c r="BX19" s="478"/>
      <c r="BY19" s="478"/>
      <c r="BZ19" s="478"/>
      <c r="CA19" s="478"/>
      <c r="CB19" s="478"/>
      <c r="CC19" s="478"/>
      <c r="CD19" s="478"/>
    </row>
    <row r="20" spans="1:82" s="3" customFormat="1" ht="17.149999999999999" customHeight="1" x14ac:dyDescent="0.35">
      <c r="A20" s="1406"/>
      <c r="B20" s="1422" t="str">
        <f>Interface_Treatment!B20</f>
        <v>Plant 6 [insert name]</v>
      </c>
      <c r="C20" s="1423">
        <f>IF($C$22=0,0,Interface_Treatment!C20*'Treatment Sludge_NO INPUTS'!$C$22)</f>
        <v>0</v>
      </c>
      <c r="D20" s="1748">
        <f>Interface_Treatment!E20</f>
        <v>0</v>
      </c>
      <c r="E20" s="1749"/>
      <c r="F20" s="1424">
        <f>Interface_Treatment!G20</f>
        <v>0</v>
      </c>
      <c r="G20" s="1425">
        <f>IF(Interface_Treatment!D20=0,0,(Interface_Treatment!H20/Interface_Treatment!D20)*'Treatment Sludge_NO INPUTS'!C20)</f>
        <v>0</v>
      </c>
      <c r="H20" s="1426">
        <f t="shared" si="0"/>
        <v>0</v>
      </c>
      <c r="I20" s="1424">
        <f>Interface_Treatment!J20</f>
        <v>0</v>
      </c>
      <c r="J20" s="1424">
        <f>Interface_Treatment!K20</f>
        <v>0</v>
      </c>
      <c r="K20" s="1427"/>
      <c r="L20" s="1428"/>
      <c r="M20" s="1429"/>
      <c r="N20" s="1429"/>
      <c r="O20" s="1430"/>
      <c r="P20" s="1429"/>
      <c r="Q20" s="1430"/>
      <c r="R20" s="1428"/>
      <c r="S20" s="1427"/>
      <c r="T20" s="1431">
        <f>Interface_Treatment!U20</f>
        <v>0</v>
      </c>
      <c r="U20" s="1431">
        <f>Interface_Treatment!V20</f>
        <v>0</v>
      </c>
      <c r="V20" s="1431">
        <f>Interface_Treatment!W20</f>
        <v>0</v>
      </c>
      <c r="W20" s="1431">
        <f>Interface_Treatment!X20</f>
        <v>0</v>
      </c>
      <c r="X20" s="1432">
        <f t="shared" si="1"/>
        <v>0</v>
      </c>
      <c r="Y20" s="1433" t="str">
        <f>IF(AND(C20=0,X20=0),"OK",IF(AND(C20&gt;0,X20=1),"OK","Not OK"))</f>
        <v>OK</v>
      </c>
      <c r="Z20" s="1427"/>
      <c r="AA20" s="1434">
        <f>'FS_Treatment volumes'!K32</f>
        <v>0</v>
      </c>
      <c r="AB20" s="1431">
        <f>Interface_Treatment!AC20</f>
        <v>0</v>
      </c>
      <c r="AC20" s="1431">
        <f>Interface_Treatment!AD20</f>
        <v>0</v>
      </c>
      <c r="AD20" s="1431">
        <f>Interface_Treatment!AE20</f>
        <v>0</v>
      </c>
      <c r="AE20" s="1431">
        <f>Interface_Treatment!AF20</f>
        <v>0</v>
      </c>
      <c r="AF20" s="1432">
        <f t="shared" si="2"/>
        <v>0</v>
      </c>
      <c r="AG20" s="1433" t="str">
        <f t="shared" si="3"/>
        <v>OK</v>
      </c>
      <c r="AH20" s="478"/>
      <c r="AI20" s="901">
        <f>Interface_Treatment!AJ20</f>
        <v>0</v>
      </c>
      <c r="AJ20" s="901">
        <f>Interface_Treatment!AK20</f>
        <v>0</v>
      </c>
      <c r="AK20" s="901">
        <f>Interface_Treatment!AL20</f>
        <v>0</v>
      </c>
      <c r="AL20" s="901">
        <f>Interface_Treatment!AM20</f>
        <v>0</v>
      </c>
      <c r="AM20" s="635">
        <f t="shared" si="4"/>
        <v>0</v>
      </c>
      <c r="AN20" s="902" t="str">
        <f t="shared" si="5"/>
        <v>OK</v>
      </c>
      <c r="AO20" s="478"/>
      <c r="AP20" s="636">
        <f>'FS_Treatment volumes'!N32</f>
        <v>0</v>
      </c>
      <c r="AQ20" s="901">
        <f>Interface_Treatment!AR20</f>
        <v>0</v>
      </c>
      <c r="AR20" s="901">
        <f>Interface_Treatment!AS20</f>
        <v>0</v>
      </c>
      <c r="AS20" s="901">
        <f>Interface_Treatment!AT20</f>
        <v>0</v>
      </c>
      <c r="AT20" s="901">
        <f>Interface_Treatment!AU20</f>
        <v>0</v>
      </c>
      <c r="AU20" s="635">
        <f>SUM(AO20:AT20)</f>
        <v>0</v>
      </c>
      <c r="AV20" s="902" t="str">
        <f t="shared" si="6"/>
        <v>OK</v>
      </c>
      <c r="AW20" s="478"/>
      <c r="AX20" s="478"/>
      <c r="AY20" s="478"/>
      <c r="AZ20" s="478"/>
      <c r="BA20" s="478"/>
      <c r="BB20" s="478"/>
      <c r="BC20" s="654"/>
      <c r="BD20" s="654"/>
      <c r="BE20" s="654"/>
      <c r="BF20" s="654" t="s">
        <v>551</v>
      </c>
      <c r="BG20" s="654"/>
      <c r="BH20" s="654"/>
      <c r="BI20" s="654"/>
      <c r="BJ20" s="654"/>
      <c r="BK20" s="654"/>
      <c r="BL20" s="654"/>
      <c r="BM20" s="654"/>
      <c r="BN20" s="654"/>
      <c r="BO20" s="654"/>
      <c r="BP20" s="654"/>
      <c r="BQ20" s="654"/>
      <c r="BR20" s="654"/>
      <c r="BS20" s="654"/>
      <c r="BT20" s="654"/>
      <c r="BU20" s="654"/>
      <c r="BV20" s="478"/>
      <c r="BW20" s="478"/>
      <c r="BX20" s="478"/>
      <c r="BY20" s="478"/>
      <c r="BZ20" s="478"/>
      <c r="CA20" s="478"/>
      <c r="CB20" s="478"/>
      <c r="CC20" s="478"/>
      <c r="CD20" s="478"/>
    </row>
    <row r="21" spans="1:82" s="11" customFormat="1" ht="17.149999999999999" customHeight="1" x14ac:dyDescent="0.35">
      <c r="A21" s="1406"/>
      <c r="B21" s="1435" t="s">
        <v>208</v>
      </c>
      <c r="C21" s="1436">
        <f>SUM(C15:C20)</f>
        <v>0</v>
      </c>
      <c r="D21" s="1437"/>
      <c r="E21" s="1437"/>
      <c r="F21" s="1438"/>
      <c r="G21" s="1439"/>
      <c r="H21" s="1440"/>
      <c r="I21" s="1440"/>
      <c r="J21" s="1440"/>
      <c r="K21" s="1439"/>
      <c r="L21" s="1439"/>
      <c r="M21" s="1439"/>
      <c r="N21" s="1439"/>
      <c r="O21" s="1439"/>
      <c r="P21" s="1439"/>
      <c r="Q21" s="1439"/>
      <c r="R21" s="1439"/>
      <c r="S21" s="1439"/>
      <c r="T21" s="1439"/>
      <c r="U21" s="1439"/>
      <c r="V21" s="1439"/>
      <c r="W21" s="1439"/>
      <c r="X21" s="1439"/>
      <c r="Y21" s="1439"/>
      <c r="Z21" s="1439"/>
      <c r="AA21" s="1439"/>
      <c r="AB21" s="1439"/>
      <c r="AC21" s="1439"/>
      <c r="AD21" s="1439"/>
      <c r="AE21" s="1439"/>
      <c r="AF21" s="1439"/>
      <c r="AG21" s="1439"/>
      <c r="AH21" s="572"/>
      <c r="AI21" s="572"/>
      <c r="AJ21" s="572"/>
      <c r="AK21" s="572"/>
      <c r="AL21" s="572"/>
      <c r="AM21" s="572"/>
      <c r="AN21" s="572"/>
      <c r="AO21" s="572"/>
      <c r="AP21" s="572"/>
      <c r="AQ21" s="572"/>
      <c r="AR21" s="572"/>
      <c r="AS21" s="572"/>
      <c r="AT21" s="572"/>
      <c r="AU21" s="572"/>
      <c r="AV21" s="572"/>
      <c r="AW21" s="572"/>
      <c r="AX21" s="572"/>
      <c r="AY21" s="572"/>
      <c r="AZ21" s="572"/>
      <c r="BA21" s="572"/>
      <c r="BB21" s="572"/>
      <c r="BC21" s="656"/>
      <c r="BD21" s="656"/>
      <c r="BE21" s="656"/>
      <c r="BF21" s="654" t="s">
        <v>552</v>
      </c>
      <c r="BG21" s="656"/>
      <c r="BH21" s="656"/>
      <c r="BI21" s="656"/>
      <c r="BJ21" s="656"/>
      <c r="BK21" s="656"/>
      <c r="BL21" s="656"/>
      <c r="BM21" s="656"/>
      <c r="BN21" s="656"/>
      <c r="BO21" s="656"/>
      <c r="BP21" s="656"/>
      <c r="BQ21" s="656"/>
      <c r="BR21" s="656"/>
      <c r="BS21" s="656"/>
      <c r="BT21" s="656"/>
      <c r="BU21" s="656"/>
      <c r="BV21" s="572"/>
      <c r="BW21" s="572"/>
      <c r="BX21" s="572"/>
      <c r="BY21" s="572"/>
      <c r="BZ21" s="572"/>
      <c r="CA21" s="572"/>
      <c r="CB21" s="572"/>
      <c r="CC21" s="572"/>
      <c r="CD21" s="572"/>
    </row>
    <row r="22" spans="1:82" s="61" customFormat="1" ht="17.149999999999999" customHeight="1" x14ac:dyDescent="0.35">
      <c r="A22" s="1406"/>
      <c r="B22" s="1435" t="s">
        <v>553</v>
      </c>
      <c r="C22" s="1436">
        <f>'Transport volumes'!B116</f>
        <v>0</v>
      </c>
      <c r="D22" s="1437"/>
      <c r="E22" s="1437"/>
      <c r="F22" s="1438"/>
      <c r="G22" s="1439"/>
      <c r="H22" s="1440"/>
      <c r="I22" s="1440"/>
      <c r="J22" s="1440"/>
      <c r="K22" s="1439"/>
      <c r="L22" s="1439"/>
      <c r="M22" s="1439"/>
      <c r="N22" s="1439"/>
      <c r="O22" s="1439"/>
      <c r="P22" s="1439"/>
      <c r="Q22" s="1439"/>
      <c r="R22" s="1439"/>
      <c r="S22" s="1439"/>
      <c r="T22" s="1439"/>
      <c r="U22" s="1439"/>
      <c r="V22" s="1439"/>
      <c r="W22" s="1439"/>
      <c r="X22" s="1439"/>
      <c r="Y22" s="1439"/>
      <c r="Z22" s="1439"/>
      <c r="AA22" s="1439"/>
      <c r="AB22" s="1439"/>
      <c r="AC22" s="1439"/>
      <c r="AD22" s="1439"/>
      <c r="AE22" s="1439"/>
      <c r="AF22" s="1439"/>
      <c r="AG22" s="1439"/>
      <c r="AH22" s="572"/>
      <c r="AI22" s="572"/>
      <c r="AJ22" s="572"/>
      <c r="AK22" s="572"/>
      <c r="AL22" s="572"/>
      <c r="AM22" s="572"/>
      <c r="AN22" s="572"/>
      <c r="AO22" s="572"/>
      <c r="AP22" s="572"/>
      <c r="AQ22" s="572"/>
      <c r="AR22" s="572"/>
      <c r="AS22" s="572"/>
      <c r="AT22" s="572"/>
      <c r="AU22" s="572"/>
      <c r="AV22" s="572"/>
      <c r="AW22" s="572"/>
      <c r="AX22" s="572"/>
      <c r="AY22" s="572"/>
      <c r="AZ22" s="572"/>
      <c r="BA22" s="572"/>
      <c r="BB22" s="572"/>
      <c r="BC22" s="656"/>
      <c r="BD22" s="656"/>
      <c r="BE22" s="656"/>
      <c r="BF22" s="656"/>
      <c r="BG22" s="656"/>
      <c r="BH22" s="656"/>
      <c r="BI22" s="656"/>
      <c r="BJ22" s="656"/>
      <c r="BK22" s="656"/>
      <c r="BL22" s="656"/>
      <c r="BM22" s="656"/>
      <c r="BN22" s="656"/>
      <c r="BO22" s="656"/>
      <c r="BP22" s="656"/>
      <c r="BQ22" s="656"/>
      <c r="BR22" s="656"/>
      <c r="BS22" s="656"/>
      <c r="BT22" s="656"/>
      <c r="BU22" s="656"/>
      <c r="BV22" s="572"/>
      <c r="BW22" s="572"/>
      <c r="BX22" s="572"/>
      <c r="BY22" s="572"/>
      <c r="BZ22" s="572"/>
      <c r="CA22" s="572"/>
      <c r="CB22" s="572"/>
      <c r="CC22" s="572"/>
      <c r="CD22" s="572"/>
    </row>
    <row r="23" spans="1:82" ht="17.149999999999999" customHeight="1" x14ac:dyDescent="0.35">
      <c r="A23" s="1406"/>
      <c r="B23" s="1441" t="s">
        <v>251</v>
      </c>
      <c r="C23" s="1442">
        <f>C21-C22</f>
        <v>0</v>
      </c>
      <c r="D23" s="1443"/>
      <c r="E23" s="1443"/>
      <c r="F23" s="1444"/>
      <c r="G23" s="1427"/>
      <c r="H23" s="1445"/>
      <c r="I23" s="1445"/>
      <c r="J23" s="1445"/>
      <c r="K23" s="1406"/>
      <c r="L23" s="1406"/>
      <c r="M23" s="1406"/>
      <c r="N23" s="1406"/>
      <c r="O23" s="1406"/>
      <c r="P23" s="1406"/>
      <c r="Q23" s="1406"/>
      <c r="R23" s="1406"/>
      <c r="S23" s="1406"/>
      <c r="T23" s="1406"/>
      <c r="U23" s="1406"/>
      <c r="V23" s="1406"/>
      <c r="W23" s="1406"/>
      <c r="X23" s="1406"/>
      <c r="Y23" s="1406"/>
      <c r="Z23" s="1406"/>
      <c r="AA23" s="1406"/>
      <c r="AB23" s="1406"/>
      <c r="AC23" s="1406"/>
      <c r="AD23" s="1406"/>
      <c r="AE23" s="1406"/>
      <c r="AF23" s="1406"/>
      <c r="AG23" s="1406"/>
      <c r="AI23" s="544"/>
      <c r="AJ23" s="544"/>
      <c r="AK23" s="544"/>
      <c r="AL23" s="544"/>
      <c r="AM23" s="544"/>
      <c r="AN23" s="544"/>
      <c r="AP23" s="544"/>
      <c r="AQ23" s="544"/>
      <c r="AR23" s="544"/>
      <c r="AS23" s="544"/>
      <c r="AT23" s="544"/>
      <c r="AU23" s="544"/>
      <c r="AV23" s="544"/>
      <c r="BC23" s="655"/>
      <c r="BD23" s="655"/>
      <c r="BE23" s="655"/>
      <c r="BF23" s="655"/>
      <c r="BG23" s="655"/>
      <c r="BH23" s="655"/>
      <c r="BI23" s="655"/>
      <c r="BJ23" s="655"/>
      <c r="BK23" s="655"/>
      <c r="BL23" s="655"/>
      <c r="BM23" s="655"/>
      <c r="BN23" s="655"/>
      <c r="BO23" s="655"/>
      <c r="BP23" s="655"/>
      <c r="BQ23" s="655"/>
      <c r="BR23" s="655"/>
      <c r="BS23" s="655"/>
      <c r="BT23" s="655"/>
      <c r="BU23" s="655"/>
    </row>
    <row r="24" spans="1:82" ht="17.149999999999999" customHeight="1" x14ac:dyDescent="0.35">
      <c r="A24" s="1406"/>
      <c r="B24" s="1427"/>
      <c r="C24" s="1446" t="str">
        <f>IF(C23=0,"OK","Not OK")</f>
        <v>OK</v>
      </c>
      <c r="D24" s="1443"/>
      <c r="E24" s="1443"/>
      <c r="F24" s="1444"/>
      <c r="G24" s="1427"/>
      <c r="H24" s="1445"/>
      <c r="I24" s="1445"/>
      <c r="J24" s="1445"/>
      <c r="K24" s="1406"/>
      <c r="L24" s="1406"/>
      <c r="M24" s="1406"/>
      <c r="N24" s="1406"/>
      <c r="O24" s="1406"/>
      <c r="P24" s="1406"/>
      <c r="Q24" s="1406"/>
      <c r="R24" s="1406"/>
      <c r="S24" s="1406"/>
      <c r="T24" s="1406"/>
      <c r="U24" s="1406"/>
      <c r="V24" s="1406"/>
      <c r="W24" s="1406"/>
      <c r="X24" s="1406"/>
      <c r="Y24" s="1406"/>
      <c r="Z24" s="1406"/>
      <c r="AA24" s="1406"/>
      <c r="AB24" s="1406"/>
      <c r="AC24" s="1406"/>
      <c r="AD24" s="1406"/>
      <c r="AE24" s="1406"/>
      <c r="AF24" s="1406"/>
      <c r="AG24" s="1406"/>
      <c r="AI24" s="544"/>
      <c r="AJ24" s="544"/>
      <c r="AK24" s="544"/>
      <c r="AL24" s="544"/>
      <c r="AM24" s="544"/>
      <c r="AN24" s="544"/>
      <c r="AP24" s="544"/>
      <c r="AQ24" s="544"/>
      <c r="AR24" s="544"/>
      <c r="AS24" s="544"/>
      <c r="AT24" s="544"/>
      <c r="AU24" s="544"/>
      <c r="AV24" s="544"/>
      <c r="BC24" s="655"/>
      <c r="BD24" s="655"/>
      <c r="BE24" s="655"/>
      <c r="BF24" s="655"/>
      <c r="BG24" s="655"/>
      <c r="BH24" s="655"/>
      <c r="BI24" s="655"/>
      <c r="BJ24" s="655"/>
      <c r="BK24" s="655"/>
      <c r="BL24" s="655"/>
      <c r="BM24" s="655"/>
      <c r="BN24" s="655"/>
      <c r="BO24" s="655"/>
      <c r="BP24" s="655"/>
      <c r="BQ24" s="655"/>
      <c r="BR24" s="655"/>
      <c r="BS24" s="655"/>
      <c r="BT24" s="655"/>
      <c r="BU24" s="655"/>
    </row>
    <row r="25" spans="1:82" ht="17.149999999999999" customHeight="1" x14ac:dyDescent="0.35">
      <c r="A25" s="1406"/>
      <c r="B25" s="1427"/>
      <c r="C25" s="1427"/>
      <c r="D25" s="1443"/>
      <c r="E25" s="1443"/>
      <c r="F25" s="1444"/>
      <c r="G25" s="1427"/>
      <c r="H25" s="1445"/>
      <c r="I25" s="1445"/>
      <c r="J25" s="1445"/>
      <c r="K25" s="1406"/>
      <c r="L25" s="1406"/>
      <c r="M25" s="1406"/>
      <c r="N25" s="1406"/>
      <c r="O25" s="1406"/>
      <c r="P25" s="1406"/>
      <c r="Q25" s="1406"/>
      <c r="R25" s="1406"/>
      <c r="S25" s="1406"/>
      <c r="T25" s="1406"/>
      <c r="U25" s="1406"/>
      <c r="V25" s="1406"/>
      <c r="W25" s="1406"/>
      <c r="X25" s="1406"/>
      <c r="Y25" s="1406"/>
      <c r="Z25" s="1406"/>
      <c r="AA25" s="1406"/>
      <c r="AB25" s="1406"/>
      <c r="AC25" s="1406"/>
      <c r="AD25" s="1406"/>
      <c r="AE25" s="1406"/>
      <c r="AF25" s="1406"/>
      <c r="AG25" s="1406"/>
      <c r="AI25" s="544"/>
      <c r="AJ25" s="544"/>
      <c r="AK25" s="544"/>
      <c r="AL25" s="544"/>
      <c r="AM25" s="544"/>
      <c r="AN25" s="544"/>
      <c r="AP25" s="544"/>
      <c r="AQ25" s="544"/>
      <c r="AR25" s="544"/>
      <c r="AS25" s="544"/>
      <c r="AT25" s="544"/>
      <c r="AU25" s="544"/>
      <c r="AV25" s="544"/>
      <c r="BC25" s="655"/>
      <c r="BD25" s="655"/>
      <c r="BE25" s="655"/>
      <c r="BF25" s="655"/>
      <c r="BG25" s="655"/>
      <c r="BH25" s="655"/>
      <c r="BI25" s="655"/>
      <c r="BJ25" s="655"/>
      <c r="BK25" s="655"/>
      <c r="BL25" s="655"/>
      <c r="BM25" s="655"/>
      <c r="BN25" s="655"/>
      <c r="BO25" s="655"/>
      <c r="BP25" s="655"/>
      <c r="BQ25" s="655"/>
      <c r="BR25" s="655"/>
      <c r="BS25" s="655"/>
      <c r="BT25" s="655"/>
      <c r="BU25" s="655"/>
    </row>
    <row r="26" spans="1:82" ht="17.149999999999999" customHeight="1" x14ac:dyDescent="0.35">
      <c r="A26" s="1406"/>
      <c r="B26" s="1427"/>
      <c r="C26" s="1427"/>
      <c r="D26" s="1443"/>
      <c r="E26" s="1443"/>
      <c r="F26" s="1444"/>
      <c r="G26" s="1427"/>
      <c r="H26" s="1445"/>
      <c r="I26" s="1445"/>
      <c r="J26" s="1445"/>
      <c r="K26" s="1406"/>
      <c r="L26" s="1406"/>
      <c r="M26" s="1406"/>
      <c r="N26" s="1406"/>
      <c r="O26" s="1406"/>
      <c r="P26" s="1406"/>
      <c r="Q26" s="1406"/>
      <c r="R26" s="1406"/>
      <c r="S26" s="1406"/>
      <c r="T26" s="1406"/>
      <c r="U26" s="1406"/>
      <c r="V26" s="1406"/>
      <c r="W26" s="1406"/>
      <c r="X26" s="1406"/>
      <c r="Y26" s="1406"/>
      <c r="Z26" s="1406"/>
      <c r="AA26" s="1406"/>
      <c r="AB26" s="1406"/>
      <c r="AC26" s="1406"/>
      <c r="AD26" s="1406"/>
      <c r="AE26" s="1406"/>
      <c r="AF26" s="1406"/>
      <c r="AG26" s="1406"/>
      <c r="AI26" s="544"/>
      <c r="AJ26" s="544"/>
      <c r="AK26" s="544"/>
      <c r="AL26" s="544"/>
      <c r="AM26" s="544"/>
      <c r="AN26" s="544"/>
      <c r="AP26" s="544"/>
      <c r="AQ26" s="544"/>
      <c r="AR26" s="544"/>
      <c r="AS26" s="544"/>
      <c r="AT26" s="544"/>
      <c r="AU26" s="544"/>
      <c r="AV26" s="544"/>
      <c r="BC26" s="655"/>
      <c r="BD26" s="655"/>
      <c r="BE26" s="655"/>
      <c r="BF26" s="655"/>
      <c r="BG26" s="655"/>
      <c r="BH26" s="655"/>
      <c r="BI26" s="655"/>
      <c r="BJ26" s="655"/>
      <c r="BK26" s="655"/>
      <c r="BL26" s="655"/>
      <c r="BM26" s="655"/>
      <c r="BN26" s="655"/>
      <c r="BO26" s="655"/>
      <c r="BP26" s="655"/>
      <c r="BQ26" s="655"/>
      <c r="BR26" s="655"/>
      <c r="BS26" s="655"/>
      <c r="BT26" s="655"/>
      <c r="BU26" s="655"/>
    </row>
    <row r="27" spans="1:82" ht="17.149999999999999" customHeight="1" x14ac:dyDescent="0.35">
      <c r="A27" s="1406"/>
      <c r="B27" s="1409" t="s">
        <v>554</v>
      </c>
      <c r="C27" s="1406"/>
      <c r="D27" s="1406"/>
      <c r="E27" s="1406"/>
      <c r="F27" s="1406"/>
      <c r="G27" s="1447"/>
      <c r="H27" s="1406"/>
      <c r="I27" s="1406"/>
      <c r="J27" s="1411" t="s">
        <v>589</v>
      </c>
      <c r="K27" s="1406"/>
      <c r="L27" s="1406"/>
      <c r="M27" s="1406"/>
      <c r="N27" s="1406"/>
      <c r="O27" s="1406"/>
      <c r="P27" s="1406"/>
      <c r="Q27" s="1406"/>
      <c r="R27" s="1406"/>
      <c r="S27" s="1406"/>
      <c r="T27" s="1409" t="s">
        <v>555</v>
      </c>
      <c r="U27" s="1406"/>
      <c r="V27" s="1406"/>
      <c r="W27" s="1406"/>
      <c r="X27" s="1406"/>
      <c r="Y27" s="1406"/>
      <c r="Z27" s="1406"/>
      <c r="AA27" s="1406"/>
      <c r="AB27" s="1406"/>
      <c r="AC27" s="1406"/>
      <c r="AD27" s="1406"/>
      <c r="AE27" s="1406"/>
      <c r="AF27" s="1406"/>
      <c r="AG27" s="1406"/>
      <c r="AI27" s="564" t="s">
        <v>556</v>
      </c>
      <c r="AJ27" s="544"/>
      <c r="AK27" s="544"/>
      <c r="AL27" s="544"/>
      <c r="AM27" s="544"/>
      <c r="AN27" s="544"/>
      <c r="AP27" s="544"/>
      <c r="AQ27" s="544"/>
      <c r="AR27" s="544"/>
      <c r="AS27" s="544"/>
      <c r="AT27" s="544"/>
      <c r="AU27" s="544"/>
      <c r="AV27" s="544"/>
      <c r="BC27" s="655"/>
      <c r="BD27" s="655"/>
      <c r="BE27" s="655"/>
      <c r="BF27" s="655"/>
      <c r="BG27" s="655"/>
      <c r="BH27" s="655"/>
      <c r="BI27" s="655"/>
      <c r="BJ27" s="655"/>
      <c r="BK27" s="655"/>
      <c r="BL27" s="655"/>
      <c r="BM27" s="655"/>
      <c r="BN27" s="655"/>
      <c r="BO27" s="655"/>
      <c r="BP27" s="655"/>
      <c r="BQ27" s="655"/>
      <c r="BR27" s="655"/>
      <c r="BS27" s="655"/>
      <c r="BT27" s="655"/>
      <c r="BU27" s="655"/>
    </row>
    <row r="28" spans="1:82" ht="17.149999999999999" customHeight="1" x14ac:dyDescent="0.35">
      <c r="A28" s="1406"/>
      <c r="B28" s="1427"/>
      <c r="C28" s="1427"/>
      <c r="D28" s="1443"/>
      <c r="E28" s="1443"/>
      <c r="F28" s="1444"/>
      <c r="G28" s="1427"/>
      <c r="H28" s="1445"/>
      <c r="I28" s="1445"/>
      <c r="J28" s="1445"/>
      <c r="K28" s="1406"/>
      <c r="L28" s="1406"/>
      <c r="M28" s="1406"/>
      <c r="N28" s="1406"/>
      <c r="O28" s="1406"/>
      <c r="P28" s="1406"/>
      <c r="Q28" s="1406"/>
      <c r="R28" s="1406"/>
      <c r="S28" s="1406"/>
      <c r="T28" s="1747" t="s">
        <v>509</v>
      </c>
      <c r="U28" s="1747"/>
      <c r="V28" s="1747"/>
      <c r="W28" s="1747"/>
      <c r="X28" s="1747"/>
      <c r="Y28" s="1747"/>
      <c r="Z28" s="1406"/>
      <c r="AA28" s="1747" t="s">
        <v>510</v>
      </c>
      <c r="AB28" s="1747"/>
      <c r="AC28" s="1747"/>
      <c r="AD28" s="1747"/>
      <c r="AE28" s="1747"/>
      <c r="AF28" s="1747"/>
      <c r="AG28" s="1747"/>
      <c r="AI28" s="1697" t="s">
        <v>511</v>
      </c>
      <c r="AJ28" s="1698"/>
      <c r="AK28" s="1698"/>
      <c r="AL28" s="1698"/>
      <c r="AM28" s="1698"/>
      <c r="AN28" s="1699"/>
      <c r="AP28" s="1668" t="s">
        <v>512</v>
      </c>
      <c r="AQ28" s="1668"/>
      <c r="AR28" s="1668"/>
      <c r="AS28" s="1668"/>
      <c r="AT28" s="1668"/>
      <c r="AU28" s="1668"/>
      <c r="AV28" s="1668"/>
      <c r="BC28" s="655"/>
      <c r="BD28" s="655"/>
      <c r="BE28" s="655"/>
      <c r="BF28" s="655"/>
      <c r="BG28" s="655"/>
      <c r="BH28" s="655"/>
      <c r="BI28" s="655"/>
      <c r="BJ28" s="655"/>
      <c r="BK28" s="655"/>
      <c r="BL28" s="655"/>
      <c r="BM28" s="655"/>
      <c r="BN28" s="655"/>
      <c r="BO28" s="655"/>
      <c r="BP28" s="655"/>
      <c r="BQ28" s="655"/>
      <c r="BR28" s="655"/>
      <c r="BS28" s="655"/>
      <c r="BT28" s="655"/>
      <c r="BU28" s="655"/>
    </row>
    <row r="29" spans="1:82" ht="17.149999999999999" customHeight="1" x14ac:dyDescent="0.35">
      <c r="A29" s="1406"/>
      <c r="B29" s="1739" t="s">
        <v>513</v>
      </c>
      <c r="C29" s="1740" t="s">
        <v>515</v>
      </c>
      <c r="D29" s="1742" t="s">
        <v>516</v>
      </c>
      <c r="E29" s="1743"/>
      <c r="F29" s="1739" t="s">
        <v>557</v>
      </c>
      <c r="G29" s="1746" t="s">
        <v>518</v>
      </c>
      <c r="H29" s="1746"/>
      <c r="I29" s="1739" t="s">
        <v>519</v>
      </c>
      <c r="J29" s="1739" t="s">
        <v>520</v>
      </c>
      <c r="K29" s="1406"/>
      <c r="L29" s="1739" t="s">
        <v>521</v>
      </c>
      <c r="M29" s="1739"/>
      <c r="N29" s="1739"/>
      <c r="O29" s="1739"/>
      <c r="P29" s="1739"/>
      <c r="Q29" s="1739"/>
      <c r="R29" s="1739"/>
      <c r="S29" s="1406"/>
      <c r="T29" s="1747" t="s">
        <v>522</v>
      </c>
      <c r="U29" s="1747"/>
      <c r="V29" s="1747"/>
      <c r="W29" s="1747"/>
      <c r="X29" s="1747"/>
      <c r="Y29" s="1747"/>
      <c r="Z29" s="1406"/>
      <c r="AA29" s="1739" t="s">
        <v>522</v>
      </c>
      <c r="AB29" s="1739"/>
      <c r="AC29" s="1739"/>
      <c r="AD29" s="1739"/>
      <c r="AE29" s="1739"/>
      <c r="AF29" s="1739"/>
      <c r="AG29" s="1739"/>
      <c r="AI29" s="1668" t="s">
        <v>522</v>
      </c>
      <c r="AJ29" s="1668"/>
      <c r="AK29" s="1668"/>
      <c r="AL29" s="1668"/>
      <c r="AM29" s="1668"/>
      <c r="AN29" s="1668"/>
      <c r="AP29" s="1668" t="s">
        <v>522</v>
      </c>
      <c r="AQ29" s="1668"/>
      <c r="AR29" s="1668"/>
      <c r="AS29" s="1668"/>
      <c r="AT29" s="1668"/>
      <c r="AU29" s="1668"/>
      <c r="AV29" s="1668"/>
      <c r="BC29" s="655"/>
      <c r="BD29" s="655"/>
      <c r="BE29" s="655"/>
      <c r="BF29" s="655"/>
      <c r="BG29" s="655"/>
      <c r="BH29" s="655"/>
      <c r="BI29" s="655"/>
      <c r="BJ29" s="655"/>
      <c r="BK29" s="655"/>
      <c r="BL29" s="655"/>
      <c r="BM29" s="655"/>
      <c r="BN29" s="655"/>
      <c r="BO29" s="655"/>
      <c r="BP29" s="655"/>
      <c r="BQ29" s="655"/>
      <c r="BR29" s="655"/>
      <c r="BS29" s="655"/>
      <c r="BT29" s="655"/>
      <c r="BU29" s="655"/>
    </row>
    <row r="30" spans="1:82" ht="60" customHeight="1" x14ac:dyDescent="0.35">
      <c r="A30" s="1406"/>
      <c r="B30" s="1739"/>
      <c r="C30" s="1741"/>
      <c r="D30" s="1744"/>
      <c r="E30" s="1745"/>
      <c r="F30" s="1739"/>
      <c r="G30" s="1493" t="s">
        <v>523</v>
      </c>
      <c r="H30" s="1493" t="s">
        <v>524</v>
      </c>
      <c r="I30" s="1739"/>
      <c r="J30" s="1739"/>
      <c r="K30" s="1406"/>
      <c r="L30" s="1494" t="s">
        <v>486</v>
      </c>
      <c r="M30" s="1412" t="s">
        <v>525</v>
      </c>
      <c r="N30" s="1412" t="s">
        <v>526</v>
      </c>
      <c r="O30" s="1412" t="s">
        <v>559</v>
      </c>
      <c r="P30" s="1412" t="s">
        <v>528</v>
      </c>
      <c r="Q30" s="1412" t="s">
        <v>529</v>
      </c>
      <c r="R30" s="1413" t="s">
        <v>530</v>
      </c>
      <c r="S30" s="1406"/>
      <c r="T30" s="1412" t="s">
        <v>531</v>
      </c>
      <c r="U30" s="1412" t="s">
        <v>532</v>
      </c>
      <c r="V30" s="1412" t="s">
        <v>533</v>
      </c>
      <c r="W30" s="1412" t="s">
        <v>333</v>
      </c>
      <c r="X30" s="1412" t="s">
        <v>208</v>
      </c>
      <c r="Y30" s="1412" t="s">
        <v>535</v>
      </c>
      <c r="Z30" s="1406"/>
      <c r="AA30" s="1412" t="s">
        <v>536</v>
      </c>
      <c r="AB30" s="1412" t="s">
        <v>531</v>
      </c>
      <c r="AC30" s="1412" t="s">
        <v>532</v>
      </c>
      <c r="AD30" s="1412" t="s">
        <v>533</v>
      </c>
      <c r="AE30" s="1412" t="s">
        <v>537</v>
      </c>
      <c r="AF30" s="1412" t="s">
        <v>208</v>
      </c>
      <c r="AG30" s="1412" t="s">
        <v>535</v>
      </c>
      <c r="AI30" s="1487" t="s">
        <v>538</v>
      </c>
      <c r="AJ30" s="1487" t="s">
        <v>539</v>
      </c>
      <c r="AK30" s="1487" t="s">
        <v>540</v>
      </c>
      <c r="AL30" s="1487" t="s">
        <v>333</v>
      </c>
      <c r="AM30" s="1487" t="s">
        <v>208</v>
      </c>
      <c r="AN30" s="1487" t="s">
        <v>535</v>
      </c>
      <c r="AP30" s="1487" t="s">
        <v>536</v>
      </c>
      <c r="AQ30" s="1487" t="s">
        <v>538</v>
      </c>
      <c r="AR30" s="1487" t="s">
        <v>539</v>
      </c>
      <c r="AS30" s="1487" t="s">
        <v>540</v>
      </c>
      <c r="AT30" s="1487" t="s">
        <v>537</v>
      </c>
      <c r="AU30" s="1487" t="s">
        <v>208</v>
      </c>
      <c r="AV30" s="1487" t="s">
        <v>535</v>
      </c>
      <c r="BC30" s="655"/>
      <c r="BD30" s="655"/>
      <c r="BE30" s="655"/>
      <c r="BF30" s="655"/>
      <c r="BG30" s="655"/>
      <c r="BH30" s="655"/>
      <c r="BI30" s="655"/>
      <c r="BJ30" s="655"/>
      <c r="BK30" s="655"/>
      <c r="BL30" s="655"/>
      <c r="BM30" s="655"/>
      <c r="BN30" s="655"/>
      <c r="BO30" s="655"/>
      <c r="BP30" s="655"/>
      <c r="BQ30" s="655"/>
      <c r="BR30" s="655"/>
      <c r="BS30" s="655"/>
      <c r="BT30" s="655"/>
      <c r="BU30" s="655"/>
    </row>
    <row r="31" spans="1:82" s="20" customFormat="1" ht="17.149999999999999" customHeight="1" x14ac:dyDescent="0.35">
      <c r="A31" s="1406"/>
      <c r="B31" s="1414"/>
      <c r="C31" s="1415"/>
      <c r="D31" s="1415"/>
      <c r="E31" s="1415"/>
      <c r="F31" s="1416"/>
      <c r="G31" s="1416"/>
      <c r="H31" s="1416"/>
      <c r="I31" s="1416"/>
      <c r="J31" s="1416"/>
      <c r="K31" s="1417"/>
      <c r="L31" s="1418"/>
      <c r="M31" s="1419"/>
      <c r="N31" s="1419"/>
      <c r="O31" s="1419"/>
      <c r="P31" s="1419"/>
      <c r="Q31" s="1419"/>
      <c r="R31" s="1418"/>
      <c r="S31" s="1417"/>
      <c r="T31" s="1420"/>
      <c r="U31" s="1420"/>
      <c r="V31" s="1420"/>
      <c r="W31" s="1420"/>
      <c r="X31" s="1420"/>
      <c r="Y31" s="1421"/>
      <c r="Z31" s="1417"/>
      <c r="AA31" s="1418"/>
      <c r="AB31" s="1420"/>
      <c r="AC31" s="1420"/>
      <c r="AD31" s="1420"/>
      <c r="AE31" s="1420"/>
      <c r="AF31" s="1420"/>
      <c r="AG31" s="1421"/>
      <c r="AH31" s="549"/>
      <c r="AI31" s="649"/>
      <c r="AJ31" s="649"/>
      <c r="AK31" s="649"/>
      <c r="AL31" s="649"/>
      <c r="AM31" s="649"/>
      <c r="AN31" s="556"/>
      <c r="AO31" s="549"/>
      <c r="AP31" s="548"/>
      <c r="AQ31" s="649"/>
      <c r="AR31" s="649"/>
      <c r="AS31" s="649"/>
      <c r="AT31" s="649"/>
      <c r="AU31" s="649"/>
      <c r="AV31" s="556"/>
      <c r="AW31" s="549"/>
      <c r="AX31" s="549"/>
      <c r="AY31" s="549"/>
      <c r="AZ31" s="549"/>
      <c r="BA31" s="549"/>
      <c r="BB31" s="549"/>
      <c r="BC31" s="657"/>
      <c r="BD31" s="657"/>
      <c r="BE31" s="657"/>
      <c r="BF31" s="657"/>
      <c r="BG31" s="657"/>
      <c r="BH31" s="657"/>
      <c r="BI31" s="657"/>
      <c r="BJ31" s="657"/>
      <c r="BK31" s="657"/>
      <c r="BL31" s="657"/>
      <c r="BM31" s="657"/>
      <c r="BN31" s="657"/>
      <c r="BO31" s="657"/>
      <c r="BP31" s="657"/>
      <c r="BQ31" s="657"/>
      <c r="BR31" s="657"/>
      <c r="BS31" s="657"/>
      <c r="BT31" s="657"/>
      <c r="BU31" s="657"/>
      <c r="BV31" s="549"/>
      <c r="BW31" s="549"/>
      <c r="BX31" s="549"/>
      <c r="BY31" s="549"/>
      <c r="BZ31" s="549"/>
      <c r="CA31" s="549"/>
      <c r="CB31" s="549"/>
      <c r="CC31" s="549"/>
      <c r="CD31" s="549"/>
    </row>
    <row r="32" spans="1:82" s="3" customFormat="1" ht="17.149999999999999" customHeight="1" x14ac:dyDescent="0.35">
      <c r="A32" s="1406"/>
      <c r="B32" s="1422" t="str">
        <f>Interface_Treatment!B32</f>
        <v>Plant 1</v>
      </c>
      <c r="C32" s="1423">
        <f>IF($C$43=0,0,Interface_Treatment!C32*'Treatment Sludge_NO INPUTS'!$C$43)</f>
        <v>1956</v>
      </c>
      <c r="D32" s="1748"/>
      <c r="E32" s="1749"/>
      <c r="F32" s="1424">
        <f>Interface_Treatment!G32</f>
        <v>20</v>
      </c>
      <c r="G32" s="1425">
        <f>IF(Interface_Treatment!D32=0,0,(Interface_Treatment!H32/Interface_Treatment!D32)*'Treatment Sludge_NO INPUTS'!C32)</f>
        <v>1956</v>
      </c>
      <c r="H32" s="1426">
        <f t="shared" ref="H32:H41" si="7">C32-G32</f>
        <v>0</v>
      </c>
      <c r="I32" s="1424" t="str">
        <f>Interface_Treatment!J32</f>
        <v>YES</v>
      </c>
      <c r="J32" s="1424">
        <f>Interface_Treatment!K32</f>
        <v>0</v>
      </c>
      <c r="K32" s="1427"/>
      <c r="L32" s="1428"/>
      <c r="M32" s="1429"/>
      <c r="N32" s="1429"/>
      <c r="O32" s="1430"/>
      <c r="P32" s="1429"/>
      <c r="Q32" s="1430"/>
      <c r="R32" s="1428"/>
      <c r="S32" s="1427"/>
      <c r="T32" s="1431">
        <f>Interface_Treatment!U32</f>
        <v>1</v>
      </c>
      <c r="U32" s="1431">
        <f>Interface_Treatment!V32</f>
        <v>0</v>
      </c>
      <c r="V32" s="1431">
        <f>Interface_Treatment!W32</f>
        <v>0</v>
      </c>
      <c r="W32" s="1431">
        <f>Interface_Treatment!X32</f>
        <v>0</v>
      </c>
      <c r="X32" s="1432">
        <f>SUM(T32:W32)</f>
        <v>1</v>
      </c>
      <c r="Y32" s="1433" t="str">
        <f>IF(AND(G32=0,X32=0),"OK",IF(AND(G32&gt;0,X32=1),"OK","Not OK"))</f>
        <v>OK</v>
      </c>
      <c r="Z32" s="1427"/>
      <c r="AA32" s="1434">
        <f>'FS_Treatment volumes'!K45</f>
        <v>1956</v>
      </c>
      <c r="AB32" s="1431">
        <f>Interface_Treatment!AC32</f>
        <v>1</v>
      </c>
      <c r="AC32" s="1431">
        <f>Interface_Treatment!AD32</f>
        <v>0</v>
      </c>
      <c r="AD32" s="1431">
        <f>Interface_Treatment!AE32</f>
        <v>0</v>
      </c>
      <c r="AE32" s="1431">
        <f>Interface_Treatment!AF32</f>
        <v>0</v>
      </c>
      <c r="AF32" s="1432">
        <f>SUM(AB32:AE32)</f>
        <v>1</v>
      </c>
      <c r="AG32" s="1433" t="str">
        <f>IF(AND(AA32=0,AF32=0),"OK",IF(AND(AA32&gt;0,AF32=1),"OK","Not OK"))</f>
        <v>OK</v>
      </c>
      <c r="AH32" s="478"/>
      <c r="AI32" s="901">
        <f>Interface_Treatment!AJ32</f>
        <v>0</v>
      </c>
      <c r="AJ32" s="901">
        <f>Interface_Treatment!AK32</f>
        <v>0</v>
      </c>
      <c r="AK32" s="901">
        <f>Interface_Treatment!AL32</f>
        <v>0</v>
      </c>
      <c r="AL32" s="901">
        <f>Interface_Treatment!AM32</f>
        <v>0</v>
      </c>
      <c r="AM32" s="635">
        <f>SUM(AI32:AL32)</f>
        <v>0</v>
      </c>
      <c r="AN32" s="902" t="str">
        <f t="shared" ref="AN32:AN41" si="8">IF(AND(H32=0,AM32=0),"OK",IF(AND(H32&gt;0,AM32=1),"OK","Not OK"))</f>
        <v>OK</v>
      </c>
      <c r="AO32" s="478"/>
      <c r="AP32" s="636">
        <f>'FS_Treatment volumes'!N45</f>
        <v>0</v>
      </c>
      <c r="AQ32" s="901">
        <f>Interface_Treatment!AR32</f>
        <v>0</v>
      </c>
      <c r="AR32" s="901">
        <f>Interface_Treatment!AS32</f>
        <v>0</v>
      </c>
      <c r="AS32" s="901">
        <f>Interface_Treatment!AT32</f>
        <v>0</v>
      </c>
      <c r="AT32" s="901">
        <f>Interface_Treatment!AU32</f>
        <v>0</v>
      </c>
      <c r="AU32" s="635">
        <f>SUM(AQ32:AT32)</f>
        <v>0</v>
      </c>
      <c r="AV32" s="902" t="str">
        <f>IF(AND(AP32=0,AU32=0),"OK",IF(AND(AP32&gt;0,AU32=1),"OK","Not OK"))</f>
        <v>OK</v>
      </c>
      <c r="AW32" s="478"/>
      <c r="AX32" s="478"/>
      <c r="AY32" s="478"/>
      <c r="AZ32" s="478"/>
      <c r="BA32" s="478"/>
      <c r="BB32" s="478"/>
      <c r="BC32" s="654"/>
      <c r="BD32" s="654"/>
      <c r="BE32" s="654"/>
      <c r="BF32" s="654"/>
      <c r="BG32" s="654"/>
      <c r="BH32" s="654"/>
      <c r="BI32" s="654"/>
      <c r="BJ32" s="654"/>
      <c r="BK32" s="654"/>
      <c r="BL32" s="654"/>
      <c r="BM32" s="654"/>
      <c r="BN32" s="654"/>
      <c r="BO32" s="654"/>
      <c r="BP32" s="654"/>
      <c r="BQ32" s="654"/>
      <c r="BR32" s="654"/>
      <c r="BS32" s="654"/>
      <c r="BT32" s="654"/>
      <c r="BU32" s="654"/>
      <c r="BV32" s="478"/>
      <c r="BW32" s="478"/>
      <c r="BX32" s="478"/>
      <c r="BY32" s="478"/>
      <c r="BZ32" s="478"/>
      <c r="CA32" s="478"/>
      <c r="CB32" s="478"/>
      <c r="CC32" s="478"/>
      <c r="CD32" s="478"/>
    </row>
    <row r="33" spans="1:82" s="3" customFormat="1" ht="17.149999999999999" customHeight="1" x14ac:dyDescent="0.35">
      <c r="A33" s="1406"/>
      <c r="B33" s="1422" t="str">
        <f>Interface_Treatment!B33</f>
        <v>Plant 2</v>
      </c>
      <c r="C33" s="1423">
        <f>IF($C$43=0,0,Interface_Treatment!C33*'Treatment Sludge_NO INPUTS'!$C$43)</f>
        <v>9454</v>
      </c>
      <c r="D33" s="1748">
        <f>Interface_Treatment!E33</f>
        <v>0</v>
      </c>
      <c r="E33" s="1749"/>
      <c r="F33" s="1424">
        <f>Interface_Treatment!G33</f>
        <v>45</v>
      </c>
      <c r="G33" s="1425">
        <f>IF(Interface_Treatment!D33=0,0,(Interface_Treatment!H33/Interface_Treatment!D33)*'Treatment Sludge_NO INPUTS'!C33)</f>
        <v>9454</v>
      </c>
      <c r="H33" s="1426">
        <f t="shared" si="7"/>
        <v>0</v>
      </c>
      <c r="I33" s="1424" t="str">
        <f>Interface_Treatment!J33</f>
        <v>YES</v>
      </c>
      <c r="J33" s="1424">
        <f>Interface_Treatment!K33</f>
        <v>0</v>
      </c>
      <c r="K33" s="1427"/>
      <c r="L33" s="1428"/>
      <c r="M33" s="1429"/>
      <c r="N33" s="1429"/>
      <c r="O33" s="1430"/>
      <c r="P33" s="1429"/>
      <c r="Q33" s="1430"/>
      <c r="R33" s="1428"/>
      <c r="S33" s="1427"/>
      <c r="T33" s="1431">
        <f>Interface_Treatment!U33</f>
        <v>1</v>
      </c>
      <c r="U33" s="1431">
        <f>Interface_Treatment!V33</f>
        <v>0</v>
      </c>
      <c r="V33" s="1431">
        <f>Interface_Treatment!W33</f>
        <v>0</v>
      </c>
      <c r="W33" s="1431">
        <f>Interface_Treatment!X33</f>
        <v>0</v>
      </c>
      <c r="X33" s="1432">
        <f t="shared" ref="X33:X41" si="9">SUM(T33:W33)</f>
        <v>1</v>
      </c>
      <c r="Y33" s="1433" t="str">
        <f t="shared" ref="Y33:Y41" si="10">IF(AND(G33=0,X33=0),"OK",IF(AND(G33&gt;0,X33=1),"OK","Not OK"))</f>
        <v>OK</v>
      </c>
      <c r="Z33" s="1427"/>
      <c r="AA33" s="1434">
        <f>'FS_Treatment volumes'!K46</f>
        <v>9454</v>
      </c>
      <c r="AB33" s="1431">
        <f>Interface_Treatment!AC33</f>
        <v>1</v>
      </c>
      <c r="AC33" s="1431">
        <f>Interface_Treatment!AD33</f>
        <v>0</v>
      </c>
      <c r="AD33" s="1431">
        <f>Interface_Treatment!AE33</f>
        <v>0</v>
      </c>
      <c r="AE33" s="1431">
        <f>Interface_Treatment!AF33</f>
        <v>0</v>
      </c>
      <c r="AF33" s="1432">
        <f t="shared" ref="AF33:AF41" si="11">SUM(AB33:AE33)</f>
        <v>1</v>
      </c>
      <c r="AG33" s="1433" t="str">
        <f t="shared" ref="AG33:AG41" si="12">IF(AND(AA33=0,AF33=0),"OK",IF(AND(AA33&gt;0,AF33=1),"OK","Not OK"))</f>
        <v>OK</v>
      </c>
      <c r="AH33" s="478"/>
      <c r="AI33" s="901">
        <f>Interface_Treatment!AJ33</f>
        <v>0</v>
      </c>
      <c r="AJ33" s="901">
        <f>Interface_Treatment!AK33</f>
        <v>0</v>
      </c>
      <c r="AK33" s="901">
        <f>Interface_Treatment!AL33</f>
        <v>0</v>
      </c>
      <c r="AL33" s="901">
        <f>Interface_Treatment!AM33</f>
        <v>0</v>
      </c>
      <c r="AM33" s="635">
        <f t="shared" ref="AM33:AM41" si="13">SUM(AI33:AL33)</f>
        <v>0</v>
      </c>
      <c r="AN33" s="902" t="str">
        <f t="shared" si="8"/>
        <v>OK</v>
      </c>
      <c r="AO33" s="478"/>
      <c r="AP33" s="636">
        <f>'FS_Treatment volumes'!N46</f>
        <v>0</v>
      </c>
      <c r="AQ33" s="901">
        <f>Interface_Treatment!AR33</f>
        <v>0</v>
      </c>
      <c r="AR33" s="901">
        <f>Interface_Treatment!AS33</f>
        <v>0</v>
      </c>
      <c r="AS33" s="901">
        <f>Interface_Treatment!AT33</f>
        <v>0</v>
      </c>
      <c r="AT33" s="901">
        <f>Interface_Treatment!AU33</f>
        <v>0</v>
      </c>
      <c r="AU33" s="635">
        <f t="shared" ref="AU33:AU41" si="14">SUM(AQ33:AT33)</f>
        <v>0</v>
      </c>
      <c r="AV33" s="902" t="str">
        <f t="shared" ref="AV33:AV41" si="15">IF(AND(AP33=0,AU33=0),"OK",IF(AND(AP33&gt;0,AU33=1),"OK","Not OK"))</f>
        <v>OK</v>
      </c>
      <c r="AW33" s="478"/>
      <c r="AX33" s="478"/>
      <c r="AY33" s="478"/>
      <c r="AZ33" s="478"/>
      <c r="BA33" s="478"/>
      <c r="BB33" s="478"/>
      <c r="BC33" s="654"/>
      <c r="BD33" s="654"/>
      <c r="BE33" s="654"/>
      <c r="BF33" s="654"/>
      <c r="BG33" s="654"/>
      <c r="BH33" s="654"/>
      <c r="BI33" s="654"/>
      <c r="BJ33" s="654"/>
      <c r="BK33" s="654"/>
      <c r="BL33" s="654"/>
      <c r="BM33" s="654"/>
      <c r="BN33" s="654"/>
      <c r="BO33" s="654"/>
      <c r="BP33" s="654"/>
      <c r="BQ33" s="654"/>
      <c r="BR33" s="654"/>
      <c r="BS33" s="654"/>
      <c r="BT33" s="654"/>
      <c r="BU33" s="654"/>
      <c r="BV33" s="478"/>
      <c r="BW33" s="478"/>
      <c r="BX33" s="478"/>
      <c r="BY33" s="478"/>
      <c r="BZ33" s="478"/>
      <c r="CA33" s="478"/>
      <c r="CB33" s="478"/>
      <c r="CC33" s="478"/>
      <c r="CD33" s="478"/>
    </row>
    <row r="34" spans="1:82" s="3" customFormat="1" ht="17.149999999999999" customHeight="1" x14ac:dyDescent="0.35">
      <c r="A34" s="1406"/>
      <c r="B34" s="1422" t="str">
        <f>Interface_Treatment!B34</f>
        <v>Plant 3</v>
      </c>
      <c r="C34" s="1423">
        <f>IF($C$43=0,0,Interface_Treatment!C34*'Treatment Sludge_NO INPUTS'!$C$43)</f>
        <v>9780</v>
      </c>
      <c r="D34" s="1748" t="str">
        <f>Interface_Treatment!E34</f>
        <v>Anaerobic digestion</v>
      </c>
      <c r="E34" s="1749"/>
      <c r="F34" s="1424">
        <f>Interface_Treatment!G34</f>
        <v>45</v>
      </c>
      <c r="G34" s="1425">
        <f>IF(Interface_Treatment!D34=0,0,(Interface_Treatment!H34/Interface_Treatment!D34)*'Treatment Sludge_NO INPUTS'!C34)</f>
        <v>9780</v>
      </c>
      <c r="H34" s="1426">
        <f t="shared" si="7"/>
        <v>0</v>
      </c>
      <c r="I34" s="1424" t="str">
        <f>Interface_Treatment!J34</f>
        <v>NO</v>
      </c>
      <c r="J34" s="1424">
        <f>Interface_Treatment!K34</f>
        <v>0</v>
      </c>
      <c r="K34" s="1427"/>
      <c r="L34" s="1428"/>
      <c r="M34" s="1429"/>
      <c r="N34" s="1429"/>
      <c r="O34" s="1430"/>
      <c r="P34" s="1429"/>
      <c r="Q34" s="1430"/>
      <c r="R34" s="1428"/>
      <c r="S34" s="1427"/>
      <c r="T34" s="1431">
        <f>Interface_Treatment!U34</f>
        <v>1</v>
      </c>
      <c r="U34" s="1431">
        <f>Interface_Treatment!V34</f>
        <v>0</v>
      </c>
      <c r="V34" s="1431">
        <f>Interface_Treatment!W34</f>
        <v>0</v>
      </c>
      <c r="W34" s="1431">
        <f>Interface_Treatment!X34</f>
        <v>0</v>
      </c>
      <c r="X34" s="1432">
        <f t="shared" si="9"/>
        <v>1</v>
      </c>
      <c r="Y34" s="1433" t="str">
        <f t="shared" si="10"/>
        <v>OK</v>
      </c>
      <c r="Z34" s="1427"/>
      <c r="AA34" s="1434">
        <f>'FS_Treatment volumes'!K47</f>
        <v>0</v>
      </c>
      <c r="AB34" s="1431">
        <f>Interface_Treatment!AC34</f>
        <v>0</v>
      </c>
      <c r="AC34" s="1431">
        <f>Interface_Treatment!AD34</f>
        <v>0</v>
      </c>
      <c r="AD34" s="1431">
        <f>Interface_Treatment!AE34</f>
        <v>0</v>
      </c>
      <c r="AE34" s="1431">
        <f>Interface_Treatment!AF34</f>
        <v>0</v>
      </c>
      <c r="AF34" s="1432">
        <f t="shared" si="11"/>
        <v>0</v>
      </c>
      <c r="AG34" s="1433" t="str">
        <f t="shared" si="12"/>
        <v>OK</v>
      </c>
      <c r="AH34" s="478"/>
      <c r="AI34" s="901">
        <f>Interface_Treatment!AJ34</f>
        <v>0</v>
      </c>
      <c r="AJ34" s="901">
        <f>Interface_Treatment!AK34</f>
        <v>0</v>
      </c>
      <c r="AK34" s="901">
        <f>Interface_Treatment!AL34</f>
        <v>0</v>
      </c>
      <c r="AL34" s="901">
        <f>Interface_Treatment!AM34</f>
        <v>0</v>
      </c>
      <c r="AM34" s="635">
        <f t="shared" si="13"/>
        <v>0</v>
      </c>
      <c r="AN34" s="902" t="str">
        <f t="shared" si="8"/>
        <v>OK</v>
      </c>
      <c r="AO34" s="478"/>
      <c r="AP34" s="636">
        <f>'FS_Treatment volumes'!N47</f>
        <v>0</v>
      </c>
      <c r="AQ34" s="901">
        <f>Interface_Treatment!AR34</f>
        <v>0</v>
      </c>
      <c r="AR34" s="901">
        <f>Interface_Treatment!AS34</f>
        <v>0</v>
      </c>
      <c r="AS34" s="901">
        <f>Interface_Treatment!AT34</f>
        <v>0</v>
      </c>
      <c r="AT34" s="901">
        <f>Interface_Treatment!AU34</f>
        <v>0</v>
      </c>
      <c r="AU34" s="635">
        <f t="shared" si="14"/>
        <v>0</v>
      </c>
      <c r="AV34" s="902" t="str">
        <f t="shared" si="15"/>
        <v>OK</v>
      </c>
      <c r="AW34" s="478"/>
      <c r="AX34" s="478"/>
      <c r="AY34" s="478"/>
      <c r="AZ34" s="478"/>
      <c r="BA34" s="478"/>
      <c r="BB34" s="478"/>
      <c r="BC34" s="654"/>
      <c r="BD34" s="654"/>
      <c r="BE34" s="654"/>
      <c r="BF34" s="654"/>
      <c r="BG34" s="654"/>
      <c r="BH34" s="654"/>
      <c r="BI34" s="654"/>
      <c r="BJ34" s="654"/>
      <c r="BK34" s="654"/>
      <c r="BL34" s="654"/>
      <c r="BM34" s="654"/>
      <c r="BN34" s="654"/>
      <c r="BO34" s="654"/>
      <c r="BP34" s="654"/>
      <c r="BQ34" s="654"/>
      <c r="BR34" s="654"/>
      <c r="BS34" s="654"/>
      <c r="BT34" s="654"/>
      <c r="BU34" s="654"/>
      <c r="BV34" s="478"/>
      <c r="BW34" s="478"/>
      <c r="BX34" s="478"/>
      <c r="BY34" s="478"/>
      <c r="BZ34" s="478"/>
      <c r="CA34" s="478"/>
      <c r="CB34" s="478"/>
      <c r="CC34" s="478"/>
      <c r="CD34" s="478"/>
    </row>
    <row r="35" spans="1:82" s="3" customFormat="1" ht="17.149999999999999" customHeight="1" x14ac:dyDescent="0.35">
      <c r="A35" s="1406"/>
      <c r="B35" s="1422" t="str">
        <f>Interface_Treatment!B35</f>
        <v>Plant 4</v>
      </c>
      <c r="C35" s="1423">
        <f>IF($C$43=0,0,Interface_Treatment!C35*'Treatment Sludge_NO INPUTS'!$C$43)</f>
        <v>11410</v>
      </c>
      <c r="D35" s="1748" t="str">
        <f>Interface_Treatment!E35</f>
        <v>Anaerobic digestion</v>
      </c>
      <c r="E35" s="1749"/>
      <c r="F35" s="1424">
        <f>Interface_Treatment!G35</f>
        <v>50</v>
      </c>
      <c r="G35" s="1425">
        <f>IF(Interface_Treatment!D35=0,0,(Interface_Treatment!H35/Interface_Treatment!D35)*'Treatment Sludge_NO INPUTS'!C35)</f>
        <v>11410</v>
      </c>
      <c r="H35" s="1426">
        <f t="shared" si="7"/>
        <v>0</v>
      </c>
      <c r="I35" s="1424" t="str">
        <f>Interface_Treatment!J35</f>
        <v>NO</v>
      </c>
      <c r="J35" s="1424">
        <f>Interface_Treatment!K35</f>
        <v>0</v>
      </c>
      <c r="K35" s="1427"/>
      <c r="L35" s="1428"/>
      <c r="M35" s="1429"/>
      <c r="N35" s="1429"/>
      <c r="O35" s="1430"/>
      <c r="P35" s="1429"/>
      <c r="Q35" s="1430"/>
      <c r="R35" s="1428"/>
      <c r="S35" s="1427"/>
      <c r="T35" s="1431">
        <f>Interface_Treatment!U35</f>
        <v>1</v>
      </c>
      <c r="U35" s="1431">
        <f>Interface_Treatment!V35</f>
        <v>0</v>
      </c>
      <c r="V35" s="1431">
        <f>Interface_Treatment!W35</f>
        <v>0</v>
      </c>
      <c r="W35" s="1431">
        <f>Interface_Treatment!X35</f>
        <v>0</v>
      </c>
      <c r="X35" s="1432">
        <f t="shared" si="9"/>
        <v>1</v>
      </c>
      <c r="Y35" s="1433" t="str">
        <f t="shared" si="10"/>
        <v>OK</v>
      </c>
      <c r="Z35" s="1427"/>
      <c r="AA35" s="1434">
        <f>'FS_Treatment volumes'!K48</f>
        <v>0</v>
      </c>
      <c r="AB35" s="1431">
        <f>Interface_Treatment!AC35</f>
        <v>0</v>
      </c>
      <c r="AC35" s="1431">
        <f>Interface_Treatment!AD35</f>
        <v>0</v>
      </c>
      <c r="AD35" s="1431">
        <f>Interface_Treatment!AE35</f>
        <v>0</v>
      </c>
      <c r="AE35" s="1431">
        <f>Interface_Treatment!AF35</f>
        <v>0</v>
      </c>
      <c r="AF35" s="1432">
        <f t="shared" si="11"/>
        <v>0</v>
      </c>
      <c r="AG35" s="1433" t="str">
        <f t="shared" si="12"/>
        <v>OK</v>
      </c>
      <c r="AH35" s="478"/>
      <c r="AI35" s="901">
        <f>Interface_Treatment!AJ35</f>
        <v>0</v>
      </c>
      <c r="AJ35" s="901">
        <f>Interface_Treatment!AK35</f>
        <v>0</v>
      </c>
      <c r="AK35" s="901">
        <f>Interface_Treatment!AL35</f>
        <v>0</v>
      </c>
      <c r="AL35" s="901">
        <f>Interface_Treatment!AM35</f>
        <v>0</v>
      </c>
      <c r="AM35" s="635">
        <f t="shared" si="13"/>
        <v>0</v>
      </c>
      <c r="AN35" s="902" t="str">
        <f t="shared" si="8"/>
        <v>OK</v>
      </c>
      <c r="AO35" s="478"/>
      <c r="AP35" s="636">
        <f>'FS_Treatment volumes'!N48</f>
        <v>0</v>
      </c>
      <c r="AQ35" s="901">
        <f>Interface_Treatment!AR35</f>
        <v>0</v>
      </c>
      <c r="AR35" s="901">
        <f>Interface_Treatment!AS35</f>
        <v>0</v>
      </c>
      <c r="AS35" s="901">
        <f>Interface_Treatment!AT35</f>
        <v>0</v>
      </c>
      <c r="AT35" s="901">
        <f>Interface_Treatment!AU35</f>
        <v>0</v>
      </c>
      <c r="AU35" s="635">
        <f t="shared" si="14"/>
        <v>0</v>
      </c>
      <c r="AV35" s="902" t="str">
        <f t="shared" si="15"/>
        <v>OK</v>
      </c>
      <c r="AW35" s="478"/>
      <c r="AX35" s="478"/>
      <c r="AY35" s="478"/>
      <c r="AZ35" s="478"/>
      <c r="BA35" s="478"/>
      <c r="BB35" s="478"/>
      <c r="BC35" s="654"/>
      <c r="BD35" s="654"/>
      <c r="BE35" s="654"/>
      <c r="BF35" s="654"/>
      <c r="BG35" s="654"/>
      <c r="BH35" s="654"/>
      <c r="BI35" s="654"/>
      <c r="BJ35" s="654"/>
      <c r="BK35" s="654"/>
      <c r="BL35" s="654"/>
      <c r="BM35" s="654"/>
      <c r="BN35" s="654"/>
      <c r="BO35" s="654"/>
      <c r="BP35" s="654"/>
      <c r="BQ35" s="654"/>
      <c r="BR35" s="654"/>
      <c r="BS35" s="654"/>
      <c r="BT35" s="654"/>
      <c r="BU35" s="654"/>
      <c r="BV35" s="478"/>
      <c r="BW35" s="478"/>
      <c r="BX35" s="478"/>
      <c r="BY35" s="478"/>
      <c r="BZ35" s="478"/>
      <c r="CA35" s="478"/>
      <c r="CB35" s="478"/>
      <c r="CC35" s="478"/>
      <c r="CD35" s="478"/>
    </row>
    <row r="36" spans="1:82" s="3" customFormat="1" ht="17.149999999999999" customHeight="1" x14ac:dyDescent="0.35">
      <c r="A36" s="1406"/>
      <c r="B36" s="1422" t="str">
        <f>Interface_Treatment!B36</f>
        <v>Plant 5 [insert name]</v>
      </c>
      <c r="C36" s="1423">
        <f>IF($C$43=0,0,Interface_Treatment!C36*'Treatment Sludge_NO INPUTS'!$C$43)</f>
        <v>0</v>
      </c>
      <c r="D36" s="1748">
        <f>Interface_Treatment!E36</f>
        <v>0</v>
      </c>
      <c r="E36" s="1749"/>
      <c r="F36" s="1424">
        <f>Interface_Treatment!G36</f>
        <v>0</v>
      </c>
      <c r="G36" s="1425">
        <f>IF(Interface_Treatment!D36=0,0,(Interface_Treatment!H36/Interface_Treatment!D36)*'Treatment Sludge_NO INPUTS'!C36)</f>
        <v>0</v>
      </c>
      <c r="H36" s="1426">
        <f t="shared" si="7"/>
        <v>0</v>
      </c>
      <c r="I36" s="1424">
        <f>Interface_Treatment!J36</f>
        <v>0</v>
      </c>
      <c r="J36" s="1424">
        <f>Interface_Treatment!K36</f>
        <v>0</v>
      </c>
      <c r="K36" s="1427"/>
      <c r="L36" s="1428"/>
      <c r="M36" s="1429"/>
      <c r="N36" s="1429"/>
      <c r="O36" s="1430"/>
      <c r="P36" s="1429"/>
      <c r="Q36" s="1430"/>
      <c r="R36" s="1428"/>
      <c r="S36" s="1427"/>
      <c r="T36" s="1431">
        <f>Interface_Treatment!U36</f>
        <v>0</v>
      </c>
      <c r="U36" s="1431">
        <f>Interface_Treatment!V36</f>
        <v>0</v>
      </c>
      <c r="V36" s="1431">
        <f>Interface_Treatment!W36</f>
        <v>0</v>
      </c>
      <c r="W36" s="1431">
        <f>Interface_Treatment!X36</f>
        <v>0</v>
      </c>
      <c r="X36" s="1432">
        <f t="shared" si="9"/>
        <v>0</v>
      </c>
      <c r="Y36" s="1433" t="str">
        <f t="shared" si="10"/>
        <v>OK</v>
      </c>
      <c r="Z36" s="1427"/>
      <c r="AA36" s="1434">
        <f>'FS_Treatment volumes'!K49</f>
        <v>0</v>
      </c>
      <c r="AB36" s="1431">
        <f>Interface_Treatment!AC36</f>
        <v>0</v>
      </c>
      <c r="AC36" s="1431">
        <f>Interface_Treatment!AD36</f>
        <v>0</v>
      </c>
      <c r="AD36" s="1431">
        <f>Interface_Treatment!AE36</f>
        <v>0</v>
      </c>
      <c r="AE36" s="1431">
        <f>Interface_Treatment!AF36</f>
        <v>0</v>
      </c>
      <c r="AF36" s="1432">
        <f t="shared" si="11"/>
        <v>0</v>
      </c>
      <c r="AG36" s="1433" t="str">
        <f t="shared" si="12"/>
        <v>OK</v>
      </c>
      <c r="AH36" s="478"/>
      <c r="AI36" s="901">
        <f>Interface_Treatment!AJ36</f>
        <v>0</v>
      </c>
      <c r="AJ36" s="901">
        <f>Interface_Treatment!AK36</f>
        <v>0</v>
      </c>
      <c r="AK36" s="901">
        <f>Interface_Treatment!AL36</f>
        <v>0</v>
      </c>
      <c r="AL36" s="901">
        <f>Interface_Treatment!AM36</f>
        <v>0</v>
      </c>
      <c r="AM36" s="635">
        <f t="shared" si="13"/>
        <v>0</v>
      </c>
      <c r="AN36" s="902" t="str">
        <f t="shared" si="8"/>
        <v>OK</v>
      </c>
      <c r="AO36" s="478"/>
      <c r="AP36" s="636">
        <f>'FS_Treatment volumes'!N49</f>
        <v>0</v>
      </c>
      <c r="AQ36" s="901">
        <f>Interface_Treatment!AR36</f>
        <v>0</v>
      </c>
      <c r="AR36" s="901">
        <f>Interface_Treatment!AS36</f>
        <v>0</v>
      </c>
      <c r="AS36" s="901">
        <f>Interface_Treatment!AT36</f>
        <v>0</v>
      </c>
      <c r="AT36" s="901">
        <f>Interface_Treatment!AU36</f>
        <v>0</v>
      </c>
      <c r="AU36" s="635">
        <f t="shared" si="14"/>
        <v>0</v>
      </c>
      <c r="AV36" s="902" t="str">
        <f t="shared" si="15"/>
        <v>OK</v>
      </c>
      <c r="AW36" s="478"/>
      <c r="AX36" s="478"/>
      <c r="AY36" s="478"/>
      <c r="AZ36" s="478"/>
      <c r="BA36" s="478"/>
      <c r="BB36" s="478"/>
      <c r="BC36" s="654"/>
      <c r="BD36" s="654"/>
      <c r="BE36" s="654"/>
      <c r="BF36" s="654"/>
      <c r="BG36" s="654"/>
      <c r="BH36" s="654"/>
      <c r="BI36" s="654"/>
      <c r="BJ36" s="654"/>
      <c r="BK36" s="654"/>
      <c r="BL36" s="654"/>
      <c r="BM36" s="654"/>
      <c r="BN36" s="654"/>
      <c r="BO36" s="654"/>
      <c r="BP36" s="654"/>
      <c r="BQ36" s="654"/>
      <c r="BR36" s="654"/>
      <c r="BS36" s="654"/>
      <c r="BT36" s="654"/>
      <c r="BU36" s="654"/>
      <c r="BV36" s="478"/>
      <c r="BW36" s="478"/>
      <c r="BX36" s="478"/>
      <c r="BY36" s="478"/>
      <c r="BZ36" s="478"/>
      <c r="CA36" s="478"/>
      <c r="CB36" s="478"/>
      <c r="CC36" s="478"/>
      <c r="CD36" s="478"/>
    </row>
    <row r="37" spans="1:82" s="3" customFormat="1" ht="17.149999999999999" customHeight="1" x14ac:dyDescent="0.35">
      <c r="A37" s="1406"/>
      <c r="B37" s="1422" t="str">
        <f>Interface_Treatment!B37</f>
        <v>Plant 6 [insert name]</v>
      </c>
      <c r="C37" s="1423">
        <f>IF($C$43=0,0,Interface_Treatment!C37*'Treatment Sludge_NO INPUTS'!$C$43)</f>
        <v>0</v>
      </c>
      <c r="D37" s="1748">
        <f>Interface_Treatment!E37</f>
        <v>0</v>
      </c>
      <c r="E37" s="1749"/>
      <c r="F37" s="1424">
        <f>Interface_Treatment!G37</f>
        <v>0</v>
      </c>
      <c r="G37" s="1425">
        <f>IF(Interface_Treatment!D37=0,0,(Interface_Treatment!H37/Interface_Treatment!D37)*'Treatment Sludge_NO INPUTS'!C37)</f>
        <v>0</v>
      </c>
      <c r="H37" s="1426">
        <f t="shared" si="7"/>
        <v>0</v>
      </c>
      <c r="I37" s="1424">
        <f>Interface_Treatment!J37</f>
        <v>0</v>
      </c>
      <c r="J37" s="1424">
        <f>Interface_Treatment!K37</f>
        <v>0</v>
      </c>
      <c r="K37" s="1427"/>
      <c r="L37" s="1428"/>
      <c r="M37" s="1429"/>
      <c r="N37" s="1429"/>
      <c r="O37" s="1430"/>
      <c r="P37" s="1429"/>
      <c r="Q37" s="1430"/>
      <c r="R37" s="1428"/>
      <c r="S37" s="1427"/>
      <c r="T37" s="1431">
        <f>Interface_Treatment!U37</f>
        <v>0</v>
      </c>
      <c r="U37" s="1431">
        <f>Interface_Treatment!V37</f>
        <v>0</v>
      </c>
      <c r="V37" s="1431">
        <f>Interface_Treatment!W37</f>
        <v>0</v>
      </c>
      <c r="W37" s="1431">
        <f>Interface_Treatment!X37</f>
        <v>0</v>
      </c>
      <c r="X37" s="1432">
        <f t="shared" si="9"/>
        <v>0</v>
      </c>
      <c r="Y37" s="1433" t="str">
        <f t="shared" si="10"/>
        <v>OK</v>
      </c>
      <c r="Z37" s="1427"/>
      <c r="AA37" s="1434">
        <f>'FS_Treatment volumes'!K50</f>
        <v>0</v>
      </c>
      <c r="AB37" s="1431">
        <f>Interface_Treatment!AC37</f>
        <v>0</v>
      </c>
      <c r="AC37" s="1431">
        <f>Interface_Treatment!AD37</f>
        <v>0</v>
      </c>
      <c r="AD37" s="1431">
        <f>Interface_Treatment!AE37</f>
        <v>0</v>
      </c>
      <c r="AE37" s="1431">
        <f>Interface_Treatment!AF37</f>
        <v>0</v>
      </c>
      <c r="AF37" s="1432">
        <f t="shared" si="11"/>
        <v>0</v>
      </c>
      <c r="AG37" s="1433" t="str">
        <f t="shared" si="12"/>
        <v>OK</v>
      </c>
      <c r="AH37" s="478"/>
      <c r="AI37" s="901">
        <f>Interface_Treatment!AJ37</f>
        <v>0</v>
      </c>
      <c r="AJ37" s="901">
        <f>Interface_Treatment!AK37</f>
        <v>0</v>
      </c>
      <c r="AK37" s="901">
        <f>Interface_Treatment!AL37</f>
        <v>0</v>
      </c>
      <c r="AL37" s="901">
        <f>Interface_Treatment!AM37</f>
        <v>0</v>
      </c>
      <c r="AM37" s="635">
        <f t="shared" si="13"/>
        <v>0</v>
      </c>
      <c r="AN37" s="902" t="str">
        <f t="shared" si="8"/>
        <v>OK</v>
      </c>
      <c r="AO37" s="478"/>
      <c r="AP37" s="636">
        <f>'FS_Treatment volumes'!N50</f>
        <v>0</v>
      </c>
      <c r="AQ37" s="901">
        <f>Interface_Treatment!AR37</f>
        <v>0</v>
      </c>
      <c r="AR37" s="901">
        <f>Interface_Treatment!AS37</f>
        <v>0</v>
      </c>
      <c r="AS37" s="901">
        <f>Interface_Treatment!AT37</f>
        <v>0</v>
      </c>
      <c r="AT37" s="901">
        <f>Interface_Treatment!AU37</f>
        <v>0</v>
      </c>
      <c r="AU37" s="635">
        <f t="shared" si="14"/>
        <v>0</v>
      </c>
      <c r="AV37" s="902" t="str">
        <f t="shared" si="15"/>
        <v>OK</v>
      </c>
      <c r="AW37" s="478"/>
      <c r="AX37" s="478"/>
      <c r="AY37" s="478"/>
      <c r="AZ37" s="478"/>
      <c r="BA37" s="478"/>
      <c r="BB37" s="478"/>
      <c r="BC37" s="654"/>
      <c r="BD37" s="654"/>
      <c r="BE37" s="654"/>
      <c r="BF37" s="654"/>
      <c r="BG37" s="654"/>
      <c r="BH37" s="654"/>
      <c r="BI37" s="654"/>
      <c r="BJ37" s="654"/>
      <c r="BK37" s="654"/>
      <c r="BL37" s="654"/>
      <c r="BM37" s="654"/>
      <c r="BN37" s="654"/>
      <c r="BO37" s="654"/>
      <c r="BP37" s="654"/>
      <c r="BQ37" s="654"/>
      <c r="BR37" s="654"/>
      <c r="BS37" s="654"/>
      <c r="BT37" s="654"/>
      <c r="BU37" s="654"/>
      <c r="BV37" s="478"/>
      <c r="BW37" s="478"/>
      <c r="BX37" s="478"/>
      <c r="BY37" s="478"/>
      <c r="BZ37" s="478"/>
      <c r="CA37" s="478"/>
      <c r="CB37" s="478"/>
      <c r="CC37" s="478"/>
      <c r="CD37" s="478"/>
    </row>
    <row r="38" spans="1:82" s="3" customFormat="1" ht="17.149999999999999" customHeight="1" x14ac:dyDescent="0.35">
      <c r="A38" s="1406"/>
      <c r="B38" s="1422" t="str">
        <f>Interface_Treatment!B38</f>
        <v>Plant 7 [insert name]</v>
      </c>
      <c r="C38" s="1423">
        <f>IF($C$43=0,0,Interface_Treatment!C38*'Treatment Sludge_NO INPUTS'!$C$43)</f>
        <v>0</v>
      </c>
      <c r="D38" s="1748">
        <f>Interface_Treatment!E38</f>
        <v>0</v>
      </c>
      <c r="E38" s="1749"/>
      <c r="F38" s="1424">
        <f>Interface_Treatment!G38</f>
        <v>0</v>
      </c>
      <c r="G38" s="1425">
        <f>IF(Interface_Treatment!D38=0,0,(Interface_Treatment!H38/Interface_Treatment!D38)*'Treatment Sludge_NO INPUTS'!C38)</f>
        <v>0</v>
      </c>
      <c r="H38" s="1426">
        <f t="shared" si="7"/>
        <v>0</v>
      </c>
      <c r="I38" s="1424">
        <f>Interface_Treatment!J38</f>
        <v>0</v>
      </c>
      <c r="J38" s="1424">
        <f>Interface_Treatment!K38</f>
        <v>0</v>
      </c>
      <c r="K38" s="1427"/>
      <c r="L38" s="1428"/>
      <c r="M38" s="1429"/>
      <c r="N38" s="1429"/>
      <c r="O38" s="1430"/>
      <c r="P38" s="1429"/>
      <c r="Q38" s="1430"/>
      <c r="R38" s="1428"/>
      <c r="S38" s="1427"/>
      <c r="T38" s="1431">
        <f>Interface_Treatment!U38</f>
        <v>0</v>
      </c>
      <c r="U38" s="1431">
        <f>Interface_Treatment!V38</f>
        <v>0</v>
      </c>
      <c r="V38" s="1431">
        <f>Interface_Treatment!W38</f>
        <v>0</v>
      </c>
      <c r="W38" s="1431">
        <f>Interface_Treatment!X38</f>
        <v>0</v>
      </c>
      <c r="X38" s="1432">
        <f t="shared" si="9"/>
        <v>0</v>
      </c>
      <c r="Y38" s="1433" t="str">
        <f t="shared" si="10"/>
        <v>OK</v>
      </c>
      <c r="Z38" s="1427"/>
      <c r="AA38" s="1434">
        <f>'FS_Treatment volumes'!K51</f>
        <v>0</v>
      </c>
      <c r="AB38" s="1431">
        <f>Interface_Treatment!AC38</f>
        <v>0</v>
      </c>
      <c r="AC38" s="1431">
        <f>Interface_Treatment!AD38</f>
        <v>0</v>
      </c>
      <c r="AD38" s="1431">
        <f>Interface_Treatment!AE38</f>
        <v>0</v>
      </c>
      <c r="AE38" s="1431">
        <f>Interface_Treatment!AF38</f>
        <v>0</v>
      </c>
      <c r="AF38" s="1432">
        <f t="shared" si="11"/>
        <v>0</v>
      </c>
      <c r="AG38" s="1433" t="str">
        <f t="shared" si="12"/>
        <v>OK</v>
      </c>
      <c r="AH38" s="478"/>
      <c r="AI38" s="901">
        <f>Interface_Treatment!AJ38</f>
        <v>0</v>
      </c>
      <c r="AJ38" s="901">
        <f>Interface_Treatment!AK38</f>
        <v>0</v>
      </c>
      <c r="AK38" s="901">
        <f>Interface_Treatment!AL38</f>
        <v>0</v>
      </c>
      <c r="AL38" s="901">
        <f>Interface_Treatment!AM38</f>
        <v>0</v>
      </c>
      <c r="AM38" s="635">
        <f t="shared" si="13"/>
        <v>0</v>
      </c>
      <c r="AN38" s="902" t="str">
        <f t="shared" si="8"/>
        <v>OK</v>
      </c>
      <c r="AO38" s="478"/>
      <c r="AP38" s="636">
        <f>'FS_Treatment volumes'!N51</f>
        <v>0</v>
      </c>
      <c r="AQ38" s="901">
        <f>Interface_Treatment!AR38</f>
        <v>0</v>
      </c>
      <c r="AR38" s="901">
        <f>Interface_Treatment!AS38</f>
        <v>0</v>
      </c>
      <c r="AS38" s="901">
        <f>Interface_Treatment!AT38</f>
        <v>0</v>
      </c>
      <c r="AT38" s="901">
        <f>Interface_Treatment!AU38</f>
        <v>0</v>
      </c>
      <c r="AU38" s="635">
        <f t="shared" si="14"/>
        <v>0</v>
      </c>
      <c r="AV38" s="902" t="str">
        <f t="shared" si="15"/>
        <v>OK</v>
      </c>
      <c r="AW38" s="478"/>
      <c r="AX38" s="478"/>
      <c r="AY38" s="478"/>
      <c r="AZ38" s="478"/>
      <c r="BA38" s="478"/>
      <c r="BB38" s="478"/>
      <c r="BC38" s="654"/>
      <c r="BD38" s="654"/>
      <c r="BE38" s="654"/>
      <c r="BF38" s="654"/>
      <c r="BG38" s="654"/>
      <c r="BH38" s="654"/>
      <c r="BI38" s="654"/>
      <c r="BJ38" s="654"/>
      <c r="BK38" s="654"/>
      <c r="BL38" s="654"/>
      <c r="BM38" s="654"/>
      <c r="BN38" s="654"/>
      <c r="BO38" s="654"/>
      <c r="BP38" s="654"/>
      <c r="BQ38" s="654"/>
      <c r="BR38" s="654"/>
      <c r="BS38" s="654"/>
      <c r="BT38" s="654"/>
      <c r="BU38" s="654"/>
      <c r="BV38" s="478"/>
      <c r="BW38" s="478"/>
      <c r="BX38" s="478"/>
      <c r="BY38" s="478"/>
      <c r="BZ38" s="478"/>
      <c r="CA38" s="478"/>
      <c r="CB38" s="478"/>
      <c r="CC38" s="478"/>
      <c r="CD38" s="478"/>
    </row>
    <row r="39" spans="1:82" s="3" customFormat="1" ht="17.149999999999999" customHeight="1" x14ac:dyDescent="0.35">
      <c r="A39" s="1406"/>
      <c r="B39" s="1422" t="str">
        <f>Interface_Treatment!B39</f>
        <v>Plant 8 [insert name]</v>
      </c>
      <c r="C39" s="1423">
        <f>IF($C$43=0,0,Interface_Treatment!C39*'Treatment Sludge_NO INPUTS'!$C$43)</f>
        <v>0</v>
      </c>
      <c r="D39" s="1748">
        <f>Interface_Treatment!E39</f>
        <v>0</v>
      </c>
      <c r="E39" s="1749"/>
      <c r="F39" s="1424">
        <f>Interface_Treatment!G39</f>
        <v>0</v>
      </c>
      <c r="G39" s="1425">
        <f>IF(Interface_Treatment!D39=0,0,(Interface_Treatment!H39/Interface_Treatment!D39)*'Treatment Sludge_NO INPUTS'!C39)</f>
        <v>0</v>
      </c>
      <c r="H39" s="1426">
        <f t="shared" si="7"/>
        <v>0</v>
      </c>
      <c r="I39" s="1424">
        <f>Interface_Treatment!J39</f>
        <v>0</v>
      </c>
      <c r="J39" s="1424">
        <f>Interface_Treatment!K39</f>
        <v>0</v>
      </c>
      <c r="K39" s="1427"/>
      <c r="L39" s="1428"/>
      <c r="M39" s="1429"/>
      <c r="N39" s="1429"/>
      <c r="O39" s="1430"/>
      <c r="P39" s="1429"/>
      <c r="Q39" s="1430"/>
      <c r="R39" s="1428"/>
      <c r="S39" s="1427"/>
      <c r="T39" s="1431">
        <f>Interface_Treatment!U39</f>
        <v>0</v>
      </c>
      <c r="U39" s="1431">
        <f>Interface_Treatment!V39</f>
        <v>0</v>
      </c>
      <c r="V39" s="1431">
        <f>Interface_Treatment!W39</f>
        <v>0</v>
      </c>
      <c r="W39" s="1431">
        <f>Interface_Treatment!X39</f>
        <v>0</v>
      </c>
      <c r="X39" s="1432">
        <f t="shared" si="9"/>
        <v>0</v>
      </c>
      <c r="Y39" s="1433" t="str">
        <f t="shared" si="10"/>
        <v>OK</v>
      </c>
      <c r="Z39" s="1427"/>
      <c r="AA39" s="1434">
        <f>'FS_Treatment volumes'!K52</f>
        <v>0</v>
      </c>
      <c r="AB39" s="1431">
        <f>Interface_Treatment!AC39</f>
        <v>0</v>
      </c>
      <c r="AC39" s="1431">
        <f>Interface_Treatment!AD39</f>
        <v>0</v>
      </c>
      <c r="AD39" s="1431">
        <f>Interface_Treatment!AE39</f>
        <v>0</v>
      </c>
      <c r="AE39" s="1431">
        <f>Interface_Treatment!AF39</f>
        <v>0</v>
      </c>
      <c r="AF39" s="1432">
        <f t="shared" si="11"/>
        <v>0</v>
      </c>
      <c r="AG39" s="1433" t="str">
        <f t="shared" si="12"/>
        <v>OK</v>
      </c>
      <c r="AH39" s="478"/>
      <c r="AI39" s="901">
        <f>Interface_Treatment!AJ39</f>
        <v>0</v>
      </c>
      <c r="AJ39" s="901">
        <f>Interface_Treatment!AK39</f>
        <v>0</v>
      </c>
      <c r="AK39" s="901">
        <f>Interface_Treatment!AL39</f>
        <v>0</v>
      </c>
      <c r="AL39" s="901">
        <f>Interface_Treatment!AM39</f>
        <v>0</v>
      </c>
      <c r="AM39" s="635">
        <f t="shared" si="13"/>
        <v>0</v>
      </c>
      <c r="AN39" s="902" t="str">
        <f t="shared" si="8"/>
        <v>OK</v>
      </c>
      <c r="AO39" s="478"/>
      <c r="AP39" s="636">
        <f>'FS_Treatment volumes'!N52</f>
        <v>0</v>
      </c>
      <c r="AQ39" s="901">
        <f>Interface_Treatment!AR39</f>
        <v>0</v>
      </c>
      <c r="AR39" s="901">
        <f>Interface_Treatment!AS39</f>
        <v>0</v>
      </c>
      <c r="AS39" s="901">
        <f>Interface_Treatment!AT39</f>
        <v>0</v>
      </c>
      <c r="AT39" s="901">
        <f>Interface_Treatment!AU39</f>
        <v>0</v>
      </c>
      <c r="AU39" s="635">
        <f t="shared" si="14"/>
        <v>0</v>
      </c>
      <c r="AV39" s="902" t="str">
        <f t="shared" si="15"/>
        <v>OK</v>
      </c>
      <c r="AW39" s="478"/>
      <c r="AX39" s="478"/>
      <c r="AY39" s="478"/>
      <c r="AZ39" s="478"/>
      <c r="BA39" s="478"/>
      <c r="BB39" s="478"/>
      <c r="BC39" s="654"/>
      <c r="BD39" s="654"/>
      <c r="BE39" s="654"/>
      <c r="BF39" s="654"/>
      <c r="BG39" s="654"/>
      <c r="BH39" s="654"/>
      <c r="BI39" s="654"/>
      <c r="BJ39" s="654"/>
      <c r="BK39" s="654"/>
      <c r="BL39" s="654"/>
      <c r="BM39" s="654"/>
      <c r="BN39" s="654"/>
      <c r="BO39" s="654"/>
      <c r="BP39" s="654"/>
      <c r="BQ39" s="654"/>
      <c r="BR39" s="654"/>
      <c r="BS39" s="654"/>
      <c r="BT39" s="654"/>
      <c r="BU39" s="654"/>
      <c r="BV39" s="478"/>
      <c r="BW39" s="478"/>
      <c r="BX39" s="478"/>
      <c r="BY39" s="478"/>
      <c r="BZ39" s="478"/>
      <c r="CA39" s="478"/>
      <c r="CB39" s="478"/>
      <c r="CC39" s="478"/>
      <c r="CD39" s="478"/>
    </row>
    <row r="40" spans="1:82" s="3" customFormat="1" ht="17.149999999999999" customHeight="1" x14ac:dyDescent="0.35">
      <c r="A40" s="1406"/>
      <c r="B40" s="1422" t="str">
        <f>Interface_Treatment!B40</f>
        <v>Plant 9 [insert name]</v>
      </c>
      <c r="C40" s="1423">
        <f>IF($C$43=0,0,Interface_Treatment!C40*'Treatment Sludge_NO INPUTS'!$C$43)</f>
        <v>0</v>
      </c>
      <c r="D40" s="1748">
        <f>Interface_Treatment!E40</f>
        <v>0</v>
      </c>
      <c r="E40" s="1749"/>
      <c r="F40" s="1424">
        <f>Interface_Treatment!G40</f>
        <v>0</v>
      </c>
      <c r="G40" s="1425">
        <f>IF(Interface_Treatment!D40=0,0,(Interface_Treatment!H40/Interface_Treatment!D40)*'Treatment Sludge_NO INPUTS'!C40)</f>
        <v>0</v>
      </c>
      <c r="H40" s="1426">
        <f t="shared" si="7"/>
        <v>0</v>
      </c>
      <c r="I40" s="1424">
        <f>Interface_Treatment!J40</f>
        <v>0</v>
      </c>
      <c r="J40" s="1424">
        <f>Interface_Treatment!K40</f>
        <v>0</v>
      </c>
      <c r="K40" s="1427"/>
      <c r="L40" s="1428"/>
      <c r="M40" s="1429"/>
      <c r="N40" s="1429"/>
      <c r="O40" s="1430"/>
      <c r="P40" s="1429"/>
      <c r="Q40" s="1430"/>
      <c r="R40" s="1428"/>
      <c r="S40" s="1427"/>
      <c r="T40" s="1431">
        <f>Interface_Treatment!U40</f>
        <v>0</v>
      </c>
      <c r="U40" s="1431">
        <f>Interface_Treatment!V40</f>
        <v>0</v>
      </c>
      <c r="V40" s="1431">
        <f>Interface_Treatment!W40</f>
        <v>0</v>
      </c>
      <c r="W40" s="1431">
        <f>Interface_Treatment!X40</f>
        <v>0</v>
      </c>
      <c r="X40" s="1432">
        <f t="shared" si="9"/>
        <v>0</v>
      </c>
      <c r="Y40" s="1433" t="str">
        <f t="shared" si="10"/>
        <v>OK</v>
      </c>
      <c r="Z40" s="1427"/>
      <c r="AA40" s="1434">
        <f>'FS_Treatment volumes'!K53</f>
        <v>0</v>
      </c>
      <c r="AB40" s="1431">
        <f>Interface_Treatment!AC40</f>
        <v>0</v>
      </c>
      <c r="AC40" s="1431">
        <f>Interface_Treatment!AD40</f>
        <v>0</v>
      </c>
      <c r="AD40" s="1431">
        <f>Interface_Treatment!AE40</f>
        <v>0</v>
      </c>
      <c r="AE40" s="1431">
        <f>Interface_Treatment!AF40</f>
        <v>0</v>
      </c>
      <c r="AF40" s="1432">
        <f t="shared" si="11"/>
        <v>0</v>
      </c>
      <c r="AG40" s="1433" t="str">
        <f t="shared" si="12"/>
        <v>OK</v>
      </c>
      <c r="AH40" s="478"/>
      <c r="AI40" s="901">
        <f>Interface_Treatment!AJ40</f>
        <v>0</v>
      </c>
      <c r="AJ40" s="901">
        <f>Interface_Treatment!AK40</f>
        <v>0</v>
      </c>
      <c r="AK40" s="901">
        <f>Interface_Treatment!AL40</f>
        <v>0</v>
      </c>
      <c r="AL40" s="901">
        <f>Interface_Treatment!AM40</f>
        <v>0</v>
      </c>
      <c r="AM40" s="635">
        <f t="shared" si="13"/>
        <v>0</v>
      </c>
      <c r="AN40" s="902" t="str">
        <f t="shared" si="8"/>
        <v>OK</v>
      </c>
      <c r="AO40" s="478"/>
      <c r="AP40" s="636">
        <f>'FS_Treatment volumes'!N53</f>
        <v>0</v>
      </c>
      <c r="AQ40" s="901">
        <f>Interface_Treatment!AR40</f>
        <v>0</v>
      </c>
      <c r="AR40" s="901">
        <f>Interface_Treatment!AS40</f>
        <v>0</v>
      </c>
      <c r="AS40" s="901">
        <f>Interface_Treatment!AT40</f>
        <v>0</v>
      </c>
      <c r="AT40" s="901">
        <f>Interface_Treatment!AU40</f>
        <v>0</v>
      </c>
      <c r="AU40" s="635">
        <f t="shared" si="14"/>
        <v>0</v>
      </c>
      <c r="AV40" s="902" t="str">
        <f t="shared" si="15"/>
        <v>OK</v>
      </c>
      <c r="AW40" s="478"/>
      <c r="AX40" s="478"/>
      <c r="AY40" s="478"/>
      <c r="AZ40" s="478"/>
      <c r="BA40" s="478"/>
      <c r="BB40" s="478"/>
      <c r="BC40" s="654"/>
      <c r="BD40" s="654"/>
      <c r="BE40" s="654"/>
      <c r="BF40" s="654"/>
      <c r="BG40" s="654"/>
      <c r="BH40" s="654"/>
      <c r="BI40" s="654"/>
      <c r="BJ40" s="654"/>
      <c r="BK40" s="654"/>
      <c r="BL40" s="654"/>
      <c r="BM40" s="654"/>
      <c r="BN40" s="654"/>
      <c r="BO40" s="654"/>
      <c r="BP40" s="654"/>
      <c r="BQ40" s="654"/>
      <c r="BR40" s="654"/>
      <c r="BS40" s="654"/>
      <c r="BT40" s="654"/>
      <c r="BU40" s="654"/>
      <c r="BV40" s="478"/>
      <c r="BW40" s="478"/>
      <c r="BX40" s="478"/>
      <c r="BY40" s="478"/>
      <c r="BZ40" s="478"/>
      <c r="CA40" s="478"/>
      <c r="CB40" s="478"/>
      <c r="CC40" s="478"/>
      <c r="CD40" s="478"/>
    </row>
    <row r="41" spans="1:82" s="3" customFormat="1" ht="17.149999999999999" customHeight="1" x14ac:dyDescent="0.35">
      <c r="A41" s="1406"/>
      <c r="B41" s="1422" t="str">
        <f>Interface_Treatment!B41</f>
        <v>Plant 10 [insert name]</v>
      </c>
      <c r="C41" s="1423">
        <f>IF($C$43=0,0,Interface_Treatment!C41*'Treatment Sludge_NO INPUTS'!$C$43)</f>
        <v>0</v>
      </c>
      <c r="D41" s="1748">
        <f>Interface_Treatment!E41</f>
        <v>0</v>
      </c>
      <c r="E41" s="1749"/>
      <c r="F41" s="1424">
        <f>Interface_Treatment!G41</f>
        <v>0</v>
      </c>
      <c r="G41" s="1425">
        <f>IF(Interface_Treatment!D41=0,0,(Interface_Treatment!H41/Interface_Treatment!D41)*'Treatment Sludge_NO INPUTS'!C41)</f>
        <v>0</v>
      </c>
      <c r="H41" s="1426">
        <f t="shared" si="7"/>
        <v>0</v>
      </c>
      <c r="I41" s="1424">
        <f>Interface_Treatment!J41</f>
        <v>0</v>
      </c>
      <c r="J41" s="1424">
        <f>Interface_Treatment!K41</f>
        <v>0</v>
      </c>
      <c r="K41" s="1427"/>
      <c r="L41" s="1428"/>
      <c r="M41" s="1429"/>
      <c r="N41" s="1429"/>
      <c r="O41" s="1430"/>
      <c r="P41" s="1429"/>
      <c r="Q41" s="1430"/>
      <c r="R41" s="1428"/>
      <c r="S41" s="1427"/>
      <c r="T41" s="1431">
        <f>Interface_Treatment!U41</f>
        <v>0</v>
      </c>
      <c r="U41" s="1431">
        <f>Interface_Treatment!V41</f>
        <v>0</v>
      </c>
      <c r="V41" s="1431">
        <f>Interface_Treatment!W41</f>
        <v>0</v>
      </c>
      <c r="W41" s="1431">
        <f>Interface_Treatment!X41</f>
        <v>0</v>
      </c>
      <c r="X41" s="1432">
        <f t="shared" si="9"/>
        <v>0</v>
      </c>
      <c r="Y41" s="1433" t="str">
        <f t="shared" si="10"/>
        <v>OK</v>
      </c>
      <c r="Z41" s="1427"/>
      <c r="AA41" s="1434">
        <f>'FS_Treatment volumes'!K54</f>
        <v>0</v>
      </c>
      <c r="AB41" s="1431">
        <f>Interface_Treatment!AC41</f>
        <v>0</v>
      </c>
      <c r="AC41" s="1431">
        <f>Interface_Treatment!AD41</f>
        <v>0</v>
      </c>
      <c r="AD41" s="1431">
        <f>Interface_Treatment!AE41</f>
        <v>0</v>
      </c>
      <c r="AE41" s="1431">
        <f>Interface_Treatment!AF41</f>
        <v>0</v>
      </c>
      <c r="AF41" s="1432">
        <f t="shared" si="11"/>
        <v>0</v>
      </c>
      <c r="AG41" s="1433" t="str">
        <f t="shared" si="12"/>
        <v>OK</v>
      </c>
      <c r="AH41" s="478"/>
      <c r="AI41" s="901">
        <f>Interface_Treatment!AJ41</f>
        <v>0</v>
      </c>
      <c r="AJ41" s="901">
        <f>Interface_Treatment!AK41</f>
        <v>0</v>
      </c>
      <c r="AK41" s="901">
        <f>Interface_Treatment!AL41</f>
        <v>0</v>
      </c>
      <c r="AL41" s="901">
        <f>Interface_Treatment!AM41</f>
        <v>0</v>
      </c>
      <c r="AM41" s="635">
        <f t="shared" si="13"/>
        <v>0</v>
      </c>
      <c r="AN41" s="902" t="str">
        <f t="shared" si="8"/>
        <v>OK</v>
      </c>
      <c r="AO41" s="478"/>
      <c r="AP41" s="636">
        <f>'FS_Treatment volumes'!N54</f>
        <v>0</v>
      </c>
      <c r="AQ41" s="901">
        <f>Interface_Treatment!AR41</f>
        <v>0</v>
      </c>
      <c r="AR41" s="901">
        <f>Interface_Treatment!AS41</f>
        <v>0</v>
      </c>
      <c r="AS41" s="901">
        <f>Interface_Treatment!AT41</f>
        <v>0</v>
      </c>
      <c r="AT41" s="901">
        <f>Interface_Treatment!AU41</f>
        <v>0</v>
      </c>
      <c r="AU41" s="635">
        <f t="shared" si="14"/>
        <v>0</v>
      </c>
      <c r="AV41" s="902" t="str">
        <f t="shared" si="15"/>
        <v>OK</v>
      </c>
      <c r="AW41" s="478"/>
      <c r="AX41" s="478"/>
      <c r="AY41" s="478"/>
      <c r="AZ41" s="478"/>
      <c r="BA41" s="478"/>
      <c r="BB41" s="478"/>
      <c r="BC41" s="654"/>
      <c r="BD41" s="654"/>
      <c r="BE41" s="654"/>
      <c r="BF41" s="654"/>
      <c r="BG41" s="654"/>
      <c r="BH41" s="654"/>
      <c r="BI41" s="654"/>
      <c r="BJ41" s="654"/>
      <c r="BK41" s="654"/>
      <c r="BL41" s="654"/>
      <c r="BM41" s="654"/>
      <c r="BN41" s="654"/>
      <c r="BO41" s="654"/>
      <c r="BP41" s="654"/>
      <c r="BQ41" s="654"/>
      <c r="BR41" s="654"/>
      <c r="BS41" s="654"/>
      <c r="BT41" s="654"/>
      <c r="BU41" s="654"/>
      <c r="BV41" s="478"/>
      <c r="BW41" s="478"/>
      <c r="BX41" s="478"/>
      <c r="BY41" s="478"/>
      <c r="BZ41" s="478"/>
      <c r="CA41" s="478"/>
      <c r="CB41" s="478"/>
      <c r="CC41" s="478"/>
      <c r="CD41" s="478"/>
    </row>
    <row r="42" spans="1:82" ht="17.149999999999999" customHeight="1" x14ac:dyDescent="0.35">
      <c r="A42" s="1406"/>
      <c r="B42" s="1435" t="s">
        <v>208</v>
      </c>
      <c r="C42" s="1436">
        <f>SUM(C32:C41)</f>
        <v>32600</v>
      </c>
      <c r="D42" s="1448"/>
      <c r="E42" s="1443"/>
      <c r="F42" s="1443"/>
      <c r="G42" s="1443"/>
      <c r="H42" s="1444"/>
      <c r="I42" s="1445"/>
      <c r="J42" s="1445"/>
      <c r="K42" s="1406"/>
      <c r="L42" s="1406"/>
      <c r="M42" s="1406"/>
      <c r="N42" s="1406"/>
      <c r="O42" s="1406"/>
      <c r="P42" s="1406"/>
      <c r="Q42" s="1406"/>
      <c r="R42" s="1406"/>
      <c r="S42" s="1406"/>
      <c r="T42" s="1406"/>
      <c r="U42" s="1406"/>
      <c r="V42" s="1406"/>
      <c r="W42" s="1406"/>
      <c r="X42" s="1406"/>
      <c r="Y42" s="1406"/>
      <c r="Z42" s="1406"/>
      <c r="AA42" s="1406"/>
      <c r="AB42" s="1406"/>
      <c r="AC42" s="1406"/>
      <c r="AD42" s="1406"/>
      <c r="AE42" s="1406"/>
      <c r="AF42" s="1406"/>
      <c r="AG42" s="1406"/>
      <c r="AI42" s="544"/>
      <c r="AJ42" s="544"/>
      <c r="AK42" s="544"/>
      <c r="AL42" s="544"/>
      <c r="AM42" s="544"/>
      <c r="AN42" s="544"/>
      <c r="AP42" s="544"/>
      <c r="AQ42" s="544"/>
      <c r="AR42" s="544"/>
      <c r="AS42" s="544"/>
      <c r="AT42" s="544"/>
      <c r="AU42" s="544"/>
      <c r="AV42" s="544"/>
      <c r="BC42" s="655"/>
      <c r="BD42" s="655"/>
      <c r="BE42" s="655"/>
      <c r="BF42" s="655"/>
      <c r="BG42" s="655"/>
      <c r="BH42" s="655"/>
      <c r="BI42" s="655"/>
      <c r="BJ42" s="655"/>
      <c r="BK42" s="655"/>
      <c r="BL42" s="655"/>
      <c r="BM42" s="655"/>
      <c r="BN42" s="655"/>
      <c r="BO42" s="655"/>
      <c r="BP42" s="655"/>
      <c r="BQ42" s="655"/>
      <c r="BR42" s="655"/>
      <c r="BS42" s="655"/>
      <c r="BT42" s="655"/>
      <c r="BU42" s="655"/>
    </row>
    <row r="43" spans="1:82" ht="17.149999999999999" customHeight="1" x14ac:dyDescent="0.35">
      <c r="A43" s="1406"/>
      <c r="B43" s="1435" t="s">
        <v>564</v>
      </c>
      <c r="C43" s="1436">
        <f>'FS_Transport volumes'!B119</f>
        <v>32600</v>
      </c>
      <c r="D43" s="1449"/>
      <c r="E43" s="1450"/>
      <c r="F43" s="1450"/>
      <c r="G43" s="1450"/>
      <c r="H43" s="1444"/>
      <c r="I43" s="1445"/>
      <c r="J43" s="1445"/>
      <c r="K43" s="1406"/>
      <c r="L43" s="1406"/>
      <c r="M43" s="1406"/>
      <c r="N43" s="1406"/>
      <c r="O43" s="1406"/>
      <c r="P43" s="1406"/>
      <c r="Q43" s="1406"/>
      <c r="R43" s="1406"/>
      <c r="S43" s="1406"/>
      <c r="T43" s="1406"/>
      <c r="U43" s="1406"/>
      <c r="V43" s="1406"/>
      <c r="W43" s="1406"/>
      <c r="X43" s="1406"/>
      <c r="Y43" s="1406"/>
      <c r="Z43" s="1406"/>
      <c r="AA43" s="1406"/>
      <c r="AB43" s="1406"/>
      <c r="AC43" s="1406"/>
      <c r="AD43" s="1406"/>
      <c r="AE43" s="1406"/>
      <c r="AF43" s="1406"/>
      <c r="AG43" s="1406"/>
      <c r="AI43" s="544"/>
      <c r="AJ43" s="544"/>
      <c r="AK43" s="544"/>
      <c r="AL43" s="544"/>
      <c r="AM43" s="544"/>
      <c r="AN43" s="544"/>
      <c r="AP43" s="544"/>
      <c r="AQ43" s="544"/>
      <c r="AR43" s="544"/>
      <c r="AS43" s="544"/>
      <c r="AT43" s="544"/>
      <c r="AU43" s="544"/>
      <c r="AV43" s="544"/>
      <c r="BC43" s="655"/>
      <c r="BD43" s="655"/>
      <c r="BE43" s="655"/>
      <c r="BF43" s="655"/>
      <c r="BG43" s="655"/>
      <c r="BH43" s="655"/>
      <c r="BI43" s="655"/>
      <c r="BJ43" s="655"/>
      <c r="BK43" s="655"/>
      <c r="BL43" s="655"/>
      <c r="BM43" s="655"/>
      <c r="BN43" s="655"/>
      <c r="BO43" s="655"/>
      <c r="BP43" s="655"/>
      <c r="BQ43" s="655"/>
      <c r="BR43" s="655"/>
      <c r="BS43" s="655"/>
      <c r="BT43" s="655"/>
      <c r="BU43" s="655"/>
    </row>
    <row r="44" spans="1:82" ht="17.149999999999999" customHeight="1" x14ac:dyDescent="0.35">
      <c r="A44" s="1406"/>
      <c r="B44" s="1441" t="s">
        <v>251</v>
      </c>
      <c r="C44" s="1442">
        <f>C42-C43</f>
        <v>0</v>
      </c>
      <c r="D44" s="1443"/>
      <c r="E44" s="1443"/>
      <c r="F44" s="1443"/>
      <c r="G44" s="1443"/>
      <c r="H44" s="1445"/>
      <c r="I44" s="1445"/>
      <c r="J44" s="1445"/>
      <c r="K44" s="1406"/>
      <c r="L44" s="1406"/>
      <c r="M44" s="1406"/>
      <c r="N44" s="1406"/>
      <c r="O44" s="1406"/>
      <c r="P44" s="1406"/>
      <c r="Q44" s="1406"/>
      <c r="R44" s="1406"/>
      <c r="S44" s="1406"/>
      <c r="T44" s="1406"/>
      <c r="U44" s="1406"/>
      <c r="V44" s="1406"/>
      <c r="W44" s="1406"/>
      <c r="X44" s="1406"/>
      <c r="Y44" s="1406"/>
      <c r="Z44" s="1406"/>
      <c r="AA44" s="1406"/>
      <c r="AB44" s="1406"/>
      <c r="AC44" s="1406"/>
      <c r="AD44" s="1406"/>
      <c r="AE44" s="1406"/>
      <c r="AF44" s="1406"/>
      <c r="AG44" s="1406"/>
      <c r="AI44" s="544"/>
      <c r="AJ44" s="544"/>
      <c r="AK44" s="544"/>
      <c r="AL44" s="544"/>
      <c r="AM44" s="544"/>
      <c r="AN44" s="544"/>
      <c r="AP44" s="544"/>
      <c r="AQ44" s="544"/>
      <c r="AR44" s="544"/>
      <c r="AS44" s="544"/>
      <c r="AT44" s="544"/>
      <c r="AU44" s="544"/>
      <c r="AV44" s="544"/>
      <c r="BC44" s="655"/>
      <c r="BD44" s="655"/>
      <c r="BE44" s="655"/>
      <c r="BF44" s="655"/>
      <c r="BG44" s="655"/>
      <c r="BH44" s="655"/>
      <c r="BI44" s="655"/>
      <c r="BJ44" s="655"/>
      <c r="BK44" s="655"/>
      <c r="BL44" s="655"/>
      <c r="BM44" s="655"/>
      <c r="BN44" s="655"/>
      <c r="BO44" s="655"/>
      <c r="BP44" s="655"/>
      <c r="BQ44" s="655"/>
      <c r="BR44" s="655"/>
      <c r="BS44" s="655"/>
      <c r="BT44" s="655"/>
      <c r="BU44" s="655"/>
    </row>
    <row r="45" spans="1:82" ht="17.149999999999999" customHeight="1" x14ac:dyDescent="0.35">
      <c r="A45" s="1406"/>
      <c r="B45" s="1427"/>
      <c r="C45" s="1451" t="str">
        <f>IF(C44=0,"OK","Not OK")</f>
        <v>OK</v>
      </c>
      <c r="D45" s="1443"/>
      <c r="E45" s="1450"/>
      <c r="F45" s="1444">
        <f>(E45/1000)*365</f>
        <v>0</v>
      </c>
      <c r="G45" s="1427"/>
      <c r="H45" s="1445"/>
      <c r="I45" s="1445"/>
      <c r="J45" s="1445"/>
      <c r="K45" s="1406"/>
      <c r="L45" s="1406"/>
      <c r="M45" s="1406"/>
      <c r="N45" s="1406"/>
      <c r="O45" s="1406"/>
      <c r="P45" s="1406"/>
      <c r="Q45" s="1406"/>
      <c r="R45" s="1406"/>
      <c r="S45" s="1406"/>
      <c r="T45" s="1406"/>
      <c r="U45" s="1406"/>
      <c r="V45" s="1406"/>
      <c r="W45" s="1406"/>
      <c r="X45" s="1406"/>
      <c r="Y45" s="1406"/>
      <c r="Z45" s="1406"/>
      <c r="AA45" s="1406"/>
      <c r="AB45" s="1406"/>
      <c r="AC45" s="1406"/>
      <c r="AD45" s="1406"/>
      <c r="AE45" s="1406"/>
      <c r="AF45" s="1406"/>
      <c r="AG45" s="1406"/>
      <c r="AI45" s="544"/>
      <c r="AJ45" s="544"/>
      <c r="AK45" s="544"/>
      <c r="AL45" s="544"/>
      <c r="AM45" s="544"/>
      <c r="AN45" s="544"/>
      <c r="AP45" s="544"/>
      <c r="AQ45" s="544"/>
      <c r="AR45" s="544"/>
      <c r="AS45" s="544"/>
      <c r="AT45" s="544"/>
      <c r="AU45" s="544"/>
      <c r="AV45" s="544"/>
      <c r="BC45" s="655"/>
      <c r="BD45" s="655"/>
      <c r="BE45" s="655"/>
      <c r="BF45" s="655"/>
      <c r="BG45" s="655"/>
      <c r="BH45" s="655"/>
      <c r="BI45" s="655"/>
      <c r="BJ45" s="655"/>
      <c r="BK45" s="655"/>
      <c r="BL45" s="655"/>
      <c r="BM45" s="655"/>
      <c r="BN45" s="655"/>
      <c r="BO45" s="655"/>
      <c r="BP45" s="655"/>
      <c r="BQ45" s="655"/>
      <c r="BR45" s="655"/>
      <c r="BS45" s="655"/>
      <c r="BT45" s="655"/>
      <c r="BU45" s="655"/>
    </row>
    <row r="46" spans="1:82" ht="17.149999999999999" customHeight="1" x14ac:dyDescent="0.35">
      <c r="A46" s="1406"/>
      <c r="B46" s="1427"/>
      <c r="C46" s="1427"/>
      <c r="D46" s="1443"/>
      <c r="E46" s="1443"/>
      <c r="F46" s="1444"/>
      <c r="G46" s="1427"/>
      <c r="H46" s="1445"/>
      <c r="I46" s="1445"/>
      <c r="J46" s="1445"/>
      <c r="K46" s="1406"/>
      <c r="L46" s="1406"/>
      <c r="M46" s="1406"/>
      <c r="N46" s="1406"/>
      <c r="O46" s="1406"/>
      <c r="P46" s="1406"/>
      <c r="Q46" s="1406"/>
      <c r="R46" s="1406"/>
      <c r="S46" s="1406"/>
      <c r="T46" s="1406"/>
      <c r="U46" s="1406"/>
      <c r="V46" s="1406"/>
      <c r="W46" s="1406"/>
      <c r="X46" s="1406"/>
      <c r="Y46" s="1406"/>
      <c r="Z46" s="1406"/>
      <c r="AA46" s="1406"/>
      <c r="AB46" s="1406"/>
      <c r="AC46" s="1406"/>
      <c r="AD46" s="1406"/>
      <c r="AE46" s="1406"/>
      <c r="AF46" s="1406"/>
      <c r="AG46" s="1406"/>
      <c r="AI46" s="544"/>
      <c r="AJ46" s="544"/>
      <c r="AK46" s="544"/>
      <c r="AL46" s="544"/>
      <c r="AM46" s="544"/>
      <c r="AN46" s="544"/>
      <c r="AP46" s="544"/>
      <c r="AQ46" s="544"/>
      <c r="AR46" s="544"/>
      <c r="AS46" s="544"/>
      <c r="AT46" s="544"/>
      <c r="AU46" s="544"/>
      <c r="AV46" s="544"/>
      <c r="BC46" s="655"/>
      <c r="BD46" s="655"/>
      <c r="BE46" s="655"/>
      <c r="BF46" s="655"/>
      <c r="BG46" s="655"/>
      <c r="BH46" s="655"/>
      <c r="BI46" s="655"/>
      <c r="BJ46" s="655"/>
      <c r="BK46" s="655"/>
      <c r="BL46" s="655"/>
      <c r="BM46" s="655"/>
      <c r="BN46" s="655"/>
      <c r="BO46" s="655"/>
      <c r="BP46" s="655"/>
      <c r="BQ46" s="655"/>
      <c r="BR46" s="655"/>
      <c r="BS46" s="655"/>
      <c r="BT46" s="655"/>
      <c r="BU46" s="655"/>
    </row>
    <row r="47" spans="1:82" ht="17.149999999999999" customHeight="1" x14ac:dyDescent="0.35">
      <c r="A47" s="1406"/>
      <c r="B47" s="1427"/>
      <c r="C47" s="1427"/>
      <c r="D47" s="1443"/>
      <c r="E47" s="1443"/>
      <c r="F47" s="1444"/>
      <c r="G47" s="1427"/>
      <c r="H47" s="1445"/>
      <c r="I47" s="1445"/>
      <c r="J47" s="1445"/>
      <c r="K47" s="1406"/>
      <c r="L47" s="1406"/>
      <c r="M47" s="1406"/>
      <c r="N47" s="1406"/>
      <c r="O47" s="1406"/>
      <c r="P47" s="1406"/>
      <c r="Q47" s="1406"/>
      <c r="R47" s="1406"/>
      <c r="S47" s="1406"/>
      <c r="T47" s="1406"/>
      <c r="U47" s="1406"/>
      <c r="V47" s="1406"/>
      <c r="W47" s="1406"/>
      <c r="X47" s="1406"/>
      <c r="Y47" s="1406"/>
      <c r="Z47" s="1406"/>
      <c r="AA47" s="1406"/>
      <c r="AB47" s="1406"/>
      <c r="AC47" s="1406"/>
      <c r="AD47" s="1406"/>
      <c r="AE47" s="1406"/>
      <c r="AF47" s="1406"/>
      <c r="AG47" s="1406"/>
      <c r="AI47" s="544"/>
      <c r="AJ47" s="544"/>
      <c r="AK47" s="544"/>
      <c r="AL47" s="544"/>
      <c r="AM47" s="544"/>
      <c r="AN47" s="544"/>
      <c r="AP47" s="544"/>
      <c r="AQ47" s="544"/>
      <c r="AR47" s="544"/>
      <c r="AS47" s="544"/>
      <c r="AT47" s="544"/>
      <c r="AU47" s="544"/>
      <c r="AV47" s="544"/>
      <c r="BC47" s="655"/>
      <c r="BD47" s="655"/>
      <c r="BE47" s="655"/>
      <c r="BF47" s="655"/>
      <c r="BG47" s="655"/>
      <c r="BH47" s="655"/>
      <c r="BI47" s="655"/>
      <c r="BJ47" s="655"/>
      <c r="BK47" s="655"/>
      <c r="BL47" s="655"/>
      <c r="BM47" s="655"/>
      <c r="BN47" s="655"/>
      <c r="BO47" s="655"/>
      <c r="BP47" s="655"/>
      <c r="BQ47" s="655"/>
      <c r="BR47" s="655"/>
      <c r="BS47" s="655"/>
      <c r="BT47" s="655"/>
      <c r="BU47" s="655"/>
    </row>
    <row r="48" spans="1:82" ht="17.149999999999999" customHeight="1" x14ac:dyDescent="0.35">
      <c r="A48" s="1406"/>
      <c r="B48" s="1409" t="s">
        <v>565</v>
      </c>
      <c r="C48" s="1406"/>
      <c r="D48" s="1406"/>
      <c r="E48" s="1406"/>
      <c r="F48" s="1406"/>
      <c r="G48" s="1447"/>
      <c r="H48" s="1406"/>
      <c r="I48" s="1406"/>
      <c r="J48" s="1411" t="s">
        <v>589</v>
      </c>
      <c r="K48" s="1406"/>
      <c r="L48" s="1406"/>
      <c r="M48" s="1406"/>
      <c r="N48" s="1406"/>
      <c r="O48" s="1406"/>
      <c r="P48" s="1406"/>
      <c r="Q48" s="1406"/>
      <c r="R48" s="1406"/>
      <c r="S48" s="1406"/>
      <c r="T48" s="1409" t="s">
        <v>566</v>
      </c>
      <c r="U48" s="1406"/>
      <c r="V48" s="1406"/>
      <c r="W48" s="1406"/>
      <c r="X48" s="1406"/>
      <c r="Y48" s="1406"/>
      <c r="Z48" s="1406"/>
      <c r="AA48" s="1406"/>
      <c r="AB48" s="1406"/>
      <c r="AC48" s="1406"/>
      <c r="AD48" s="1406"/>
      <c r="AE48" s="1406"/>
      <c r="AF48" s="1406"/>
      <c r="AG48" s="1406"/>
      <c r="AI48" s="564" t="s">
        <v>567</v>
      </c>
      <c r="AJ48" s="544"/>
      <c r="AK48" s="544"/>
      <c r="AL48" s="544"/>
      <c r="AM48" s="544"/>
      <c r="AN48" s="544"/>
      <c r="AP48" s="544"/>
      <c r="AQ48" s="544"/>
      <c r="AR48" s="544"/>
      <c r="AS48" s="544"/>
      <c r="AT48" s="544"/>
      <c r="AU48" s="544"/>
      <c r="AV48" s="544"/>
      <c r="BC48" s="655"/>
      <c r="BD48" s="655"/>
      <c r="BE48" s="655"/>
      <c r="BF48" s="655"/>
      <c r="BG48" s="655"/>
      <c r="BH48" s="655"/>
      <c r="BI48" s="655"/>
      <c r="BJ48" s="655"/>
      <c r="BK48" s="655"/>
      <c r="BL48" s="655"/>
      <c r="BM48" s="655"/>
      <c r="BN48" s="655"/>
      <c r="BO48" s="655"/>
      <c r="BP48" s="655"/>
      <c r="BQ48" s="655"/>
      <c r="BR48" s="655"/>
      <c r="BS48" s="655"/>
      <c r="BT48" s="655"/>
      <c r="BU48" s="655"/>
    </row>
    <row r="49" spans="1:82" ht="17.149999999999999" customHeight="1" x14ac:dyDescent="0.35">
      <c r="A49" s="1406"/>
      <c r="B49" s="1427"/>
      <c r="C49" s="1427"/>
      <c r="D49" s="1443"/>
      <c r="E49" s="1443"/>
      <c r="F49" s="1444"/>
      <c r="G49" s="1427"/>
      <c r="H49" s="1445"/>
      <c r="I49" s="1445"/>
      <c r="J49" s="1445"/>
      <c r="K49" s="1406"/>
      <c r="L49" s="1406"/>
      <c r="M49" s="1406"/>
      <c r="N49" s="1406"/>
      <c r="O49" s="1406"/>
      <c r="P49" s="1406"/>
      <c r="Q49" s="1406"/>
      <c r="R49" s="1406"/>
      <c r="S49" s="1406"/>
      <c r="T49" s="1747" t="s">
        <v>509</v>
      </c>
      <c r="U49" s="1747"/>
      <c r="V49" s="1747"/>
      <c r="W49" s="1747"/>
      <c r="X49" s="1747"/>
      <c r="Y49" s="1747"/>
      <c r="Z49" s="1406"/>
      <c r="AA49" s="1747" t="s">
        <v>510</v>
      </c>
      <c r="AB49" s="1747"/>
      <c r="AC49" s="1747"/>
      <c r="AD49" s="1747"/>
      <c r="AE49" s="1747"/>
      <c r="AF49" s="1747"/>
      <c r="AG49" s="1747"/>
      <c r="AI49" s="1697" t="s">
        <v>511</v>
      </c>
      <c r="AJ49" s="1698"/>
      <c r="AK49" s="1698"/>
      <c r="AL49" s="1698"/>
      <c r="AM49" s="1698"/>
      <c r="AN49" s="1699"/>
      <c r="AP49" s="1668" t="s">
        <v>512</v>
      </c>
      <c r="AQ49" s="1668"/>
      <c r="AR49" s="1668"/>
      <c r="AS49" s="1668"/>
      <c r="AT49" s="1668"/>
      <c r="AU49" s="1668"/>
      <c r="AV49" s="1668"/>
      <c r="BC49" s="655"/>
      <c r="BD49" s="655"/>
      <c r="BE49" s="655"/>
      <c r="BF49" s="655"/>
      <c r="BG49" s="655"/>
      <c r="BH49" s="655"/>
      <c r="BI49" s="655"/>
      <c r="BJ49" s="655"/>
      <c r="BK49" s="655"/>
      <c r="BL49" s="655"/>
      <c r="BM49" s="655"/>
      <c r="BN49" s="655"/>
      <c r="BO49" s="655"/>
      <c r="BP49" s="655"/>
      <c r="BQ49" s="655"/>
      <c r="BR49" s="655"/>
      <c r="BS49" s="655"/>
      <c r="BT49" s="655"/>
      <c r="BU49" s="655"/>
    </row>
    <row r="50" spans="1:82" ht="17.149999999999999" customHeight="1" x14ac:dyDescent="0.35">
      <c r="A50" s="1406"/>
      <c r="B50" s="1739" t="s">
        <v>568</v>
      </c>
      <c r="C50" s="1740" t="s">
        <v>590</v>
      </c>
      <c r="D50" s="1742" t="s">
        <v>516</v>
      </c>
      <c r="E50" s="1743"/>
      <c r="F50" s="1739" t="s">
        <v>569</v>
      </c>
      <c r="G50" s="1746" t="s">
        <v>518</v>
      </c>
      <c r="H50" s="1746"/>
      <c r="I50" s="1739" t="s">
        <v>519</v>
      </c>
      <c r="J50" s="1739" t="s">
        <v>520</v>
      </c>
      <c r="K50" s="1406"/>
      <c r="L50" s="1406"/>
      <c r="M50" s="1406"/>
      <c r="N50" s="1406"/>
      <c r="O50" s="1406"/>
      <c r="P50" s="1406"/>
      <c r="Q50" s="1406"/>
      <c r="R50" s="1406"/>
      <c r="S50" s="1406"/>
      <c r="T50" s="1747" t="s">
        <v>522</v>
      </c>
      <c r="U50" s="1747"/>
      <c r="V50" s="1747"/>
      <c r="W50" s="1747"/>
      <c r="X50" s="1747"/>
      <c r="Y50" s="1747"/>
      <c r="Z50" s="1406"/>
      <c r="AA50" s="1739" t="s">
        <v>522</v>
      </c>
      <c r="AB50" s="1739"/>
      <c r="AC50" s="1739"/>
      <c r="AD50" s="1739"/>
      <c r="AE50" s="1739"/>
      <c r="AF50" s="1739"/>
      <c r="AG50" s="1739"/>
      <c r="AI50" s="1668" t="s">
        <v>522</v>
      </c>
      <c r="AJ50" s="1668"/>
      <c r="AK50" s="1668"/>
      <c r="AL50" s="1668"/>
      <c r="AM50" s="1668"/>
      <c r="AN50" s="1668"/>
      <c r="AP50" s="1668" t="s">
        <v>522</v>
      </c>
      <c r="AQ50" s="1668"/>
      <c r="AR50" s="1668"/>
      <c r="AS50" s="1668"/>
      <c r="AT50" s="1668"/>
      <c r="AU50" s="1668"/>
      <c r="AV50" s="1668"/>
      <c r="BC50" s="655"/>
      <c r="BD50" s="655"/>
      <c r="BE50" s="655"/>
      <c r="BF50" s="655"/>
      <c r="BG50" s="655"/>
      <c r="BH50" s="655"/>
      <c r="BI50" s="655"/>
      <c r="BJ50" s="655"/>
      <c r="BK50" s="655"/>
      <c r="BL50" s="655"/>
      <c r="BM50" s="655"/>
      <c r="BN50" s="655"/>
      <c r="BO50" s="655"/>
      <c r="BP50" s="655"/>
      <c r="BQ50" s="655"/>
      <c r="BR50" s="655"/>
      <c r="BS50" s="655"/>
      <c r="BT50" s="655"/>
      <c r="BU50" s="655"/>
    </row>
    <row r="51" spans="1:82" ht="50.15" customHeight="1" x14ac:dyDescent="0.35">
      <c r="A51" s="1406"/>
      <c r="B51" s="1739"/>
      <c r="C51" s="1741"/>
      <c r="D51" s="1744"/>
      <c r="E51" s="1745"/>
      <c r="F51" s="1739"/>
      <c r="G51" s="1493" t="s">
        <v>523</v>
      </c>
      <c r="H51" s="1493" t="s">
        <v>524</v>
      </c>
      <c r="I51" s="1739"/>
      <c r="J51" s="1739"/>
      <c r="K51" s="1406"/>
      <c r="L51" s="1406"/>
      <c r="M51" s="1406"/>
      <c r="N51" s="1406"/>
      <c r="O51" s="1406"/>
      <c r="P51" s="1406"/>
      <c r="Q51" s="1406"/>
      <c r="R51" s="1406"/>
      <c r="S51" s="1406"/>
      <c r="T51" s="1412" t="s">
        <v>531</v>
      </c>
      <c r="U51" s="1412" t="s">
        <v>532</v>
      </c>
      <c r="V51" s="1412" t="s">
        <v>533</v>
      </c>
      <c r="W51" s="1412" t="s">
        <v>333</v>
      </c>
      <c r="X51" s="1412" t="s">
        <v>208</v>
      </c>
      <c r="Y51" s="1412" t="s">
        <v>535</v>
      </c>
      <c r="Z51" s="1406"/>
      <c r="AA51" s="1412" t="s">
        <v>536</v>
      </c>
      <c r="AB51" s="1412" t="s">
        <v>531</v>
      </c>
      <c r="AC51" s="1412" t="s">
        <v>532</v>
      </c>
      <c r="AD51" s="1412" t="s">
        <v>533</v>
      </c>
      <c r="AE51" s="1412" t="s">
        <v>537</v>
      </c>
      <c r="AF51" s="1412" t="s">
        <v>208</v>
      </c>
      <c r="AG51" s="1412" t="s">
        <v>535</v>
      </c>
      <c r="AI51" s="1487" t="s">
        <v>538</v>
      </c>
      <c r="AJ51" s="1487" t="s">
        <v>539</v>
      </c>
      <c r="AK51" s="1487" t="s">
        <v>540</v>
      </c>
      <c r="AL51" s="1487" t="s">
        <v>333</v>
      </c>
      <c r="AM51" s="1487" t="s">
        <v>208</v>
      </c>
      <c r="AN51" s="1487" t="s">
        <v>535</v>
      </c>
      <c r="AP51" s="1487" t="s">
        <v>536</v>
      </c>
      <c r="AQ51" s="1487" t="s">
        <v>538</v>
      </c>
      <c r="AR51" s="1487" t="s">
        <v>539</v>
      </c>
      <c r="AS51" s="1487" t="s">
        <v>540</v>
      </c>
      <c r="AT51" s="1487" t="s">
        <v>537</v>
      </c>
      <c r="AU51" s="1487" t="s">
        <v>208</v>
      </c>
      <c r="AV51" s="1487" t="s">
        <v>535</v>
      </c>
      <c r="BC51" s="655"/>
      <c r="BD51" s="655"/>
      <c r="BE51" s="655"/>
      <c r="BF51" s="655"/>
      <c r="BG51" s="655"/>
      <c r="BH51" s="655"/>
      <c r="BI51" s="655"/>
      <c r="BJ51" s="655"/>
      <c r="BK51" s="655"/>
      <c r="BL51" s="655"/>
      <c r="BM51" s="655"/>
      <c r="BN51" s="655"/>
      <c r="BO51" s="655"/>
      <c r="BP51" s="655"/>
      <c r="BQ51" s="655"/>
      <c r="BR51" s="655"/>
      <c r="BS51" s="655"/>
      <c r="BT51" s="655"/>
      <c r="BU51" s="655"/>
    </row>
    <row r="52" spans="1:82" s="20" customFormat="1" ht="17.149999999999999" customHeight="1" x14ac:dyDescent="0.35">
      <c r="A52" s="1406"/>
      <c r="B52" s="1414"/>
      <c r="C52" s="1415"/>
      <c r="D52" s="1415"/>
      <c r="E52" s="1415"/>
      <c r="F52" s="1416"/>
      <c r="G52" s="1416"/>
      <c r="H52" s="1416"/>
      <c r="I52" s="1416"/>
      <c r="J52" s="1416"/>
      <c r="K52" s="1417"/>
      <c r="L52" s="1417"/>
      <c r="M52" s="1417"/>
      <c r="N52" s="1417"/>
      <c r="O52" s="1417"/>
      <c r="P52" s="1417"/>
      <c r="Q52" s="1417"/>
      <c r="R52" s="1417"/>
      <c r="S52" s="1417"/>
      <c r="T52" s="1420"/>
      <c r="U52" s="1420"/>
      <c r="V52" s="1420"/>
      <c r="W52" s="1420"/>
      <c r="X52" s="1420"/>
      <c r="Y52" s="1421"/>
      <c r="Z52" s="1417"/>
      <c r="AA52" s="1418"/>
      <c r="AB52" s="1420"/>
      <c r="AC52" s="1420"/>
      <c r="AD52" s="1420"/>
      <c r="AE52" s="1420"/>
      <c r="AF52" s="1420"/>
      <c r="AG52" s="1421"/>
      <c r="AH52" s="549"/>
      <c r="AI52" s="649"/>
      <c r="AJ52" s="649"/>
      <c r="AK52" s="649"/>
      <c r="AL52" s="649"/>
      <c r="AM52" s="649"/>
      <c r="AN52" s="556"/>
      <c r="AO52" s="549"/>
      <c r="AP52" s="548"/>
      <c r="AQ52" s="649"/>
      <c r="AR52" s="649"/>
      <c r="AS52" s="649"/>
      <c r="AT52" s="649"/>
      <c r="AU52" s="649"/>
      <c r="AV52" s="556"/>
      <c r="AW52" s="549"/>
      <c r="AX52" s="549"/>
      <c r="AY52" s="549"/>
      <c r="AZ52" s="549"/>
      <c r="BA52" s="549"/>
      <c r="BB52" s="549"/>
      <c r="BC52" s="657"/>
      <c r="BD52" s="657"/>
      <c r="BE52" s="657"/>
      <c r="BF52" s="657"/>
      <c r="BG52" s="657"/>
      <c r="BH52" s="657"/>
      <c r="BI52" s="657"/>
      <c r="BJ52" s="657"/>
      <c r="BK52" s="657"/>
      <c r="BL52" s="657"/>
      <c r="BM52" s="657"/>
      <c r="BN52" s="657"/>
      <c r="BO52" s="657"/>
      <c r="BP52" s="657"/>
      <c r="BQ52" s="657"/>
      <c r="BR52" s="657"/>
      <c r="BS52" s="657"/>
      <c r="BT52" s="657"/>
      <c r="BU52" s="657"/>
      <c r="BV52" s="549"/>
      <c r="BW52" s="549"/>
      <c r="BX52" s="549"/>
      <c r="BY52" s="549"/>
      <c r="BZ52" s="549"/>
      <c r="CA52" s="549"/>
      <c r="CB52" s="549"/>
      <c r="CC52" s="549"/>
      <c r="CD52" s="549"/>
    </row>
    <row r="53" spans="1:82" s="3" customFormat="1" ht="17.149999999999999" customHeight="1" x14ac:dyDescent="0.35">
      <c r="A53" s="1406"/>
      <c r="B53" s="1452" t="str">
        <f>Interface_Treatment!B53</f>
        <v>Location 1 [insert name]</v>
      </c>
      <c r="C53" s="1423">
        <f>IF($C$60=0,0,Interface_Treatment!C53*'Treatment Sludge_NO INPUTS'!$C$60)</f>
        <v>0</v>
      </c>
      <c r="D53" s="1748">
        <f>Interface_Treatment!E53</f>
        <v>0</v>
      </c>
      <c r="E53" s="1749"/>
      <c r="F53" s="1424">
        <f>Interface_Treatment!G53</f>
        <v>0</v>
      </c>
      <c r="G53" s="1425">
        <f>IF(Interface_Treatment!D53=0,0,(Interface_Treatment!H53/Interface_Treatment!D53)*'Treatment Sludge_NO INPUTS'!C53)</f>
        <v>0</v>
      </c>
      <c r="H53" s="1426">
        <f t="shared" ref="H53:H58" si="16">C53-G53</f>
        <v>0</v>
      </c>
      <c r="I53" s="1424">
        <f>Interface_Treatment!J53</f>
        <v>0</v>
      </c>
      <c r="J53" s="1424">
        <f>Interface_Treatment!K53</f>
        <v>0</v>
      </c>
      <c r="K53" s="1427"/>
      <c r="L53" s="1427"/>
      <c r="M53" s="1427"/>
      <c r="N53" s="1427"/>
      <c r="O53" s="1427"/>
      <c r="P53" s="1427"/>
      <c r="Q53" s="1427"/>
      <c r="R53" s="1427"/>
      <c r="S53" s="1427"/>
      <c r="T53" s="1431">
        <f>Interface_Treatment!U53</f>
        <v>0</v>
      </c>
      <c r="U53" s="1431">
        <f>Interface_Treatment!V53</f>
        <v>0</v>
      </c>
      <c r="V53" s="1431">
        <f>Interface_Treatment!W53</f>
        <v>0</v>
      </c>
      <c r="W53" s="1431">
        <f>Interface_Treatment!X53</f>
        <v>0</v>
      </c>
      <c r="X53" s="1432">
        <f t="shared" ref="X53:X58" si="17">SUM(T53:W53)</f>
        <v>0</v>
      </c>
      <c r="Y53" s="1433" t="str">
        <f>IF(AND(G53=0,X53=0),"OK",IF(AND(G53&gt;0,X53=1),"OK","Not OK"))</f>
        <v>OK</v>
      </c>
      <c r="Z53" s="1427"/>
      <c r="AA53" s="1434">
        <f>'FS_Treatment volumes'!K103</f>
        <v>0</v>
      </c>
      <c r="AB53" s="1431">
        <f>Interface_Treatment!AC53</f>
        <v>0</v>
      </c>
      <c r="AC53" s="1431">
        <f>Interface_Treatment!AD53</f>
        <v>0</v>
      </c>
      <c r="AD53" s="1431">
        <f>Interface_Treatment!AE53</f>
        <v>0</v>
      </c>
      <c r="AE53" s="1431">
        <f>Interface_Treatment!AF53</f>
        <v>0</v>
      </c>
      <c r="AF53" s="1432">
        <f t="shared" ref="AF53:AF58" si="18">SUM(AB53:AE53)</f>
        <v>0</v>
      </c>
      <c r="AG53" s="1433" t="str">
        <f t="shared" ref="AG53:AG58" si="19">IF(AND(AA53=0,AF53=0),"OK",IF(AND(AA53&gt;0,AF53=1),"OK","Not OK"))</f>
        <v>OK</v>
      </c>
      <c r="AH53" s="478"/>
      <c r="AI53" s="901">
        <f>Interface_Treatment!AJ53</f>
        <v>0</v>
      </c>
      <c r="AJ53" s="901">
        <f>Interface_Treatment!AK53</f>
        <v>0</v>
      </c>
      <c r="AK53" s="901">
        <f>Interface_Treatment!AL53</f>
        <v>0</v>
      </c>
      <c r="AL53" s="901">
        <f>Interface_Treatment!AM53</f>
        <v>0</v>
      </c>
      <c r="AM53" s="635">
        <f t="shared" ref="AM53:AM58" si="20">SUM(AI53:AL53)</f>
        <v>0</v>
      </c>
      <c r="AN53" s="902" t="str">
        <f t="shared" ref="AN53:AN58" si="21">IF(AND(H53=0,AM53=0),"OK",IF(AND(H53&gt;0,AM53=1),"OK","Not OK"))</f>
        <v>OK</v>
      </c>
      <c r="AO53" s="478"/>
      <c r="AP53" s="636">
        <f>'FS_Treatment volumes'!N103</f>
        <v>0</v>
      </c>
      <c r="AQ53" s="901">
        <f>Interface_Treatment!AR53</f>
        <v>0</v>
      </c>
      <c r="AR53" s="901">
        <f>Interface_Treatment!AS53</f>
        <v>0</v>
      </c>
      <c r="AS53" s="901">
        <f>Interface_Treatment!AT53</f>
        <v>0</v>
      </c>
      <c r="AT53" s="901">
        <f>Interface_Treatment!AU53</f>
        <v>0</v>
      </c>
      <c r="AU53" s="635">
        <f>SUM(AQ53:AT53)</f>
        <v>0</v>
      </c>
      <c r="AV53" s="902" t="str">
        <f t="shared" ref="AV53:AV58" si="22">IF(AND(AP53=0,AU53=0),"OK",IF(AND(AP53&gt;0,AU53=1),"OK","Not OK"))</f>
        <v>OK</v>
      </c>
      <c r="AW53" s="478"/>
      <c r="AX53" s="478"/>
      <c r="AY53" s="478"/>
      <c r="AZ53" s="478"/>
      <c r="BA53" s="478"/>
      <c r="BB53" s="478"/>
      <c r="BC53" s="654"/>
      <c r="BD53" s="654"/>
      <c r="BE53" s="654"/>
      <c r="BF53" s="654"/>
      <c r="BG53" s="654"/>
      <c r="BH53" s="654"/>
      <c r="BI53" s="654"/>
      <c r="BJ53" s="654"/>
      <c r="BK53" s="654"/>
      <c r="BL53" s="654"/>
      <c r="BM53" s="654"/>
      <c r="BN53" s="654"/>
      <c r="BO53" s="654"/>
      <c r="BP53" s="654"/>
      <c r="BQ53" s="654"/>
      <c r="BR53" s="654"/>
      <c r="BS53" s="654"/>
      <c r="BT53" s="654"/>
      <c r="BU53" s="654"/>
      <c r="BV53" s="478"/>
      <c r="BW53" s="478"/>
      <c r="BX53" s="478"/>
      <c r="BY53" s="478"/>
      <c r="BZ53" s="478"/>
      <c r="CA53" s="478"/>
      <c r="CB53" s="478"/>
      <c r="CC53" s="478"/>
      <c r="CD53" s="478"/>
    </row>
    <row r="54" spans="1:82" s="3" customFormat="1" ht="17.149999999999999" customHeight="1" x14ac:dyDescent="0.35">
      <c r="A54" s="1406"/>
      <c r="B54" s="1452" t="str">
        <f>Interface_Treatment!B54</f>
        <v>Location 2 [insert name]</v>
      </c>
      <c r="C54" s="1423">
        <f>IF($C$60=0,0,Interface_Treatment!C54*'Treatment Sludge_NO INPUTS'!$C$60)</f>
        <v>0</v>
      </c>
      <c r="D54" s="1748">
        <f>Interface_Treatment!E54</f>
        <v>0</v>
      </c>
      <c r="E54" s="1749"/>
      <c r="F54" s="1424">
        <f>Interface_Treatment!G54</f>
        <v>0</v>
      </c>
      <c r="G54" s="1425">
        <f>IF(Interface_Treatment!D54=0,0,(Interface_Treatment!H54/Interface_Treatment!D54)*'Treatment Sludge_NO INPUTS'!C54)</f>
        <v>0</v>
      </c>
      <c r="H54" s="1426">
        <f t="shared" si="16"/>
        <v>0</v>
      </c>
      <c r="I54" s="1424">
        <f>Interface_Treatment!J54</f>
        <v>0</v>
      </c>
      <c r="J54" s="1424">
        <f>Interface_Treatment!K54</f>
        <v>0</v>
      </c>
      <c r="K54" s="1427"/>
      <c r="L54" s="1427"/>
      <c r="M54" s="1427"/>
      <c r="N54" s="1427"/>
      <c r="O54" s="1427"/>
      <c r="P54" s="1427"/>
      <c r="Q54" s="1427"/>
      <c r="R54" s="1427"/>
      <c r="S54" s="1427"/>
      <c r="T54" s="1431">
        <f>Interface_Treatment!U54</f>
        <v>0</v>
      </c>
      <c r="U54" s="1431">
        <f>Interface_Treatment!V54</f>
        <v>0</v>
      </c>
      <c r="V54" s="1431">
        <f>Interface_Treatment!W54</f>
        <v>0</v>
      </c>
      <c r="W54" s="1431">
        <f>Interface_Treatment!X54</f>
        <v>0</v>
      </c>
      <c r="X54" s="1432">
        <f t="shared" si="17"/>
        <v>0</v>
      </c>
      <c r="Y54" s="1433" t="str">
        <f>IF(AND(C54=0,X54=0),"OK",IF(AND(C54&gt;0,X54=1),"OK","Not OK"))</f>
        <v>OK</v>
      </c>
      <c r="Z54" s="1427"/>
      <c r="AA54" s="1434">
        <f>'FS_Treatment volumes'!K104</f>
        <v>0</v>
      </c>
      <c r="AB54" s="1431">
        <f>Interface_Treatment!AC54</f>
        <v>0</v>
      </c>
      <c r="AC54" s="1431">
        <f>Interface_Treatment!AD54</f>
        <v>0</v>
      </c>
      <c r="AD54" s="1431">
        <f>Interface_Treatment!AE54</f>
        <v>0</v>
      </c>
      <c r="AE54" s="1431">
        <f>Interface_Treatment!AF54</f>
        <v>0</v>
      </c>
      <c r="AF54" s="1432">
        <f t="shared" si="18"/>
        <v>0</v>
      </c>
      <c r="AG54" s="1433" t="str">
        <f t="shared" si="19"/>
        <v>OK</v>
      </c>
      <c r="AH54" s="478"/>
      <c r="AI54" s="901">
        <f>Interface_Treatment!AJ54</f>
        <v>0</v>
      </c>
      <c r="AJ54" s="901">
        <f>Interface_Treatment!AK54</f>
        <v>0</v>
      </c>
      <c r="AK54" s="901">
        <f>Interface_Treatment!AL54</f>
        <v>0</v>
      </c>
      <c r="AL54" s="901">
        <f>Interface_Treatment!AM54</f>
        <v>0</v>
      </c>
      <c r="AM54" s="635">
        <f t="shared" si="20"/>
        <v>0</v>
      </c>
      <c r="AN54" s="902" t="str">
        <f t="shared" si="21"/>
        <v>OK</v>
      </c>
      <c r="AO54" s="478"/>
      <c r="AP54" s="636">
        <f>'FS_Treatment volumes'!N104</f>
        <v>0</v>
      </c>
      <c r="AQ54" s="901">
        <f>Interface_Treatment!AR54</f>
        <v>0</v>
      </c>
      <c r="AR54" s="901">
        <f>Interface_Treatment!AS54</f>
        <v>0</v>
      </c>
      <c r="AS54" s="901">
        <f>Interface_Treatment!AT54</f>
        <v>0</v>
      </c>
      <c r="AT54" s="901">
        <f>Interface_Treatment!AU54</f>
        <v>0</v>
      </c>
      <c r="AU54" s="635">
        <f>SUM(AO54:AT54)</f>
        <v>0</v>
      </c>
      <c r="AV54" s="902" t="str">
        <f t="shared" si="22"/>
        <v>OK</v>
      </c>
      <c r="AW54" s="478"/>
      <c r="AX54" s="478"/>
      <c r="AY54" s="478"/>
      <c r="AZ54" s="478"/>
      <c r="BA54" s="478"/>
      <c r="BB54" s="478"/>
      <c r="BC54" s="654"/>
      <c r="BD54" s="654"/>
      <c r="BE54" s="654"/>
      <c r="BF54" s="654"/>
      <c r="BG54" s="654"/>
      <c r="BH54" s="654"/>
      <c r="BI54" s="654"/>
      <c r="BJ54" s="654"/>
      <c r="BK54" s="654"/>
      <c r="BL54" s="654"/>
      <c r="BM54" s="654"/>
      <c r="BN54" s="654"/>
      <c r="BO54" s="654"/>
      <c r="BP54" s="654"/>
      <c r="BQ54" s="654"/>
      <c r="BR54" s="654"/>
      <c r="BS54" s="654"/>
      <c r="BT54" s="654"/>
      <c r="BU54" s="654"/>
      <c r="BV54" s="478"/>
      <c r="BW54" s="478"/>
      <c r="BX54" s="478"/>
      <c r="BY54" s="478"/>
      <c r="BZ54" s="478"/>
      <c r="CA54" s="478"/>
      <c r="CB54" s="478"/>
      <c r="CC54" s="478"/>
      <c r="CD54" s="478"/>
    </row>
    <row r="55" spans="1:82" s="3" customFormat="1" ht="17.149999999999999" customHeight="1" x14ac:dyDescent="0.35">
      <c r="A55" s="1406"/>
      <c r="B55" s="1452" t="str">
        <f>Interface_Treatment!B55</f>
        <v>Location 3 [insert name]</v>
      </c>
      <c r="C55" s="1423">
        <f>IF($C$60=0,0,Interface_Treatment!C55*'Treatment Sludge_NO INPUTS'!$C$60)</f>
        <v>0</v>
      </c>
      <c r="D55" s="1748">
        <f>Interface_Treatment!E55</f>
        <v>0</v>
      </c>
      <c r="E55" s="1749"/>
      <c r="F55" s="1424">
        <f>Interface_Treatment!G55</f>
        <v>0</v>
      </c>
      <c r="G55" s="1425">
        <f>IF(Interface_Treatment!D55=0,0,(Interface_Treatment!H55/Interface_Treatment!D55)*'Treatment Sludge_NO INPUTS'!C55)</f>
        <v>0</v>
      </c>
      <c r="H55" s="1426">
        <f t="shared" si="16"/>
        <v>0</v>
      </c>
      <c r="I55" s="1424">
        <f>Interface_Treatment!J55</f>
        <v>0</v>
      </c>
      <c r="J55" s="1424">
        <f>Interface_Treatment!K55</f>
        <v>0</v>
      </c>
      <c r="K55" s="1427"/>
      <c r="L55" s="1427"/>
      <c r="M55" s="1427"/>
      <c r="N55" s="1427"/>
      <c r="O55" s="1427"/>
      <c r="P55" s="1427"/>
      <c r="Q55" s="1427"/>
      <c r="R55" s="1427"/>
      <c r="S55" s="1427"/>
      <c r="T55" s="1431">
        <f>Interface_Treatment!U55</f>
        <v>0</v>
      </c>
      <c r="U55" s="1431">
        <f>Interface_Treatment!V55</f>
        <v>0</v>
      </c>
      <c r="V55" s="1431">
        <f>Interface_Treatment!W55</f>
        <v>0</v>
      </c>
      <c r="W55" s="1431">
        <f>Interface_Treatment!X55</f>
        <v>0</v>
      </c>
      <c r="X55" s="1432">
        <f t="shared" si="17"/>
        <v>0</v>
      </c>
      <c r="Y55" s="1433" t="str">
        <f>IF(AND(C55=0,X55=0),"OK",IF(AND(C55&gt;0,X55=1),"OK","Not OK"))</f>
        <v>OK</v>
      </c>
      <c r="Z55" s="1427"/>
      <c r="AA55" s="1434">
        <f>'FS_Treatment volumes'!K107</f>
        <v>0</v>
      </c>
      <c r="AB55" s="1431">
        <f>Interface_Treatment!AC55</f>
        <v>0</v>
      </c>
      <c r="AC55" s="1431">
        <f>Interface_Treatment!AD55</f>
        <v>0</v>
      </c>
      <c r="AD55" s="1431">
        <f>Interface_Treatment!AE55</f>
        <v>0</v>
      </c>
      <c r="AE55" s="1431">
        <f>Interface_Treatment!AF55</f>
        <v>0</v>
      </c>
      <c r="AF55" s="1432">
        <f t="shared" si="18"/>
        <v>0</v>
      </c>
      <c r="AG55" s="1433" t="str">
        <f t="shared" si="19"/>
        <v>OK</v>
      </c>
      <c r="AH55" s="478"/>
      <c r="AI55" s="901">
        <f>Interface_Treatment!AJ55</f>
        <v>0</v>
      </c>
      <c r="AJ55" s="901">
        <f>Interface_Treatment!AK55</f>
        <v>0</v>
      </c>
      <c r="AK55" s="901">
        <f>Interface_Treatment!AL55</f>
        <v>0</v>
      </c>
      <c r="AL55" s="901">
        <f>Interface_Treatment!AM55</f>
        <v>0</v>
      </c>
      <c r="AM55" s="635">
        <f t="shared" si="20"/>
        <v>0</v>
      </c>
      <c r="AN55" s="902" t="str">
        <f t="shared" si="21"/>
        <v>OK</v>
      </c>
      <c r="AO55" s="478"/>
      <c r="AP55" s="636">
        <f>'FS_Treatment volumes'!N107</f>
        <v>0</v>
      </c>
      <c r="AQ55" s="901">
        <f>Interface_Treatment!AR55</f>
        <v>0</v>
      </c>
      <c r="AR55" s="901">
        <f>Interface_Treatment!AS55</f>
        <v>0</v>
      </c>
      <c r="AS55" s="901">
        <f>Interface_Treatment!AT55</f>
        <v>0</v>
      </c>
      <c r="AT55" s="901">
        <f>Interface_Treatment!AU55</f>
        <v>0</v>
      </c>
      <c r="AU55" s="635">
        <f>SUM(AO55:AT55)</f>
        <v>0</v>
      </c>
      <c r="AV55" s="902" t="str">
        <f t="shared" si="22"/>
        <v>OK</v>
      </c>
      <c r="AW55" s="478"/>
      <c r="AX55" s="478"/>
      <c r="AY55" s="478"/>
      <c r="AZ55" s="478"/>
      <c r="BA55" s="478"/>
      <c r="BB55" s="478"/>
      <c r="BC55" s="654"/>
      <c r="BD55" s="654"/>
      <c r="BE55" s="654"/>
      <c r="BF55" s="654"/>
      <c r="BG55" s="654"/>
      <c r="BH55" s="654"/>
      <c r="BI55" s="654"/>
      <c r="BJ55" s="654"/>
      <c r="BK55" s="654"/>
      <c r="BL55" s="654"/>
      <c r="BM55" s="654"/>
      <c r="BN55" s="654"/>
      <c r="BO55" s="654"/>
      <c r="BP55" s="654"/>
      <c r="BQ55" s="654"/>
      <c r="BR55" s="654"/>
      <c r="BS55" s="654"/>
      <c r="BT55" s="654"/>
      <c r="BU55" s="654"/>
      <c r="BV55" s="478"/>
      <c r="BW55" s="478"/>
      <c r="BX55" s="478"/>
      <c r="BY55" s="478"/>
      <c r="BZ55" s="478"/>
      <c r="CA55" s="478"/>
      <c r="CB55" s="478"/>
      <c r="CC55" s="478"/>
      <c r="CD55" s="478"/>
    </row>
    <row r="56" spans="1:82" s="3" customFormat="1" ht="17.149999999999999" customHeight="1" x14ac:dyDescent="0.35">
      <c r="A56" s="1406"/>
      <c r="B56" s="1452" t="str">
        <f>Interface_Treatment!B56</f>
        <v>Location 4 [insert name]</v>
      </c>
      <c r="C56" s="1423">
        <f>IF($C$60=0,0,Interface_Treatment!C56*'Treatment Sludge_NO INPUTS'!$C$60)</f>
        <v>0</v>
      </c>
      <c r="D56" s="1748">
        <f>Interface_Treatment!E56</f>
        <v>0</v>
      </c>
      <c r="E56" s="1749"/>
      <c r="F56" s="1424">
        <f>Interface_Treatment!G56</f>
        <v>0</v>
      </c>
      <c r="G56" s="1425">
        <f>IF(Interface_Treatment!D56=0,0,(Interface_Treatment!H56/Interface_Treatment!D56)*'Treatment Sludge_NO INPUTS'!C56)</f>
        <v>0</v>
      </c>
      <c r="H56" s="1426">
        <f t="shared" si="16"/>
        <v>0</v>
      </c>
      <c r="I56" s="1424">
        <f>Interface_Treatment!J56</f>
        <v>0</v>
      </c>
      <c r="J56" s="1424">
        <f>Interface_Treatment!K56</f>
        <v>0</v>
      </c>
      <c r="K56" s="1427"/>
      <c r="L56" s="1427"/>
      <c r="M56" s="1427"/>
      <c r="N56" s="1427"/>
      <c r="O56" s="1427"/>
      <c r="P56" s="1427"/>
      <c r="Q56" s="1427"/>
      <c r="R56" s="1427"/>
      <c r="S56" s="1427"/>
      <c r="T56" s="1431">
        <f>Interface_Treatment!U56</f>
        <v>0</v>
      </c>
      <c r="U56" s="1431">
        <f>Interface_Treatment!V56</f>
        <v>0</v>
      </c>
      <c r="V56" s="1431">
        <f>Interface_Treatment!W56</f>
        <v>0</v>
      </c>
      <c r="W56" s="1431">
        <f>Interface_Treatment!X56</f>
        <v>0</v>
      </c>
      <c r="X56" s="1432">
        <f t="shared" si="17"/>
        <v>0</v>
      </c>
      <c r="Y56" s="1433" t="str">
        <f>IF(AND(C56=0,X56=0),"OK",IF(AND(C56&gt;0,X56=1),"OK","Not OK"))</f>
        <v>OK</v>
      </c>
      <c r="Z56" s="1427"/>
      <c r="AA56" s="1434">
        <f>'FS_Treatment volumes'!K108</f>
        <v>0</v>
      </c>
      <c r="AB56" s="1431">
        <f>Interface_Treatment!AC56</f>
        <v>0</v>
      </c>
      <c r="AC56" s="1431">
        <f>Interface_Treatment!AD56</f>
        <v>0</v>
      </c>
      <c r="AD56" s="1431">
        <f>Interface_Treatment!AE56</f>
        <v>0</v>
      </c>
      <c r="AE56" s="1431">
        <f>Interface_Treatment!AF56</f>
        <v>0</v>
      </c>
      <c r="AF56" s="1432">
        <f t="shared" si="18"/>
        <v>0</v>
      </c>
      <c r="AG56" s="1433" t="str">
        <f t="shared" si="19"/>
        <v>OK</v>
      </c>
      <c r="AH56" s="478"/>
      <c r="AI56" s="901">
        <f>Interface_Treatment!AJ56</f>
        <v>0</v>
      </c>
      <c r="AJ56" s="901">
        <f>Interface_Treatment!AK56</f>
        <v>0</v>
      </c>
      <c r="AK56" s="901">
        <f>Interface_Treatment!AL56</f>
        <v>0</v>
      </c>
      <c r="AL56" s="901">
        <f>Interface_Treatment!AM56</f>
        <v>0</v>
      </c>
      <c r="AM56" s="635">
        <f t="shared" si="20"/>
        <v>0</v>
      </c>
      <c r="AN56" s="902" t="str">
        <f t="shared" si="21"/>
        <v>OK</v>
      </c>
      <c r="AO56" s="478"/>
      <c r="AP56" s="636">
        <f>'FS_Treatment volumes'!N108</f>
        <v>0</v>
      </c>
      <c r="AQ56" s="901">
        <f>Interface_Treatment!AR56</f>
        <v>0</v>
      </c>
      <c r="AR56" s="901">
        <f>Interface_Treatment!AS56</f>
        <v>0</v>
      </c>
      <c r="AS56" s="901">
        <f>Interface_Treatment!AT56</f>
        <v>0</v>
      </c>
      <c r="AT56" s="901">
        <f>Interface_Treatment!AU56</f>
        <v>0</v>
      </c>
      <c r="AU56" s="635">
        <f>SUM(AO56:AT56)</f>
        <v>0</v>
      </c>
      <c r="AV56" s="902" t="str">
        <f t="shared" si="22"/>
        <v>OK</v>
      </c>
      <c r="AW56" s="478"/>
      <c r="AX56" s="478"/>
      <c r="AY56" s="478"/>
      <c r="AZ56" s="478"/>
      <c r="BA56" s="478"/>
      <c r="BB56" s="478"/>
      <c r="BC56" s="654"/>
      <c r="BD56" s="654"/>
      <c r="BE56" s="654"/>
      <c r="BF56" s="654"/>
      <c r="BG56" s="654"/>
      <c r="BH56" s="654"/>
      <c r="BI56" s="654"/>
      <c r="BJ56" s="654"/>
      <c r="BK56" s="654"/>
      <c r="BL56" s="654"/>
      <c r="BM56" s="654"/>
      <c r="BN56" s="654"/>
      <c r="BO56" s="654"/>
      <c r="BP56" s="654"/>
      <c r="BQ56" s="654"/>
      <c r="BR56" s="654"/>
      <c r="BS56" s="654"/>
      <c r="BT56" s="654"/>
      <c r="BU56" s="654"/>
      <c r="BV56" s="478"/>
      <c r="BW56" s="478"/>
      <c r="BX56" s="478"/>
      <c r="BY56" s="478"/>
      <c r="BZ56" s="478"/>
      <c r="CA56" s="478"/>
      <c r="CB56" s="478"/>
      <c r="CC56" s="478"/>
      <c r="CD56" s="478"/>
    </row>
    <row r="57" spans="1:82" s="3" customFormat="1" ht="17.149999999999999" customHeight="1" x14ac:dyDescent="0.35">
      <c r="A57" s="1406"/>
      <c r="B57" s="1452" t="str">
        <f>Interface_Treatment!B57</f>
        <v>Location 5 [insert name]</v>
      </c>
      <c r="C57" s="1423">
        <f>IF($C$60=0,0,Interface_Treatment!C57*'Treatment Sludge_NO INPUTS'!$C$60)</f>
        <v>0</v>
      </c>
      <c r="D57" s="1748">
        <f>Interface_Treatment!E57</f>
        <v>0</v>
      </c>
      <c r="E57" s="1749"/>
      <c r="F57" s="1424">
        <f>Interface_Treatment!G57</f>
        <v>0</v>
      </c>
      <c r="G57" s="1425">
        <f>IF(Interface_Treatment!D57=0,0,(Interface_Treatment!H57/Interface_Treatment!D57)*'Treatment Sludge_NO INPUTS'!C57)</f>
        <v>0</v>
      </c>
      <c r="H57" s="1426">
        <f t="shared" si="16"/>
        <v>0</v>
      </c>
      <c r="I57" s="1424">
        <f>Interface_Treatment!J57</f>
        <v>0</v>
      </c>
      <c r="J57" s="1424">
        <f>Interface_Treatment!K57</f>
        <v>0</v>
      </c>
      <c r="K57" s="1427"/>
      <c r="L57" s="1427"/>
      <c r="M57" s="1427"/>
      <c r="N57" s="1427"/>
      <c r="O57" s="1427"/>
      <c r="P57" s="1427"/>
      <c r="Q57" s="1427"/>
      <c r="R57" s="1427"/>
      <c r="S57" s="1427"/>
      <c r="T57" s="1431">
        <f>Interface_Treatment!U57</f>
        <v>0</v>
      </c>
      <c r="U57" s="1431">
        <f>Interface_Treatment!V57</f>
        <v>0</v>
      </c>
      <c r="V57" s="1431">
        <f>Interface_Treatment!W57</f>
        <v>0</v>
      </c>
      <c r="W57" s="1431">
        <f>Interface_Treatment!X57</f>
        <v>0</v>
      </c>
      <c r="X57" s="1432">
        <f t="shared" si="17"/>
        <v>0</v>
      </c>
      <c r="Y57" s="1433" t="str">
        <f>IF(AND(C57=0,X57=0),"OK",IF(AND(C57&gt;0,X57=1),"OK","Not OK"))</f>
        <v>OK</v>
      </c>
      <c r="Z57" s="1427"/>
      <c r="AA57" s="1434">
        <f>'FS_Treatment volumes'!K109</f>
        <v>0</v>
      </c>
      <c r="AB57" s="1431">
        <f>Interface_Treatment!AC57</f>
        <v>0</v>
      </c>
      <c r="AC57" s="1431">
        <f>Interface_Treatment!AD57</f>
        <v>0</v>
      </c>
      <c r="AD57" s="1431">
        <f>Interface_Treatment!AE57</f>
        <v>0</v>
      </c>
      <c r="AE57" s="1431">
        <f>Interface_Treatment!AF57</f>
        <v>0</v>
      </c>
      <c r="AF57" s="1432">
        <f t="shared" si="18"/>
        <v>0</v>
      </c>
      <c r="AG57" s="1433" t="str">
        <f t="shared" si="19"/>
        <v>OK</v>
      </c>
      <c r="AH57" s="478"/>
      <c r="AI57" s="901">
        <f>Interface_Treatment!AJ57</f>
        <v>0</v>
      </c>
      <c r="AJ57" s="901">
        <f>Interface_Treatment!AK57</f>
        <v>0</v>
      </c>
      <c r="AK57" s="901">
        <f>Interface_Treatment!AL57</f>
        <v>0</v>
      </c>
      <c r="AL57" s="901">
        <f>Interface_Treatment!AM57</f>
        <v>0</v>
      </c>
      <c r="AM57" s="635">
        <f t="shared" si="20"/>
        <v>0</v>
      </c>
      <c r="AN57" s="902" t="str">
        <f t="shared" si="21"/>
        <v>OK</v>
      </c>
      <c r="AO57" s="478"/>
      <c r="AP57" s="636">
        <f>'FS_Treatment volumes'!N109</f>
        <v>0</v>
      </c>
      <c r="AQ57" s="901">
        <f>Interface_Treatment!AR57</f>
        <v>0</v>
      </c>
      <c r="AR57" s="901">
        <f>Interface_Treatment!AS57</f>
        <v>0</v>
      </c>
      <c r="AS57" s="901">
        <f>Interface_Treatment!AT57</f>
        <v>0</v>
      </c>
      <c r="AT57" s="901">
        <f>Interface_Treatment!AU57</f>
        <v>0</v>
      </c>
      <c r="AU57" s="635">
        <f>SUM(AO57:AT57)</f>
        <v>0</v>
      </c>
      <c r="AV57" s="902" t="str">
        <f t="shared" si="22"/>
        <v>OK</v>
      </c>
      <c r="AW57" s="478"/>
      <c r="AX57" s="478"/>
      <c r="AY57" s="478"/>
      <c r="AZ57" s="478"/>
      <c r="BA57" s="478"/>
      <c r="BB57" s="478"/>
      <c r="BC57" s="654"/>
      <c r="BD57" s="654"/>
      <c r="BE57" s="654"/>
      <c r="BF57" s="654"/>
      <c r="BG57" s="654"/>
      <c r="BH57" s="654"/>
      <c r="BI57" s="654"/>
      <c r="BJ57" s="654"/>
      <c r="BK57" s="654"/>
      <c r="BL57" s="654"/>
      <c r="BM57" s="654"/>
      <c r="BN57" s="654"/>
      <c r="BO57" s="654"/>
      <c r="BP57" s="654"/>
      <c r="BQ57" s="654"/>
      <c r="BR57" s="654"/>
      <c r="BS57" s="654"/>
      <c r="BT57" s="654"/>
      <c r="BU57" s="654"/>
      <c r="BV57" s="478"/>
      <c r="BW57" s="478"/>
      <c r="BX57" s="478"/>
      <c r="BY57" s="478"/>
      <c r="BZ57" s="478"/>
      <c r="CA57" s="478"/>
      <c r="CB57" s="478"/>
      <c r="CC57" s="478"/>
      <c r="CD57" s="478"/>
    </row>
    <row r="58" spans="1:82" s="3" customFormat="1" ht="17.149999999999999" customHeight="1" x14ac:dyDescent="0.35">
      <c r="A58" s="1406"/>
      <c r="B58" s="1452" t="str">
        <f>Interface_Treatment!B58</f>
        <v>Location 6 [insert name]</v>
      </c>
      <c r="C58" s="1423">
        <f>IF($C$60=0,0,Interface_Treatment!C58*'Treatment Sludge_NO INPUTS'!$C$60)</f>
        <v>0</v>
      </c>
      <c r="D58" s="1748">
        <f>Interface_Treatment!E58</f>
        <v>0</v>
      </c>
      <c r="E58" s="1749"/>
      <c r="F58" s="1424">
        <f>Interface_Treatment!G58</f>
        <v>0</v>
      </c>
      <c r="G58" s="1425">
        <f>IF(Interface_Treatment!D58=0,0,(Interface_Treatment!H58/Interface_Treatment!D58)*'Treatment Sludge_NO INPUTS'!C58)</f>
        <v>0</v>
      </c>
      <c r="H58" s="1426">
        <f t="shared" si="16"/>
        <v>0</v>
      </c>
      <c r="I58" s="1424">
        <f>Interface_Treatment!J58</f>
        <v>0</v>
      </c>
      <c r="J58" s="1424">
        <f>Interface_Treatment!K58</f>
        <v>0</v>
      </c>
      <c r="K58" s="1427"/>
      <c r="L58" s="1427"/>
      <c r="M58" s="1427"/>
      <c r="N58" s="1427"/>
      <c r="O58" s="1427"/>
      <c r="P58" s="1427"/>
      <c r="Q58" s="1427"/>
      <c r="R58" s="1427"/>
      <c r="S58" s="1427"/>
      <c r="T58" s="1431">
        <f>Interface_Treatment!U58</f>
        <v>0</v>
      </c>
      <c r="U58" s="1431">
        <f>Interface_Treatment!V58</f>
        <v>0</v>
      </c>
      <c r="V58" s="1431">
        <f>Interface_Treatment!W58</f>
        <v>0</v>
      </c>
      <c r="W58" s="1431">
        <f>Interface_Treatment!X58</f>
        <v>0</v>
      </c>
      <c r="X58" s="1432">
        <f t="shared" si="17"/>
        <v>0</v>
      </c>
      <c r="Y58" s="1433" t="str">
        <f>IF(AND(C58=0,X58=0),"OK",IF(AND(C58&gt;0,X58=1),"OK","Not OK"))</f>
        <v>OK</v>
      </c>
      <c r="Z58" s="1427"/>
      <c r="AA58" s="1434">
        <f>'FS_Treatment volumes'!K110</f>
        <v>0</v>
      </c>
      <c r="AB58" s="1431">
        <f>Interface_Treatment!AC58</f>
        <v>0</v>
      </c>
      <c r="AC58" s="1431">
        <f>Interface_Treatment!AD58</f>
        <v>0</v>
      </c>
      <c r="AD58" s="1431">
        <f>Interface_Treatment!AE58</f>
        <v>0</v>
      </c>
      <c r="AE58" s="1431">
        <f>Interface_Treatment!AF58</f>
        <v>0</v>
      </c>
      <c r="AF58" s="1432">
        <f t="shared" si="18"/>
        <v>0</v>
      </c>
      <c r="AG58" s="1433" t="str">
        <f t="shared" si="19"/>
        <v>OK</v>
      </c>
      <c r="AH58" s="478"/>
      <c r="AI58" s="901">
        <f>Interface_Treatment!AJ58</f>
        <v>0</v>
      </c>
      <c r="AJ58" s="901">
        <f>Interface_Treatment!AK58</f>
        <v>0</v>
      </c>
      <c r="AK58" s="901">
        <f>Interface_Treatment!AL58</f>
        <v>0</v>
      </c>
      <c r="AL58" s="901">
        <f>Interface_Treatment!AM58</f>
        <v>0</v>
      </c>
      <c r="AM58" s="635">
        <f t="shared" si="20"/>
        <v>0</v>
      </c>
      <c r="AN58" s="902" t="str">
        <f t="shared" si="21"/>
        <v>OK</v>
      </c>
      <c r="AO58" s="478"/>
      <c r="AP58" s="636">
        <f>'FS_Treatment volumes'!N110</f>
        <v>0</v>
      </c>
      <c r="AQ58" s="901">
        <f>Interface_Treatment!AR58</f>
        <v>0</v>
      </c>
      <c r="AR58" s="901">
        <f>Interface_Treatment!AS58</f>
        <v>0</v>
      </c>
      <c r="AS58" s="901">
        <f>Interface_Treatment!AT58</f>
        <v>0</v>
      </c>
      <c r="AT58" s="901">
        <f>Interface_Treatment!AU58</f>
        <v>0</v>
      </c>
      <c r="AU58" s="635">
        <f>SUM(AO58:AT58)</f>
        <v>0</v>
      </c>
      <c r="AV58" s="902" t="str">
        <f t="shared" si="22"/>
        <v>OK</v>
      </c>
      <c r="AW58" s="478"/>
      <c r="AX58" s="478"/>
      <c r="AY58" s="478"/>
      <c r="AZ58" s="478"/>
      <c r="BA58" s="478"/>
      <c r="BB58" s="478"/>
      <c r="BC58" s="654"/>
      <c r="BD58" s="654"/>
      <c r="BE58" s="654"/>
      <c r="BF58" s="654"/>
      <c r="BG58" s="654"/>
      <c r="BH58" s="654"/>
      <c r="BI58" s="654"/>
      <c r="BJ58" s="654"/>
      <c r="BK58" s="654"/>
      <c r="BL58" s="654"/>
      <c r="BM58" s="654"/>
      <c r="BN58" s="654"/>
      <c r="BO58" s="654"/>
      <c r="BP58" s="654"/>
      <c r="BQ58" s="654"/>
      <c r="BR58" s="654"/>
      <c r="BS58" s="654"/>
      <c r="BT58" s="654"/>
      <c r="BU58" s="654"/>
      <c r="BV58" s="478"/>
      <c r="BW58" s="478"/>
      <c r="BX58" s="478"/>
      <c r="BY58" s="478"/>
      <c r="BZ58" s="478"/>
      <c r="CA58" s="478"/>
      <c r="CB58" s="478"/>
      <c r="CC58" s="478"/>
      <c r="CD58" s="478"/>
    </row>
    <row r="59" spans="1:82" ht="17.149999999999999" customHeight="1" x14ac:dyDescent="0.35">
      <c r="A59" s="1406"/>
      <c r="B59" s="1435" t="s">
        <v>208</v>
      </c>
      <c r="C59" s="1436">
        <f>SUM(C53:C58)</f>
        <v>0</v>
      </c>
      <c r="D59" s="1443"/>
      <c r="E59" s="1443"/>
      <c r="F59" s="1444"/>
      <c r="G59" s="1427"/>
      <c r="H59" s="1445"/>
      <c r="I59" s="1445"/>
      <c r="J59" s="1445"/>
      <c r="K59" s="1406"/>
      <c r="L59" s="1406"/>
      <c r="M59" s="1406"/>
      <c r="N59" s="1406"/>
      <c r="O59" s="1406"/>
      <c r="P59" s="1406"/>
      <c r="Q59" s="1406"/>
      <c r="R59" s="1406"/>
      <c r="S59" s="1406"/>
      <c r="T59" s="1406"/>
      <c r="U59" s="1406"/>
      <c r="V59" s="1406"/>
      <c r="W59" s="1406"/>
      <c r="X59" s="1406"/>
      <c r="Y59" s="1406"/>
      <c r="Z59" s="1406"/>
      <c r="AA59" s="1406"/>
      <c r="AB59" s="1406"/>
      <c r="AC59" s="1406"/>
      <c r="AD59" s="1406"/>
      <c r="AE59" s="1406"/>
      <c r="AF59" s="1406"/>
      <c r="AG59" s="1406"/>
      <c r="AI59" s="544"/>
      <c r="AJ59" s="544"/>
      <c r="AK59" s="544"/>
      <c r="AL59" s="544"/>
      <c r="AM59" s="544"/>
      <c r="AN59" s="544"/>
      <c r="AP59" s="544"/>
      <c r="AQ59" s="544"/>
      <c r="AR59" s="544"/>
      <c r="AS59" s="544"/>
      <c r="AT59" s="544"/>
      <c r="AU59" s="544"/>
      <c r="AV59" s="544"/>
      <c r="BC59" s="655"/>
      <c r="BD59" s="655"/>
      <c r="BE59" s="655"/>
      <c r="BF59" s="655"/>
      <c r="BG59" s="655"/>
      <c r="BH59" s="655"/>
      <c r="BI59" s="655"/>
      <c r="BJ59" s="655"/>
      <c r="BK59" s="655"/>
      <c r="BL59" s="655"/>
      <c r="BM59" s="655"/>
      <c r="BN59" s="655"/>
      <c r="BO59" s="655"/>
      <c r="BP59" s="655"/>
      <c r="BQ59" s="655"/>
      <c r="BR59" s="655"/>
      <c r="BS59" s="655"/>
      <c r="BT59" s="655"/>
      <c r="BU59" s="655"/>
    </row>
    <row r="60" spans="1:82" ht="17.149999999999999" customHeight="1" x14ac:dyDescent="0.35">
      <c r="A60" s="1406"/>
      <c r="B60" s="1435" t="s">
        <v>591</v>
      </c>
      <c r="C60" s="1436">
        <f>'Transport volumes'!B120</f>
        <v>0</v>
      </c>
      <c r="D60" s="1443"/>
      <c r="E60" s="1443"/>
      <c r="F60" s="1444"/>
      <c r="G60" s="1427"/>
      <c r="H60" s="1445"/>
      <c r="I60" s="1445"/>
      <c r="J60" s="1445"/>
      <c r="K60" s="1406"/>
      <c r="L60" s="1406"/>
      <c r="M60" s="1406"/>
      <c r="N60" s="1406"/>
      <c r="O60" s="1406"/>
      <c r="P60" s="1406"/>
      <c r="Q60" s="1406"/>
      <c r="R60" s="1406"/>
      <c r="S60" s="1406"/>
      <c r="T60" s="1406"/>
      <c r="U60" s="1406"/>
      <c r="V60" s="1406"/>
      <c r="W60" s="1406"/>
      <c r="X60" s="1406"/>
      <c r="Y60" s="1406"/>
      <c r="Z60" s="1406"/>
      <c r="AA60" s="1406"/>
      <c r="AB60" s="1406"/>
      <c r="AC60" s="1406"/>
      <c r="AD60" s="1406"/>
      <c r="AE60" s="1406"/>
      <c r="AF60" s="1406"/>
      <c r="AG60" s="1406"/>
      <c r="AI60" s="544"/>
      <c r="AJ60" s="544"/>
      <c r="AK60" s="544"/>
      <c r="AL60" s="544"/>
      <c r="AM60" s="544"/>
      <c r="AN60" s="544"/>
      <c r="AP60" s="544"/>
      <c r="AQ60" s="544"/>
      <c r="AR60" s="544"/>
      <c r="AS60" s="544"/>
      <c r="AT60" s="544"/>
      <c r="AU60" s="544"/>
      <c r="AV60" s="544"/>
      <c r="BC60" s="655"/>
      <c r="BD60" s="655"/>
      <c r="BE60" s="655"/>
      <c r="BF60" s="655"/>
      <c r="BG60" s="655"/>
      <c r="BH60" s="655"/>
      <c r="BI60" s="655"/>
      <c r="BJ60" s="655"/>
      <c r="BK60" s="655"/>
      <c r="BL60" s="655"/>
      <c r="BM60" s="655"/>
      <c r="BN60" s="655"/>
      <c r="BO60" s="655"/>
      <c r="BP60" s="655"/>
      <c r="BQ60" s="655"/>
      <c r="BR60" s="655"/>
      <c r="BS60" s="655"/>
      <c r="BT60" s="655"/>
      <c r="BU60" s="655"/>
    </row>
    <row r="61" spans="1:82" ht="17.149999999999999" customHeight="1" x14ac:dyDescent="0.35">
      <c r="A61" s="1406"/>
      <c r="B61" s="1441" t="s">
        <v>251</v>
      </c>
      <c r="C61" s="1442">
        <f>C59-C60</f>
        <v>0</v>
      </c>
      <c r="D61" s="1443"/>
      <c r="E61" s="1443"/>
      <c r="F61" s="1444"/>
      <c r="G61" s="1427"/>
      <c r="H61" s="1445"/>
      <c r="I61" s="1445"/>
      <c r="J61" s="1445"/>
      <c r="K61" s="1406"/>
      <c r="L61" s="1406"/>
      <c r="M61" s="1406"/>
      <c r="N61" s="1406"/>
      <c r="O61" s="1406"/>
      <c r="P61" s="1406"/>
      <c r="Q61" s="1406"/>
      <c r="R61" s="1406"/>
      <c r="S61" s="1406"/>
      <c r="T61" s="1406"/>
      <c r="U61" s="1406"/>
      <c r="V61" s="1406"/>
      <c r="W61" s="1406"/>
      <c r="X61" s="1406"/>
      <c r="Y61" s="1406"/>
      <c r="Z61" s="1406"/>
      <c r="AA61" s="1406"/>
      <c r="AB61" s="1406"/>
      <c r="AC61" s="1406"/>
      <c r="AD61" s="1406"/>
      <c r="AE61" s="1406"/>
      <c r="AF61" s="1406"/>
      <c r="AG61" s="1406"/>
      <c r="AI61" s="544"/>
      <c r="AJ61" s="544"/>
      <c r="AK61" s="544"/>
      <c r="AL61" s="544"/>
      <c r="AM61" s="544"/>
      <c r="AN61" s="544"/>
      <c r="AP61" s="544"/>
      <c r="AQ61" s="544"/>
      <c r="AR61" s="544"/>
      <c r="AS61" s="544"/>
      <c r="AT61" s="544"/>
      <c r="AU61" s="544"/>
      <c r="AV61" s="544"/>
      <c r="BC61" s="655"/>
      <c r="BD61" s="655"/>
      <c r="BE61" s="655"/>
      <c r="BF61" s="655"/>
      <c r="BG61" s="655"/>
      <c r="BH61" s="655"/>
      <c r="BI61" s="655"/>
      <c r="BJ61" s="655"/>
      <c r="BK61" s="655"/>
      <c r="BL61" s="655"/>
      <c r="BM61" s="655"/>
      <c r="BN61" s="655"/>
      <c r="BO61" s="655"/>
      <c r="BP61" s="655"/>
      <c r="BQ61" s="655"/>
      <c r="BR61" s="655"/>
      <c r="BS61" s="655"/>
      <c r="BT61" s="655"/>
      <c r="BU61" s="655"/>
    </row>
    <row r="62" spans="1:82" ht="17.149999999999999" customHeight="1" x14ac:dyDescent="0.35">
      <c r="A62" s="1406"/>
      <c r="B62" s="1427"/>
      <c r="C62" s="1446" t="str">
        <f>IF(C61=0,"OK","Not OK")</f>
        <v>OK</v>
      </c>
      <c r="D62" s="1443"/>
      <c r="E62" s="1443"/>
      <c r="F62" s="1444"/>
      <c r="G62" s="1427"/>
      <c r="H62" s="1445"/>
      <c r="I62" s="1445"/>
      <c r="J62" s="1445"/>
      <c r="K62" s="1406"/>
      <c r="L62" s="1406"/>
      <c r="M62" s="1406"/>
      <c r="N62" s="1406"/>
      <c r="O62" s="1406"/>
      <c r="P62" s="1406"/>
      <c r="Q62" s="1406"/>
      <c r="R62" s="1406"/>
      <c r="S62" s="1406"/>
      <c r="T62" s="1406"/>
      <c r="U62" s="1406"/>
      <c r="V62" s="1406"/>
      <c r="W62" s="1406"/>
      <c r="X62" s="1406"/>
      <c r="Y62" s="1406"/>
      <c r="Z62" s="1406"/>
      <c r="AA62" s="1406"/>
      <c r="AB62" s="1406"/>
      <c r="AC62" s="1406"/>
      <c r="AD62" s="1406"/>
      <c r="AE62" s="1406"/>
      <c r="AF62" s="1406"/>
      <c r="AG62" s="1406"/>
      <c r="AI62" s="544"/>
      <c r="AJ62" s="544"/>
      <c r="AK62" s="544"/>
      <c r="AL62" s="544"/>
      <c r="AM62" s="544"/>
      <c r="AN62" s="544"/>
      <c r="AP62" s="544"/>
      <c r="AQ62" s="544"/>
      <c r="AR62" s="544"/>
      <c r="AS62" s="544"/>
      <c r="AT62" s="544"/>
      <c r="AU62" s="544"/>
      <c r="AV62" s="544"/>
      <c r="BC62" s="655"/>
      <c r="BD62" s="655"/>
      <c r="BE62" s="655"/>
      <c r="BF62" s="655"/>
      <c r="BG62" s="655"/>
      <c r="BH62" s="655"/>
      <c r="BI62" s="655"/>
      <c r="BJ62" s="655"/>
      <c r="BK62" s="655"/>
      <c r="BL62" s="655"/>
      <c r="BM62" s="655"/>
      <c r="BN62" s="655"/>
      <c r="BO62" s="655"/>
      <c r="BP62" s="655"/>
      <c r="BQ62" s="655"/>
      <c r="BR62" s="655"/>
      <c r="BS62" s="655"/>
      <c r="BT62" s="655"/>
      <c r="BU62" s="655"/>
    </row>
    <row r="63" spans="1:82" ht="17.149999999999999" customHeight="1" x14ac:dyDescent="0.35">
      <c r="A63" s="1406"/>
      <c r="B63" s="1427"/>
      <c r="C63" s="1427"/>
      <c r="D63" s="1443"/>
      <c r="E63" s="1443"/>
      <c r="F63" s="1444"/>
      <c r="G63" s="1427"/>
      <c r="H63" s="1445"/>
      <c r="I63" s="1445"/>
      <c r="J63" s="1445"/>
      <c r="K63" s="1406"/>
      <c r="L63" s="1406"/>
      <c r="M63" s="1406"/>
      <c r="N63" s="1406"/>
      <c r="O63" s="1406"/>
      <c r="P63" s="1406"/>
      <c r="Q63" s="1406"/>
      <c r="R63" s="1406"/>
      <c r="S63" s="1406"/>
      <c r="T63" s="1406"/>
      <c r="U63" s="1406"/>
      <c r="V63" s="1406"/>
      <c r="W63" s="1406"/>
      <c r="X63" s="1406"/>
      <c r="Y63" s="1406"/>
      <c r="Z63" s="1406"/>
      <c r="AA63" s="1406"/>
      <c r="AB63" s="1406"/>
      <c r="AC63" s="1406"/>
      <c r="AD63" s="1406"/>
      <c r="AE63" s="1406"/>
      <c r="AF63" s="1406"/>
      <c r="AG63" s="1406"/>
      <c r="AI63" s="544"/>
      <c r="AJ63" s="544"/>
      <c r="AK63" s="544"/>
      <c r="AL63" s="544"/>
      <c r="AM63" s="544"/>
      <c r="AN63" s="544"/>
      <c r="AP63" s="544"/>
      <c r="AQ63" s="544"/>
      <c r="AR63" s="544"/>
      <c r="AS63" s="544"/>
      <c r="AT63" s="544"/>
      <c r="AU63" s="544"/>
      <c r="AV63" s="544"/>
      <c r="BC63" s="655"/>
      <c r="BD63" s="655"/>
      <c r="BE63" s="655"/>
      <c r="BF63" s="655"/>
      <c r="BG63" s="655"/>
      <c r="BH63" s="655"/>
      <c r="BI63" s="655"/>
      <c r="BJ63" s="655"/>
      <c r="BK63" s="655"/>
      <c r="BL63" s="655"/>
      <c r="BM63" s="655"/>
      <c r="BN63" s="655"/>
      <c r="BO63" s="655"/>
      <c r="BP63" s="655"/>
      <c r="BQ63" s="655"/>
      <c r="BR63" s="655"/>
      <c r="BS63" s="655"/>
      <c r="BT63" s="655"/>
      <c r="BU63" s="655"/>
    </row>
    <row r="64" spans="1:82" ht="17.149999999999999" customHeight="1" x14ac:dyDescent="0.35">
      <c r="A64" s="1406"/>
      <c r="B64" s="1427"/>
      <c r="C64" s="1427"/>
      <c r="D64" s="1443"/>
      <c r="E64" s="1443"/>
      <c r="F64" s="1444"/>
      <c r="G64" s="1427"/>
      <c r="H64" s="1445"/>
      <c r="I64" s="1445"/>
      <c r="J64" s="1445"/>
      <c r="K64" s="1406"/>
      <c r="L64" s="1406"/>
      <c r="M64" s="1406"/>
      <c r="N64" s="1406"/>
      <c r="O64" s="1406"/>
      <c r="P64" s="1406"/>
      <c r="Q64" s="1406"/>
      <c r="R64" s="1406"/>
      <c r="S64" s="1406"/>
      <c r="T64" s="1406"/>
      <c r="U64" s="1406"/>
      <c r="V64" s="1406"/>
      <c r="W64" s="1406"/>
      <c r="X64" s="1406"/>
      <c r="Y64" s="1406"/>
      <c r="Z64" s="1406"/>
      <c r="AA64" s="1406"/>
      <c r="AB64" s="1406"/>
      <c r="AC64" s="1406"/>
      <c r="AD64" s="1406"/>
      <c r="AE64" s="1406"/>
      <c r="AF64" s="1406"/>
      <c r="AG64" s="1406"/>
      <c r="AI64" s="544"/>
      <c r="AJ64" s="544"/>
      <c r="AK64" s="544"/>
      <c r="AL64" s="544"/>
      <c r="AM64" s="544"/>
      <c r="AN64" s="544"/>
      <c r="AP64" s="544"/>
      <c r="AQ64" s="544"/>
      <c r="AR64" s="544"/>
      <c r="AS64" s="544"/>
      <c r="AT64" s="544"/>
      <c r="AU64" s="544"/>
      <c r="AV64" s="544"/>
      <c r="BC64" s="655"/>
      <c r="BD64" s="655"/>
      <c r="BE64" s="655"/>
      <c r="BF64" s="655"/>
      <c r="BG64" s="655"/>
      <c r="BH64" s="655"/>
      <c r="BI64" s="655"/>
      <c r="BJ64" s="655"/>
      <c r="BK64" s="655"/>
      <c r="BL64" s="655"/>
      <c r="BM64" s="655"/>
      <c r="BN64" s="655"/>
      <c r="BO64" s="655"/>
      <c r="BP64" s="655"/>
      <c r="BQ64" s="655"/>
      <c r="BR64" s="655"/>
      <c r="BS64" s="655"/>
      <c r="BT64" s="655"/>
      <c r="BU64" s="655"/>
    </row>
    <row r="65" spans="1:82" ht="17.149999999999999" customHeight="1" x14ac:dyDescent="0.35">
      <c r="A65" s="1406"/>
      <c r="B65" s="1409" t="s">
        <v>576</v>
      </c>
      <c r="C65" s="1406"/>
      <c r="D65" s="1406"/>
      <c r="E65" s="1406"/>
      <c r="F65" s="1406"/>
      <c r="G65" s="1447"/>
      <c r="H65" s="1406"/>
      <c r="I65" s="1406"/>
      <c r="J65" s="1411" t="s">
        <v>589</v>
      </c>
      <c r="K65" s="1406"/>
      <c r="L65" s="1406"/>
      <c r="M65" s="1406"/>
      <c r="N65" s="1406"/>
      <c r="O65" s="1406"/>
      <c r="P65" s="1406"/>
      <c r="Q65" s="1406"/>
      <c r="R65" s="1406"/>
      <c r="S65" s="1406"/>
      <c r="T65" s="1409" t="s">
        <v>577</v>
      </c>
      <c r="U65" s="1406"/>
      <c r="V65" s="1406"/>
      <c r="W65" s="1406"/>
      <c r="X65" s="1406"/>
      <c r="Y65" s="1406"/>
      <c r="Z65" s="1406"/>
      <c r="AA65" s="1406"/>
      <c r="AB65" s="1406"/>
      <c r="AC65" s="1406"/>
      <c r="AD65" s="1406"/>
      <c r="AE65" s="1406"/>
      <c r="AF65" s="1406"/>
      <c r="AG65" s="1406"/>
      <c r="AI65" s="564" t="s">
        <v>578</v>
      </c>
      <c r="AJ65" s="544"/>
      <c r="AK65" s="544"/>
      <c r="AL65" s="544"/>
      <c r="AM65" s="544"/>
      <c r="AN65" s="544"/>
      <c r="AP65" s="544"/>
      <c r="AQ65" s="544"/>
      <c r="AR65" s="544"/>
      <c r="AS65" s="544"/>
      <c r="AT65" s="544"/>
      <c r="AU65" s="544"/>
      <c r="AV65" s="544"/>
      <c r="BC65" s="655"/>
      <c r="BD65" s="655"/>
      <c r="BE65" s="655"/>
      <c r="BF65" s="655"/>
      <c r="BG65" s="655"/>
      <c r="BH65" s="655"/>
      <c r="BI65" s="655"/>
      <c r="BJ65" s="655"/>
      <c r="BK65" s="655"/>
      <c r="BL65" s="655"/>
      <c r="BM65" s="655"/>
      <c r="BN65" s="655"/>
      <c r="BO65" s="655"/>
      <c r="BP65" s="655"/>
      <c r="BQ65" s="655"/>
      <c r="BR65" s="655"/>
      <c r="BS65" s="655"/>
      <c r="BT65" s="655"/>
      <c r="BU65" s="655"/>
    </row>
    <row r="66" spans="1:82" ht="17.149999999999999" customHeight="1" x14ac:dyDescent="0.35">
      <c r="A66" s="1406"/>
      <c r="B66" s="1427"/>
      <c r="C66" s="1427"/>
      <c r="D66" s="1443"/>
      <c r="E66" s="1443"/>
      <c r="F66" s="1444"/>
      <c r="G66" s="1427"/>
      <c r="H66" s="1445"/>
      <c r="I66" s="1445"/>
      <c r="J66" s="1445"/>
      <c r="K66" s="1406"/>
      <c r="L66" s="1406"/>
      <c r="M66" s="1406"/>
      <c r="N66" s="1406"/>
      <c r="O66" s="1406"/>
      <c r="P66" s="1406"/>
      <c r="Q66" s="1406"/>
      <c r="R66" s="1406"/>
      <c r="S66" s="1406"/>
      <c r="T66" s="1747" t="s">
        <v>509</v>
      </c>
      <c r="U66" s="1747"/>
      <c r="V66" s="1747"/>
      <c r="W66" s="1747"/>
      <c r="X66" s="1747"/>
      <c r="Y66" s="1747"/>
      <c r="Z66" s="1406"/>
      <c r="AA66" s="1747" t="s">
        <v>510</v>
      </c>
      <c r="AB66" s="1747"/>
      <c r="AC66" s="1747"/>
      <c r="AD66" s="1747"/>
      <c r="AE66" s="1747"/>
      <c r="AF66" s="1747"/>
      <c r="AG66" s="1747"/>
      <c r="AI66" s="1697" t="s">
        <v>511</v>
      </c>
      <c r="AJ66" s="1698"/>
      <c r="AK66" s="1698"/>
      <c r="AL66" s="1698"/>
      <c r="AM66" s="1698"/>
      <c r="AN66" s="1699"/>
      <c r="AP66" s="1668" t="s">
        <v>512</v>
      </c>
      <c r="AQ66" s="1668"/>
      <c r="AR66" s="1668"/>
      <c r="AS66" s="1668"/>
      <c r="AT66" s="1668"/>
      <c r="AU66" s="1668"/>
      <c r="AV66" s="1668"/>
      <c r="BC66" s="655"/>
      <c r="BD66" s="655"/>
      <c r="BE66" s="655"/>
      <c r="BF66" s="655"/>
      <c r="BG66" s="655"/>
      <c r="BH66" s="655"/>
      <c r="BI66" s="655"/>
      <c r="BJ66" s="655"/>
      <c r="BK66" s="655"/>
      <c r="BL66" s="655"/>
      <c r="BM66" s="655"/>
      <c r="BN66" s="655"/>
      <c r="BO66" s="655"/>
      <c r="BP66" s="655"/>
      <c r="BQ66" s="655"/>
      <c r="BR66" s="655"/>
      <c r="BS66" s="655"/>
      <c r="BT66" s="655"/>
      <c r="BU66" s="655"/>
    </row>
    <row r="67" spans="1:82" ht="17.149999999999999" customHeight="1" x14ac:dyDescent="0.35">
      <c r="A67" s="1406"/>
      <c r="B67" s="1739" t="s">
        <v>579</v>
      </c>
      <c r="C67" s="1740" t="s">
        <v>590</v>
      </c>
      <c r="D67" s="1742" t="s">
        <v>516</v>
      </c>
      <c r="E67" s="1743"/>
      <c r="F67" s="1739" t="s">
        <v>580</v>
      </c>
      <c r="G67" s="1746" t="s">
        <v>518</v>
      </c>
      <c r="H67" s="1746"/>
      <c r="I67" s="1739" t="s">
        <v>519</v>
      </c>
      <c r="J67" s="1739" t="s">
        <v>520</v>
      </c>
      <c r="K67" s="1406"/>
      <c r="L67" s="1406"/>
      <c r="M67" s="1406"/>
      <c r="N67" s="1406"/>
      <c r="O67" s="1406"/>
      <c r="P67" s="1406"/>
      <c r="Q67" s="1406"/>
      <c r="R67" s="1406"/>
      <c r="S67" s="1406"/>
      <c r="T67" s="1747" t="s">
        <v>522</v>
      </c>
      <c r="U67" s="1747"/>
      <c r="V67" s="1747"/>
      <c r="W67" s="1747"/>
      <c r="X67" s="1747"/>
      <c r="Y67" s="1747"/>
      <c r="Z67" s="1406"/>
      <c r="AA67" s="1739" t="s">
        <v>522</v>
      </c>
      <c r="AB67" s="1739"/>
      <c r="AC67" s="1739"/>
      <c r="AD67" s="1739"/>
      <c r="AE67" s="1739"/>
      <c r="AF67" s="1739"/>
      <c r="AG67" s="1739"/>
      <c r="AI67" s="1668" t="s">
        <v>522</v>
      </c>
      <c r="AJ67" s="1668"/>
      <c r="AK67" s="1668"/>
      <c r="AL67" s="1668"/>
      <c r="AM67" s="1668"/>
      <c r="AN67" s="1668"/>
      <c r="AP67" s="1668" t="s">
        <v>522</v>
      </c>
      <c r="AQ67" s="1668"/>
      <c r="AR67" s="1668"/>
      <c r="AS67" s="1668"/>
      <c r="AT67" s="1668"/>
      <c r="AU67" s="1668"/>
      <c r="AV67" s="1668"/>
      <c r="BC67" s="655"/>
      <c r="BD67" s="655"/>
      <c r="BE67" s="655"/>
      <c r="BF67" s="655"/>
      <c r="BG67" s="655"/>
      <c r="BH67" s="655"/>
      <c r="BI67" s="655"/>
      <c r="BJ67" s="655"/>
      <c r="BK67" s="655"/>
      <c r="BL67" s="655"/>
      <c r="BM67" s="655"/>
      <c r="BN67" s="655"/>
      <c r="BO67" s="655"/>
      <c r="BP67" s="655"/>
      <c r="BQ67" s="655"/>
      <c r="BR67" s="655"/>
      <c r="BS67" s="655"/>
      <c r="BT67" s="655"/>
      <c r="BU67" s="655"/>
    </row>
    <row r="68" spans="1:82" ht="50.15" customHeight="1" x14ac:dyDescent="0.35">
      <c r="A68" s="1406"/>
      <c r="B68" s="1739"/>
      <c r="C68" s="1741"/>
      <c r="D68" s="1744"/>
      <c r="E68" s="1745"/>
      <c r="F68" s="1739"/>
      <c r="G68" s="1493" t="s">
        <v>523</v>
      </c>
      <c r="H68" s="1493" t="s">
        <v>524</v>
      </c>
      <c r="I68" s="1739"/>
      <c r="J68" s="1739"/>
      <c r="K68" s="1406"/>
      <c r="L68" s="1406"/>
      <c r="M68" s="1406"/>
      <c r="N68" s="1406"/>
      <c r="O68" s="1406"/>
      <c r="P68" s="1406"/>
      <c r="Q68" s="1406"/>
      <c r="R68" s="1406"/>
      <c r="S68" s="1406"/>
      <c r="T68" s="1412" t="s">
        <v>531</v>
      </c>
      <c r="U68" s="1412" t="s">
        <v>532</v>
      </c>
      <c r="V68" s="1412" t="s">
        <v>533</v>
      </c>
      <c r="W68" s="1412" t="s">
        <v>333</v>
      </c>
      <c r="X68" s="1412" t="s">
        <v>208</v>
      </c>
      <c r="Y68" s="1412" t="s">
        <v>535</v>
      </c>
      <c r="Z68" s="1406"/>
      <c r="AA68" s="1412" t="s">
        <v>536</v>
      </c>
      <c r="AB68" s="1412" t="s">
        <v>531</v>
      </c>
      <c r="AC68" s="1412" t="s">
        <v>532</v>
      </c>
      <c r="AD68" s="1412" t="s">
        <v>533</v>
      </c>
      <c r="AE68" s="1412" t="s">
        <v>537</v>
      </c>
      <c r="AF68" s="1412" t="s">
        <v>208</v>
      </c>
      <c r="AG68" s="1412" t="s">
        <v>535</v>
      </c>
      <c r="AI68" s="1487" t="s">
        <v>538</v>
      </c>
      <c r="AJ68" s="1487" t="s">
        <v>539</v>
      </c>
      <c r="AK68" s="1487" t="s">
        <v>540</v>
      </c>
      <c r="AL68" s="1487" t="s">
        <v>333</v>
      </c>
      <c r="AM68" s="1487" t="s">
        <v>208</v>
      </c>
      <c r="AN68" s="1487" t="s">
        <v>535</v>
      </c>
      <c r="AP68" s="1487" t="s">
        <v>536</v>
      </c>
      <c r="AQ68" s="1487" t="s">
        <v>538</v>
      </c>
      <c r="AR68" s="1487" t="s">
        <v>539</v>
      </c>
      <c r="AS68" s="1487" t="s">
        <v>540</v>
      </c>
      <c r="AT68" s="1487" t="s">
        <v>537</v>
      </c>
      <c r="AU68" s="1487" t="s">
        <v>208</v>
      </c>
      <c r="AV68" s="1487" t="s">
        <v>535</v>
      </c>
      <c r="BC68" s="655"/>
      <c r="BD68" s="655"/>
      <c r="BE68" s="655"/>
      <c r="BF68" s="655"/>
      <c r="BG68" s="655"/>
      <c r="BH68" s="655"/>
      <c r="BI68" s="655"/>
      <c r="BJ68" s="655"/>
      <c r="BK68" s="655"/>
      <c r="BL68" s="655"/>
      <c r="BM68" s="655"/>
      <c r="BN68" s="655"/>
      <c r="BO68" s="655"/>
      <c r="BP68" s="655"/>
      <c r="BQ68" s="655"/>
      <c r="BR68" s="655"/>
      <c r="BS68" s="655"/>
      <c r="BT68" s="655"/>
      <c r="BU68" s="655"/>
    </row>
    <row r="69" spans="1:82" s="549" customFormat="1" ht="17.149999999999999" customHeight="1" x14ac:dyDescent="0.35">
      <c r="A69" s="1406"/>
      <c r="B69" s="1414"/>
      <c r="C69" s="1415"/>
      <c r="D69" s="1415"/>
      <c r="E69" s="1415"/>
      <c r="F69" s="1416"/>
      <c r="G69" s="1416"/>
      <c r="H69" s="1416"/>
      <c r="I69" s="1416"/>
      <c r="J69" s="1416"/>
      <c r="K69" s="1417"/>
      <c r="L69" s="1417"/>
      <c r="M69" s="1417"/>
      <c r="N69" s="1417"/>
      <c r="O69" s="1417"/>
      <c r="P69" s="1417"/>
      <c r="Q69" s="1417"/>
      <c r="R69" s="1417"/>
      <c r="S69" s="1417"/>
      <c r="T69" s="1420"/>
      <c r="U69" s="1420"/>
      <c r="V69" s="1420"/>
      <c r="W69" s="1420"/>
      <c r="X69" s="1420"/>
      <c r="Y69" s="1421"/>
      <c r="Z69" s="1417"/>
      <c r="AA69" s="1418"/>
      <c r="AB69" s="1420"/>
      <c r="AC69" s="1420"/>
      <c r="AD69" s="1420"/>
      <c r="AE69" s="1420"/>
      <c r="AF69" s="1420"/>
      <c r="AG69" s="1421"/>
      <c r="AI69" s="649"/>
      <c r="AJ69" s="649"/>
      <c r="AK69" s="649"/>
      <c r="AL69" s="649"/>
      <c r="AM69" s="649"/>
      <c r="AN69" s="556"/>
      <c r="AP69" s="548"/>
      <c r="AQ69" s="649"/>
      <c r="AR69" s="649"/>
      <c r="AS69" s="649"/>
      <c r="AT69" s="649"/>
      <c r="AU69" s="649"/>
      <c r="AV69" s="556"/>
      <c r="BC69" s="657"/>
      <c r="BD69" s="657"/>
      <c r="BE69" s="657"/>
      <c r="BF69" s="653" t="s">
        <v>541</v>
      </c>
      <c r="BG69" s="657"/>
      <c r="BH69" s="657"/>
      <c r="BI69" s="657"/>
      <c r="BJ69" s="657"/>
      <c r="BK69" s="657"/>
      <c r="BL69" s="657"/>
      <c r="BM69" s="657"/>
      <c r="BN69" s="657"/>
      <c r="BO69" s="657"/>
      <c r="BP69" s="657"/>
      <c r="BQ69" s="657"/>
      <c r="BR69" s="657"/>
      <c r="BS69" s="657"/>
      <c r="BT69" s="657"/>
      <c r="BU69" s="657"/>
    </row>
    <row r="70" spans="1:82" s="3" customFormat="1" ht="17.149999999999999" customHeight="1" x14ac:dyDescent="0.35">
      <c r="A70" s="1406"/>
      <c r="B70" s="1453" t="str">
        <f>Interface_Treatment!B70</f>
        <v>Low income residential areas (not treated)</v>
      </c>
      <c r="C70" s="1423">
        <f>IF($C$77=0,0,Interface_Treatment!C70*'Treatment Sludge_NO INPUTS'!$C$77)</f>
        <v>0</v>
      </c>
      <c r="D70" s="1748" t="str">
        <f>Interface_Treatment!E70</f>
        <v>Primary treatment in septic tank</v>
      </c>
      <c r="E70" s="1749"/>
      <c r="F70" s="1424">
        <f>Interface_Treatment!G70</f>
        <v>0</v>
      </c>
      <c r="G70" s="1425">
        <f>IF(Interface_Treatment!D70=0,0,(Interface_Treatment!H70/Interface_Treatment!D70)*'Treatment Sludge_NO INPUTS'!C70)</f>
        <v>0</v>
      </c>
      <c r="H70" s="1426">
        <f t="shared" ref="H70:H75" si="23">C70-G70</f>
        <v>0</v>
      </c>
      <c r="I70" s="1424" t="str">
        <f>Interface_Treatment!J70</f>
        <v>NO</v>
      </c>
      <c r="J70" s="1424">
        <f>Interface_Treatment!K70</f>
        <v>0</v>
      </c>
      <c r="K70" s="1427"/>
      <c r="L70" s="1427"/>
      <c r="M70" s="1427"/>
      <c r="N70" s="1427"/>
      <c r="O70" s="1427"/>
      <c r="P70" s="1427"/>
      <c r="Q70" s="1427"/>
      <c r="R70" s="1427"/>
      <c r="S70" s="1427"/>
      <c r="T70" s="1431">
        <f>Interface_Treatment!U70</f>
        <v>0</v>
      </c>
      <c r="U70" s="1431">
        <f>Interface_Treatment!V70</f>
        <v>0</v>
      </c>
      <c r="V70" s="1431">
        <f>Interface_Treatment!W70</f>
        <v>0</v>
      </c>
      <c r="W70" s="1431">
        <f>Interface_Treatment!X70</f>
        <v>1</v>
      </c>
      <c r="X70" s="1432">
        <f t="shared" ref="X70:X75" si="24">SUM(T70:W70)</f>
        <v>1</v>
      </c>
      <c r="Y70" s="1454" t="str">
        <f>IF(AND(G70=0,X70=0),"OK",IF(AND(G70&gt;0,X70=1),"OK","Not OK"))</f>
        <v>Not OK</v>
      </c>
      <c r="Z70" s="1427"/>
      <c r="AA70" s="1434">
        <f>'FS_Treatment volumes'!K123</f>
        <v>0</v>
      </c>
      <c r="AB70" s="1431">
        <f>Interface_Treatment!AC70</f>
        <v>0</v>
      </c>
      <c r="AC70" s="1431">
        <f>Interface_Treatment!AD70</f>
        <v>0</v>
      </c>
      <c r="AD70" s="1431">
        <f>Interface_Treatment!AE70</f>
        <v>0</v>
      </c>
      <c r="AE70" s="1431">
        <f>Interface_Treatment!AE70</f>
        <v>0</v>
      </c>
      <c r="AF70" s="1432">
        <f t="shared" ref="AF70:AF75" si="25">SUM(AB70:AE70)</f>
        <v>0</v>
      </c>
      <c r="AG70" s="1433" t="str">
        <f t="shared" ref="AG70:AG75" si="26">IF(AND(AA70=0,AF70=0),"OK",IF(AND(AA70&gt;0,AF70=1),"OK","Not OK"))</f>
        <v>OK</v>
      </c>
      <c r="AH70" s="478"/>
      <c r="AI70" s="901">
        <f>Interface_Treatment!AI70</f>
        <v>0</v>
      </c>
      <c r="AJ70" s="901">
        <f>Interface_Treatment!AJ70</f>
        <v>0</v>
      </c>
      <c r="AK70" s="901">
        <f>Interface_Treatment!AK70</f>
        <v>0</v>
      </c>
      <c r="AL70" s="901">
        <f>Interface_Treatment!AL70</f>
        <v>0</v>
      </c>
      <c r="AM70" s="635">
        <f t="shared" ref="AM70:AM75" si="27">SUM(AI70:AL70)</f>
        <v>0</v>
      </c>
      <c r="AN70" s="902" t="str">
        <f t="shared" ref="AN70:AN75" si="28">IF(AND(H70=0,AM70=0),"OK",IF(AND(H70&gt;0,AM70=1),"OK","Not OK"))</f>
        <v>OK</v>
      </c>
      <c r="AO70" s="478"/>
      <c r="AP70" s="904">
        <f>'FS_Treatment volumes'!N123</f>
        <v>0</v>
      </c>
      <c r="AQ70" s="901">
        <f>Interface_Treatment!AQ70</f>
        <v>0</v>
      </c>
      <c r="AR70" s="901">
        <f>Interface_Treatment!AR70</f>
        <v>0</v>
      </c>
      <c r="AS70" s="901">
        <f>Interface_Treatment!AS70</f>
        <v>0</v>
      </c>
      <c r="AT70" s="901">
        <f>Interface_Treatment!AT70</f>
        <v>0</v>
      </c>
      <c r="AU70" s="635">
        <f>SUM(AQ70:AT70)</f>
        <v>0</v>
      </c>
      <c r="AV70" s="902" t="str">
        <f t="shared" ref="AV70:AV75" si="29">IF(AND(AP70=0,AU70=0),"OK",IF(AND(AP70&gt;0,AU70=1),"OK","Not OK"))</f>
        <v>OK</v>
      </c>
      <c r="AW70" s="478"/>
      <c r="AX70" s="478"/>
      <c r="AY70" s="478"/>
      <c r="AZ70" s="478"/>
      <c r="BA70" s="478"/>
      <c r="BB70" s="478"/>
      <c r="BC70" s="654"/>
      <c r="BD70" s="654"/>
      <c r="BE70" s="654"/>
      <c r="BF70" s="654" t="s">
        <v>582</v>
      </c>
      <c r="BG70" s="654"/>
      <c r="BH70" s="654"/>
      <c r="BI70" s="654"/>
      <c r="BJ70" s="654"/>
      <c r="BK70" s="654"/>
      <c r="BL70" s="654"/>
      <c r="BM70" s="654"/>
      <c r="BN70" s="654"/>
      <c r="BO70" s="654"/>
      <c r="BP70" s="654"/>
      <c r="BQ70" s="654"/>
      <c r="BR70" s="654"/>
      <c r="BS70" s="654"/>
      <c r="BT70" s="654"/>
      <c r="BU70" s="654"/>
      <c r="BV70" s="478"/>
      <c r="BW70" s="478"/>
      <c r="BX70" s="478"/>
      <c r="BY70" s="478"/>
      <c r="BZ70" s="478"/>
      <c r="CA70" s="478"/>
      <c r="CB70" s="478"/>
      <c r="CC70" s="478"/>
      <c r="CD70" s="478"/>
    </row>
    <row r="71" spans="1:82" s="3" customFormat="1" ht="17.149999999999999" customHeight="1" x14ac:dyDescent="0.35">
      <c r="A71" s="1406"/>
      <c r="B71" s="1453" t="str">
        <f>Interface_Treatment!B71</f>
        <v>High income residential areas (treated)</v>
      </c>
      <c r="C71" s="1423">
        <f>IF($C$77=0,0,Interface_Treatment!C71*'Treatment Sludge_NO INPUTS'!$C$77)</f>
        <v>0</v>
      </c>
      <c r="D71" s="1748" t="str">
        <f>Interface_Treatment!E71</f>
        <v>Primary treatment plus secondary treatment</v>
      </c>
      <c r="E71" s="1749"/>
      <c r="F71" s="1424">
        <f>Interface_Treatment!G71</f>
        <v>0</v>
      </c>
      <c r="G71" s="1425">
        <f>IF(Interface_Treatment!D71=0,0,(Interface_Treatment!H71/Interface_Treatment!D71)*'Treatment Sludge_NO INPUTS'!C71)</f>
        <v>0</v>
      </c>
      <c r="H71" s="1426">
        <f t="shared" si="23"/>
        <v>0</v>
      </c>
      <c r="I71" s="1424" t="str">
        <f>Interface_Treatment!J71</f>
        <v>YES</v>
      </c>
      <c r="J71" s="1424">
        <f>Interface_Treatment!K71</f>
        <v>0</v>
      </c>
      <c r="K71" s="1427"/>
      <c r="L71" s="1427"/>
      <c r="M71" s="1427"/>
      <c r="N71" s="1427"/>
      <c r="O71" s="1427"/>
      <c r="P71" s="1427"/>
      <c r="Q71" s="1427"/>
      <c r="R71" s="1427"/>
      <c r="S71" s="1427"/>
      <c r="T71" s="1431">
        <f>Interface_Treatment!U71</f>
        <v>0</v>
      </c>
      <c r="U71" s="1431">
        <f>Interface_Treatment!V71</f>
        <v>0</v>
      </c>
      <c r="V71" s="1431">
        <f>Interface_Treatment!W71</f>
        <v>0</v>
      </c>
      <c r="W71" s="1431">
        <f>Interface_Treatment!X71</f>
        <v>1</v>
      </c>
      <c r="X71" s="1432">
        <f t="shared" si="24"/>
        <v>1</v>
      </c>
      <c r="Y71" s="1454" t="str">
        <f>IF(AND(C71=0,X71=0),"OK",IF(AND(C71&gt;0,X71=1),"OK","Not OK"))</f>
        <v>Not OK</v>
      </c>
      <c r="Z71" s="1427"/>
      <c r="AA71" s="1434">
        <f>'FS_Treatment volumes'!K124</f>
        <v>0</v>
      </c>
      <c r="AB71" s="1431">
        <f>Interface_Treatment!AC71</f>
        <v>0</v>
      </c>
      <c r="AC71" s="1431">
        <f>Interface_Treatment!AD71</f>
        <v>0</v>
      </c>
      <c r="AD71" s="1431">
        <f>Interface_Treatment!AE71</f>
        <v>0</v>
      </c>
      <c r="AE71" s="1431">
        <f>Interface_Treatment!AE71</f>
        <v>0</v>
      </c>
      <c r="AF71" s="1432">
        <f t="shared" si="25"/>
        <v>0</v>
      </c>
      <c r="AG71" s="1433" t="str">
        <f t="shared" si="26"/>
        <v>OK</v>
      </c>
      <c r="AH71" s="478"/>
      <c r="AI71" s="901">
        <f>Interface_Treatment!AI71</f>
        <v>0</v>
      </c>
      <c r="AJ71" s="901">
        <f>Interface_Treatment!AJ71</f>
        <v>0</v>
      </c>
      <c r="AK71" s="901">
        <f>Interface_Treatment!AK71</f>
        <v>0</v>
      </c>
      <c r="AL71" s="901">
        <f>Interface_Treatment!AL71</f>
        <v>0</v>
      </c>
      <c r="AM71" s="635">
        <f t="shared" si="27"/>
        <v>0</v>
      </c>
      <c r="AN71" s="902" t="str">
        <f t="shared" si="28"/>
        <v>OK</v>
      </c>
      <c r="AO71" s="478"/>
      <c r="AP71" s="904">
        <f>'FS_Treatment volumes'!N124</f>
        <v>0</v>
      </c>
      <c r="AQ71" s="901">
        <f>Interface_Treatment!AQ71</f>
        <v>0</v>
      </c>
      <c r="AR71" s="901">
        <f>Interface_Treatment!AR71</f>
        <v>0</v>
      </c>
      <c r="AS71" s="901">
        <f>Interface_Treatment!AS71</f>
        <v>0</v>
      </c>
      <c r="AT71" s="901">
        <f>Interface_Treatment!AT71</f>
        <v>0</v>
      </c>
      <c r="AU71" s="635">
        <f>SUM(AO71:AT71)</f>
        <v>0</v>
      </c>
      <c r="AV71" s="902" t="str">
        <f t="shared" si="29"/>
        <v>OK</v>
      </c>
      <c r="AW71" s="478"/>
      <c r="AX71" s="478"/>
      <c r="AY71" s="478"/>
      <c r="AZ71" s="478"/>
      <c r="BA71" s="478"/>
      <c r="BB71" s="478"/>
      <c r="BC71" s="654"/>
      <c r="BD71" s="654"/>
      <c r="BE71" s="654"/>
      <c r="BF71" s="654" t="s">
        <v>584</v>
      </c>
      <c r="BG71" s="654"/>
      <c r="BH71" s="654"/>
      <c r="BI71" s="654"/>
      <c r="BJ71" s="654"/>
      <c r="BK71" s="654"/>
      <c r="BL71" s="654"/>
      <c r="BM71" s="654"/>
      <c r="BN71" s="654"/>
      <c r="BO71" s="654"/>
      <c r="BP71" s="654"/>
      <c r="BQ71" s="654"/>
      <c r="BR71" s="654"/>
      <c r="BS71" s="654"/>
      <c r="BT71" s="654"/>
      <c r="BU71" s="654"/>
      <c r="BV71" s="478"/>
      <c r="BW71" s="478"/>
      <c r="BX71" s="478"/>
      <c r="BY71" s="478"/>
      <c r="BZ71" s="478"/>
      <c r="CA71" s="478"/>
      <c r="CB71" s="478"/>
      <c r="CC71" s="478"/>
      <c r="CD71" s="478"/>
    </row>
    <row r="72" spans="1:82" s="3" customFormat="1" ht="17.149999999999999" customHeight="1" x14ac:dyDescent="0.35">
      <c r="A72" s="1406"/>
      <c r="B72" s="1453" t="str">
        <f>Interface_Treatment!B72</f>
        <v>Onsite septic tanks | [Insert location]</v>
      </c>
      <c r="C72" s="1423">
        <f>IF($C$77=0,0,Interface_Treatment!C72*'Treatment Sludge_NO INPUTS'!$C$77)</f>
        <v>0</v>
      </c>
      <c r="D72" s="1748">
        <f>Interface_Treatment!E72</f>
        <v>0</v>
      </c>
      <c r="E72" s="1749"/>
      <c r="F72" s="1424">
        <f>Interface_Treatment!G72</f>
        <v>0</v>
      </c>
      <c r="G72" s="1425">
        <f>IF(Interface_Treatment!D72=0,0,(Interface_Treatment!H72/Interface_Treatment!D72)*'Treatment Sludge_NO INPUTS'!C72)</f>
        <v>0</v>
      </c>
      <c r="H72" s="1426">
        <f t="shared" si="23"/>
        <v>0</v>
      </c>
      <c r="I72" s="1424">
        <f>Interface_Treatment!J72</f>
        <v>0</v>
      </c>
      <c r="J72" s="1424">
        <f>Interface_Treatment!K72</f>
        <v>0</v>
      </c>
      <c r="K72" s="1427"/>
      <c r="L72" s="1427"/>
      <c r="M72" s="1427"/>
      <c r="N72" s="1427"/>
      <c r="O72" s="1427"/>
      <c r="P72" s="1427"/>
      <c r="Q72" s="1427"/>
      <c r="R72" s="1427"/>
      <c r="S72" s="1427"/>
      <c r="T72" s="1431">
        <f>Interface_Treatment!U72</f>
        <v>0</v>
      </c>
      <c r="U72" s="1431">
        <f>Interface_Treatment!V72</f>
        <v>0</v>
      </c>
      <c r="V72" s="1431">
        <f>Interface_Treatment!W72</f>
        <v>0</v>
      </c>
      <c r="W72" s="1431">
        <f>Interface_Treatment!X72</f>
        <v>0</v>
      </c>
      <c r="X72" s="1432">
        <f t="shared" si="24"/>
        <v>0</v>
      </c>
      <c r="Y72" s="1454" t="str">
        <f>IF(AND(C72=0,X72=0),"OK",IF(AND(C72&gt;0,X72=1),"OK","Not OK"))</f>
        <v>OK</v>
      </c>
      <c r="Z72" s="1427"/>
      <c r="AA72" s="1434">
        <f>'FS_Treatment volumes'!K125</f>
        <v>0</v>
      </c>
      <c r="AB72" s="1431">
        <f>Interface_Treatment!AC72</f>
        <v>0</v>
      </c>
      <c r="AC72" s="1431">
        <f>Interface_Treatment!AD72</f>
        <v>0</v>
      </c>
      <c r="AD72" s="1431">
        <f>Interface_Treatment!AE72</f>
        <v>0</v>
      </c>
      <c r="AE72" s="1431">
        <f>Interface_Treatment!AE72</f>
        <v>0</v>
      </c>
      <c r="AF72" s="1432">
        <f t="shared" si="25"/>
        <v>0</v>
      </c>
      <c r="AG72" s="1433" t="str">
        <f t="shared" si="26"/>
        <v>OK</v>
      </c>
      <c r="AH72" s="478"/>
      <c r="AI72" s="901">
        <f>Interface_Treatment!AI72</f>
        <v>0</v>
      </c>
      <c r="AJ72" s="901">
        <f>Interface_Treatment!AJ72</f>
        <v>0</v>
      </c>
      <c r="AK72" s="901">
        <f>Interface_Treatment!AK72</f>
        <v>0</v>
      </c>
      <c r="AL72" s="901">
        <f>Interface_Treatment!AL72</f>
        <v>0</v>
      </c>
      <c r="AM72" s="635">
        <f t="shared" si="27"/>
        <v>0</v>
      </c>
      <c r="AN72" s="902" t="str">
        <f t="shared" si="28"/>
        <v>OK</v>
      </c>
      <c r="AO72" s="478"/>
      <c r="AP72" s="904">
        <f>'FS_Treatment volumes'!N125</f>
        <v>0</v>
      </c>
      <c r="AQ72" s="901">
        <f>Interface_Treatment!AQ72</f>
        <v>0</v>
      </c>
      <c r="AR72" s="901">
        <f>Interface_Treatment!AR72</f>
        <v>0</v>
      </c>
      <c r="AS72" s="901">
        <f>Interface_Treatment!AS72</f>
        <v>0</v>
      </c>
      <c r="AT72" s="901">
        <f>Interface_Treatment!AT72</f>
        <v>0</v>
      </c>
      <c r="AU72" s="635">
        <f>SUM(AO72:AT72)</f>
        <v>0</v>
      </c>
      <c r="AV72" s="902" t="str">
        <f t="shared" si="29"/>
        <v>OK</v>
      </c>
      <c r="AW72" s="478"/>
      <c r="AX72" s="478"/>
      <c r="AY72" s="478"/>
      <c r="AZ72" s="478"/>
      <c r="BA72" s="478"/>
      <c r="BB72" s="478"/>
      <c r="BC72" s="654"/>
      <c r="BD72" s="654"/>
      <c r="BE72" s="654"/>
      <c r="BF72" s="654" t="s">
        <v>586</v>
      </c>
      <c r="BG72" s="654"/>
      <c r="BH72" s="654"/>
      <c r="BI72" s="654"/>
      <c r="BJ72" s="654"/>
      <c r="BK72" s="654"/>
      <c r="BL72" s="654"/>
      <c r="BM72" s="654"/>
      <c r="BN72" s="654"/>
      <c r="BO72" s="654"/>
      <c r="BP72" s="654"/>
      <c r="BQ72" s="654"/>
      <c r="BR72" s="654"/>
      <c r="BS72" s="654"/>
      <c r="BT72" s="654"/>
      <c r="BU72" s="654"/>
      <c r="BV72" s="478"/>
      <c r="BW72" s="478"/>
      <c r="BX72" s="478"/>
      <c r="BY72" s="478"/>
      <c r="BZ72" s="478"/>
      <c r="CA72" s="478"/>
      <c r="CB72" s="478"/>
      <c r="CC72" s="478"/>
      <c r="CD72" s="478"/>
    </row>
    <row r="73" spans="1:82" s="3" customFormat="1" ht="17.149999999999999" customHeight="1" x14ac:dyDescent="0.35">
      <c r="A73" s="1406"/>
      <c r="B73" s="1453" t="str">
        <f>Interface_Treatment!B73</f>
        <v>Onsite septic tanks | [Insert location]</v>
      </c>
      <c r="C73" s="1423">
        <f>IF($C$77=0,0,Interface_Treatment!C73*'Treatment Sludge_NO INPUTS'!$C$77)</f>
        <v>0</v>
      </c>
      <c r="D73" s="1748">
        <f>Interface_Treatment!E73</f>
        <v>0</v>
      </c>
      <c r="E73" s="1749"/>
      <c r="F73" s="1424">
        <f>Interface_Treatment!G73</f>
        <v>0</v>
      </c>
      <c r="G73" s="1425">
        <f>IF(Interface_Treatment!D73=0,0,(Interface_Treatment!H73/Interface_Treatment!D73)*'Treatment Sludge_NO INPUTS'!C73)</f>
        <v>0</v>
      </c>
      <c r="H73" s="1426">
        <f t="shared" si="23"/>
        <v>0</v>
      </c>
      <c r="I73" s="1424">
        <f>Interface_Treatment!J73</f>
        <v>0</v>
      </c>
      <c r="J73" s="1424">
        <f>Interface_Treatment!K73</f>
        <v>0</v>
      </c>
      <c r="K73" s="1427"/>
      <c r="L73" s="1427"/>
      <c r="M73" s="1427"/>
      <c r="N73" s="1427"/>
      <c r="O73" s="1427"/>
      <c r="P73" s="1427"/>
      <c r="Q73" s="1427"/>
      <c r="R73" s="1427"/>
      <c r="S73" s="1427"/>
      <c r="T73" s="1431">
        <f>Interface_Treatment!U73</f>
        <v>0</v>
      </c>
      <c r="U73" s="1431">
        <f>Interface_Treatment!V73</f>
        <v>0</v>
      </c>
      <c r="V73" s="1431">
        <f>Interface_Treatment!W73</f>
        <v>0</v>
      </c>
      <c r="W73" s="1431">
        <f>Interface_Treatment!X73</f>
        <v>0</v>
      </c>
      <c r="X73" s="1432">
        <f t="shared" si="24"/>
        <v>0</v>
      </c>
      <c r="Y73" s="1454" t="str">
        <f>IF(AND(C73=0,X73=0),"OK",IF(AND(C73&gt;0,X73=1),"OK","Not OK"))</f>
        <v>OK</v>
      </c>
      <c r="Z73" s="1427"/>
      <c r="AA73" s="1434">
        <f>'FS_Treatment volumes'!K126</f>
        <v>0</v>
      </c>
      <c r="AB73" s="1431">
        <f>Interface_Treatment!AC73</f>
        <v>0</v>
      </c>
      <c r="AC73" s="1431">
        <f>Interface_Treatment!AD73</f>
        <v>0</v>
      </c>
      <c r="AD73" s="1431">
        <f>Interface_Treatment!AE73</f>
        <v>0</v>
      </c>
      <c r="AE73" s="1431">
        <f>Interface_Treatment!AE73</f>
        <v>0</v>
      </c>
      <c r="AF73" s="1432">
        <f t="shared" si="25"/>
        <v>0</v>
      </c>
      <c r="AG73" s="1433" t="str">
        <f t="shared" si="26"/>
        <v>OK</v>
      </c>
      <c r="AH73" s="478"/>
      <c r="AI73" s="901">
        <f>Interface_Treatment!AI73</f>
        <v>0</v>
      </c>
      <c r="AJ73" s="901">
        <f>Interface_Treatment!AJ73</f>
        <v>0</v>
      </c>
      <c r="AK73" s="901">
        <f>Interface_Treatment!AK73</f>
        <v>0</v>
      </c>
      <c r="AL73" s="901">
        <f>Interface_Treatment!AL73</f>
        <v>0</v>
      </c>
      <c r="AM73" s="635">
        <f t="shared" si="27"/>
        <v>0</v>
      </c>
      <c r="AN73" s="902" t="str">
        <f t="shared" si="28"/>
        <v>OK</v>
      </c>
      <c r="AO73" s="478"/>
      <c r="AP73" s="904">
        <f>'FS_Treatment volumes'!N126</f>
        <v>0</v>
      </c>
      <c r="AQ73" s="901">
        <f>Interface_Treatment!AQ73</f>
        <v>0</v>
      </c>
      <c r="AR73" s="901">
        <f>Interface_Treatment!AR73</f>
        <v>0</v>
      </c>
      <c r="AS73" s="901">
        <f>Interface_Treatment!AS73</f>
        <v>0</v>
      </c>
      <c r="AT73" s="901">
        <f>Interface_Treatment!AT73</f>
        <v>0</v>
      </c>
      <c r="AU73" s="635">
        <f>SUM(AO73:AT73)</f>
        <v>0</v>
      </c>
      <c r="AV73" s="902" t="str">
        <f t="shared" si="29"/>
        <v>OK</v>
      </c>
      <c r="AW73" s="478"/>
      <c r="AX73" s="478"/>
      <c r="AY73" s="478"/>
      <c r="AZ73" s="478"/>
      <c r="BA73" s="478"/>
      <c r="BB73" s="478"/>
      <c r="BC73" s="654"/>
      <c r="BD73" s="654"/>
      <c r="BE73" s="654"/>
      <c r="BF73" s="654"/>
      <c r="BG73" s="654"/>
      <c r="BH73" s="654"/>
      <c r="BI73" s="654"/>
      <c r="BJ73" s="654"/>
      <c r="BK73" s="654"/>
      <c r="BL73" s="654"/>
      <c r="BM73" s="654"/>
      <c r="BN73" s="654"/>
      <c r="BO73" s="654"/>
      <c r="BP73" s="654"/>
      <c r="BQ73" s="654"/>
      <c r="BR73" s="654"/>
      <c r="BS73" s="654"/>
      <c r="BT73" s="654"/>
      <c r="BU73" s="654"/>
      <c r="BV73" s="478"/>
      <c r="BW73" s="478"/>
      <c r="BX73" s="478"/>
      <c r="BY73" s="478"/>
      <c r="BZ73" s="478"/>
      <c r="CA73" s="478"/>
      <c r="CB73" s="478"/>
      <c r="CC73" s="478"/>
      <c r="CD73" s="478"/>
    </row>
    <row r="74" spans="1:82" s="3" customFormat="1" ht="17.149999999999999" customHeight="1" x14ac:dyDescent="0.35">
      <c r="A74" s="1406"/>
      <c r="B74" s="1453">
        <f>Interface_Treatment!B74</f>
        <v>0</v>
      </c>
      <c r="C74" s="1423">
        <f>IF($C$77=0,0,Interface_Treatment!C74*'Treatment Sludge_NO INPUTS'!$C$77)</f>
        <v>0</v>
      </c>
      <c r="D74" s="1748">
        <f>Interface_Treatment!E74</f>
        <v>0</v>
      </c>
      <c r="E74" s="1749"/>
      <c r="F74" s="1424">
        <f>Interface_Treatment!G74</f>
        <v>0</v>
      </c>
      <c r="G74" s="1425">
        <f>IF(Interface_Treatment!D74=0,0,(Interface_Treatment!H74/Interface_Treatment!D74)*'Treatment Sludge_NO INPUTS'!C74)</f>
        <v>0</v>
      </c>
      <c r="H74" s="1426">
        <f t="shared" si="23"/>
        <v>0</v>
      </c>
      <c r="I74" s="1424">
        <f>Interface_Treatment!J74</f>
        <v>0</v>
      </c>
      <c r="J74" s="1424">
        <f>Interface_Treatment!K74</f>
        <v>0</v>
      </c>
      <c r="K74" s="1427"/>
      <c r="L74" s="1427"/>
      <c r="M74" s="1427"/>
      <c r="N74" s="1427"/>
      <c r="O74" s="1427"/>
      <c r="P74" s="1427"/>
      <c r="Q74" s="1427"/>
      <c r="R74" s="1427"/>
      <c r="S74" s="1427"/>
      <c r="T74" s="1431">
        <f>Interface_Treatment!U74</f>
        <v>0</v>
      </c>
      <c r="U74" s="1431">
        <f>Interface_Treatment!V74</f>
        <v>0</v>
      </c>
      <c r="V74" s="1431">
        <f>Interface_Treatment!W74</f>
        <v>0</v>
      </c>
      <c r="W74" s="1431">
        <f>Interface_Treatment!X74</f>
        <v>0</v>
      </c>
      <c r="X74" s="1432">
        <f t="shared" si="24"/>
        <v>0</v>
      </c>
      <c r="Y74" s="1454" t="str">
        <f>IF(AND(C74=0,X74=0),"OK",IF(AND(C74&gt;0,X74=1),"OK","Not OK"))</f>
        <v>OK</v>
      </c>
      <c r="Z74" s="1427"/>
      <c r="AA74" s="1434">
        <f>'FS_Treatment volumes'!K127</f>
        <v>0</v>
      </c>
      <c r="AB74" s="1431">
        <f>Interface_Treatment!AC74</f>
        <v>0</v>
      </c>
      <c r="AC74" s="1431">
        <f>Interface_Treatment!AD74</f>
        <v>0</v>
      </c>
      <c r="AD74" s="1431">
        <f>Interface_Treatment!AE74</f>
        <v>0</v>
      </c>
      <c r="AE74" s="1431">
        <f>Interface_Treatment!AE74</f>
        <v>0</v>
      </c>
      <c r="AF74" s="1432">
        <f t="shared" si="25"/>
        <v>0</v>
      </c>
      <c r="AG74" s="1433" t="str">
        <f t="shared" si="26"/>
        <v>OK</v>
      </c>
      <c r="AH74" s="478"/>
      <c r="AI74" s="901">
        <f>Interface_Treatment!AI74</f>
        <v>0</v>
      </c>
      <c r="AJ74" s="901">
        <f>Interface_Treatment!AJ74</f>
        <v>0</v>
      </c>
      <c r="AK74" s="901">
        <f>Interface_Treatment!AK74</f>
        <v>0</v>
      </c>
      <c r="AL74" s="901">
        <f>Interface_Treatment!AL74</f>
        <v>0</v>
      </c>
      <c r="AM74" s="635">
        <f t="shared" si="27"/>
        <v>0</v>
      </c>
      <c r="AN74" s="902" t="str">
        <f t="shared" si="28"/>
        <v>OK</v>
      </c>
      <c r="AO74" s="478"/>
      <c r="AP74" s="904">
        <f>'FS_Treatment volumes'!N127</f>
        <v>0</v>
      </c>
      <c r="AQ74" s="901">
        <f>Interface_Treatment!AQ74</f>
        <v>0</v>
      </c>
      <c r="AR74" s="901">
        <f>Interface_Treatment!AR74</f>
        <v>0</v>
      </c>
      <c r="AS74" s="901">
        <f>Interface_Treatment!AS74</f>
        <v>0</v>
      </c>
      <c r="AT74" s="901">
        <f>Interface_Treatment!AT74</f>
        <v>0</v>
      </c>
      <c r="AU74" s="635">
        <f>SUM(AO74:AT74)</f>
        <v>0</v>
      </c>
      <c r="AV74" s="902" t="str">
        <f t="shared" si="29"/>
        <v>OK</v>
      </c>
      <c r="AW74" s="478"/>
      <c r="AX74" s="478"/>
      <c r="AY74" s="478"/>
      <c r="AZ74" s="478"/>
      <c r="BA74" s="478"/>
      <c r="BB74" s="478"/>
      <c r="BC74" s="654"/>
      <c r="BD74" s="654"/>
      <c r="BE74" s="654"/>
      <c r="BF74" s="654"/>
      <c r="BG74" s="654"/>
      <c r="BH74" s="654"/>
      <c r="BI74" s="654"/>
      <c r="BJ74" s="654"/>
      <c r="BK74" s="654"/>
      <c r="BL74" s="654"/>
      <c r="BM74" s="654"/>
      <c r="BN74" s="654"/>
      <c r="BO74" s="654"/>
      <c r="BP74" s="654"/>
      <c r="BQ74" s="654"/>
      <c r="BR74" s="654"/>
      <c r="BS74" s="654"/>
      <c r="BT74" s="654"/>
      <c r="BU74" s="654"/>
      <c r="BV74" s="478"/>
      <c r="BW74" s="478"/>
      <c r="BX74" s="478"/>
      <c r="BY74" s="478"/>
      <c r="BZ74" s="478"/>
      <c r="CA74" s="478"/>
      <c r="CB74" s="478"/>
      <c r="CC74" s="478"/>
      <c r="CD74" s="478"/>
    </row>
    <row r="75" spans="1:82" s="3" customFormat="1" ht="17.149999999999999" customHeight="1" x14ac:dyDescent="0.35">
      <c r="A75" s="1406"/>
      <c r="B75" s="1453">
        <f>Interface_Treatment!B75</f>
        <v>0</v>
      </c>
      <c r="C75" s="1423">
        <f>IF($C$77=0,0,Interface_Treatment!C75*'Treatment Sludge_NO INPUTS'!$C$77)</f>
        <v>0</v>
      </c>
      <c r="D75" s="1748">
        <f>Interface_Treatment!E75</f>
        <v>0</v>
      </c>
      <c r="E75" s="1749"/>
      <c r="F75" s="1424">
        <f>Interface_Treatment!G75</f>
        <v>0</v>
      </c>
      <c r="G75" s="1425">
        <f>IF(Interface_Treatment!D75=0,0,(Interface_Treatment!H75/Interface_Treatment!D75)*'Treatment Sludge_NO INPUTS'!C75)</f>
        <v>0</v>
      </c>
      <c r="H75" s="1426">
        <f t="shared" si="23"/>
        <v>0</v>
      </c>
      <c r="I75" s="1424">
        <f>Interface_Treatment!J75</f>
        <v>0</v>
      </c>
      <c r="J75" s="1424">
        <f>Interface_Treatment!K75</f>
        <v>0</v>
      </c>
      <c r="K75" s="1427"/>
      <c r="L75" s="1427"/>
      <c r="M75" s="1427"/>
      <c r="N75" s="1427"/>
      <c r="O75" s="1427"/>
      <c r="P75" s="1427"/>
      <c r="Q75" s="1427"/>
      <c r="R75" s="1427"/>
      <c r="S75" s="1427"/>
      <c r="T75" s="1431">
        <f>Interface_Treatment!U75</f>
        <v>0</v>
      </c>
      <c r="U75" s="1431">
        <f>Interface_Treatment!V75</f>
        <v>0</v>
      </c>
      <c r="V75" s="1431">
        <f>Interface_Treatment!W75</f>
        <v>0</v>
      </c>
      <c r="W75" s="1431">
        <f>Interface_Treatment!X75</f>
        <v>0</v>
      </c>
      <c r="X75" s="1432">
        <f t="shared" si="24"/>
        <v>0</v>
      </c>
      <c r="Y75" s="1454" t="str">
        <f>IF(AND(C75=0,X75=0),"OK",IF(AND(C75&gt;0,X75=1),"OK","Not OK"))</f>
        <v>OK</v>
      </c>
      <c r="Z75" s="1427"/>
      <c r="AA75" s="1434">
        <f>'FS_Treatment volumes'!K128</f>
        <v>0</v>
      </c>
      <c r="AB75" s="1431">
        <f>Interface_Treatment!AC75</f>
        <v>0</v>
      </c>
      <c r="AC75" s="1431">
        <f>Interface_Treatment!AD75</f>
        <v>0</v>
      </c>
      <c r="AD75" s="1431">
        <f>Interface_Treatment!AE75</f>
        <v>0</v>
      </c>
      <c r="AE75" s="1431">
        <f>Interface_Treatment!AE75</f>
        <v>0</v>
      </c>
      <c r="AF75" s="1432">
        <f t="shared" si="25"/>
        <v>0</v>
      </c>
      <c r="AG75" s="1433" t="str">
        <f t="shared" si="26"/>
        <v>OK</v>
      </c>
      <c r="AH75" s="478"/>
      <c r="AI75" s="901">
        <f>Interface_Treatment!AI75</f>
        <v>0</v>
      </c>
      <c r="AJ75" s="901">
        <f>Interface_Treatment!AJ75</f>
        <v>0</v>
      </c>
      <c r="AK75" s="901">
        <f>Interface_Treatment!AK75</f>
        <v>0</v>
      </c>
      <c r="AL75" s="901">
        <f>Interface_Treatment!AL75</f>
        <v>0</v>
      </c>
      <c r="AM75" s="635">
        <f t="shared" si="27"/>
        <v>0</v>
      </c>
      <c r="AN75" s="902" t="str">
        <f t="shared" si="28"/>
        <v>OK</v>
      </c>
      <c r="AO75" s="478"/>
      <c r="AP75" s="904">
        <f>'FS_Treatment volumes'!N128</f>
        <v>0</v>
      </c>
      <c r="AQ75" s="901">
        <f>Interface_Treatment!AQ75</f>
        <v>0</v>
      </c>
      <c r="AR75" s="901">
        <f>Interface_Treatment!AR75</f>
        <v>0</v>
      </c>
      <c r="AS75" s="901">
        <f>Interface_Treatment!AS75</f>
        <v>0</v>
      </c>
      <c r="AT75" s="901">
        <f>Interface_Treatment!AT75</f>
        <v>0</v>
      </c>
      <c r="AU75" s="635">
        <f>SUM(AO75:AT75)</f>
        <v>0</v>
      </c>
      <c r="AV75" s="902" t="str">
        <f t="shared" si="29"/>
        <v>OK</v>
      </c>
      <c r="AW75" s="478"/>
      <c r="AX75" s="478"/>
      <c r="AY75" s="478"/>
      <c r="AZ75" s="478"/>
      <c r="BA75" s="478"/>
      <c r="BB75" s="478"/>
      <c r="BC75" s="654"/>
      <c r="BD75" s="654"/>
      <c r="BE75" s="654"/>
      <c r="BF75" s="654"/>
      <c r="BG75" s="654"/>
      <c r="BH75" s="654"/>
      <c r="BI75" s="654"/>
      <c r="BJ75" s="654"/>
      <c r="BK75" s="654"/>
      <c r="BL75" s="654"/>
      <c r="BM75" s="654"/>
      <c r="BN75" s="654"/>
      <c r="BO75" s="654"/>
      <c r="BP75" s="654"/>
      <c r="BQ75" s="654"/>
      <c r="BR75" s="654"/>
      <c r="BS75" s="654"/>
      <c r="BT75" s="654"/>
      <c r="BU75" s="654"/>
      <c r="BV75" s="478"/>
      <c r="BW75" s="478"/>
      <c r="BX75" s="478"/>
      <c r="BY75" s="478"/>
      <c r="BZ75" s="478"/>
      <c r="CA75" s="478"/>
      <c r="CB75" s="478"/>
      <c r="CC75" s="478"/>
      <c r="CD75" s="478"/>
    </row>
    <row r="76" spans="1:82" ht="17.149999999999999" customHeight="1" x14ac:dyDescent="0.35">
      <c r="A76" s="1406"/>
      <c r="B76" s="1435" t="s">
        <v>208</v>
      </c>
      <c r="C76" s="1436">
        <f>SUM(C70:C75)</f>
        <v>0</v>
      </c>
      <c r="D76" s="1406"/>
      <c r="E76" s="1406"/>
      <c r="F76" s="1406"/>
      <c r="G76" s="1406"/>
      <c r="H76" s="1406"/>
      <c r="I76" s="1406"/>
      <c r="J76" s="1406"/>
      <c r="K76" s="1406"/>
      <c r="L76" s="1406"/>
      <c r="M76" s="1406"/>
      <c r="N76" s="1406"/>
      <c r="O76" s="1406"/>
      <c r="P76" s="1406"/>
      <c r="Q76" s="1406"/>
      <c r="R76" s="1406"/>
      <c r="S76" s="1406"/>
      <c r="T76" s="1406"/>
      <c r="U76" s="1406"/>
      <c r="V76" s="1406"/>
      <c r="W76" s="1406"/>
      <c r="X76" s="1406"/>
      <c r="Y76" s="1406"/>
      <c r="Z76" s="1406"/>
      <c r="AA76" s="1406"/>
      <c r="AB76" s="1406"/>
      <c r="AC76" s="1406"/>
      <c r="AD76" s="1406"/>
      <c r="AE76" s="1406"/>
      <c r="AF76" s="1406"/>
      <c r="AG76" s="1406"/>
      <c r="AI76" s="544"/>
      <c r="AJ76" s="544"/>
      <c r="AK76" s="544"/>
      <c r="AL76" s="544"/>
      <c r="AM76" s="544"/>
      <c r="AN76" s="544"/>
      <c r="AP76" s="544"/>
      <c r="AQ76" s="544"/>
      <c r="AR76" s="544"/>
      <c r="AS76" s="544"/>
      <c r="AT76" s="544"/>
      <c r="AU76" s="544"/>
      <c r="AV76" s="544"/>
      <c r="BC76" s="655"/>
      <c r="BD76" s="655"/>
      <c r="BE76" s="655"/>
      <c r="BF76" s="655"/>
      <c r="BG76" s="655"/>
      <c r="BH76" s="655"/>
      <c r="BI76" s="655"/>
      <c r="BJ76" s="655"/>
      <c r="BK76" s="655"/>
      <c r="BL76" s="655"/>
      <c r="BM76" s="655"/>
      <c r="BN76" s="655"/>
      <c r="BO76" s="655"/>
      <c r="BP76" s="655"/>
      <c r="BQ76" s="655"/>
      <c r="BR76" s="655"/>
      <c r="BS76" s="655"/>
      <c r="BT76" s="655"/>
      <c r="BU76" s="655"/>
    </row>
    <row r="77" spans="1:82" ht="17.149999999999999" customHeight="1" x14ac:dyDescent="0.35">
      <c r="A77" s="1406"/>
      <c r="B77" s="1435" t="s">
        <v>587</v>
      </c>
      <c r="C77" s="1436">
        <f>'FS_Transport volumes'!B121</f>
        <v>0</v>
      </c>
      <c r="D77" s="1406"/>
      <c r="E77" s="1406"/>
      <c r="F77" s="1406"/>
      <c r="G77" s="1406"/>
      <c r="H77" s="1406"/>
      <c r="I77" s="1406"/>
      <c r="J77" s="1406"/>
      <c r="K77" s="1406"/>
      <c r="L77" s="1406"/>
      <c r="M77" s="1406"/>
      <c r="N77" s="1406"/>
      <c r="O77" s="1406"/>
      <c r="P77" s="1406"/>
      <c r="Q77" s="1406"/>
      <c r="R77" s="1406"/>
      <c r="S77" s="1406"/>
      <c r="T77" s="1406"/>
      <c r="U77" s="1406"/>
      <c r="V77" s="1406"/>
      <c r="W77" s="1406"/>
      <c r="X77" s="1406"/>
      <c r="Y77" s="1406"/>
      <c r="Z77" s="1406"/>
      <c r="AA77" s="1406"/>
      <c r="AB77" s="1406"/>
      <c r="AC77" s="1406"/>
      <c r="AD77" s="1406"/>
      <c r="AE77" s="1406"/>
      <c r="AF77" s="1406"/>
      <c r="AG77" s="1406"/>
      <c r="AI77" s="544"/>
      <c r="AJ77" s="544"/>
      <c r="AK77" s="544"/>
      <c r="AL77" s="544"/>
      <c r="AM77" s="544"/>
      <c r="AN77" s="544"/>
      <c r="AP77" s="544"/>
      <c r="AQ77" s="544"/>
      <c r="AR77" s="544"/>
      <c r="AS77" s="544"/>
      <c r="AT77" s="544"/>
      <c r="AU77" s="544"/>
      <c r="AV77" s="544"/>
      <c r="BC77" s="655"/>
      <c r="BD77" s="655"/>
      <c r="BE77" s="655"/>
      <c r="BF77" s="655"/>
      <c r="BG77" s="655"/>
      <c r="BH77" s="655"/>
      <c r="BI77" s="655"/>
      <c r="BJ77" s="655"/>
      <c r="BK77" s="655"/>
      <c r="BL77" s="655"/>
      <c r="BM77" s="655"/>
      <c r="BN77" s="655"/>
      <c r="BO77" s="655"/>
      <c r="BP77" s="655"/>
      <c r="BQ77" s="655"/>
      <c r="BR77" s="655"/>
      <c r="BS77" s="655"/>
      <c r="BT77" s="655"/>
      <c r="BU77" s="655"/>
    </row>
    <row r="78" spans="1:82" ht="17.149999999999999" customHeight="1" x14ac:dyDescent="0.35">
      <c r="A78" s="1406"/>
      <c r="B78" s="1441" t="s">
        <v>251</v>
      </c>
      <c r="C78" s="1442">
        <f>C76-C77</f>
        <v>0</v>
      </c>
      <c r="D78" s="1406"/>
      <c r="E78" s="1406"/>
      <c r="F78" s="1406"/>
      <c r="G78" s="1406"/>
      <c r="H78" s="1406"/>
      <c r="I78" s="1406"/>
      <c r="J78" s="1406"/>
      <c r="K78" s="1406"/>
      <c r="L78" s="1406"/>
      <c r="M78" s="1406"/>
      <c r="N78" s="1406"/>
      <c r="O78" s="1406"/>
      <c r="P78" s="1406"/>
      <c r="Q78" s="1406"/>
      <c r="R78" s="1406"/>
      <c r="S78" s="1406"/>
      <c r="T78" s="1406"/>
      <c r="U78" s="1406"/>
      <c r="V78" s="1406"/>
      <c r="W78" s="1406"/>
      <c r="X78" s="1406"/>
      <c r="Y78" s="1406"/>
      <c r="Z78" s="1406"/>
      <c r="AA78" s="1406"/>
      <c r="AB78" s="1406"/>
      <c r="AC78" s="1406"/>
      <c r="AD78" s="1406"/>
      <c r="AE78" s="1406"/>
      <c r="AF78" s="1406"/>
      <c r="AG78" s="1406"/>
      <c r="AI78" s="544"/>
      <c r="AJ78" s="544"/>
      <c r="AK78" s="544"/>
      <c r="AL78" s="544"/>
      <c r="AM78" s="544"/>
      <c r="AN78" s="544"/>
      <c r="AP78" s="544"/>
      <c r="AQ78" s="544"/>
      <c r="AR78" s="544"/>
      <c r="AS78" s="544"/>
      <c r="AT78" s="544"/>
      <c r="AU78" s="544"/>
      <c r="AV78" s="544"/>
      <c r="BC78" s="655"/>
      <c r="BD78" s="655"/>
      <c r="BE78" s="655"/>
      <c r="BF78" s="655"/>
      <c r="BG78" s="655"/>
      <c r="BH78" s="655"/>
      <c r="BI78" s="655"/>
      <c r="BJ78" s="655"/>
      <c r="BK78" s="655"/>
      <c r="BL78" s="655"/>
      <c r="BM78" s="655"/>
      <c r="BN78" s="655"/>
      <c r="BO78" s="655"/>
      <c r="BP78" s="655"/>
      <c r="BQ78" s="655"/>
      <c r="BR78" s="655"/>
      <c r="BS78" s="655"/>
      <c r="BT78" s="655"/>
      <c r="BU78" s="655"/>
    </row>
    <row r="79" spans="1:82" ht="17.149999999999999" customHeight="1" x14ac:dyDescent="0.35">
      <c r="A79" s="1406"/>
      <c r="B79" s="1427"/>
      <c r="C79" s="1446" t="str">
        <f>IF(C78=0,"OK","Not OK")</f>
        <v>OK</v>
      </c>
      <c r="D79" s="1406"/>
      <c r="E79" s="1406"/>
      <c r="F79" s="1406"/>
      <c r="G79" s="1406"/>
      <c r="H79" s="1406"/>
      <c r="I79" s="1406"/>
      <c r="J79" s="1406"/>
      <c r="K79" s="1406"/>
      <c r="L79" s="1406"/>
      <c r="M79" s="1406"/>
      <c r="N79" s="1406"/>
      <c r="O79" s="1406"/>
      <c r="P79" s="1406"/>
      <c r="Q79" s="1406"/>
      <c r="R79" s="1406"/>
      <c r="S79" s="1406"/>
      <c r="T79" s="1406"/>
      <c r="U79" s="1406"/>
      <c r="V79" s="1406"/>
      <c r="W79" s="1406"/>
      <c r="X79" s="1406"/>
      <c r="Y79" s="1406"/>
      <c r="Z79" s="1406"/>
      <c r="AA79" s="1406"/>
      <c r="AB79" s="1406"/>
      <c r="AC79" s="1406"/>
      <c r="AD79" s="1406"/>
      <c r="AE79" s="1406"/>
      <c r="AF79" s="1406"/>
      <c r="AG79" s="1406"/>
      <c r="AI79" s="544"/>
      <c r="AJ79" s="544"/>
      <c r="AK79" s="544"/>
      <c r="AL79" s="544"/>
      <c r="AM79" s="544"/>
      <c r="AN79" s="544"/>
      <c r="AP79" s="544"/>
      <c r="AQ79" s="544"/>
      <c r="AR79" s="544"/>
      <c r="AS79" s="544"/>
      <c r="AT79" s="544"/>
      <c r="AU79" s="544"/>
      <c r="AV79" s="544"/>
      <c r="BC79" s="655"/>
      <c r="BD79" s="655"/>
      <c r="BE79" s="655"/>
      <c r="BF79" s="655"/>
      <c r="BG79" s="655"/>
      <c r="BH79" s="655"/>
      <c r="BI79" s="655"/>
      <c r="BJ79" s="655"/>
      <c r="BK79" s="655"/>
      <c r="BL79" s="655"/>
      <c r="BM79" s="655"/>
      <c r="BN79" s="655"/>
      <c r="BO79" s="655"/>
      <c r="BP79" s="655"/>
      <c r="BQ79" s="655"/>
      <c r="BR79" s="655"/>
      <c r="BS79" s="655"/>
      <c r="BT79" s="655"/>
      <c r="BU79" s="655"/>
    </row>
    <row r="80" spans="1:82" ht="17.149999999999999" customHeight="1" x14ac:dyDescent="0.35">
      <c r="A80" s="1406"/>
      <c r="B80" s="1406"/>
      <c r="C80" s="1406"/>
      <c r="D80" s="1406"/>
      <c r="E80" s="1406"/>
      <c r="F80" s="1406"/>
      <c r="G80" s="1406"/>
      <c r="H80" s="1406"/>
      <c r="I80" s="1406"/>
      <c r="J80" s="1406"/>
      <c r="K80" s="1406"/>
      <c r="L80" s="1406"/>
      <c r="M80" s="1406"/>
      <c r="N80" s="1406"/>
      <c r="O80" s="1406"/>
      <c r="P80" s="1406"/>
      <c r="Q80" s="1406"/>
      <c r="R80" s="1406"/>
      <c r="S80" s="1406"/>
      <c r="T80" s="1406"/>
      <c r="U80" s="1406"/>
      <c r="V80" s="1406"/>
      <c r="W80" s="1406"/>
      <c r="X80" s="1406"/>
      <c r="Y80" s="1406"/>
      <c r="Z80" s="1406"/>
      <c r="AA80" s="1406"/>
      <c r="AB80" s="1406"/>
      <c r="AC80" s="1406"/>
      <c r="AD80" s="1406"/>
      <c r="AE80" s="1406"/>
      <c r="AF80" s="1406"/>
      <c r="AG80" s="1406"/>
      <c r="AI80" s="544"/>
      <c r="AJ80" s="544"/>
      <c r="AK80" s="544"/>
      <c r="AL80" s="544"/>
      <c r="AM80" s="544"/>
      <c r="AN80" s="544"/>
      <c r="AP80" s="544"/>
      <c r="AQ80" s="544"/>
      <c r="AR80" s="544"/>
      <c r="AS80" s="544"/>
      <c r="AT80" s="544"/>
      <c r="AU80" s="544"/>
      <c r="AV80" s="544"/>
      <c r="BC80" s="655"/>
      <c r="BD80" s="655"/>
      <c r="BE80" s="655"/>
      <c r="BF80" s="655"/>
      <c r="BG80" s="655"/>
      <c r="BH80" s="655"/>
      <c r="BI80" s="655"/>
      <c r="BJ80" s="655"/>
      <c r="BK80" s="655"/>
      <c r="BL80" s="655"/>
      <c r="BM80" s="655"/>
      <c r="BN80" s="655"/>
      <c r="BO80" s="655"/>
      <c r="BP80" s="655"/>
      <c r="BQ80" s="655"/>
      <c r="BR80" s="655"/>
      <c r="BS80" s="655"/>
      <c r="BT80" s="655"/>
      <c r="BU80" s="655"/>
    </row>
    <row r="81" spans="1:73" ht="17.149999999999999" customHeight="1" x14ac:dyDescent="0.35">
      <c r="A81" s="1406"/>
      <c r="B81" s="1406"/>
      <c r="C81" s="1406"/>
      <c r="D81" s="1406"/>
      <c r="E81" s="1406"/>
      <c r="F81" s="1406"/>
      <c r="G81" s="1406"/>
      <c r="H81" s="1406"/>
      <c r="I81" s="1406"/>
      <c r="J81" s="1406"/>
      <c r="K81" s="1406"/>
      <c r="L81" s="1406"/>
      <c r="M81" s="1406"/>
      <c r="N81" s="1406"/>
      <c r="O81" s="1406"/>
      <c r="P81" s="1406"/>
      <c r="Q81" s="1406"/>
      <c r="R81" s="1406"/>
      <c r="S81" s="1406"/>
      <c r="T81" s="1406"/>
      <c r="U81" s="1406"/>
      <c r="V81" s="1406"/>
      <c r="W81" s="1406"/>
      <c r="X81" s="1406"/>
      <c r="Y81" s="1406"/>
      <c r="Z81" s="1406"/>
      <c r="AA81" s="1406"/>
      <c r="AB81" s="1406"/>
      <c r="AC81" s="1406"/>
      <c r="AD81" s="1406"/>
      <c r="AE81" s="1406"/>
      <c r="AF81" s="1406"/>
      <c r="AG81" s="1406"/>
      <c r="AI81" s="544"/>
      <c r="AJ81" s="544"/>
      <c r="AK81" s="544"/>
      <c r="AL81" s="544"/>
      <c r="AM81" s="544"/>
      <c r="AN81" s="544"/>
      <c r="AP81" s="544"/>
      <c r="AQ81" s="544"/>
      <c r="AR81" s="544"/>
      <c r="AS81" s="544"/>
      <c r="AT81" s="544"/>
      <c r="AU81" s="544"/>
      <c r="AV81" s="544"/>
      <c r="BC81" s="655"/>
      <c r="BD81" s="655"/>
      <c r="BE81" s="655"/>
      <c r="BF81" s="655"/>
      <c r="BG81" s="655"/>
      <c r="BH81" s="655"/>
      <c r="BI81" s="655"/>
      <c r="BJ81" s="655"/>
      <c r="BK81" s="655"/>
      <c r="BL81" s="655"/>
      <c r="BM81" s="655"/>
      <c r="BN81" s="655"/>
      <c r="BO81" s="655"/>
      <c r="BP81" s="655"/>
      <c r="BQ81" s="655"/>
      <c r="BR81" s="655"/>
      <c r="BS81" s="655"/>
      <c r="BT81" s="655"/>
      <c r="BU81" s="655"/>
    </row>
    <row r="82" spans="1:73" x14ac:dyDescent="0.35">
      <c r="A82" s="1406"/>
      <c r="B82" s="1406"/>
      <c r="C82" s="1406"/>
      <c r="D82" s="1406"/>
      <c r="E82" s="1406"/>
      <c r="F82" s="1406"/>
      <c r="G82" s="1406"/>
      <c r="H82" s="1406"/>
      <c r="I82" s="1406"/>
      <c r="J82" s="1406"/>
      <c r="K82" s="1406"/>
      <c r="L82" s="1406"/>
      <c r="M82" s="1406"/>
      <c r="N82" s="1406"/>
      <c r="O82" s="1406"/>
      <c r="P82" s="1406"/>
      <c r="Q82" s="1406"/>
      <c r="R82" s="1406"/>
      <c r="S82" s="1406"/>
      <c r="T82" s="1406"/>
      <c r="U82" s="1406"/>
      <c r="V82" s="1406"/>
      <c r="W82" s="1406"/>
      <c r="X82" s="1406"/>
      <c r="Y82" s="1406"/>
      <c r="Z82" s="1406"/>
      <c r="AA82" s="1406"/>
      <c r="AB82" s="1406"/>
      <c r="AC82" s="1406"/>
      <c r="AD82" s="1406"/>
      <c r="AE82" s="1406"/>
      <c r="AF82" s="1406"/>
      <c r="AG82" s="1406"/>
      <c r="AI82" s="544"/>
      <c r="AJ82" s="544"/>
      <c r="AK82" s="544"/>
      <c r="AL82" s="544"/>
      <c r="AM82" s="544"/>
      <c r="AN82" s="544"/>
      <c r="AP82" s="544"/>
      <c r="AQ82" s="544"/>
      <c r="AR82" s="544"/>
      <c r="AS82" s="544"/>
      <c r="AT82" s="544"/>
      <c r="AU82" s="544"/>
      <c r="AV82" s="544"/>
      <c r="BC82" s="655"/>
      <c r="BD82" s="655"/>
      <c r="BE82" s="655"/>
      <c r="BF82" s="655"/>
      <c r="BG82" s="655"/>
      <c r="BH82" s="655"/>
      <c r="BI82" s="655"/>
      <c r="BJ82" s="655"/>
      <c r="BK82" s="655"/>
      <c r="BL82" s="655"/>
      <c r="BM82" s="655"/>
      <c r="BN82" s="655"/>
      <c r="BO82" s="655"/>
      <c r="BP82" s="655"/>
      <c r="BQ82" s="655"/>
      <c r="BR82" s="655"/>
      <c r="BS82" s="655"/>
      <c r="BT82" s="655"/>
      <c r="BU82" s="655"/>
    </row>
    <row r="83" spans="1:73" x14ac:dyDescent="0.35">
      <c r="A83" s="1406"/>
      <c r="B83" s="1406"/>
      <c r="C83" s="1406"/>
      <c r="D83" s="1406"/>
      <c r="E83" s="1406"/>
      <c r="F83" s="1406"/>
      <c r="G83" s="1406"/>
      <c r="H83" s="1406"/>
      <c r="I83" s="1406"/>
      <c r="J83" s="1406"/>
      <c r="K83" s="1406"/>
      <c r="L83" s="1406"/>
      <c r="M83" s="1406"/>
      <c r="N83" s="1406"/>
      <c r="O83" s="1406"/>
      <c r="P83" s="1406"/>
      <c r="Q83" s="1406"/>
      <c r="R83" s="1406"/>
      <c r="S83" s="1406"/>
      <c r="T83" s="1406"/>
      <c r="U83" s="1406"/>
      <c r="V83" s="1406"/>
      <c r="W83" s="1406"/>
      <c r="X83" s="1406"/>
      <c r="Y83" s="1406"/>
      <c r="Z83" s="1406"/>
      <c r="AA83" s="1406"/>
      <c r="AB83" s="1406"/>
      <c r="AC83" s="1406"/>
      <c r="AD83" s="1406"/>
      <c r="AE83" s="1406"/>
      <c r="AF83" s="1406"/>
      <c r="AG83" s="1406"/>
      <c r="AI83" s="544"/>
      <c r="AJ83" s="544"/>
      <c r="AK83" s="544"/>
      <c r="AL83" s="544"/>
      <c r="AM83" s="544"/>
      <c r="AN83" s="544"/>
      <c r="AP83" s="544"/>
      <c r="AQ83" s="544"/>
      <c r="AR83" s="544"/>
      <c r="AS83" s="544"/>
      <c r="AT83" s="544"/>
      <c r="AU83" s="544"/>
      <c r="AV83" s="544"/>
      <c r="BC83" s="655"/>
      <c r="BD83" s="655"/>
      <c r="BE83" s="655"/>
      <c r="BF83" s="655"/>
      <c r="BG83" s="655"/>
      <c r="BH83" s="655"/>
      <c r="BI83" s="655"/>
      <c r="BJ83" s="655"/>
      <c r="BK83" s="655"/>
      <c r="BL83" s="655"/>
      <c r="BM83" s="655"/>
      <c r="BN83" s="655"/>
      <c r="BO83" s="655"/>
      <c r="BP83" s="655"/>
      <c r="BQ83" s="655"/>
      <c r="BR83" s="655"/>
      <c r="BS83" s="655"/>
      <c r="BT83" s="655"/>
      <c r="BU83" s="655"/>
    </row>
    <row r="84" spans="1:73" x14ac:dyDescent="0.35">
      <c r="A84" s="1406"/>
      <c r="B84" s="1406"/>
      <c r="C84" s="1406"/>
      <c r="D84" s="1406"/>
      <c r="E84" s="1406"/>
      <c r="F84" s="1406"/>
      <c r="G84" s="1406"/>
      <c r="H84" s="1406"/>
      <c r="I84" s="1406"/>
      <c r="J84" s="1406"/>
      <c r="K84" s="1406"/>
      <c r="L84" s="1406"/>
      <c r="M84" s="1406"/>
      <c r="N84" s="1406"/>
      <c r="O84" s="1406"/>
      <c r="P84" s="1406"/>
      <c r="Q84" s="1406"/>
      <c r="R84" s="1406"/>
      <c r="S84" s="1406"/>
      <c r="T84" s="1406"/>
      <c r="U84" s="1406"/>
      <c r="V84" s="1406"/>
      <c r="W84" s="1406"/>
      <c r="X84" s="1406"/>
      <c r="Y84" s="1406"/>
      <c r="Z84" s="1406"/>
      <c r="AA84" s="1406"/>
      <c r="AB84" s="1406"/>
      <c r="AC84" s="1406"/>
      <c r="AD84" s="1406"/>
      <c r="AE84" s="1406"/>
      <c r="AF84" s="1406"/>
      <c r="AG84" s="1406"/>
      <c r="AI84" s="544"/>
      <c r="AJ84" s="544"/>
      <c r="AK84" s="544"/>
      <c r="AL84" s="544"/>
      <c r="AM84" s="544"/>
      <c r="AN84" s="544"/>
      <c r="AP84" s="544"/>
      <c r="AQ84" s="544"/>
      <c r="AR84" s="544"/>
      <c r="AS84" s="544"/>
      <c r="AT84" s="544"/>
      <c r="AU84" s="544"/>
      <c r="AV84" s="544"/>
      <c r="BC84" s="655"/>
      <c r="BD84" s="655"/>
      <c r="BE84" s="655"/>
      <c r="BF84" s="655"/>
      <c r="BG84" s="655"/>
      <c r="BH84" s="655"/>
      <c r="BI84" s="655"/>
      <c r="BJ84" s="655"/>
      <c r="BK84" s="655"/>
      <c r="BL84" s="655"/>
      <c r="BM84" s="655"/>
      <c r="BN84" s="655"/>
      <c r="BO84" s="655"/>
      <c r="BP84" s="655"/>
      <c r="BQ84" s="655"/>
      <c r="BR84" s="655"/>
      <c r="BS84" s="655"/>
      <c r="BT84" s="655"/>
      <c r="BU84" s="655"/>
    </row>
    <row r="85" spans="1:73" x14ac:dyDescent="0.35">
      <c r="A85" s="1406"/>
      <c r="B85" s="1406"/>
      <c r="C85" s="1406"/>
      <c r="D85" s="1406"/>
      <c r="E85" s="1406"/>
      <c r="F85" s="1406"/>
      <c r="G85" s="1406"/>
      <c r="H85" s="1406"/>
      <c r="I85" s="1406"/>
      <c r="J85" s="1406"/>
      <c r="K85" s="1406"/>
      <c r="L85" s="1406"/>
      <c r="M85" s="1406"/>
      <c r="N85" s="1406"/>
      <c r="O85" s="1406"/>
      <c r="P85" s="1406"/>
      <c r="Q85" s="1406"/>
      <c r="R85" s="1406"/>
      <c r="S85" s="1406"/>
      <c r="T85" s="1406"/>
      <c r="U85" s="1406"/>
      <c r="V85" s="1406"/>
      <c r="W85" s="1406"/>
      <c r="X85" s="1406"/>
      <c r="Y85" s="1406"/>
      <c r="Z85" s="1406"/>
      <c r="AA85" s="1406"/>
      <c r="AB85" s="1406"/>
      <c r="AC85" s="1406"/>
      <c r="AD85" s="1406"/>
      <c r="AE85" s="1406"/>
      <c r="AF85" s="1406"/>
      <c r="AG85" s="1406"/>
      <c r="AI85" s="544"/>
      <c r="AJ85" s="544"/>
      <c r="AK85" s="544"/>
      <c r="AL85" s="544"/>
      <c r="AM85" s="544"/>
      <c r="AN85" s="544"/>
      <c r="AP85" s="544"/>
      <c r="AQ85" s="544"/>
      <c r="AR85" s="544"/>
      <c r="AS85" s="544"/>
      <c r="AT85" s="544"/>
      <c r="AU85" s="544"/>
      <c r="AV85" s="544"/>
      <c r="BC85" s="655"/>
      <c r="BD85" s="655"/>
      <c r="BE85" s="655"/>
      <c r="BF85" s="655"/>
      <c r="BG85" s="655"/>
      <c r="BH85" s="655"/>
      <c r="BI85" s="655"/>
      <c r="BJ85" s="655"/>
      <c r="BK85" s="655"/>
      <c r="BL85" s="655"/>
      <c r="BM85" s="655"/>
      <c r="BN85" s="655"/>
      <c r="BO85" s="655"/>
      <c r="BP85" s="655"/>
      <c r="BQ85" s="655"/>
      <c r="BR85" s="655"/>
      <c r="BS85" s="655"/>
      <c r="BT85" s="655"/>
      <c r="BU85" s="655"/>
    </row>
    <row r="86" spans="1:73" x14ac:dyDescent="0.35">
      <c r="A86" s="1406"/>
      <c r="B86" s="1406"/>
      <c r="C86" s="1406"/>
      <c r="D86" s="1406"/>
      <c r="E86" s="1406"/>
      <c r="F86" s="1406"/>
      <c r="G86" s="1406"/>
      <c r="H86" s="1406"/>
      <c r="I86" s="1406"/>
      <c r="J86" s="1406"/>
      <c r="K86" s="1406"/>
      <c r="L86" s="1406"/>
      <c r="M86" s="1406"/>
      <c r="N86" s="1406"/>
      <c r="O86" s="1406"/>
      <c r="P86" s="1406"/>
      <c r="Q86" s="1406"/>
      <c r="R86" s="1406"/>
      <c r="S86" s="1406"/>
      <c r="T86" s="1406"/>
      <c r="U86" s="1406"/>
      <c r="V86" s="1406"/>
      <c r="W86" s="1406"/>
      <c r="X86" s="1406"/>
      <c r="Y86" s="1406"/>
      <c r="Z86" s="1406"/>
      <c r="AA86" s="1406"/>
      <c r="AB86" s="1406"/>
      <c r="AC86" s="1406"/>
      <c r="AD86" s="1406"/>
      <c r="AE86" s="1406"/>
      <c r="AF86" s="1406"/>
      <c r="AG86" s="1406"/>
      <c r="AI86" s="544"/>
      <c r="AJ86" s="544"/>
      <c r="AK86" s="544"/>
      <c r="AL86" s="544"/>
      <c r="AM86" s="544"/>
      <c r="AN86" s="544"/>
      <c r="AP86" s="544"/>
      <c r="AQ86" s="544"/>
      <c r="AR86" s="544"/>
      <c r="AS86" s="544"/>
      <c r="AT86" s="544"/>
      <c r="AU86" s="544"/>
      <c r="AV86" s="544"/>
      <c r="BC86" s="655"/>
      <c r="BD86" s="655"/>
      <c r="BE86" s="655"/>
      <c r="BF86" s="655"/>
      <c r="BG86" s="655"/>
      <c r="BH86" s="655"/>
      <c r="BI86" s="655"/>
      <c r="BJ86" s="655"/>
      <c r="BK86" s="655"/>
      <c r="BL86" s="655"/>
      <c r="BM86" s="655"/>
      <c r="BN86" s="655"/>
      <c r="BO86" s="655"/>
      <c r="BP86" s="655"/>
      <c r="BQ86" s="655"/>
      <c r="BR86" s="655"/>
      <c r="BS86" s="655"/>
      <c r="BT86" s="655"/>
      <c r="BU86" s="655"/>
    </row>
    <row r="87" spans="1:73" x14ac:dyDescent="0.35">
      <c r="A87" s="1406"/>
      <c r="B87" s="1406"/>
      <c r="C87" s="1406"/>
      <c r="D87" s="1406"/>
      <c r="E87" s="1406"/>
      <c r="F87" s="1406"/>
      <c r="G87" s="1406"/>
      <c r="H87" s="1406"/>
      <c r="I87" s="1406"/>
      <c r="J87" s="1406"/>
      <c r="K87" s="1406"/>
      <c r="L87" s="1406"/>
      <c r="M87" s="1406"/>
      <c r="N87" s="1406"/>
      <c r="O87" s="1406"/>
      <c r="P87" s="1406"/>
      <c r="Q87" s="1406"/>
      <c r="R87" s="1406"/>
      <c r="S87" s="1406"/>
      <c r="T87" s="1406"/>
      <c r="U87" s="1406"/>
      <c r="V87" s="1406"/>
      <c r="W87" s="1406"/>
      <c r="X87" s="1406"/>
      <c r="Y87" s="1406"/>
      <c r="Z87" s="1406"/>
      <c r="AA87" s="1406"/>
      <c r="AB87" s="1406"/>
      <c r="AC87" s="1406"/>
      <c r="AD87" s="1406"/>
      <c r="AE87" s="1406"/>
      <c r="AF87" s="1406"/>
      <c r="AG87" s="1406"/>
      <c r="AI87" s="544"/>
      <c r="AJ87" s="544"/>
      <c r="AK87" s="544"/>
      <c r="AL87" s="544"/>
      <c r="AM87" s="544"/>
      <c r="AN87" s="544"/>
      <c r="AP87" s="544"/>
      <c r="AQ87" s="544"/>
      <c r="AR87" s="544"/>
      <c r="AS87" s="544"/>
      <c r="AT87" s="544"/>
      <c r="AU87" s="544"/>
      <c r="AV87" s="544"/>
      <c r="BC87" s="655"/>
      <c r="BD87" s="655"/>
      <c r="BE87" s="655"/>
      <c r="BF87" s="655"/>
      <c r="BG87" s="655"/>
      <c r="BH87" s="655"/>
      <c r="BI87" s="655"/>
      <c r="BJ87" s="655"/>
      <c r="BK87" s="655"/>
      <c r="BL87" s="655"/>
      <c r="BM87" s="655"/>
      <c r="BN87" s="655"/>
      <c r="BO87" s="655"/>
      <c r="BP87" s="655"/>
      <c r="BQ87" s="655"/>
      <c r="BR87" s="655"/>
      <c r="BS87" s="655"/>
      <c r="BT87" s="655"/>
      <c r="BU87" s="655"/>
    </row>
    <row r="88" spans="1:73" x14ac:dyDescent="0.35">
      <c r="A88" s="1406"/>
      <c r="B88" s="1406"/>
      <c r="C88" s="1406"/>
      <c r="D88" s="1406"/>
      <c r="E88" s="1406"/>
      <c r="F88" s="1406"/>
      <c r="G88" s="1406"/>
      <c r="H88" s="1406"/>
      <c r="I88" s="1406"/>
      <c r="J88" s="1406"/>
      <c r="K88" s="1406"/>
      <c r="L88" s="1406"/>
      <c r="M88" s="1406"/>
      <c r="N88" s="1406"/>
      <c r="O88" s="1406"/>
      <c r="P88" s="1406"/>
      <c r="Q88" s="1406"/>
      <c r="R88" s="1406"/>
      <c r="S88" s="1406"/>
      <c r="T88" s="1406"/>
      <c r="U88" s="1406"/>
      <c r="V88" s="1406"/>
      <c r="W88" s="1406"/>
      <c r="X88" s="1406"/>
      <c r="Y88" s="1406"/>
      <c r="Z88" s="1406"/>
      <c r="AA88" s="1406"/>
      <c r="AB88" s="1406"/>
      <c r="AC88" s="1406"/>
      <c r="AD88" s="1406"/>
      <c r="AE88" s="1406"/>
      <c r="AF88" s="1406"/>
      <c r="AG88" s="1406"/>
      <c r="AI88" s="544"/>
      <c r="AJ88" s="544"/>
      <c r="AK88" s="544"/>
      <c r="AL88" s="544"/>
      <c r="AM88" s="544"/>
      <c r="AN88" s="544"/>
      <c r="AP88" s="544"/>
      <c r="AQ88" s="544"/>
      <c r="AR88" s="544"/>
      <c r="AS88" s="544"/>
      <c r="AT88" s="544"/>
      <c r="AU88" s="544"/>
      <c r="AV88" s="544"/>
      <c r="BC88" s="655"/>
      <c r="BD88" s="655"/>
      <c r="BE88" s="655"/>
      <c r="BF88" s="655"/>
      <c r="BG88" s="655"/>
      <c r="BH88" s="655"/>
      <c r="BI88" s="655"/>
      <c r="BJ88" s="655"/>
      <c r="BK88" s="655"/>
      <c r="BL88" s="655"/>
      <c r="BM88" s="655"/>
      <c r="BN88" s="655"/>
      <c r="BO88" s="655"/>
      <c r="BP88" s="655"/>
      <c r="BQ88" s="655"/>
      <c r="BR88" s="655"/>
      <c r="BS88" s="655"/>
      <c r="BT88" s="655"/>
      <c r="BU88" s="655"/>
    </row>
    <row r="89" spans="1:73" x14ac:dyDescent="0.35">
      <c r="A89" s="1406"/>
      <c r="B89" s="1406"/>
      <c r="C89" s="1406"/>
      <c r="D89" s="1406"/>
      <c r="E89" s="1406"/>
      <c r="F89" s="1406"/>
      <c r="G89" s="1406"/>
      <c r="H89" s="1406"/>
      <c r="I89" s="1406"/>
      <c r="J89" s="1406"/>
      <c r="K89" s="1406"/>
      <c r="L89" s="1406"/>
      <c r="M89" s="1406"/>
      <c r="N89" s="1406"/>
      <c r="O89" s="1406"/>
      <c r="P89" s="1406"/>
      <c r="Q89" s="1406"/>
      <c r="R89" s="1406"/>
      <c r="S89" s="1406"/>
      <c r="T89" s="1406"/>
      <c r="U89" s="1406"/>
      <c r="V89" s="1406"/>
      <c r="W89" s="1406"/>
      <c r="X89" s="1406"/>
      <c r="Y89" s="1406"/>
      <c r="Z89" s="1406"/>
      <c r="AA89" s="1406"/>
      <c r="AB89" s="1406"/>
      <c r="AC89" s="1406"/>
      <c r="AD89" s="1406"/>
      <c r="AE89" s="1406"/>
      <c r="AF89" s="1406"/>
      <c r="AG89" s="1406"/>
      <c r="AI89" s="544"/>
      <c r="AJ89" s="544"/>
      <c r="AK89" s="544"/>
      <c r="AL89" s="544"/>
      <c r="AM89" s="544"/>
      <c r="AN89" s="544"/>
      <c r="AP89" s="544"/>
      <c r="AQ89" s="544"/>
      <c r="AR89" s="544"/>
      <c r="AS89" s="544"/>
      <c r="AT89" s="544"/>
      <c r="AU89" s="544"/>
      <c r="AV89" s="544"/>
      <c r="BC89" s="655"/>
      <c r="BD89" s="655"/>
      <c r="BE89" s="655"/>
      <c r="BF89" s="655"/>
      <c r="BG89" s="655"/>
      <c r="BH89" s="655"/>
      <c r="BI89" s="655"/>
      <c r="BJ89" s="655"/>
      <c r="BK89" s="655"/>
      <c r="BL89" s="655"/>
      <c r="BM89" s="655"/>
      <c r="BN89" s="655"/>
      <c r="BO89" s="655"/>
      <c r="BP89" s="655"/>
      <c r="BQ89" s="655"/>
      <c r="BR89" s="655"/>
      <c r="BS89" s="655"/>
      <c r="BT89" s="655"/>
      <c r="BU89" s="655"/>
    </row>
    <row r="90" spans="1:73" x14ac:dyDescent="0.35">
      <c r="A90" s="1406"/>
      <c r="B90" s="1406"/>
      <c r="C90" s="1406"/>
      <c r="D90" s="1406"/>
      <c r="E90" s="1406"/>
      <c r="F90" s="1406"/>
      <c r="G90" s="1406"/>
      <c r="H90" s="1406"/>
      <c r="I90" s="1406"/>
      <c r="J90" s="1406"/>
      <c r="K90" s="1406"/>
      <c r="L90" s="1406"/>
      <c r="M90" s="1406"/>
      <c r="N90" s="1406"/>
      <c r="O90" s="1406"/>
      <c r="P90" s="1406"/>
      <c r="Q90" s="1406"/>
      <c r="R90" s="1406"/>
      <c r="S90" s="1406"/>
      <c r="T90" s="1406"/>
      <c r="U90" s="1406"/>
      <c r="V90" s="1406"/>
      <c r="W90" s="1406"/>
      <c r="X90" s="1406"/>
      <c r="Y90" s="1406"/>
      <c r="Z90" s="1406"/>
      <c r="AA90" s="1406"/>
      <c r="AB90" s="1406"/>
      <c r="AC90" s="1406"/>
      <c r="AD90" s="1406"/>
      <c r="AE90" s="1406"/>
      <c r="AF90" s="1406"/>
      <c r="AG90" s="1406"/>
      <c r="AI90" s="544"/>
      <c r="AJ90" s="544"/>
      <c r="AK90" s="544"/>
      <c r="AL90" s="544"/>
      <c r="AM90" s="544"/>
      <c r="AN90" s="544"/>
      <c r="AP90" s="544"/>
      <c r="AQ90" s="544"/>
      <c r="AR90" s="544"/>
      <c r="AS90" s="544"/>
      <c r="AT90" s="544"/>
      <c r="AU90" s="544"/>
      <c r="AV90" s="544"/>
      <c r="BC90" s="655"/>
      <c r="BD90" s="655"/>
      <c r="BE90" s="655"/>
      <c r="BF90" s="655"/>
      <c r="BG90" s="655"/>
      <c r="BH90" s="655"/>
      <c r="BI90" s="655"/>
      <c r="BJ90" s="655"/>
      <c r="BK90" s="655"/>
      <c r="BL90" s="655"/>
      <c r="BM90" s="655"/>
      <c r="BN90" s="655"/>
      <c r="BO90" s="655"/>
      <c r="BP90" s="655"/>
      <c r="BQ90" s="655"/>
      <c r="BR90" s="655"/>
      <c r="BS90" s="655"/>
      <c r="BT90" s="655"/>
      <c r="BU90" s="655"/>
    </row>
    <row r="91" spans="1:73" x14ac:dyDescent="0.35">
      <c r="A91" s="1406"/>
      <c r="B91" s="1406"/>
      <c r="C91" s="1406"/>
      <c r="D91" s="1406"/>
      <c r="E91" s="1406"/>
      <c r="F91" s="1406"/>
      <c r="G91" s="1406"/>
      <c r="H91" s="1406"/>
      <c r="I91" s="1406"/>
      <c r="J91" s="1406"/>
      <c r="K91" s="1406"/>
      <c r="L91" s="1406"/>
      <c r="M91" s="1406"/>
      <c r="N91" s="1406"/>
      <c r="O91" s="1406"/>
      <c r="P91" s="1406"/>
      <c r="Q91" s="1406"/>
      <c r="R91" s="1406"/>
      <c r="S91" s="1406"/>
      <c r="T91" s="1406"/>
      <c r="U91" s="1406"/>
      <c r="V91" s="1406"/>
      <c r="W91" s="1406"/>
      <c r="X91" s="1406"/>
      <c r="Y91" s="1406"/>
      <c r="Z91" s="1406"/>
      <c r="AA91" s="1406"/>
      <c r="AB91" s="1406"/>
      <c r="AC91" s="1406"/>
      <c r="AD91" s="1406"/>
      <c r="AE91" s="1406"/>
      <c r="AF91" s="1406"/>
      <c r="AG91" s="1406"/>
      <c r="AI91" s="544"/>
      <c r="AJ91" s="544"/>
      <c r="AK91" s="544"/>
      <c r="AL91" s="544"/>
      <c r="AM91" s="544"/>
      <c r="AN91" s="544"/>
      <c r="AP91" s="544"/>
      <c r="AQ91" s="544"/>
      <c r="AR91" s="544"/>
      <c r="AS91" s="544"/>
      <c r="AT91" s="544"/>
      <c r="AU91" s="544"/>
      <c r="AV91" s="544"/>
      <c r="BC91" s="655"/>
      <c r="BD91" s="655"/>
      <c r="BE91" s="655"/>
      <c r="BF91" s="655"/>
      <c r="BG91" s="655"/>
      <c r="BH91" s="655"/>
      <c r="BI91" s="655"/>
      <c r="BJ91" s="655"/>
      <c r="BK91" s="655"/>
      <c r="BL91" s="655"/>
      <c r="BM91" s="655"/>
      <c r="BN91" s="655"/>
      <c r="BO91" s="655"/>
      <c r="BP91" s="655"/>
      <c r="BQ91" s="655"/>
      <c r="BR91" s="655"/>
      <c r="BS91" s="655"/>
      <c r="BT91" s="655"/>
      <c r="BU91" s="655"/>
    </row>
    <row r="92" spans="1:73" x14ac:dyDescent="0.35">
      <c r="A92" s="1406"/>
      <c r="B92" s="1406"/>
      <c r="C92" s="1406"/>
      <c r="D92" s="1406"/>
      <c r="E92" s="1406"/>
      <c r="F92" s="1406"/>
      <c r="G92" s="1406"/>
      <c r="H92" s="1406"/>
      <c r="I92" s="1406"/>
      <c r="J92" s="1406"/>
      <c r="K92" s="1406"/>
      <c r="L92" s="1406"/>
      <c r="M92" s="1406"/>
      <c r="N92" s="1406"/>
      <c r="O92" s="1406"/>
      <c r="P92" s="1406"/>
      <c r="Q92" s="1406"/>
      <c r="R92" s="1406"/>
      <c r="S92" s="1406"/>
      <c r="T92" s="1406"/>
      <c r="U92" s="1406"/>
      <c r="V92" s="1406"/>
      <c r="W92" s="1406"/>
      <c r="X92" s="1406"/>
      <c r="Y92" s="1406"/>
      <c r="Z92" s="1406"/>
      <c r="AA92" s="1406"/>
      <c r="AB92" s="1406"/>
      <c r="AC92" s="1406"/>
      <c r="AD92" s="1406"/>
      <c r="AE92" s="1406"/>
      <c r="AF92" s="1406"/>
      <c r="AG92" s="1406"/>
      <c r="AI92" s="544"/>
      <c r="AJ92" s="544"/>
      <c r="AK92" s="544"/>
      <c r="AL92" s="544"/>
      <c r="AM92" s="544"/>
      <c r="AN92" s="544"/>
      <c r="AP92" s="544"/>
      <c r="AQ92" s="544"/>
      <c r="AR92" s="544"/>
      <c r="AS92" s="544"/>
      <c r="AT92" s="544"/>
      <c r="AU92" s="544"/>
      <c r="AV92" s="544"/>
      <c r="BC92" s="655"/>
      <c r="BD92" s="655"/>
      <c r="BE92" s="655"/>
      <c r="BF92" s="655"/>
      <c r="BG92" s="655"/>
      <c r="BH92" s="655"/>
      <c r="BI92" s="655"/>
      <c r="BJ92" s="655"/>
      <c r="BK92" s="655"/>
      <c r="BL92" s="655"/>
      <c r="BM92" s="655"/>
      <c r="BN92" s="655"/>
      <c r="BO92" s="655"/>
      <c r="BP92" s="655"/>
      <c r="BQ92" s="655"/>
      <c r="BR92" s="655"/>
      <c r="BS92" s="655"/>
      <c r="BT92" s="655"/>
      <c r="BU92" s="655"/>
    </row>
    <row r="93" spans="1:73" x14ac:dyDescent="0.35">
      <c r="A93" s="1406"/>
      <c r="B93" s="1406"/>
      <c r="C93" s="1406"/>
      <c r="D93" s="1406"/>
      <c r="E93" s="1406"/>
      <c r="F93" s="1406"/>
      <c r="G93" s="1406"/>
      <c r="H93" s="1406"/>
      <c r="I93" s="1406"/>
      <c r="J93" s="1406"/>
      <c r="K93" s="1406"/>
      <c r="L93" s="1406"/>
      <c r="M93" s="1406"/>
      <c r="N93" s="1406"/>
      <c r="O93" s="1406"/>
      <c r="P93" s="1406"/>
      <c r="Q93" s="1406"/>
      <c r="R93" s="1406"/>
      <c r="S93" s="1406"/>
      <c r="T93" s="1406"/>
      <c r="U93" s="1406"/>
      <c r="V93" s="1406"/>
      <c r="W93" s="1406"/>
      <c r="X93" s="1406"/>
      <c r="Y93" s="1406"/>
      <c r="Z93" s="1406"/>
      <c r="AA93" s="1406"/>
      <c r="AB93" s="1406"/>
      <c r="AC93" s="1406"/>
      <c r="AD93" s="1406"/>
      <c r="AE93" s="1406"/>
      <c r="AF93" s="1406"/>
      <c r="AG93" s="1406"/>
      <c r="AI93" s="544"/>
      <c r="AJ93" s="544"/>
      <c r="AK93" s="544"/>
      <c r="AL93" s="544"/>
      <c r="AM93" s="544"/>
      <c r="AN93" s="544"/>
      <c r="AP93" s="544"/>
      <c r="AQ93" s="544"/>
      <c r="AR93" s="544"/>
      <c r="AS93" s="544"/>
      <c r="AT93" s="544"/>
      <c r="AU93" s="544"/>
      <c r="AV93" s="544"/>
      <c r="BC93" s="655"/>
      <c r="BD93" s="655"/>
      <c r="BE93" s="655"/>
      <c r="BF93" s="655"/>
      <c r="BG93" s="655"/>
      <c r="BH93" s="655"/>
      <c r="BI93" s="655"/>
      <c r="BJ93" s="655"/>
      <c r="BK93" s="655"/>
      <c r="BL93" s="655"/>
      <c r="BM93" s="655"/>
      <c r="BN93" s="655"/>
      <c r="BO93" s="655"/>
      <c r="BP93" s="655"/>
      <c r="BQ93" s="655"/>
      <c r="BR93" s="655"/>
      <c r="BS93" s="655"/>
      <c r="BT93" s="655"/>
      <c r="BU93" s="655"/>
    </row>
    <row r="94" spans="1:73" x14ac:dyDescent="0.35">
      <c r="A94" s="1406"/>
      <c r="B94" s="1406"/>
      <c r="C94" s="1406"/>
      <c r="D94" s="1406"/>
      <c r="E94" s="1406"/>
      <c r="F94" s="1406"/>
      <c r="G94" s="1406"/>
      <c r="H94" s="1406"/>
      <c r="I94" s="1406"/>
      <c r="J94" s="1406"/>
      <c r="K94" s="1406"/>
      <c r="L94" s="1406"/>
      <c r="M94" s="1406"/>
      <c r="N94" s="1406"/>
      <c r="O94" s="1406"/>
      <c r="P94" s="1406"/>
      <c r="Q94" s="1406"/>
      <c r="R94" s="1406"/>
      <c r="S94" s="1406"/>
      <c r="T94" s="1406"/>
      <c r="U94" s="1406"/>
      <c r="V94" s="1406"/>
      <c r="W94" s="1406"/>
      <c r="X94" s="1406"/>
      <c r="Y94" s="1406"/>
      <c r="Z94" s="1406"/>
      <c r="AA94" s="1406"/>
      <c r="AB94" s="1406"/>
      <c r="AC94" s="1406"/>
      <c r="AD94" s="1406"/>
      <c r="AE94" s="1406"/>
      <c r="AF94" s="1406"/>
      <c r="AG94" s="1406"/>
      <c r="AI94" s="544"/>
      <c r="AJ94" s="544"/>
      <c r="AK94" s="544"/>
      <c r="AL94" s="544"/>
      <c r="AM94" s="544"/>
      <c r="AN94" s="544"/>
      <c r="AP94" s="544"/>
      <c r="AQ94" s="544"/>
      <c r="AR94" s="544"/>
      <c r="AS94" s="544"/>
      <c r="AT94" s="544"/>
      <c r="AU94" s="544"/>
      <c r="AV94" s="544"/>
      <c r="BC94" s="655"/>
      <c r="BD94" s="655"/>
      <c r="BE94" s="655"/>
      <c r="BF94" s="655"/>
      <c r="BG94" s="655"/>
      <c r="BH94" s="655"/>
      <c r="BI94" s="655"/>
      <c r="BJ94" s="655"/>
      <c r="BK94" s="655"/>
      <c r="BL94" s="655"/>
      <c r="BM94" s="655"/>
      <c r="BN94" s="655"/>
      <c r="BO94" s="655"/>
      <c r="BP94" s="655"/>
      <c r="BQ94" s="655"/>
      <c r="BR94" s="655"/>
      <c r="BS94" s="655"/>
      <c r="BT94" s="655"/>
      <c r="BU94" s="655"/>
    </row>
    <row r="95" spans="1:73" x14ac:dyDescent="0.35">
      <c r="A95" s="1406"/>
      <c r="B95" s="1406"/>
      <c r="C95" s="1406"/>
      <c r="D95" s="1406"/>
      <c r="E95" s="1406"/>
      <c r="F95" s="1406"/>
      <c r="G95" s="1406"/>
      <c r="H95" s="1406"/>
      <c r="I95" s="1406"/>
      <c r="J95" s="1406"/>
      <c r="K95" s="1406"/>
      <c r="L95" s="1406"/>
      <c r="M95" s="1406"/>
      <c r="N95" s="1406"/>
      <c r="O95" s="1406"/>
      <c r="P95" s="1406"/>
      <c r="Q95" s="1406"/>
      <c r="R95" s="1406"/>
      <c r="S95" s="1406"/>
      <c r="T95" s="1406"/>
      <c r="U95" s="1406"/>
      <c r="V95" s="1406"/>
      <c r="W95" s="1406"/>
      <c r="X95" s="1406"/>
      <c r="Y95" s="1406"/>
      <c r="Z95" s="1406"/>
      <c r="AA95" s="1406"/>
      <c r="AB95" s="1406"/>
      <c r="AC95" s="1406"/>
      <c r="AD95" s="1406"/>
      <c r="AE95" s="1406"/>
      <c r="AF95" s="1406"/>
      <c r="AG95" s="1406"/>
      <c r="AI95" s="544"/>
      <c r="AJ95" s="544"/>
      <c r="AK95" s="544"/>
      <c r="AL95" s="544"/>
      <c r="AM95" s="544"/>
      <c r="AN95" s="544"/>
      <c r="AP95" s="544"/>
      <c r="AQ95" s="544"/>
      <c r="AR95" s="544"/>
      <c r="AS95" s="544"/>
      <c r="AT95" s="544"/>
      <c r="AU95" s="544"/>
      <c r="AV95" s="544"/>
      <c r="BC95" s="655"/>
      <c r="BD95" s="655"/>
      <c r="BE95" s="655"/>
      <c r="BF95" s="655"/>
      <c r="BG95" s="655"/>
      <c r="BH95" s="655"/>
      <c r="BI95" s="655"/>
      <c r="BJ95" s="655"/>
      <c r="BK95" s="655"/>
      <c r="BL95" s="655"/>
      <c r="BM95" s="655"/>
      <c r="BN95" s="655"/>
      <c r="BO95" s="655"/>
      <c r="BP95" s="655"/>
      <c r="BQ95" s="655"/>
      <c r="BR95" s="655"/>
      <c r="BS95" s="655"/>
      <c r="BT95" s="655"/>
      <c r="BU95" s="655"/>
    </row>
    <row r="96" spans="1:73" x14ac:dyDescent="0.35">
      <c r="A96" s="1406"/>
      <c r="B96" s="1406"/>
      <c r="C96" s="1406"/>
      <c r="D96" s="1406"/>
      <c r="E96" s="1406"/>
      <c r="F96" s="1406"/>
      <c r="G96" s="1406"/>
      <c r="H96" s="1406"/>
      <c r="I96" s="1406"/>
      <c r="J96" s="1406"/>
      <c r="K96" s="1406"/>
      <c r="L96" s="1406"/>
      <c r="M96" s="1406"/>
      <c r="N96" s="1406"/>
      <c r="O96" s="1406"/>
      <c r="P96" s="1406"/>
      <c r="Q96" s="1406"/>
      <c r="R96" s="1406"/>
      <c r="S96" s="1406"/>
      <c r="T96" s="1406"/>
      <c r="U96" s="1406"/>
      <c r="V96" s="1406"/>
      <c r="W96" s="1406"/>
      <c r="X96" s="1406"/>
      <c r="Y96" s="1406"/>
      <c r="Z96" s="1406"/>
      <c r="AA96" s="1406"/>
      <c r="AB96" s="1406"/>
      <c r="AC96" s="1406"/>
      <c r="AD96" s="1406"/>
      <c r="AE96" s="1406"/>
      <c r="AF96" s="1406"/>
      <c r="AG96" s="1406"/>
      <c r="AI96" s="544"/>
      <c r="AJ96" s="544"/>
      <c r="AK96" s="544"/>
      <c r="AL96" s="544"/>
      <c r="AM96" s="544"/>
      <c r="AN96" s="544"/>
      <c r="AP96" s="544"/>
      <c r="AQ96" s="544"/>
      <c r="AR96" s="544"/>
      <c r="AS96" s="544"/>
      <c r="AT96" s="544"/>
      <c r="AU96" s="544"/>
      <c r="AV96" s="544"/>
      <c r="BC96" s="655"/>
      <c r="BD96" s="655"/>
      <c r="BE96" s="655"/>
      <c r="BF96" s="655"/>
      <c r="BG96" s="655"/>
      <c r="BH96" s="655"/>
      <c r="BI96" s="655"/>
      <c r="BJ96" s="655"/>
      <c r="BK96" s="655"/>
      <c r="BL96" s="655"/>
      <c r="BM96" s="655"/>
      <c r="BN96" s="655"/>
      <c r="BO96" s="655"/>
      <c r="BP96" s="655"/>
      <c r="BQ96" s="655"/>
      <c r="BR96" s="655"/>
      <c r="BS96" s="655"/>
      <c r="BT96" s="655"/>
      <c r="BU96" s="655"/>
    </row>
    <row r="97" spans="1:73" x14ac:dyDescent="0.35">
      <c r="A97" s="1406"/>
      <c r="B97" s="1406"/>
      <c r="C97" s="1406"/>
      <c r="D97" s="1406"/>
      <c r="E97" s="1406"/>
      <c r="F97" s="1406"/>
      <c r="G97" s="1406"/>
      <c r="H97" s="1406"/>
      <c r="I97" s="1406"/>
      <c r="J97" s="1406"/>
      <c r="K97" s="1406"/>
      <c r="L97" s="1406"/>
      <c r="M97" s="1406"/>
      <c r="N97" s="1406"/>
      <c r="O97" s="1406"/>
      <c r="P97" s="1406"/>
      <c r="Q97" s="1406"/>
      <c r="R97" s="1406"/>
      <c r="S97" s="1406"/>
      <c r="T97" s="1406"/>
      <c r="U97" s="1406"/>
      <c r="V97" s="1406"/>
      <c r="W97" s="1406"/>
      <c r="X97" s="1406"/>
      <c r="Y97" s="1406"/>
      <c r="Z97" s="1406"/>
      <c r="AA97" s="1406"/>
      <c r="AB97" s="1406"/>
      <c r="AC97" s="1406"/>
      <c r="AD97" s="1406"/>
      <c r="AE97" s="1406"/>
      <c r="AF97" s="1406"/>
      <c r="AG97" s="1406"/>
      <c r="AI97" s="544"/>
      <c r="AJ97" s="544"/>
      <c r="AK97" s="544"/>
      <c r="AL97" s="544"/>
      <c r="AM97" s="544"/>
      <c r="AN97" s="544"/>
      <c r="AP97" s="544"/>
      <c r="AQ97" s="544"/>
      <c r="AR97" s="544"/>
      <c r="AS97" s="544"/>
      <c r="AT97" s="544"/>
      <c r="AU97" s="544"/>
      <c r="AV97" s="544"/>
      <c r="BC97" s="655"/>
      <c r="BD97" s="655"/>
      <c r="BE97" s="655"/>
      <c r="BF97" s="655"/>
      <c r="BG97" s="655"/>
      <c r="BH97" s="655"/>
      <c r="BI97" s="655"/>
      <c r="BJ97" s="655"/>
      <c r="BK97" s="655"/>
      <c r="BL97" s="655"/>
      <c r="BM97" s="655"/>
      <c r="BN97" s="655"/>
      <c r="BO97" s="655"/>
      <c r="BP97" s="655"/>
      <c r="BQ97" s="655"/>
      <c r="BR97" s="655"/>
      <c r="BS97" s="655"/>
      <c r="BT97" s="655"/>
      <c r="BU97" s="655"/>
    </row>
    <row r="98" spans="1:73" x14ac:dyDescent="0.35">
      <c r="A98" s="1406"/>
      <c r="B98" s="1406"/>
      <c r="C98" s="1406"/>
      <c r="D98" s="1406"/>
      <c r="E98" s="1406"/>
      <c r="F98" s="1406"/>
      <c r="G98" s="1406"/>
      <c r="H98" s="1406"/>
      <c r="I98" s="1406"/>
      <c r="J98" s="1406"/>
      <c r="K98" s="1406"/>
      <c r="L98" s="1406"/>
      <c r="M98" s="1406"/>
      <c r="N98" s="1406"/>
      <c r="O98" s="1406"/>
      <c r="P98" s="1406"/>
      <c r="Q98" s="1406"/>
      <c r="R98" s="1406"/>
      <c r="S98" s="1406"/>
      <c r="T98" s="1406"/>
      <c r="U98" s="1406"/>
      <c r="V98" s="1406"/>
      <c r="W98" s="1406"/>
      <c r="X98" s="1406"/>
      <c r="Y98" s="1406"/>
      <c r="Z98" s="1406"/>
      <c r="AA98" s="1406"/>
      <c r="AB98" s="1406"/>
      <c r="AC98" s="1406"/>
      <c r="AD98" s="1406"/>
      <c r="AE98" s="1406"/>
      <c r="AF98" s="1406"/>
      <c r="AG98" s="1406"/>
      <c r="AI98" s="544"/>
      <c r="AJ98" s="544"/>
      <c r="AK98" s="544"/>
      <c r="AL98" s="544"/>
      <c r="AM98" s="544"/>
      <c r="AN98" s="544"/>
      <c r="AP98" s="544"/>
      <c r="AQ98" s="544"/>
      <c r="AR98" s="544"/>
      <c r="AS98" s="544"/>
      <c r="AT98" s="544"/>
      <c r="AU98" s="544"/>
      <c r="AV98" s="544"/>
      <c r="BC98" s="655"/>
      <c r="BD98" s="655"/>
      <c r="BE98" s="655"/>
      <c r="BF98" s="655"/>
      <c r="BG98" s="655"/>
      <c r="BH98" s="655"/>
      <c r="BI98" s="655"/>
      <c r="BJ98" s="655"/>
      <c r="BK98" s="655"/>
      <c r="BL98" s="655"/>
      <c r="BM98" s="655"/>
      <c r="BN98" s="655"/>
      <c r="BO98" s="655"/>
      <c r="BP98" s="655"/>
      <c r="BQ98" s="655"/>
      <c r="BR98" s="655"/>
      <c r="BS98" s="655"/>
      <c r="BT98" s="655"/>
      <c r="BU98" s="655"/>
    </row>
    <row r="99" spans="1:73" x14ac:dyDescent="0.35">
      <c r="A99" s="1406"/>
      <c r="B99" s="1406"/>
      <c r="C99" s="1406"/>
      <c r="D99" s="1406"/>
      <c r="E99" s="1406"/>
      <c r="F99" s="1406"/>
      <c r="G99" s="1406"/>
      <c r="H99" s="1406"/>
      <c r="I99" s="1406"/>
      <c r="J99" s="1406"/>
      <c r="K99" s="1406"/>
      <c r="L99" s="1406"/>
      <c r="M99" s="1406"/>
      <c r="N99" s="1406"/>
      <c r="O99" s="1406"/>
      <c r="P99" s="1406"/>
      <c r="Q99" s="1406"/>
      <c r="R99" s="1406"/>
      <c r="S99" s="1406"/>
      <c r="T99" s="1406"/>
      <c r="U99" s="1406"/>
      <c r="V99" s="1406"/>
      <c r="W99" s="1406"/>
      <c r="X99" s="1406"/>
      <c r="Y99" s="1406"/>
      <c r="Z99" s="1406"/>
      <c r="AA99" s="1406"/>
      <c r="AB99" s="1406"/>
      <c r="AC99" s="1406"/>
      <c r="AD99" s="1406"/>
      <c r="AE99" s="1406"/>
      <c r="AF99" s="1406"/>
      <c r="AG99" s="1406"/>
      <c r="AI99" s="544"/>
      <c r="AJ99" s="544"/>
      <c r="AK99" s="544"/>
      <c r="AL99" s="544"/>
      <c r="AM99" s="544"/>
      <c r="AN99" s="544"/>
      <c r="AP99" s="544"/>
      <c r="AQ99" s="544"/>
      <c r="AR99" s="544"/>
      <c r="AS99" s="544"/>
      <c r="AT99" s="544"/>
      <c r="AU99" s="544"/>
      <c r="AV99" s="544"/>
      <c r="BC99" s="655"/>
      <c r="BD99" s="655"/>
      <c r="BE99" s="655"/>
      <c r="BF99" s="655"/>
      <c r="BG99" s="655"/>
      <c r="BH99" s="655"/>
      <c r="BI99" s="655"/>
      <c r="BJ99" s="655"/>
      <c r="BK99" s="655"/>
      <c r="BL99" s="655"/>
      <c r="BM99" s="655"/>
      <c r="BN99" s="655"/>
      <c r="BO99" s="655"/>
      <c r="BP99" s="655"/>
      <c r="BQ99" s="655"/>
      <c r="BR99" s="655"/>
      <c r="BS99" s="655"/>
      <c r="BT99" s="655"/>
      <c r="BU99" s="655"/>
    </row>
    <row r="100" spans="1:73" x14ac:dyDescent="0.35">
      <c r="A100" s="1406"/>
      <c r="B100" s="1406"/>
      <c r="C100" s="1406"/>
      <c r="D100" s="1406"/>
      <c r="E100" s="1406"/>
      <c r="F100" s="1406"/>
      <c r="G100" s="1406"/>
      <c r="H100" s="1406"/>
      <c r="I100" s="1406"/>
      <c r="J100" s="1406"/>
      <c r="K100" s="1406"/>
      <c r="L100" s="1406"/>
      <c r="M100" s="1406"/>
      <c r="N100" s="1406"/>
      <c r="O100" s="1406"/>
      <c r="P100" s="1406"/>
      <c r="Q100" s="1406"/>
      <c r="R100" s="1406"/>
      <c r="S100" s="1406"/>
      <c r="T100" s="1406"/>
      <c r="U100" s="1406"/>
      <c r="V100" s="1406"/>
      <c r="W100" s="1406"/>
      <c r="X100" s="1406"/>
      <c r="Y100" s="1406"/>
      <c r="Z100" s="1406"/>
      <c r="AA100" s="1406"/>
      <c r="AB100" s="1406"/>
      <c r="AC100" s="1406"/>
      <c r="AD100" s="1406"/>
      <c r="AE100" s="1406"/>
      <c r="AF100" s="1406"/>
      <c r="AG100" s="1406"/>
      <c r="AI100" s="544"/>
      <c r="AJ100" s="544"/>
      <c r="AK100" s="544"/>
      <c r="AL100" s="544"/>
      <c r="AM100" s="544"/>
      <c r="AN100" s="544"/>
      <c r="AP100" s="544"/>
      <c r="AQ100" s="544"/>
      <c r="AR100" s="544"/>
      <c r="AS100" s="544"/>
      <c r="AT100" s="544"/>
      <c r="AU100" s="544"/>
      <c r="AV100" s="544"/>
      <c r="BC100" s="655"/>
      <c r="BD100" s="655"/>
      <c r="BE100" s="655"/>
      <c r="BF100" s="655"/>
      <c r="BG100" s="655"/>
      <c r="BH100" s="655"/>
      <c r="BI100" s="655"/>
      <c r="BJ100" s="655"/>
      <c r="BK100" s="655"/>
      <c r="BL100" s="655"/>
      <c r="BM100" s="655"/>
      <c r="BN100" s="655"/>
      <c r="BO100" s="655"/>
      <c r="BP100" s="655"/>
      <c r="BQ100" s="655"/>
      <c r="BR100" s="655"/>
      <c r="BS100" s="655"/>
      <c r="BT100" s="655"/>
      <c r="BU100" s="655"/>
    </row>
    <row r="101" spans="1:73" x14ac:dyDescent="0.35">
      <c r="A101" s="1406"/>
      <c r="B101" s="1406"/>
      <c r="C101" s="1406"/>
      <c r="D101" s="1406"/>
      <c r="E101" s="1406"/>
      <c r="F101" s="1406"/>
      <c r="G101" s="1406"/>
      <c r="H101" s="1406"/>
      <c r="I101" s="1406"/>
      <c r="J101" s="1406"/>
      <c r="K101" s="1406"/>
      <c r="L101" s="1406"/>
      <c r="M101" s="1406"/>
      <c r="N101" s="1406"/>
      <c r="O101" s="1406"/>
      <c r="P101" s="1406"/>
      <c r="Q101" s="1406"/>
      <c r="R101" s="1406"/>
      <c r="S101" s="1406"/>
      <c r="T101" s="1406"/>
      <c r="U101" s="1406"/>
      <c r="V101" s="1406"/>
      <c r="W101" s="1406"/>
      <c r="X101" s="1406"/>
      <c r="Y101" s="1406"/>
      <c r="Z101" s="1406"/>
      <c r="AA101" s="1406"/>
      <c r="AB101" s="1406"/>
      <c r="AC101" s="1406"/>
      <c r="AD101" s="1406"/>
      <c r="AE101" s="1406"/>
      <c r="AF101" s="1406"/>
      <c r="AG101" s="1406"/>
      <c r="AI101" s="544"/>
      <c r="AJ101" s="544"/>
      <c r="AK101" s="544"/>
      <c r="AL101" s="544"/>
      <c r="AM101" s="544"/>
      <c r="AN101" s="544"/>
      <c r="AP101" s="544"/>
      <c r="AQ101" s="544"/>
      <c r="AR101" s="544"/>
      <c r="AS101" s="544"/>
      <c r="AT101" s="544"/>
      <c r="AU101" s="544"/>
      <c r="AV101" s="544"/>
      <c r="BC101" s="655"/>
      <c r="BD101" s="655"/>
      <c r="BE101" s="655"/>
      <c r="BF101" s="655"/>
      <c r="BG101" s="655"/>
      <c r="BH101" s="655"/>
      <c r="BI101" s="655"/>
      <c r="BJ101" s="655"/>
      <c r="BK101" s="655"/>
      <c r="BL101" s="655"/>
      <c r="BM101" s="655"/>
      <c r="BN101" s="655"/>
      <c r="BO101" s="655"/>
      <c r="BP101" s="655"/>
      <c r="BQ101" s="655"/>
      <c r="BR101" s="655"/>
      <c r="BS101" s="655"/>
      <c r="BT101" s="655"/>
      <c r="BU101" s="655"/>
    </row>
    <row r="102" spans="1:73" x14ac:dyDescent="0.35">
      <c r="A102" s="1406"/>
      <c r="B102" s="1406"/>
      <c r="C102" s="1406"/>
      <c r="D102" s="1406"/>
      <c r="E102" s="1406"/>
      <c r="F102" s="1406"/>
      <c r="G102" s="1406"/>
      <c r="H102" s="1406"/>
      <c r="I102" s="1406"/>
      <c r="J102" s="1406"/>
      <c r="K102" s="1406"/>
      <c r="L102" s="1406"/>
      <c r="M102" s="1406"/>
      <c r="N102" s="1406"/>
      <c r="O102" s="1406"/>
      <c r="P102" s="1406"/>
      <c r="Q102" s="1406"/>
      <c r="R102" s="1406"/>
      <c r="S102" s="1406"/>
      <c r="T102" s="1406"/>
      <c r="U102" s="1406"/>
      <c r="V102" s="1406"/>
      <c r="W102" s="1406"/>
      <c r="X102" s="1406"/>
      <c r="Y102" s="1406"/>
      <c r="Z102" s="1406"/>
      <c r="AA102" s="1406"/>
      <c r="AB102" s="1406"/>
      <c r="AC102" s="1406"/>
      <c r="AD102" s="1406"/>
      <c r="AE102" s="1406"/>
      <c r="AF102" s="1406"/>
      <c r="AG102" s="1406"/>
      <c r="AI102" s="544"/>
      <c r="AJ102" s="544"/>
      <c r="AK102" s="544"/>
      <c r="AL102" s="544"/>
      <c r="AM102" s="544"/>
      <c r="AN102" s="544"/>
      <c r="AP102" s="544"/>
      <c r="AQ102" s="544"/>
      <c r="AR102" s="544"/>
      <c r="AS102" s="544"/>
      <c r="AT102" s="544"/>
      <c r="AU102" s="544"/>
      <c r="AV102" s="544"/>
      <c r="BC102" s="655"/>
      <c r="BD102" s="655"/>
      <c r="BE102" s="655"/>
      <c r="BF102" s="655"/>
      <c r="BG102" s="655"/>
      <c r="BH102" s="655"/>
      <c r="BI102" s="655"/>
      <c r="BJ102" s="655"/>
      <c r="BK102" s="655"/>
      <c r="BL102" s="655"/>
      <c r="BM102" s="655"/>
      <c r="BN102" s="655"/>
      <c r="BO102" s="655"/>
      <c r="BP102" s="655"/>
      <c r="BQ102" s="655"/>
      <c r="BR102" s="655"/>
      <c r="BS102" s="655"/>
      <c r="BT102" s="655"/>
      <c r="BU102" s="655"/>
    </row>
    <row r="103" spans="1:73" x14ac:dyDescent="0.35">
      <c r="A103" s="1406"/>
      <c r="B103" s="1406"/>
      <c r="C103" s="1406"/>
      <c r="D103" s="1406"/>
      <c r="E103" s="1406"/>
      <c r="F103" s="1406"/>
      <c r="G103" s="1406"/>
      <c r="H103" s="1406"/>
      <c r="I103" s="1406"/>
      <c r="J103" s="1406"/>
      <c r="K103" s="1406"/>
      <c r="L103" s="1406"/>
      <c r="M103" s="1406"/>
      <c r="N103" s="1406"/>
      <c r="O103" s="1406"/>
      <c r="P103" s="1406"/>
      <c r="Q103" s="1406"/>
      <c r="R103" s="1406"/>
      <c r="S103" s="1406"/>
      <c r="T103" s="1406"/>
      <c r="U103" s="1406"/>
      <c r="V103" s="1406"/>
      <c r="W103" s="1406"/>
      <c r="X103" s="1406"/>
      <c r="Y103" s="1406"/>
      <c r="Z103" s="1406"/>
      <c r="AA103" s="1406"/>
      <c r="AB103" s="1406"/>
      <c r="AC103" s="1406"/>
      <c r="AD103" s="1406"/>
      <c r="AE103" s="1406"/>
      <c r="AF103" s="1406"/>
      <c r="AG103" s="1406"/>
      <c r="AI103" s="544"/>
      <c r="AJ103" s="544"/>
      <c r="AK103" s="544"/>
      <c r="AL103" s="544"/>
      <c r="AM103" s="544"/>
      <c r="AN103" s="544"/>
      <c r="AP103" s="544"/>
      <c r="AQ103" s="544"/>
      <c r="AR103" s="544"/>
      <c r="AS103" s="544"/>
      <c r="AT103" s="544"/>
      <c r="AU103" s="544"/>
      <c r="AV103" s="544"/>
      <c r="BC103" s="655"/>
      <c r="BD103" s="655"/>
      <c r="BE103" s="655"/>
      <c r="BF103" s="655"/>
      <c r="BG103" s="655"/>
      <c r="BH103" s="655"/>
      <c r="BI103" s="655"/>
      <c r="BJ103" s="655"/>
      <c r="BK103" s="655"/>
      <c r="BL103" s="655"/>
      <c r="BM103" s="655"/>
      <c r="BN103" s="655"/>
      <c r="BO103" s="655"/>
      <c r="BP103" s="655"/>
      <c r="BQ103" s="655"/>
      <c r="BR103" s="655"/>
      <c r="BS103" s="655"/>
      <c r="BT103" s="655"/>
      <c r="BU103" s="655"/>
    </row>
    <row r="104" spans="1:73" x14ac:dyDescent="0.35">
      <c r="A104" s="1406"/>
      <c r="B104" s="1406"/>
      <c r="C104" s="1406"/>
      <c r="D104" s="1406"/>
      <c r="E104" s="1406"/>
      <c r="F104" s="1406"/>
      <c r="G104" s="1406"/>
      <c r="H104" s="1406"/>
      <c r="I104" s="1406"/>
      <c r="J104" s="1406"/>
      <c r="K104" s="1406"/>
      <c r="L104" s="1406"/>
      <c r="M104" s="1406"/>
      <c r="N104" s="1406"/>
      <c r="O104" s="1406"/>
      <c r="P104" s="1406"/>
      <c r="Q104" s="1406"/>
      <c r="R104" s="1406"/>
      <c r="S104" s="1406"/>
      <c r="T104" s="1406"/>
      <c r="U104" s="1406"/>
      <c r="V104" s="1406"/>
      <c r="W104" s="1406"/>
      <c r="X104" s="1406"/>
      <c r="Y104" s="1406"/>
      <c r="Z104" s="1406"/>
      <c r="AA104" s="1406"/>
      <c r="AB104" s="1406"/>
      <c r="AC104" s="1406"/>
      <c r="AD104" s="1406"/>
      <c r="AE104" s="1406"/>
      <c r="AF104" s="1406"/>
      <c r="AG104" s="1406"/>
      <c r="AI104" s="544"/>
      <c r="AJ104" s="544"/>
      <c r="AK104" s="544"/>
      <c r="AL104" s="544"/>
      <c r="AM104" s="544"/>
      <c r="AN104" s="544"/>
      <c r="AP104" s="544"/>
      <c r="AQ104" s="544"/>
      <c r="AR104" s="544"/>
      <c r="AS104" s="544"/>
      <c r="AT104" s="544"/>
      <c r="AU104" s="544"/>
      <c r="AV104" s="544"/>
      <c r="BC104" s="655"/>
      <c r="BD104" s="655"/>
      <c r="BE104" s="655"/>
      <c r="BF104" s="655"/>
      <c r="BG104" s="655"/>
      <c r="BH104" s="655"/>
      <c r="BI104" s="655"/>
      <c r="BJ104" s="655"/>
      <c r="BK104" s="655"/>
      <c r="BL104" s="655"/>
      <c r="BM104" s="655"/>
      <c r="BN104" s="655"/>
      <c r="BO104" s="655"/>
      <c r="BP104" s="655"/>
      <c r="BQ104" s="655"/>
      <c r="BR104" s="655"/>
      <c r="BS104" s="655"/>
      <c r="BT104" s="655"/>
      <c r="BU104" s="655"/>
    </row>
    <row r="105" spans="1:73" x14ac:dyDescent="0.35">
      <c r="A105" s="1406"/>
      <c r="B105" s="1406"/>
      <c r="C105" s="1406"/>
      <c r="D105" s="1406"/>
      <c r="E105" s="1406"/>
      <c r="F105" s="1406"/>
      <c r="G105" s="1406"/>
      <c r="H105" s="1406"/>
      <c r="I105" s="1406"/>
      <c r="J105" s="1406"/>
      <c r="K105" s="1406"/>
      <c r="L105" s="1406"/>
      <c r="M105" s="1406"/>
      <c r="N105" s="1406"/>
      <c r="O105" s="1406"/>
      <c r="P105" s="1406"/>
      <c r="Q105" s="1406"/>
      <c r="R105" s="1406"/>
      <c r="S105" s="1406"/>
      <c r="T105" s="1406"/>
      <c r="U105" s="1406"/>
      <c r="V105" s="1406"/>
      <c r="W105" s="1406"/>
      <c r="X105" s="1406"/>
      <c r="Y105" s="1406"/>
      <c r="Z105" s="1406"/>
      <c r="AA105" s="1406"/>
      <c r="AB105" s="1406"/>
      <c r="AC105" s="1406"/>
      <c r="AD105" s="1406"/>
      <c r="AE105" s="1406"/>
      <c r="AF105" s="1406"/>
      <c r="AG105" s="1406"/>
      <c r="AI105" s="544"/>
      <c r="AJ105" s="544"/>
      <c r="AK105" s="544"/>
      <c r="AL105" s="544"/>
      <c r="AM105" s="544"/>
      <c r="AN105" s="544"/>
      <c r="AP105" s="544"/>
      <c r="AQ105" s="544"/>
      <c r="AR105" s="544"/>
      <c r="AS105" s="544"/>
      <c r="AT105" s="544"/>
      <c r="AU105" s="544"/>
      <c r="AV105" s="544"/>
      <c r="BC105" s="655"/>
      <c r="BD105" s="655"/>
      <c r="BE105" s="655"/>
      <c r="BF105" s="655"/>
      <c r="BG105" s="655"/>
      <c r="BH105" s="655"/>
      <c r="BI105" s="655"/>
      <c r="BJ105" s="655"/>
      <c r="BK105" s="655"/>
      <c r="BL105" s="655"/>
      <c r="BM105" s="655"/>
      <c r="BN105" s="655"/>
      <c r="BO105" s="655"/>
      <c r="BP105" s="655"/>
      <c r="BQ105" s="655"/>
      <c r="BR105" s="655"/>
      <c r="BS105" s="655"/>
      <c r="BT105" s="655"/>
      <c r="BU105" s="655"/>
    </row>
    <row r="106" spans="1:73" x14ac:dyDescent="0.35">
      <c r="A106" s="1406"/>
      <c r="B106" s="1406"/>
      <c r="C106" s="1406"/>
      <c r="D106" s="1406"/>
      <c r="E106" s="1406"/>
      <c r="F106" s="1406"/>
      <c r="G106" s="1406"/>
      <c r="H106" s="1406"/>
      <c r="I106" s="1406"/>
      <c r="J106" s="1406"/>
      <c r="K106" s="1406"/>
      <c r="L106" s="1406"/>
      <c r="M106" s="1406"/>
      <c r="N106" s="1406"/>
      <c r="O106" s="1406"/>
      <c r="P106" s="1406"/>
      <c r="Q106" s="1406"/>
      <c r="R106" s="1406"/>
      <c r="S106" s="1406"/>
      <c r="T106" s="1406"/>
      <c r="U106" s="1406"/>
      <c r="V106" s="1406"/>
      <c r="W106" s="1406"/>
      <c r="X106" s="1406"/>
      <c r="Y106" s="1406"/>
      <c r="Z106" s="1406"/>
      <c r="AA106" s="1406"/>
      <c r="AB106" s="1406"/>
      <c r="AC106" s="1406"/>
      <c r="AD106" s="1406"/>
      <c r="AE106" s="1406"/>
      <c r="AF106" s="1406"/>
      <c r="AG106" s="1406"/>
      <c r="AI106" s="544"/>
      <c r="AJ106" s="544"/>
      <c r="AK106" s="544"/>
      <c r="AL106" s="544"/>
      <c r="AM106" s="544"/>
      <c r="AN106" s="544"/>
      <c r="AP106" s="544"/>
      <c r="AQ106" s="544"/>
      <c r="AR106" s="544"/>
      <c r="AS106" s="544"/>
      <c r="AT106" s="544"/>
      <c r="AU106" s="544"/>
      <c r="AV106" s="544"/>
      <c r="BC106" s="655"/>
      <c r="BD106" s="655"/>
      <c r="BE106" s="655"/>
      <c r="BF106" s="655"/>
      <c r="BG106" s="655"/>
      <c r="BH106" s="655"/>
      <c r="BI106" s="655"/>
      <c r="BJ106" s="655"/>
      <c r="BK106" s="655"/>
      <c r="BL106" s="655"/>
      <c r="BM106" s="655"/>
      <c r="BN106" s="655"/>
      <c r="BO106" s="655"/>
      <c r="BP106" s="655"/>
      <c r="BQ106" s="655"/>
      <c r="BR106" s="655"/>
      <c r="BS106" s="655"/>
      <c r="BT106" s="655"/>
      <c r="BU106" s="655"/>
    </row>
    <row r="107" spans="1:73" x14ac:dyDescent="0.35">
      <c r="A107" s="1406"/>
      <c r="B107" s="1406"/>
      <c r="C107" s="1406"/>
      <c r="D107" s="1406"/>
      <c r="E107" s="1406"/>
      <c r="F107" s="1406"/>
      <c r="G107" s="1406"/>
      <c r="H107" s="1406"/>
      <c r="I107" s="1406"/>
      <c r="J107" s="1406"/>
      <c r="K107" s="1406"/>
      <c r="L107" s="1406"/>
      <c r="M107" s="1406"/>
      <c r="N107" s="1406"/>
      <c r="O107" s="1406"/>
      <c r="P107" s="1406"/>
      <c r="Q107" s="1406"/>
      <c r="R107" s="1406"/>
      <c r="S107" s="1406"/>
      <c r="T107" s="1406"/>
      <c r="U107" s="1406"/>
      <c r="V107" s="1406"/>
      <c r="W107" s="1406"/>
      <c r="X107" s="1406"/>
      <c r="Y107" s="1406"/>
      <c r="Z107" s="1406"/>
      <c r="AA107" s="1406"/>
      <c r="AB107" s="1406"/>
      <c r="AC107" s="1406"/>
      <c r="AD107" s="1406"/>
      <c r="AE107" s="1406"/>
      <c r="AF107" s="1406"/>
      <c r="AG107" s="1406"/>
      <c r="AI107" s="544"/>
      <c r="AJ107" s="544"/>
      <c r="AK107" s="544"/>
      <c r="AL107" s="544"/>
      <c r="AM107" s="544"/>
      <c r="AN107" s="544"/>
      <c r="AP107" s="544"/>
      <c r="AQ107" s="544"/>
      <c r="AR107" s="544"/>
      <c r="AS107" s="544"/>
      <c r="AT107" s="544"/>
      <c r="AU107" s="544"/>
      <c r="AV107" s="544"/>
      <c r="BC107" s="655"/>
      <c r="BD107" s="655"/>
      <c r="BE107" s="655"/>
      <c r="BF107" s="655"/>
      <c r="BG107" s="655"/>
      <c r="BH107" s="655"/>
      <c r="BI107" s="655"/>
      <c r="BJ107" s="655"/>
      <c r="BK107" s="655"/>
      <c r="BL107" s="655"/>
      <c r="BM107" s="655"/>
      <c r="BN107" s="655"/>
      <c r="BO107" s="655"/>
      <c r="BP107" s="655"/>
      <c r="BQ107" s="655"/>
      <c r="BR107" s="655"/>
      <c r="BS107" s="655"/>
      <c r="BT107" s="655"/>
      <c r="BU107" s="655"/>
    </row>
    <row r="108" spans="1:73" x14ac:dyDescent="0.35">
      <c r="A108" s="1406"/>
      <c r="B108" s="1406"/>
      <c r="C108" s="1406"/>
      <c r="D108" s="1406"/>
      <c r="E108" s="1406"/>
      <c r="F108" s="1406"/>
      <c r="G108" s="1406"/>
      <c r="H108" s="1406"/>
      <c r="I108" s="1406"/>
      <c r="J108" s="1406"/>
      <c r="K108" s="1406"/>
      <c r="L108" s="1406"/>
      <c r="M108" s="1406"/>
      <c r="N108" s="1406"/>
      <c r="O108" s="1406"/>
      <c r="P108" s="1406"/>
      <c r="Q108" s="1406"/>
      <c r="R108" s="1406"/>
      <c r="S108" s="1406"/>
      <c r="T108" s="1406"/>
      <c r="U108" s="1406"/>
      <c r="V108" s="1406"/>
      <c r="W108" s="1406"/>
      <c r="X108" s="1406"/>
      <c r="Y108" s="1406"/>
      <c r="Z108" s="1406"/>
      <c r="AA108" s="1406"/>
      <c r="AB108" s="1406"/>
      <c r="AC108" s="1406"/>
      <c r="AD108" s="1406"/>
      <c r="AE108" s="1406"/>
      <c r="AF108" s="1406"/>
      <c r="AG108" s="1406"/>
      <c r="AI108" s="544"/>
      <c r="AJ108" s="544"/>
      <c r="AK108" s="544"/>
      <c r="AL108" s="544"/>
      <c r="AM108" s="544"/>
      <c r="AN108" s="544"/>
      <c r="AP108" s="544"/>
      <c r="AQ108" s="544"/>
      <c r="AR108" s="544"/>
      <c r="AS108" s="544"/>
      <c r="AT108" s="544"/>
      <c r="AU108" s="544"/>
      <c r="AV108" s="544"/>
    </row>
    <row r="109" spans="1:73" x14ac:dyDescent="0.35">
      <c r="A109" s="1406"/>
      <c r="B109" s="1406"/>
      <c r="C109" s="1406"/>
      <c r="D109" s="1406"/>
      <c r="E109" s="1406"/>
      <c r="F109" s="1406"/>
      <c r="G109" s="1406"/>
      <c r="H109" s="1406"/>
      <c r="I109" s="1406"/>
      <c r="J109" s="1406"/>
      <c r="K109" s="1406"/>
      <c r="L109" s="1406"/>
      <c r="M109" s="1406"/>
      <c r="N109" s="1406"/>
      <c r="O109" s="1406"/>
      <c r="P109" s="1406"/>
      <c r="Q109" s="1406"/>
      <c r="R109" s="1406"/>
      <c r="S109" s="1406"/>
      <c r="T109" s="1406"/>
      <c r="U109" s="1406"/>
      <c r="V109" s="1406"/>
      <c r="W109" s="1406"/>
      <c r="X109" s="1406"/>
      <c r="Y109" s="1406"/>
      <c r="Z109" s="1406"/>
      <c r="AA109" s="1406"/>
      <c r="AB109" s="1406"/>
      <c r="AC109" s="1406"/>
      <c r="AD109" s="1406"/>
      <c r="AE109" s="1406"/>
      <c r="AF109" s="1406"/>
      <c r="AG109" s="1406"/>
      <c r="AI109" s="544"/>
      <c r="AJ109" s="544"/>
      <c r="AK109" s="544"/>
      <c r="AL109" s="544"/>
      <c r="AM109" s="544"/>
      <c r="AN109" s="544"/>
      <c r="AP109" s="544"/>
      <c r="AQ109" s="544"/>
      <c r="AR109" s="544"/>
      <c r="AS109" s="544"/>
      <c r="AT109" s="544"/>
      <c r="AU109" s="544"/>
      <c r="AV109" s="544"/>
    </row>
    <row r="110" spans="1:73" x14ac:dyDescent="0.35">
      <c r="A110" s="1406"/>
      <c r="B110" s="1406"/>
      <c r="C110" s="1406"/>
      <c r="D110" s="1406"/>
      <c r="E110" s="1406"/>
      <c r="F110" s="1406"/>
      <c r="G110" s="1406"/>
      <c r="H110" s="1406"/>
      <c r="I110" s="1406"/>
      <c r="J110" s="1406"/>
      <c r="K110" s="1406"/>
      <c r="L110" s="1406"/>
      <c r="M110" s="1406"/>
      <c r="N110" s="1406"/>
      <c r="O110" s="1406"/>
      <c r="P110" s="1406"/>
      <c r="Q110" s="1406"/>
      <c r="R110" s="1406"/>
      <c r="S110" s="1406"/>
      <c r="T110" s="1406"/>
      <c r="U110" s="1406"/>
      <c r="V110" s="1406"/>
      <c r="W110" s="1406"/>
      <c r="X110" s="1406"/>
      <c r="Y110" s="1406"/>
      <c r="Z110" s="1406"/>
      <c r="AA110" s="1406"/>
      <c r="AB110" s="1406"/>
      <c r="AC110" s="1406"/>
      <c r="AD110" s="1406"/>
      <c r="AE110" s="1406"/>
      <c r="AF110" s="1406"/>
      <c r="AG110" s="1406"/>
      <c r="AI110" s="544"/>
      <c r="AJ110" s="544"/>
      <c r="AK110" s="544"/>
      <c r="AL110" s="544"/>
      <c r="AM110" s="544"/>
      <c r="AN110" s="544"/>
      <c r="AP110" s="544"/>
      <c r="AQ110" s="544"/>
      <c r="AR110" s="544"/>
      <c r="AS110" s="544"/>
      <c r="AT110" s="544"/>
      <c r="AU110" s="544"/>
      <c r="AV110" s="544"/>
    </row>
    <row r="111" spans="1:73" x14ac:dyDescent="0.35">
      <c r="A111" s="1406"/>
      <c r="B111" s="1406"/>
      <c r="C111" s="1406"/>
      <c r="D111" s="1406"/>
      <c r="E111" s="1406"/>
      <c r="F111" s="1406"/>
      <c r="G111" s="1406"/>
      <c r="H111" s="1406"/>
      <c r="I111" s="1406"/>
      <c r="J111" s="1406"/>
      <c r="K111" s="1406"/>
      <c r="L111" s="1406"/>
      <c r="M111" s="1406"/>
      <c r="N111" s="1406"/>
      <c r="O111" s="1406"/>
      <c r="P111" s="1406"/>
      <c r="Q111" s="1406"/>
      <c r="R111" s="1406"/>
      <c r="S111" s="1406"/>
      <c r="T111" s="1406"/>
      <c r="U111" s="1406"/>
      <c r="V111" s="1406"/>
      <c r="W111" s="1406"/>
      <c r="X111" s="1406"/>
      <c r="Y111" s="1406"/>
      <c r="Z111" s="1406"/>
      <c r="AA111" s="1406"/>
      <c r="AB111" s="1406"/>
      <c r="AC111" s="1406"/>
      <c r="AD111" s="1406"/>
      <c r="AE111" s="1406"/>
      <c r="AF111" s="1406"/>
      <c r="AG111" s="1406"/>
      <c r="AI111" s="544"/>
      <c r="AJ111" s="544"/>
      <c r="AK111" s="544"/>
      <c r="AL111" s="544"/>
      <c r="AM111" s="544"/>
      <c r="AN111" s="544"/>
      <c r="AP111" s="544"/>
      <c r="AQ111" s="544"/>
      <c r="AR111" s="544"/>
      <c r="AS111" s="544"/>
      <c r="AT111" s="544"/>
      <c r="AU111" s="544"/>
      <c r="AV111" s="544"/>
    </row>
    <row r="112" spans="1:73" x14ac:dyDescent="0.35">
      <c r="A112" s="1406"/>
      <c r="B112" s="1406"/>
      <c r="C112" s="1406"/>
      <c r="D112" s="1406"/>
      <c r="E112" s="1406"/>
      <c r="F112" s="1406"/>
      <c r="G112" s="1406"/>
      <c r="H112" s="1406"/>
      <c r="I112" s="1406"/>
      <c r="J112" s="1406"/>
      <c r="K112" s="1406"/>
      <c r="L112" s="1406"/>
      <c r="M112" s="1406"/>
      <c r="N112" s="1406"/>
      <c r="O112" s="1406"/>
      <c r="P112" s="1406"/>
      <c r="Q112" s="1406"/>
      <c r="R112" s="1406"/>
      <c r="S112" s="1406"/>
      <c r="T112" s="1406"/>
      <c r="U112" s="1406"/>
      <c r="V112" s="1406"/>
      <c r="W112" s="1406"/>
      <c r="X112" s="1406"/>
      <c r="Y112" s="1406"/>
      <c r="Z112" s="1406"/>
      <c r="AA112" s="1406"/>
      <c r="AB112" s="1406"/>
      <c r="AC112" s="1406"/>
      <c r="AD112" s="1406"/>
      <c r="AE112" s="1406"/>
      <c r="AF112" s="1406"/>
      <c r="AG112" s="1406"/>
      <c r="AI112" s="544"/>
      <c r="AJ112" s="544"/>
      <c r="AK112" s="544"/>
      <c r="AL112" s="544"/>
      <c r="AM112" s="544"/>
      <c r="AN112" s="544"/>
      <c r="AP112" s="544"/>
      <c r="AQ112" s="544"/>
      <c r="AR112" s="544"/>
      <c r="AS112" s="544"/>
      <c r="AT112" s="544"/>
      <c r="AU112" s="544"/>
      <c r="AV112" s="544"/>
    </row>
    <row r="113" spans="1:48" x14ac:dyDescent="0.35">
      <c r="A113" s="1406"/>
      <c r="B113" s="1406"/>
      <c r="C113" s="1406"/>
      <c r="D113" s="1406"/>
      <c r="E113" s="1406"/>
      <c r="F113" s="1406"/>
      <c r="G113" s="1406"/>
      <c r="H113" s="1406"/>
      <c r="I113" s="1406"/>
      <c r="J113" s="1406"/>
      <c r="K113" s="1406"/>
      <c r="L113" s="1406"/>
      <c r="M113" s="1406"/>
      <c r="N113" s="1406"/>
      <c r="O113" s="1406"/>
      <c r="P113" s="1406"/>
      <c r="Q113" s="1406"/>
      <c r="R113" s="1406"/>
      <c r="S113" s="1406"/>
      <c r="T113" s="1406"/>
      <c r="U113" s="1406"/>
      <c r="V113" s="1406"/>
      <c r="W113" s="1406"/>
      <c r="X113" s="1406"/>
      <c r="Y113" s="1406"/>
      <c r="Z113" s="1406"/>
      <c r="AA113" s="1406"/>
      <c r="AB113" s="1406"/>
      <c r="AC113" s="1406"/>
      <c r="AD113" s="1406"/>
      <c r="AE113" s="1406"/>
      <c r="AF113" s="1406"/>
      <c r="AG113" s="1406"/>
      <c r="AI113" s="544"/>
      <c r="AJ113" s="544"/>
      <c r="AK113" s="544"/>
      <c r="AL113" s="544"/>
      <c r="AM113" s="544"/>
      <c r="AN113" s="544"/>
      <c r="AP113" s="544"/>
      <c r="AQ113" s="544"/>
      <c r="AR113" s="544"/>
      <c r="AS113" s="544"/>
      <c r="AT113" s="544"/>
      <c r="AU113" s="544"/>
      <c r="AV113" s="544"/>
    </row>
    <row r="114" spans="1:48" x14ac:dyDescent="0.35">
      <c r="A114" s="1406"/>
      <c r="B114" s="1406"/>
      <c r="C114" s="1406"/>
      <c r="D114" s="1406"/>
      <c r="E114" s="1406"/>
      <c r="F114" s="1406"/>
      <c r="G114" s="1406"/>
      <c r="H114" s="1406"/>
      <c r="I114" s="1406"/>
      <c r="J114" s="1406"/>
      <c r="K114" s="1406"/>
      <c r="L114" s="1406"/>
      <c r="M114" s="1406"/>
      <c r="N114" s="1406"/>
      <c r="O114" s="1406"/>
      <c r="P114" s="1406"/>
      <c r="Q114" s="1406"/>
      <c r="R114" s="1406"/>
      <c r="S114" s="1406"/>
      <c r="T114" s="1406"/>
      <c r="U114" s="1406"/>
      <c r="V114" s="1406"/>
      <c r="W114" s="1406"/>
      <c r="X114" s="1406"/>
      <c r="Y114" s="1406"/>
      <c r="Z114" s="1406"/>
      <c r="AA114" s="1406"/>
      <c r="AB114" s="1406"/>
      <c r="AC114" s="1406"/>
      <c r="AD114" s="1406"/>
      <c r="AE114" s="1406"/>
      <c r="AF114" s="1406"/>
      <c r="AG114" s="1406"/>
      <c r="AI114" s="544"/>
      <c r="AJ114" s="544"/>
      <c r="AK114" s="544"/>
      <c r="AL114" s="544"/>
      <c r="AM114" s="544"/>
      <c r="AN114" s="544"/>
      <c r="AP114" s="544"/>
      <c r="AQ114" s="544"/>
      <c r="AR114" s="544"/>
      <c r="AS114" s="544"/>
      <c r="AT114" s="544"/>
      <c r="AU114" s="544"/>
      <c r="AV114" s="544"/>
    </row>
    <row r="115" spans="1:48" x14ac:dyDescent="0.35">
      <c r="A115" s="1406"/>
      <c r="B115" s="1406"/>
      <c r="C115" s="1406"/>
      <c r="D115" s="1406"/>
      <c r="E115" s="1406"/>
      <c r="F115" s="1406"/>
      <c r="G115" s="1406"/>
      <c r="H115" s="1406"/>
      <c r="I115" s="1406"/>
      <c r="J115" s="1406"/>
      <c r="K115" s="1406"/>
      <c r="L115" s="1406"/>
      <c r="M115" s="1406"/>
      <c r="N115" s="1406"/>
      <c r="O115" s="1406"/>
      <c r="P115" s="1406"/>
      <c r="Q115" s="1406"/>
      <c r="R115" s="1406"/>
      <c r="S115" s="1406"/>
      <c r="T115" s="1406"/>
      <c r="U115" s="1406"/>
      <c r="V115" s="1406"/>
      <c r="W115" s="1406"/>
      <c r="X115" s="1406"/>
      <c r="Y115" s="1406"/>
      <c r="Z115" s="1406"/>
      <c r="AA115" s="1406"/>
      <c r="AB115" s="1406"/>
      <c r="AC115" s="1406"/>
      <c r="AD115" s="1406"/>
      <c r="AE115" s="1406"/>
      <c r="AF115" s="1406"/>
      <c r="AG115" s="1406"/>
      <c r="AI115" s="544"/>
      <c r="AJ115" s="544"/>
      <c r="AK115" s="544"/>
      <c r="AL115" s="544"/>
      <c r="AM115" s="544"/>
      <c r="AN115" s="544"/>
      <c r="AP115" s="544"/>
      <c r="AQ115" s="544"/>
      <c r="AR115" s="544"/>
      <c r="AS115" s="544"/>
      <c r="AT115" s="544"/>
      <c r="AU115" s="544"/>
      <c r="AV115" s="544"/>
    </row>
    <row r="116" spans="1:48" x14ac:dyDescent="0.35">
      <c r="A116" s="1406"/>
      <c r="B116" s="1406"/>
      <c r="C116" s="1406"/>
      <c r="D116" s="1406"/>
      <c r="E116" s="1406"/>
      <c r="F116" s="1406"/>
      <c r="G116" s="1406"/>
      <c r="H116" s="1406"/>
      <c r="I116" s="1406"/>
      <c r="J116" s="1406"/>
      <c r="K116" s="1406"/>
      <c r="L116" s="1406"/>
      <c r="M116" s="1406"/>
      <c r="N116" s="1406"/>
      <c r="O116" s="1406"/>
      <c r="P116" s="1406"/>
      <c r="Q116" s="1406"/>
      <c r="R116" s="1406"/>
      <c r="S116" s="1406"/>
      <c r="T116" s="1406"/>
      <c r="U116" s="1406"/>
      <c r="V116" s="1406"/>
      <c r="W116" s="1406"/>
      <c r="X116" s="1406"/>
      <c r="Y116" s="1406"/>
      <c r="Z116" s="1406"/>
      <c r="AA116" s="1406"/>
      <c r="AB116" s="1406"/>
      <c r="AC116" s="1406"/>
      <c r="AD116" s="1406"/>
      <c r="AE116" s="1406"/>
      <c r="AF116" s="1406"/>
      <c r="AG116" s="1406"/>
      <c r="AI116" s="544"/>
      <c r="AJ116" s="544"/>
      <c r="AK116" s="544"/>
      <c r="AL116" s="544"/>
      <c r="AM116" s="544"/>
      <c r="AN116" s="544"/>
      <c r="AP116" s="544"/>
      <c r="AQ116" s="544"/>
      <c r="AR116" s="544"/>
      <c r="AS116" s="544"/>
      <c r="AT116" s="544"/>
      <c r="AU116" s="544"/>
      <c r="AV116" s="544"/>
    </row>
    <row r="117" spans="1:48" x14ac:dyDescent="0.35">
      <c r="A117" s="1406"/>
      <c r="B117" s="1406"/>
      <c r="C117" s="1406"/>
      <c r="D117" s="1406"/>
      <c r="E117" s="1406"/>
      <c r="F117" s="1406"/>
      <c r="G117" s="1406"/>
      <c r="H117" s="1406"/>
      <c r="I117" s="1406"/>
      <c r="J117" s="1406"/>
      <c r="K117" s="1406"/>
      <c r="L117" s="1406"/>
      <c r="M117" s="1406"/>
      <c r="N117" s="1406"/>
      <c r="O117" s="1406"/>
      <c r="P117" s="1406"/>
      <c r="Q117" s="1406"/>
      <c r="R117" s="1406"/>
      <c r="S117" s="1406"/>
      <c r="T117" s="1406"/>
      <c r="U117" s="1406"/>
      <c r="V117" s="1406"/>
      <c r="W117" s="1406"/>
      <c r="X117" s="1406"/>
      <c r="Y117" s="1406"/>
      <c r="Z117" s="1406"/>
      <c r="AA117" s="1406"/>
      <c r="AB117" s="1406"/>
      <c r="AC117" s="1406"/>
      <c r="AD117" s="1406"/>
      <c r="AE117" s="1406"/>
      <c r="AF117" s="1406"/>
      <c r="AG117" s="1406"/>
      <c r="AI117" s="544"/>
      <c r="AJ117" s="544"/>
      <c r="AK117" s="544"/>
      <c r="AL117" s="544"/>
      <c r="AM117" s="544"/>
      <c r="AN117" s="544"/>
      <c r="AP117" s="544"/>
      <c r="AQ117" s="544"/>
      <c r="AR117" s="544"/>
      <c r="AS117" s="544"/>
      <c r="AT117" s="544"/>
      <c r="AU117" s="544"/>
      <c r="AV117" s="544"/>
    </row>
    <row r="118" spans="1:48" x14ac:dyDescent="0.35">
      <c r="A118" s="1406"/>
      <c r="B118" s="1406"/>
      <c r="C118" s="1406"/>
      <c r="D118" s="1406"/>
      <c r="E118" s="1406"/>
      <c r="F118" s="1406"/>
      <c r="G118" s="1406"/>
      <c r="H118" s="1406"/>
      <c r="I118" s="1406"/>
      <c r="J118" s="1406"/>
      <c r="K118" s="1406"/>
      <c r="L118" s="1406"/>
      <c r="M118" s="1406"/>
      <c r="N118" s="1406"/>
      <c r="O118" s="1406"/>
      <c r="P118" s="1406"/>
      <c r="Q118" s="1406"/>
      <c r="R118" s="1406"/>
      <c r="S118" s="1406"/>
      <c r="T118" s="1406"/>
      <c r="U118" s="1406"/>
      <c r="V118" s="1406"/>
      <c r="W118" s="1406"/>
      <c r="X118" s="1406"/>
      <c r="Y118" s="1406"/>
      <c r="Z118" s="1406"/>
      <c r="AA118" s="1406"/>
      <c r="AB118" s="1406"/>
      <c r="AC118" s="1406"/>
      <c r="AD118" s="1406"/>
      <c r="AE118" s="1406"/>
      <c r="AF118" s="1406"/>
      <c r="AG118" s="1406"/>
      <c r="AI118" s="544"/>
      <c r="AJ118" s="544"/>
      <c r="AK118" s="544"/>
      <c r="AL118" s="544"/>
      <c r="AM118" s="544"/>
      <c r="AN118" s="544"/>
      <c r="AP118" s="544"/>
      <c r="AQ118" s="544"/>
      <c r="AR118" s="544"/>
      <c r="AS118" s="544"/>
      <c r="AT118" s="544"/>
      <c r="AU118" s="544"/>
      <c r="AV118" s="544"/>
    </row>
    <row r="119" spans="1:48" x14ac:dyDescent="0.35">
      <c r="A119" s="1406"/>
      <c r="B119" s="1406"/>
      <c r="C119" s="1406"/>
      <c r="D119" s="1406"/>
      <c r="E119" s="1406"/>
      <c r="F119" s="1406"/>
      <c r="G119" s="1406"/>
      <c r="H119" s="1406"/>
      <c r="I119" s="1406"/>
      <c r="J119" s="1406"/>
      <c r="K119" s="1406"/>
      <c r="L119" s="1406"/>
      <c r="M119" s="1406"/>
      <c r="N119" s="1406"/>
      <c r="O119" s="1406"/>
      <c r="P119" s="1406"/>
      <c r="Q119" s="1406"/>
      <c r="R119" s="1406"/>
      <c r="S119" s="1406"/>
      <c r="T119" s="1406"/>
      <c r="U119" s="1406"/>
      <c r="V119" s="1406"/>
      <c r="W119" s="1406"/>
      <c r="X119" s="1406"/>
      <c r="Y119" s="1406"/>
      <c r="Z119" s="1406"/>
      <c r="AA119" s="1406"/>
      <c r="AB119" s="1406"/>
      <c r="AC119" s="1406"/>
      <c r="AD119" s="1406"/>
      <c r="AE119" s="1406"/>
      <c r="AF119" s="1406"/>
      <c r="AG119" s="1406"/>
      <c r="AI119" s="544"/>
      <c r="AJ119" s="544"/>
      <c r="AK119" s="544"/>
      <c r="AL119" s="544"/>
      <c r="AM119" s="544"/>
      <c r="AN119" s="544"/>
      <c r="AP119" s="544"/>
      <c r="AQ119" s="544"/>
      <c r="AR119" s="544"/>
      <c r="AS119" s="544"/>
      <c r="AT119" s="544"/>
      <c r="AU119" s="544"/>
      <c r="AV119" s="544"/>
    </row>
    <row r="120" spans="1:48" x14ac:dyDescent="0.35">
      <c r="A120" s="1406"/>
      <c r="B120" s="1406"/>
      <c r="C120" s="1406"/>
      <c r="D120" s="1406"/>
      <c r="E120" s="1406"/>
      <c r="F120" s="1406"/>
      <c r="G120" s="1406"/>
      <c r="H120" s="1406"/>
      <c r="I120" s="1406"/>
      <c r="J120" s="1406"/>
      <c r="K120" s="1406"/>
      <c r="L120" s="1406"/>
      <c r="M120" s="1406"/>
      <c r="N120" s="1406"/>
      <c r="O120" s="1406"/>
      <c r="P120" s="1406"/>
      <c r="Q120" s="1406"/>
      <c r="R120" s="1406"/>
      <c r="S120" s="1406"/>
      <c r="T120" s="1406"/>
      <c r="U120" s="1406"/>
      <c r="V120" s="1406"/>
      <c r="W120" s="1406"/>
      <c r="X120" s="1406"/>
      <c r="Y120" s="1406"/>
      <c r="Z120" s="1406"/>
      <c r="AA120" s="1406"/>
      <c r="AB120" s="1406"/>
      <c r="AC120" s="1406"/>
      <c r="AD120" s="1406"/>
      <c r="AE120" s="1406"/>
      <c r="AF120" s="1406"/>
      <c r="AG120" s="1406"/>
      <c r="AI120" s="544"/>
      <c r="AJ120" s="544"/>
      <c r="AK120" s="544"/>
      <c r="AL120" s="544"/>
      <c r="AM120" s="544"/>
      <c r="AN120" s="544"/>
      <c r="AP120" s="544"/>
      <c r="AQ120" s="544"/>
      <c r="AR120" s="544"/>
      <c r="AS120" s="544"/>
      <c r="AT120" s="544"/>
      <c r="AU120" s="544"/>
      <c r="AV120" s="544"/>
    </row>
    <row r="121" spans="1:48" x14ac:dyDescent="0.35">
      <c r="A121" s="1406"/>
      <c r="B121" s="1406"/>
      <c r="C121" s="1406"/>
      <c r="D121" s="1406"/>
      <c r="E121" s="1406"/>
      <c r="F121" s="1406"/>
      <c r="G121" s="1406"/>
      <c r="H121" s="1406"/>
      <c r="I121" s="1406"/>
      <c r="J121" s="1406"/>
      <c r="K121" s="1406"/>
      <c r="L121" s="1406"/>
      <c r="M121" s="1406"/>
      <c r="N121" s="1406"/>
      <c r="O121" s="1406"/>
      <c r="P121" s="1406"/>
      <c r="Q121" s="1406"/>
      <c r="R121" s="1406"/>
      <c r="S121" s="1406"/>
      <c r="T121" s="1406"/>
      <c r="U121" s="1406"/>
      <c r="V121" s="1406"/>
      <c r="W121" s="1406"/>
      <c r="X121" s="1406"/>
      <c r="Y121" s="1406"/>
      <c r="Z121" s="1406"/>
      <c r="AA121" s="1406"/>
      <c r="AB121" s="1406"/>
      <c r="AC121" s="1406"/>
      <c r="AD121" s="1406"/>
      <c r="AE121" s="1406"/>
      <c r="AF121" s="1406"/>
      <c r="AG121" s="1406"/>
      <c r="AI121" s="544"/>
      <c r="AJ121" s="544"/>
      <c r="AK121" s="544"/>
      <c r="AL121" s="544"/>
      <c r="AM121" s="544"/>
      <c r="AN121" s="544"/>
      <c r="AP121" s="544"/>
      <c r="AQ121" s="544"/>
      <c r="AR121" s="544"/>
      <c r="AS121" s="544"/>
      <c r="AT121" s="544"/>
      <c r="AU121" s="544"/>
      <c r="AV121" s="544"/>
    </row>
    <row r="122" spans="1:48" x14ac:dyDescent="0.35">
      <c r="A122" s="1406"/>
      <c r="B122" s="1406"/>
      <c r="C122" s="1406"/>
      <c r="D122" s="1406"/>
      <c r="E122" s="1406"/>
      <c r="F122" s="1406"/>
      <c r="G122" s="1406"/>
      <c r="H122" s="1406"/>
      <c r="I122" s="1406"/>
      <c r="J122" s="1406"/>
      <c r="K122" s="1406"/>
      <c r="L122" s="1406"/>
      <c r="M122" s="1406"/>
      <c r="N122" s="1406"/>
      <c r="O122" s="1406"/>
      <c r="P122" s="1406"/>
      <c r="Q122" s="1406"/>
      <c r="R122" s="1406"/>
      <c r="S122" s="1406"/>
      <c r="T122" s="1406"/>
      <c r="U122" s="1406"/>
      <c r="V122" s="1406"/>
      <c r="W122" s="1406"/>
      <c r="X122" s="1406"/>
      <c r="Y122" s="1406"/>
      <c r="Z122" s="1406"/>
      <c r="AA122" s="1406"/>
      <c r="AB122" s="1406"/>
      <c r="AC122" s="1406"/>
      <c r="AD122" s="1406"/>
      <c r="AE122" s="1406"/>
      <c r="AF122" s="1406"/>
      <c r="AG122" s="1406"/>
      <c r="AI122" s="544"/>
      <c r="AJ122" s="544"/>
      <c r="AK122" s="544"/>
      <c r="AL122" s="544"/>
      <c r="AM122" s="544"/>
      <c r="AN122" s="544"/>
      <c r="AP122" s="544"/>
      <c r="AQ122" s="544"/>
      <c r="AR122" s="544"/>
      <c r="AS122" s="544"/>
      <c r="AT122" s="544"/>
      <c r="AU122" s="544"/>
      <c r="AV122" s="544"/>
    </row>
    <row r="123" spans="1:48" x14ac:dyDescent="0.35">
      <c r="A123" s="1406"/>
      <c r="B123" s="1406"/>
      <c r="C123" s="1406"/>
      <c r="D123" s="1406"/>
      <c r="E123" s="1406"/>
      <c r="F123" s="1406"/>
      <c r="G123" s="1406"/>
      <c r="H123" s="1406"/>
      <c r="I123" s="1406"/>
      <c r="J123" s="1406"/>
      <c r="K123" s="1406"/>
      <c r="L123" s="1406"/>
      <c r="M123" s="1406"/>
      <c r="N123" s="1406"/>
      <c r="O123" s="1406"/>
      <c r="P123" s="1406"/>
      <c r="Q123" s="1406"/>
      <c r="R123" s="1406"/>
      <c r="S123" s="1406"/>
      <c r="T123" s="1406"/>
      <c r="U123" s="1406"/>
      <c r="V123" s="1406"/>
      <c r="W123" s="1406"/>
      <c r="X123" s="1406"/>
      <c r="Y123" s="1406"/>
      <c r="Z123" s="1406"/>
      <c r="AA123" s="1406"/>
      <c r="AB123" s="1406"/>
      <c r="AC123" s="1406"/>
      <c r="AD123" s="1406"/>
      <c r="AE123" s="1406"/>
      <c r="AF123" s="1406"/>
      <c r="AG123" s="1406"/>
      <c r="AI123" s="544"/>
      <c r="AJ123" s="544"/>
      <c r="AK123" s="544"/>
      <c r="AL123" s="544"/>
      <c r="AM123" s="544"/>
      <c r="AN123" s="544"/>
      <c r="AP123" s="544"/>
      <c r="AQ123" s="544"/>
      <c r="AR123" s="544"/>
      <c r="AS123" s="544"/>
      <c r="AT123" s="544"/>
      <c r="AU123" s="544"/>
      <c r="AV123" s="544"/>
    </row>
    <row r="124" spans="1:48" x14ac:dyDescent="0.35">
      <c r="A124" s="1406"/>
      <c r="B124" s="1406"/>
      <c r="C124" s="1406"/>
      <c r="D124" s="1406"/>
      <c r="E124" s="1406"/>
      <c r="F124" s="1406"/>
      <c r="G124" s="1406"/>
      <c r="H124" s="1406"/>
      <c r="I124" s="1406"/>
      <c r="J124" s="1406"/>
      <c r="K124" s="1406"/>
      <c r="L124" s="1406"/>
      <c r="M124" s="1406"/>
      <c r="N124" s="1406"/>
      <c r="O124" s="1406"/>
      <c r="P124" s="1406"/>
      <c r="Q124" s="1406"/>
      <c r="R124" s="1406"/>
      <c r="S124" s="1406"/>
      <c r="T124" s="1406"/>
      <c r="U124" s="1406"/>
      <c r="V124" s="1406"/>
      <c r="W124" s="1406"/>
      <c r="X124" s="1406"/>
      <c r="Y124" s="1406"/>
      <c r="Z124" s="1406"/>
      <c r="AA124" s="1406"/>
      <c r="AB124" s="1406"/>
      <c r="AC124" s="1406"/>
      <c r="AD124" s="1406"/>
      <c r="AE124" s="1406"/>
      <c r="AF124" s="1406"/>
      <c r="AG124" s="1406"/>
      <c r="AI124" s="544"/>
      <c r="AJ124" s="544"/>
      <c r="AK124" s="544"/>
      <c r="AL124" s="544"/>
      <c r="AM124" s="544"/>
      <c r="AN124" s="544"/>
      <c r="AP124" s="544"/>
      <c r="AQ124" s="544"/>
      <c r="AR124" s="544"/>
      <c r="AS124" s="544"/>
      <c r="AT124" s="544"/>
      <c r="AU124" s="544"/>
      <c r="AV124" s="544"/>
    </row>
    <row r="125" spans="1:48" x14ac:dyDescent="0.35">
      <c r="A125" s="1406"/>
      <c r="B125" s="1406"/>
      <c r="C125" s="1406"/>
      <c r="D125" s="1406"/>
      <c r="E125" s="1406"/>
      <c r="F125" s="1406"/>
      <c r="G125" s="1406"/>
      <c r="H125" s="1406"/>
      <c r="I125" s="1406"/>
      <c r="J125" s="1406"/>
      <c r="K125" s="1406"/>
      <c r="L125" s="1406"/>
      <c r="M125" s="1406"/>
      <c r="N125" s="1406"/>
      <c r="O125" s="1406"/>
      <c r="P125" s="1406"/>
      <c r="Q125" s="1406"/>
      <c r="R125" s="1406"/>
      <c r="S125" s="1406"/>
      <c r="T125" s="1406"/>
      <c r="U125" s="1406"/>
      <c r="V125" s="1406"/>
      <c r="W125" s="1406"/>
      <c r="X125" s="1406"/>
      <c r="Y125" s="1406"/>
      <c r="Z125" s="1406"/>
      <c r="AA125" s="1406"/>
      <c r="AB125" s="1406"/>
      <c r="AC125" s="1406"/>
      <c r="AD125" s="1406"/>
      <c r="AE125" s="1406"/>
      <c r="AF125" s="1406"/>
      <c r="AG125" s="1406"/>
      <c r="AI125" s="544"/>
      <c r="AJ125" s="544"/>
      <c r="AK125" s="544"/>
      <c r="AL125" s="544"/>
      <c r="AM125" s="544"/>
      <c r="AN125" s="544"/>
      <c r="AP125" s="544"/>
      <c r="AQ125" s="544"/>
      <c r="AR125" s="544"/>
      <c r="AS125" s="544"/>
      <c r="AT125" s="544"/>
      <c r="AU125" s="544"/>
      <c r="AV125" s="544"/>
    </row>
    <row r="126" spans="1:48" x14ac:dyDescent="0.35">
      <c r="A126" s="1406"/>
      <c r="B126" s="1406"/>
      <c r="C126" s="1406"/>
      <c r="D126" s="1406"/>
      <c r="E126" s="1406"/>
      <c r="F126" s="1406"/>
      <c r="G126" s="1406"/>
      <c r="H126" s="1406"/>
      <c r="I126" s="1406"/>
      <c r="J126" s="1406"/>
      <c r="K126" s="1406"/>
      <c r="L126" s="1406"/>
      <c r="M126" s="1406"/>
      <c r="N126" s="1406"/>
      <c r="O126" s="1406"/>
      <c r="P126" s="1406"/>
      <c r="Q126" s="1406"/>
      <c r="R126" s="1406"/>
      <c r="S126" s="1406"/>
      <c r="T126" s="1406"/>
      <c r="U126" s="1406"/>
      <c r="V126" s="1406"/>
      <c r="W126" s="1406"/>
      <c r="X126" s="1406"/>
      <c r="Y126" s="1406"/>
      <c r="Z126" s="1406"/>
      <c r="AA126" s="1406"/>
      <c r="AB126" s="1406"/>
      <c r="AC126" s="1406"/>
      <c r="AD126" s="1406"/>
      <c r="AE126" s="1406"/>
      <c r="AF126" s="1406"/>
      <c r="AG126" s="1406"/>
      <c r="AI126" s="544"/>
      <c r="AJ126" s="544"/>
      <c r="AK126" s="544"/>
      <c r="AL126" s="544"/>
      <c r="AM126" s="544"/>
      <c r="AN126" s="544"/>
      <c r="AP126" s="544"/>
      <c r="AQ126" s="544"/>
      <c r="AR126" s="544"/>
      <c r="AS126" s="544"/>
      <c r="AT126" s="544"/>
      <c r="AU126" s="544"/>
      <c r="AV126" s="544"/>
    </row>
    <row r="127" spans="1:48" x14ac:dyDescent="0.35">
      <c r="A127" s="1406"/>
      <c r="B127" s="1406"/>
      <c r="C127" s="1406"/>
      <c r="D127" s="1406"/>
      <c r="E127" s="1406"/>
      <c r="F127" s="1406"/>
      <c r="G127" s="1406"/>
      <c r="H127" s="1406"/>
      <c r="I127" s="1406"/>
      <c r="J127" s="1406"/>
      <c r="K127" s="1406"/>
      <c r="L127" s="1406"/>
      <c r="M127" s="1406"/>
      <c r="N127" s="1406"/>
      <c r="O127" s="1406"/>
      <c r="P127" s="1406"/>
      <c r="Q127" s="1406"/>
      <c r="R127" s="1406"/>
      <c r="S127" s="1406"/>
      <c r="T127" s="1406"/>
      <c r="U127" s="1406"/>
      <c r="V127" s="1406"/>
      <c r="W127" s="1406"/>
      <c r="X127" s="1406"/>
      <c r="Y127" s="1406"/>
      <c r="Z127" s="1406"/>
      <c r="AA127" s="1406"/>
      <c r="AB127" s="1406"/>
      <c r="AC127" s="1406"/>
      <c r="AD127" s="1406"/>
      <c r="AE127" s="1406"/>
      <c r="AF127" s="1406"/>
      <c r="AG127" s="1406"/>
      <c r="AI127" s="544"/>
      <c r="AJ127" s="544"/>
      <c r="AK127" s="544"/>
      <c r="AL127" s="544"/>
      <c r="AM127" s="544"/>
      <c r="AN127" s="544"/>
      <c r="AP127" s="544"/>
      <c r="AQ127" s="544"/>
      <c r="AR127" s="544"/>
      <c r="AS127" s="544"/>
      <c r="AT127" s="544"/>
      <c r="AU127" s="544"/>
      <c r="AV127" s="544"/>
    </row>
    <row r="128" spans="1:48" x14ac:dyDescent="0.35">
      <c r="A128" s="1406"/>
      <c r="B128" s="1406"/>
      <c r="C128" s="1406"/>
      <c r="D128" s="1406"/>
      <c r="E128" s="1406"/>
      <c r="F128" s="1406"/>
      <c r="G128" s="1406"/>
      <c r="H128" s="1406"/>
      <c r="I128" s="1406"/>
      <c r="J128" s="1406"/>
      <c r="K128" s="1406"/>
      <c r="L128" s="1406"/>
      <c r="M128" s="1406"/>
      <c r="N128" s="1406"/>
      <c r="O128" s="1406"/>
      <c r="P128" s="1406"/>
      <c r="Q128" s="1406"/>
      <c r="R128" s="1406"/>
      <c r="S128" s="1406"/>
      <c r="T128" s="1406"/>
      <c r="U128" s="1406"/>
      <c r="V128" s="1406"/>
      <c r="W128" s="1406"/>
      <c r="X128" s="1406"/>
      <c r="Y128" s="1406"/>
      <c r="Z128" s="1406"/>
      <c r="AA128" s="1406"/>
      <c r="AB128" s="1406"/>
      <c r="AC128" s="1406"/>
      <c r="AD128" s="1406"/>
      <c r="AE128" s="1406"/>
      <c r="AF128" s="1406"/>
      <c r="AG128" s="1406"/>
      <c r="AI128" s="544"/>
      <c r="AJ128" s="544"/>
      <c r="AK128" s="544"/>
      <c r="AL128" s="544"/>
      <c r="AM128" s="544"/>
      <c r="AN128" s="544"/>
      <c r="AP128" s="544"/>
      <c r="AQ128" s="544"/>
      <c r="AR128" s="544"/>
      <c r="AS128" s="544"/>
      <c r="AT128" s="544"/>
      <c r="AU128" s="544"/>
      <c r="AV128" s="544"/>
    </row>
    <row r="129" spans="1:48" x14ac:dyDescent="0.35">
      <c r="A129" s="1406"/>
      <c r="B129" s="1406"/>
      <c r="C129" s="1406"/>
      <c r="D129" s="1406"/>
      <c r="E129" s="1406"/>
      <c r="F129" s="1406"/>
      <c r="G129" s="1406"/>
      <c r="H129" s="1406"/>
      <c r="I129" s="1406"/>
      <c r="J129" s="1406"/>
      <c r="K129" s="1406"/>
      <c r="L129" s="1406"/>
      <c r="M129" s="1406"/>
      <c r="N129" s="1406"/>
      <c r="O129" s="1406"/>
      <c r="P129" s="1406"/>
      <c r="Q129" s="1406"/>
      <c r="R129" s="1406"/>
      <c r="S129" s="1406"/>
      <c r="T129" s="1406"/>
      <c r="U129" s="1406"/>
      <c r="V129" s="1406"/>
      <c r="W129" s="1406"/>
      <c r="X129" s="1406"/>
      <c r="Y129" s="1406"/>
      <c r="Z129" s="1406"/>
      <c r="AA129" s="1406"/>
      <c r="AB129" s="1406"/>
      <c r="AC129" s="1406"/>
      <c r="AD129" s="1406"/>
      <c r="AE129" s="1406"/>
      <c r="AF129" s="1406"/>
      <c r="AG129" s="1406"/>
      <c r="AI129" s="544"/>
      <c r="AJ129" s="544"/>
      <c r="AK129" s="544"/>
      <c r="AL129" s="544"/>
      <c r="AM129" s="544"/>
      <c r="AN129" s="544"/>
      <c r="AP129" s="544"/>
      <c r="AQ129" s="544"/>
      <c r="AR129" s="544"/>
      <c r="AS129" s="544"/>
      <c r="AT129" s="544"/>
      <c r="AU129" s="544"/>
      <c r="AV129" s="544"/>
    </row>
    <row r="130" spans="1:48" x14ac:dyDescent="0.35">
      <c r="A130" s="1406"/>
      <c r="B130" s="1406"/>
      <c r="C130" s="1406"/>
      <c r="D130" s="1406"/>
      <c r="E130" s="1406"/>
      <c r="F130" s="1406"/>
      <c r="G130" s="1406"/>
      <c r="H130" s="1406"/>
      <c r="I130" s="1406"/>
      <c r="J130" s="1406"/>
      <c r="K130" s="1406"/>
      <c r="L130" s="1406"/>
      <c r="M130" s="1406"/>
      <c r="N130" s="1406"/>
      <c r="O130" s="1406"/>
      <c r="P130" s="1406"/>
      <c r="Q130" s="1406"/>
      <c r="R130" s="1406"/>
      <c r="S130" s="1406"/>
      <c r="T130" s="1406"/>
      <c r="U130" s="1406"/>
      <c r="V130" s="1406"/>
      <c r="W130" s="1406"/>
      <c r="X130" s="1406"/>
      <c r="Y130" s="1406"/>
      <c r="Z130" s="1406"/>
      <c r="AA130" s="1406"/>
      <c r="AB130" s="1406"/>
      <c r="AC130" s="1406"/>
      <c r="AD130" s="1406"/>
      <c r="AE130" s="1406"/>
      <c r="AF130" s="1406"/>
      <c r="AG130" s="1406"/>
      <c r="AI130" s="544"/>
      <c r="AJ130" s="544"/>
      <c r="AK130" s="544"/>
      <c r="AL130" s="544"/>
      <c r="AM130" s="544"/>
      <c r="AN130" s="544"/>
      <c r="AP130" s="544"/>
      <c r="AQ130" s="544"/>
      <c r="AR130" s="544"/>
      <c r="AS130" s="544"/>
      <c r="AT130" s="544"/>
      <c r="AU130" s="544"/>
      <c r="AV130" s="544"/>
    </row>
    <row r="131" spans="1:48" x14ac:dyDescent="0.35">
      <c r="A131" s="1406"/>
      <c r="B131" s="1406"/>
      <c r="C131" s="1406"/>
      <c r="D131" s="1406"/>
      <c r="E131" s="1406"/>
      <c r="F131" s="1406"/>
      <c r="G131" s="1406"/>
      <c r="H131" s="1406"/>
      <c r="I131" s="1406"/>
      <c r="J131" s="1406"/>
      <c r="K131" s="1406"/>
      <c r="L131" s="1406"/>
      <c r="M131" s="1406"/>
      <c r="N131" s="1406"/>
      <c r="O131" s="1406"/>
      <c r="P131" s="1406"/>
      <c r="Q131" s="1406"/>
      <c r="R131" s="1406"/>
      <c r="S131" s="1406"/>
      <c r="T131" s="1406"/>
      <c r="U131" s="1406"/>
      <c r="V131" s="1406"/>
      <c r="W131" s="1406"/>
      <c r="X131" s="1406"/>
      <c r="Y131" s="1406"/>
      <c r="Z131" s="1406"/>
      <c r="AA131" s="1406"/>
      <c r="AB131" s="1406"/>
      <c r="AC131" s="1406"/>
      <c r="AD131" s="1406"/>
      <c r="AE131" s="1406"/>
      <c r="AF131" s="1406"/>
      <c r="AG131" s="1406"/>
      <c r="AI131" s="544"/>
      <c r="AJ131" s="544"/>
      <c r="AK131" s="544"/>
      <c r="AL131" s="544"/>
      <c r="AM131" s="544"/>
      <c r="AN131" s="544"/>
      <c r="AP131" s="544"/>
      <c r="AQ131" s="544"/>
      <c r="AR131" s="544"/>
      <c r="AS131" s="544"/>
      <c r="AT131" s="544"/>
      <c r="AU131" s="544"/>
      <c r="AV131" s="544"/>
    </row>
    <row r="132" spans="1:48" x14ac:dyDescent="0.35">
      <c r="A132" s="1406"/>
      <c r="B132" s="1406"/>
      <c r="C132" s="1406"/>
      <c r="D132" s="1406"/>
      <c r="E132" s="1406"/>
      <c r="F132" s="1406"/>
      <c r="G132" s="1406"/>
      <c r="H132" s="1406"/>
      <c r="I132" s="1406"/>
      <c r="J132" s="1406"/>
      <c r="K132" s="1406"/>
      <c r="L132" s="1406"/>
      <c r="M132" s="1406"/>
      <c r="N132" s="1406"/>
      <c r="O132" s="1406"/>
      <c r="P132" s="1406"/>
      <c r="Q132" s="1406"/>
      <c r="R132" s="1406"/>
      <c r="S132" s="1406"/>
      <c r="T132" s="1406"/>
      <c r="U132" s="1406"/>
      <c r="V132" s="1406"/>
      <c r="W132" s="1406"/>
      <c r="X132" s="1406"/>
      <c r="Y132" s="1406"/>
      <c r="Z132" s="1406"/>
      <c r="AA132" s="1406"/>
      <c r="AB132" s="1406"/>
      <c r="AC132" s="1406"/>
      <c r="AD132" s="1406"/>
      <c r="AE132" s="1406"/>
      <c r="AF132" s="1406"/>
      <c r="AG132" s="1406"/>
      <c r="AI132" s="544"/>
      <c r="AJ132" s="544"/>
      <c r="AK132" s="544"/>
      <c r="AL132" s="544"/>
      <c r="AM132" s="544"/>
      <c r="AN132" s="544"/>
      <c r="AP132" s="544"/>
      <c r="AQ132" s="544"/>
      <c r="AR132" s="544"/>
      <c r="AS132" s="544"/>
      <c r="AT132" s="544"/>
      <c r="AU132" s="544"/>
      <c r="AV132" s="544"/>
    </row>
    <row r="133" spans="1:48" x14ac:dyDescent="0.35">
      <c r="A133" s="1406"/>
      <c r="B133" s="1406"/>
      <c r="C133" s="1406"/>
      <c r="D133" s="1406"/>
      <c r="E133" s="1406"/>
      <c r="F133" s="1406"/>
      <c r="G133" s="1406"/>
      <c r="H133" s="1406"/>
      <c r="I133" s="1406"/>
      <c r="J133" s="1406"/>
      <c r="K133" s="1406"/>
      <c r="L133" s="1406"/>
      <c r="M133" s="1406"/>
      <c r="N133" s="1406"/>
      <c r="O133" s="1406"/>
      <c r="P133" s="1406"/>
      <c r="Q133" s="1406"/>
      <c r="R133" s="1406"/>
      <c r="S133" s="1406"/>
      <c r="T133" s="1406"/>
      <c r="U133" s="1406"/>
      <c r="V133" s="1406"/>
      <c r="W133" s="1406"/>
      <c r="X133" s="1406"/>
      <c r="Y133" s="1406"/>
      <c r="Z133" s="1406"/>
      <c r="AA133" s="1406"/>
      <c r="AB133" s="1406"/>
      <c r="AC133" s="1406"/>
      <c r="AD133" s="1406"/>
      <c r="AE133" s="1406"/>
      <c r="AF133" s="1406"/>
      <c r="AG133" s="1406"/>
      <c r="AI133" s="544"/>
      <c r="AJ133" s="544"/>
      <c r="AK133" s="544"/>
      <c r="AL133" s="544"/>
      <c r="AM133" s="544"/>
      <c r="AN133" s="544"/>
      <c r="AP133" s="544"/>
      <c r="AQ133" s="544"/>
      <c r="AR133" s="544"/>
      <c r="AS133" s="544"/>
      <c r="AT133" s="544"/>
      <c r="AU133" s="544"/>
      <c r="AV133" s="544"/>
    </row>
    <row r="134" spans="1:48" x14ac:dyDescent="0.35">
      <c r="A134" s="1406"/>
      <c r="B134" s="1406"/>
      <c r="C134" s="1406"/>
      <c r="D134" s="1406"/>
      <c r="E134" s="1406"/>
      <c r="F134" s="1406"/>
      <c r="G134" s="1406"/>
      <c r="H134" s="1406"/>
      <c r="I134" s="1406"/>
      <c r="J134" s="1406"/>
      <c r="K134" s="1406"/>
      <c r="L134" s="1406"/>
      <c r="M134" s="1406"/>
      <c r="N134" s="1406"/>
      <c r="O134" s="1406"/>
      <c r="P134" s="1406"/>
      <c r="Q134" s="1406"/>
      <c r="R134" s="1406"/>
      <c r="S134" s="1406"/>
      <c r="T134" s="1406"/>
      <c r="U134" s="1406"/>
      <c r="V134" s="1406"/>
      <c r="W134" s="1406"/>
      <c r="X134" s="1406"/>
      <c r="Y134" s="1406"/>
      <c r="Z134" s="1406"/>
      <c r="AA134" s="1406"/>
      <c r="AB134" s="1406"/>
      <c r="AC134" s="1406"/>
      <c r="AD134" s="1406"/>
      <c r="AE134" s="1406"/>
      <c r="AF134" s="1406"/>
      <c r="AG134" s="1406"/>
      <c r="AI134" s="544"/>
      <c r="AJ134" s="544"/>
      <c r="AK134" s="544"/>
      <c r="AL134" s="544"/>
      <c r="AM134" s="544"/>
      <c r="AN134" s="544"/>
      <c r="AP134" s="544"/>
      <c r="AQ134" s="544"/>
      <c r="AR134" s="544"/>
      <c r="AS134" s="544"/>
      <c r="AT134" s="544"/>
      <c r="AU134" s="544"/>
      <c r="AV134" s="544"/>
    </row>
    <row r="135" spans="1:48" x14ac:dyDescent="0.35">
      <c r="A135" s="1406"/>
      <c r="B135" s="1406"/>
      <c r="C135" s="1406"/>
      <c r="D135" s="1406"/>
      <c r="E135" s="1406"/>
      <c r="F135" s="1406"/>
      <c r="G135" s="1406"/>
      <c r="H135" s="1406"/>
      <c r="I135" s="1406"/>
      <c r="J135" s="1406"/>
      <c r="K135" s="1406"/>
      <c r="L135" s="1406"/>
      <c r="M135" s="1406"/>
      <c r="N135" s="1406"/>
      <c r="O135" s="1406"/>
      <c r="P135" s="1406"/>
      <c r="Q135" s="1406"/>
      <c r="R135" s="1406"/>
      <c r="S135" s="1406"/>
      <c r="T135" s="1406"/>
      <c r="U135" s="1406"/>
      <c r="V135" s="1406"/>
      <c r="W135" s="1406"/>
      <c r="X135" s="1406"/>
      <c r="Y135" s="1406"/>
      <c r="Z135" s="1406"/>
      <c r="AA135" s="1406"/>
      <c r="AB135" s="1406"/>
      <c r="AC135" s="1406"/>
      <c r="AD135" s="1406"/>
      <c r="AE135" s="1406"/>
      <c r="AF135" s="1406"/>
      <c r="AG135" s="1406"/>
      <c r="AI135" s="544"/>
      <c r="AJ135" s="544"/>
      <c r="AK135" s="544"/>
      <c r="AL135" s="544"/>
      <c r="AM135" s="544"/>
      <c r="AN135" s="544"/>
      <c r="AP135" s="544"/>
      <c r="AQ135" s="544"/>
      <c r="AR135" s="544"/>
      <c r="AS135" s="544"/>
      <c r="AT135" s="544"/>
      <c r="AU135" s="544"/>
      <c r="AV135" s="544"/>
    </row>
    <row r="136" spans="1:48" x14ac:dyDescent="0.35">
      <c r="A136" s="1406"/>
      <c r="B136" s="1406"/>
      <c r="C136" s="1406"/>
      <c r="D136" s="1406"/>
      <c r="E136" s="1406"/>
      <c r="F136" s="1406"/>
      <c r="G136" s="1406"/>
      <c r="H136" s="1406"/>
      <c r="I136" s="1406"/>
      <c r="J136" s="1406"/>
      <c r="K136" s="1406"/>
      <c r="L136" s="1406"/>
      <c r="M136" s="1406"/>
      <c r="N136" s="1406"/>
      <c r="O136" s="1406"/>
      <c r="P136" s="1406"/>
      <c r="Q136" s="1406"/>
      <c r="R136" s="1406"/>
      <c r="S136" s="1406"/>
      <c r="T136" s="1406"/>
      <c r="U136" s="1406"/>
      <c r="V136" s="1406"/>
      <c r="W136" s="1406"/>
      <c r="X136" s="1406"/>
      <c r="Y136" s="1406"/>
      <c r="Z136" s="1406"/>
      <c r="AA136" s="1406"/>
      <c r="AB136" s="1406"/>
      <c r="AC136" s="1406"/>
      <c r="AD136" s="1406"/>
      <c r="AE136" s="1406"/>
      <c r="AF136" s="1406"/>
      <c r="AG136" s="1406"/>
      <c r="AI136" s="544"/>
      <c r="AJ136" s="544"/>
      <c r="AK136" s="544"/>
      <c r="AL136" s="544"/>
      <c r="AM136" s="544"/>
      <c r="AN136" s="544"/>
      <c r="AP136" s="544"/>
      <c r="AQ136" s="544"/>
      <c r="AR136" s="544"/>
      <c r="AS136" s="544"/>
      <c r="AT136" s="544"/>
      <c r="AU136" s="544"/>
      <c r="AV136" s="544"/>
    </row>
    <row r="137" spans="1:48" x14ac:dyDescent="0.35">
      <c r="A137" s="1406"/>
      <c r="B137" s="1406"/>
      <c r="C137" s="1406"/>
      <c r="D137" s="1406"/>
      <c r="E137" s="1406"/>
      <c r="F137" s="1406"/>
      <c r="G137" s="1406"/>
      <c r="H137" s="1406"/>
      <c r="I137" s="1406"/>
      <c r="J137" s="1406"/>
      <c r="K137" s="1406"/>
      <c r="L137" s="1406"/>
      <c r="M137" s="1406"/>
      <c r="N137" s="1406"/>
      <c r="O137" s="1406"/>
      <c r="P137" s="1406"/>
      <c r="Q137" s="1406"/>
      <c r="R137" s="1406"/>
      <c r="S137" s="1406"/>
      <c r="T137" s="1406"/>
      <c r="U137" s="1406"/>
      <c r="V137" s="1406"/>
      <c r="W137" s="1406"/>
      <c r="X137" s="1406"/>
      <c r="Y137" s="1406"/>
      <c r="Z137" s="1406"/>
      <c r="AA137" s="1406"/>
      <c r="AB137" s="1406"/>
      <c r="AC137" s="1406"/>
      <c r="AD137" s="1406"/>
      <c r="AE137" s="1406"/>
      <c r="AF137" s="1406"/>
      <c r="AG137" s="1406"/>
      <c r="AI137" s="544"/>
      <c r="AJ137" s="544"/>
      <c r="AK137" s="544"/>
      <c r="AL137" s="544"/>
      <c r="AM137" s="544"/>
      <c r="AN137" s="544"/>
      <c r="AP137" s="544"/>
      <c r="AQ137" s="544"/>
      <c r="AR137" s="544"/>
      <c r="AS137" s="544"/>
      <c r="AT137" s="544"/>
      <c r="AU137" s="544"/>
      <c r="AV137" s="544"/>
    </row>
    <row r="138" spans="1:48" x14ac:dyDescent="0.35">
      <c r="A138" s="1406"/>
      <c r="B138" s="1406"/>
      <c r="C138" s="1406"/>
      <c r="D138" s="1406"/>
      <c r="E138" s="1406"/>
      <c r="F138" s="1406"/>
      <c r="G138" s="1406"/>
      <c r="H138" s="1406"/>
      <c r="I138" s="1406"/>
      <c r="J138" s="1406"/>
      <c r="K138" s="1406"/>
      <c r="L138" s="1406"/>
      <c r="M138" s="1406"/>
      <c r="N138" s="1406"/>
      <c r="O138" s="1406"/>
      <c r="P138" s="1406"/>
      <c r="Q138" s="1406"/>
      <c r="R138" s="1406"/>
      <c r="S138" s="1406"/>
      <c r="T138" s="1406"/>
      <c r="U138" s="1406"/>
      <c r="V138" s="1406"/>
      <c r="W138" s="1406"/>
      <c r="X138" s="1406"/>
      <c r="Y138" s="1406"/>
      <c r="Z138" s="1406"/>
      <c r="AA138" s="1406"/>
      <c r="AB138" s="1406"/>
      <c r="AC138" s="1406"/>
      <c r="AD138" s="1406"/>
      <c r="AE138" s="1406"/>
      <c r="AF138" s="1406"/>
      <c r="AG138" s="1406"/>
      <c r="AI138" s="544"/>
      <c r="AJ138" s="544"/>
      <c r="AK138" s="544"/>
      <c r="AL138" s="544"/>
      <c r="AM138" s="544"/>
      <c r="AN138" s="544"/>
      <c r="AP138" s="544"/>
      <c r="AQ138" s="544"/>
      <c r="AR138" s="544"/>
      <c r="AS138" s="544"/>
      <c r="AT138" s="544"/>
      <c r="AU138" s="544"/>
      <c r="AV138" s="544"/>
    </row>
    <row r="139" spans="1:48" x14ac:dyDescent="0.35">
      <c r="A139" s="1406"/>
      <c r="B139" s="1406"/>
      <c r="C139" s="1406"/>
      <c r="D139" s="1406"/>
      <c r="E139" s="1406"/>
      <c r="F139" s="1406"/>
      <c r="G139" s="1406"/>
      <c r="H139" s="1406"/>
      <c r="I139" s="1406"/>
      <c r="J139" s="1406"/>
      <c r="K139" s="1406"/>
      <c r="L139" s="1406"/>
      <c r="M139" s="1406"/>
      <c r="N139" s="1406"/>
      <c r="O139" s="1406"/>
      <c r="P139" s="1406"/>
      <c r="Q139" s="1406"/>
      <c r="R139" s="1406"/>
      <c r="S139" s="1406"/>
      <c r="T139" s="1406"/>
      <c r="U139" s="1406"/>
      <c r="V139" s="1406"/>
      <c r="W139" s="1406"/>
      <c r="X139" s="1406"/>
      <c r="Y139" s="1406"/>
      <c r="Z139" s="1406"/>
      <c r="AA139" s="1406"/>
      <c r="AB139" s="1406"/>
      <c r="AC139" s="1406"/>
      <c r="AD139" s="1406"/>
      <c r="AE139" s="1406"/>
      <c r="AF139" s="1406"/>
      <c r="AG139" s="1406"/>
      <c r="AI139" s="544"/>
      <c r="AJ139" s="544"/>
      <c r="AK139" s="544"/>
      <c r="AL139" s="544"/>
      <c r="AM139" s="544"/>
      <c r="AN139" s="544"/>
      <c r="AP139" s="544"/>
      <c r="AQ139" s="544"/>
      <c r="AR139" s="544"/>
      <c r="AS139" s="544"/>
      <c r="AT139" s="544"/>
      <c r="AU139" s="544"/>
      <c r="AV139" s="544"/>
    </row>
    <row r="140" spans="1:48" x14ac:dyDescent="0.35">
      <c r="A140" s="1406"/>
      <c r="B140" s="1406"/>
      <c r="C140" s="1406"/>
      <c r="D140" s="1406"/>
      <c r="E140" s="1406"/>
      <c r="F140" s="1406"/>
      <c r="G140" s="1406"/>
      <c r="H140" s="1406"/>
      <c r="I140" s="1406"/>
      <c r="J140" s="1406"/>
      <c r="K140" s="1406"/>
      <c r="L140" s="1406"/>
      <c r="M140" s="1406"/>
      <c r="N140" s="1406"/>
      <c r="O140" s="1406"/>
      <c r="P140" s="1406"/>
      <c r="Q140" s="1406"/>
      <c r="R140" s="1406"/>
      <c r="S140" s="1406"/>
      <c r="T140" s="1406"/>
      <c r="U140" s="1406"/>
      <c r="V140" s="1406"/>
      <c r="W140" s="1406"/>
      <c r="X140" s="1406"/>
      <c r="Y140" s="1406"/>
      <c r="Z140" s="1406"/>
      <c r="AA140" s="1406"/>
      <c r="AB140" s="1406"/>
      <c r="AC140" s="1406"/>
      <c r="AD140" s="1406"/>
      <c r="AE140" s="1406"/>
      <c r="AF140" s="1406"/>
      <c r="AG140" s="1406"/>
      <c r="AI140" s="544"/>
      <c r="AJ140" s="544"/>
      <c r="AK140" s="544"/>
      <c r="AL140" s="544"/>
      <c r="AM140" s="544"/>
      <c r="AN140" s="544"/>
      <c r="AP140" s="544"/>
      <c r="AQ140" s="544"/>
      <c r="AR140" s="544"/>
      <c r="AS140" s="544"/>
      <c r="AT140" s="544"/>
      <c r="AU140" s="544"/>
      <c r="AV140" s="544"/>
    </row>
    <row r="141" spans="1:48" x14ac:dyDescent="0.35">
      <c r="A141" s="1406"/>
      <c r="B141" s="1406"/>
      <c r="C141" s="1406"/>
      <c r="D141" s="1406"/>
      <c r="E141" s="1406"/>
      <c r="F141" s="1406"/>
      <c r="G141" s="1406"/>
      <c r="H141" s="1406"/>
      <c r="I141" s="1406"/>
      <c r="J141" s="1406"/>
      <c r="K141" s="1406"/>
      <c r="L141" s="1406"/>
      <c r="M141" s="1406"/>
      <c r="N141" s="1406"/>
      <c r="O141" s="1406"/>
      <c r="P141" s="1406"/>
      <c r="Q141" s="1406"/>
      <c r="R141" s="1406"/>
      <c r="S141" s="1406"/>
      <c r="T141" s="1406"/>
      <c r="U141" s="1406"/>
      <c r="V141" s="1406"/>
      <c r="W141" s="1406"/>
      <c r="X141" s="1406"/>
      <c r="Y141" s="1406"/>
      <c r="Z141" s="1406"/>
      <c r="AA141" s="1406"/>
      <c r="AB141" s="1406"/>
      <c r="AC141" s="1406"/>
      <c r="AD141" s="1406"/>
      <c r="AE141" s="1406"/>
      <c r="AF141" s="1406"/>
      <c r="AG141" s="1406"/>
      <c r="AI141" s="544"/>
      <c r="AJ141" s="544"/>
      <c r="AK141" s="544"/>
      <c r="AL141" s="544"/>
      <c r="AM141" s="544"/>
      <c r="AN141" s="544"/>
      <c r="AP141" s="544"/>
      <c r="AQ141" s="544"/>
      <c r="AR141" s="544"/>
      <c r="AS141" s="544"/>
      <c r="AT141" s="544"/>
      <c r="AU141" s="544"/>
      <c r="AV141" s="544"/>
    </row>
    <row r="142" spans="1:48" x14ac:dyDescent="0.35">
      <c r="A142" s="1406"/>
      <c r="B142" s="1406"/>
      <c r="C142" s="1406"/>
      <c r="D142" s="1406"/>
      <c r="E142" s="1406"/>
      <c r="F142" s="1406"/>
      <c r="G142" s="1406"/>
      <c r="H142" s="1406"/>
      <c r="I142" s="1406"/>
      <c r="J142" s="1406"/>
      <c r="K142" s="1406"/>
      <c r="L142" s="1406"/>
      <c r="M142" s="1406"/>
      <c r="N142" s="1406"/>
      <c r="O142" s="1406"/>
      <c r="P142" s="1406"/>
      <c r="Q142" s="1406"/>
      <c r="R142" s="1406"/>
      <c r="S142" s="1406"/>
      <c r="T142" s="1406"/>
      <c r="U142" s="1406"/>
      <c r="V142" s="1406"/>
      <c r="W142" s="1406"/>
      <c r="X142" s="1406"/>
      <c r="Y142" s="1406"/>
      <c r="Z142" s="1406"/>
      <c r="AA142" s="1406"/>
      <c r="AB142" s="1406"/>
      <c r="AC142" s="1406"/>
      <c r="AD142" s="1406"/>
      <c r="AE142" s="1406"/>
      <c r="AF142" s="1406"/>
      <c r="AG142" s="1406"/>
      <c r="AI142" s="544"/>
      <c r="AJ142" s="544"/>
      <c r="AK142" s="544"/>
      <c r="AL142" s="544"/>
      <c r="AM142" s="544"/>
      <c r="AN142" s="544"/>
      <c r="AP142" s="544"/>
      <c r="AQ142" s="544"/>
      <c r="AR142" s="544"/>
      <c r="AS142" s="544"/>
      <c r="AT142" s="544"/>
      <c r="AU142" s="544"/>
      <c r="AV142" s="544"/>
    </row>
    <row r="143" spans="1:48" x14ac:dyDescent="0.35">
      <c r="A143" s="1406"/>
      <c r="B143" s="1406"/>
      <c r="C143" s="1406"/>
      <c r="D143" s="1406"/>
      <c r="E143" s="1406"/>
      <c r="F143" s="1406"/>
      <c r="G143" s="1406"/>
      <c r="H143" s="1406"/>
      <c r="I143" s="1406"/>
      <c r="J143" s="1406"/>
      <c r="K143" s="1406"/>
      <c r="L143" s="1406"/>
      <c r="M143" s="1406"/>
      <c r="N143" s="1406"/>
      <c r="O143" s="1406"/>
      <c r="P143" s="1406"/>
      <c r="Q143" s="1406"/>
      <c r="R143" s="1406"/>
      <c r="S143" s="1406"/>
      <c r="T143" s="1406"/>
      <c r="U143" s="1406"/>
      <c r="V143" s="1406"/>
      <c r="W143" s="1406"/>
      <c r="X143" s="1406"/>
      <c r="Y143" s="1406"/>
      <c r="Z143" s="1406"/>
      <c r="AA143" s="1406"/>
      <c r="AB143" s="1406"/>
      <c r="AC143" s="1406"/>
      <c r="AD143" s="1406"/>
      <c r="AE143" s="1406"/>
      <c r="AF143" s="1406"/>
      <c r="AG143" s="1406"/>
      <c r="AI143" s="544"/>
      <c r="AJ143" s="544"/>
      <c r="AK143" s="544"/>
      <c r="AL143" s="544"/>
      <c r="AM143" s="544"/>
      <c r="AN143" s="544"/>
      <c r="AP143" s="544"/>
      <c r="AQ143" s="544"/>
      <c r="AR143" s="544"/>
      <c r="AS143" s="544"/>
      <c r="AT143" s="544"/>
      <c r="AU143" s="544"/>
      <c r="AV143" s="544"/>
    </row>
    <row r="144" spans="1:48" x14ac:dyDescent="0.35">
      <c r="A144" s="1406"/>
      <c r="B144" s="1406"/>
      <c r="C144" s="1406"/>
      <c r="D144" s="1406"/>
      <c r="E144" s="1406"/>
      <c r="F144" s="1406"/>
      <c r="G144" s="1406"/>
      <c r="H144" s="1406"/>
      <c r="I144" s="1406"/>
      <c r="J144" s="1406"/>
      <c r="K144" s="1406"/>
      <c r="L144" s="1406"/>
      <c r="M144" s="1406"/>
      <c r="N144" s="1406"/>
      <c r="O144" s="1406"/>
      <c r="P144" s="1406"/>
      <c r="Q144" s="1406"/>
      <c r="R144" s="1406"/>
      <c r="S144" s="1406"/>
      <c r="T144" s="1406"/>
      <c r="U144" s="1406"/>
      <c r="V144" s="1406"/>
      <c r="W144" s="1406"/>
      <c r="X144" s="1406"/>
      <c r="Y144" s="1406"/>
      <c r="Z144" s="1406"/>
      <c r="AA144" s="1406"/>
      <c r="AB144" s="1406"/>
      <c r="AC144" s="1406"/>
      <c r="AD144" s="1406"/>
      <c r="AE144" s="1406"/>
      <c r="AF144" s="1406"/>
      <c r="AG144" s="1406"/>
      <c r="AI144" s="544"/>
      <c r="AJ144" s="544"/>
      <c r="AK144" s="544"/>
      <c r="AL144" s="544"/>
      <c r="AM144" s="544"/>
      <c r="AN144" s="544"/>
      <c r="AP144" s="544"/>
      <c r="AQ144" s="544"/>
      <c r="AR144" s="544"/>
      <c r="AS144" s="544"/>
      <c r="AT144" s="544"/>
      <c r="AU144" s="544"/>
      <c r="AV144" s="544"/>
    </row>
    <row r="145" spans="1:48" x14ac:dyDescent="0.35">
      <c r="A145" s="1406"/>
      <c r="B145" s="1406"/>
      <c r="C145" s="1406"/>
      <c r="D145" s="1406"/>
      <c r="E145" s="1406"/>
      <c r="F145" s="1406"/>
      <c r="G145" s="1406"/>
      <c r="H145" s="1406"/>
      <c r="I145" s="1406"/>
      <c r="J145" s="1406"/>
      <c r="K145" s="1406"/>
      <c r="L145" s="1406"/>
      <c r="M145" s="1406"/>
      <c r="N145" s="1406"/>
      <c r="O145" s="1406"/>
      <c r="P145" s="1406"/>
      <c r="Q145" s="1406"/>
      <c r="R145" s="1406"/>
      <c r="S145" s="1406"/>
      <c r="T145" s="1406"/>
      <c r="U145" s="1406"/>
      <c r="V145" s="1406"/>
      <c r="W145" s="1406"/>
      <c r="X145" s="1406"/>
      <c r="Y145" s="1406"/>
      <c r="Z145" s="1406"/>
      <c r="AA145" s="1406"/>
      <c r="AB145" s="1406"/>
      <c r="AC145" s="1406"/>
      <c r="AD145" s="1406"/>
      <c r="AE145" s="1406"/>
      <c r="AF145" s="1406"/>
      <c r="AG145" s="1406"/>
      <c r="AI145" s="544"/>
      <c r="AJ145" s="544"/>
      <c r="AK145" s="544"/>
      <c r="AL145" s="544"/>
      <c r="AM145" s="544"/>
      <c r="AN145" s="544"/>
      <c r="AP145" s="544"/>
      <c r="AQ145" s="544"/>
      <c r="AR145" s="544"/>
      <c r="AS145" s="544"/>
      <c r="AT145" s="544"/>
      <c r="AU145" s="544"/>
      <c r="AV145" s="544"/>
    </row>
    <row r="146" spans="1:48" x14ac:dyDescent="0.35">
      <c r="A146" s="1406"/>
      <c r="B146" s="1406"/>
      <c r="C146" s="1406"/>
      <c r="D146" s="1406"/>
      <c r="E146" s="1406"/>
      <c r="F146" s="1406"/>
      <c r="G146" s="1406"/>
      <c r="H146" s="1406"/>
      <c r="I146" s="1406"/>
      <c r="J146" s="1406"/>
      <c r="K146" s="1406"/>
      <c r="L146" s="1406"/>
      <c r="M146" s="1406"/>
      <c r="N146" s="1406"/>
      <c r="O146" s="1406"/>
      <c r="P146" s="1406"/>
      <c r="Q146" s="1406"/>
      <c r="R146" s="1406"/>
      <c r="S146" s="1406"/>
      <c r="T146" s="1406"/>
      <c r="U146" s="1406"/>
      <c r="V146" s="1406"/>
      <c r="W146" s="1406"/>
      <c r="X146" s="1406"/>
      <c r="Y146" s="1406"/>
      <c r="Z146" s="1406"/>
      <c r="AA146" s="1406"/>
      <c r="AB146" s="1406"/>
      <c r="AC146" s="1406"/>
      <c r="AD146" s="1406"/>
      <c r="AE146" s="1406"/>
      <c r="AF146" s="1406"/>
      <c r="AG146" s="1406"/>
      <c r="AI146" s="544"/>
      <c r="AJ146" s="544"/>
      <c r="AK146" s="544"/>
      <c r="AL146" s="544"/>
      <c r="AM146" s="544"/>
      <c r="AN146" s="544"/>
      <c r="AP146" s="544"/>
      <c r="AQ146" s="544"/>
      <c r="AR146" s="544"/>
      <c r="AS146" s="544"/>
      <c r="AT146" s="544"/>
      <c r="AU146" s="544"/>
      <c r="AV146" s="544"/>
    </row>
    <row r="147" spans="1:48" x14ac:dyDescent="0.35">
      <c r="A147" s="1406"/>
      <c r="B147" s="1406"/>
      <c r="C147" s="1406"/>
      <c r="D147" s="1406"/>
      <c r="E147" s="1406"/>
      <c r="F147" s="1406"/>
      <c r="G147" s="1406"/>
      <c r="H147" s="1406"/>
      <c r="I147" s="1406"/>
      <c r="J147" s="1406"/>
      <c r="K147" s="1406"/>
      <c r="L147" s="1406"/>
      <c r="M147" s="1406"/>
      <c r="N147" s="1406"/>
      <c r="O147" s="1406"/>
      <c r="P147" s="1406"/>
      <c r="Q147" s="1406"/>
      <c r="R147" s="1406"/>
      <c r="S147" s="1406"/>
      <c r="T147" s="1406"/>
      <c r="U147" s="1406"/>
      <c r="V147" s="1406"/>
      <c r="W147" s="1406"/>
      <c r="X147" s="1406"/>
      <c r="Y147" s="1406"/>
      <c r="Z147" s="1406"/>
      <c r="AA147" s="1406"/>
      <c r="AB147" s="1406"/>
      <c r="AC147" s="1406"/>
      <c r="AD147" s="1406"/>
      <c r="AE147" s="1406"/>
      <c r="AF147" s="1406"/>
      <c r="AG147" s="1406"/>
      <c r="AI147" s="544"/>
      <c r="AJ147" s="544"/>
      <c r="AK147" s="544"/>
      <c r="AL147" s="544"/>
      <c r="AM147" s="544"/>
      <c r="AN147" s="544"/>
      <c r="AP147" s="544"/>
      <c r="AQ147" s="544"/>
      <c r="AR147" s="544"/>
      <c r="AS147" s="544"/>
      <c r="AT147" s="544"/>
      <c r="AU147" s="544"/>
      <c r="AV147" s="544"/>
    </row>
    <row r="148" spans="1:48" x14ac:dyDescent="0.35">
      <c r="A148" s="1406"/>
      <c r="B148" s="1406"/>
      <c r="C148" s="1406"/>
      <c r="D148" s="1406"/>
      <c r="E148" s="1406"/>
      <c r="F148" s="1406"/>
      <c r="G148" s="1406"/>
      <c r="H148" s="1406"/>
      <c r="I148" s="1406"/>
      <c r="J148" s="1406"/>
      <c r="K148" s="1406"/>
      <c r="L148" s="1406"/>
      <c r="M148" s="1406"/>
      <c r="N148" s="1406"/>
      <c r="O148" s="1406"/>
      <c r="P148" s="1406"/>
      <c r="Q148" s="1406"/>
      <c r="R148" s="1406"/>
      <c r="S148" s="1406"/>
      <c r="T148" s="1406"/>
      <c r="U148" s="1406"/>
      <c r="V148" s="1406"/>
      <c r="W148" s="1406"/>
      <c r="X148" s="1406"/>
      <c r="Y148" s="1406"/>
      <c r="Z148" s="1406"/>
      <c r="AA148" s="1406"/>
      <c r="AB148" s="1406"/>
      <c r="AC148" s="1406"/>
      <c r="AD148" s="1406"/>
      <c r="AE148" s="1406"/>
      <c r="AF148" s="1406"/>
      <c r="AG148" s="1406"/>
      <c r="AI148" s="544"/>
      <c r="AJ148" s="544"/>
      <c r="AK148" s="544"/>
      <c r="AL148" s="544"/>
      <c r="AM148" s="544"/>
      <c r="AN148" s="544"/>
      <c r="AP148" s="544"/>
      <c r="AQ148" s="544"/>
      <c r="AR148" s="544"/>
      <c r="AS148" s="544"/>
      <c r="AT148" s="544"/>
      <c r="AU148" s="544"/>
      <c r="AV148" s="544"/>
    </row>
    <row r="149" spans="1:48" x14ac:dyDescent="0.35">
      <c r="A149" s="1406"/>
      <c r="B149" s="1406"/>
      <c r="C149" s="1406"/>
      <c r="D149" s="1406"/>
      <c r="E149" s="1406"/>
      <c r="F149" s="1406"/>
      <c r="G149" s="1406"/>
      <c r="H149" s="1406"/>
      <c r="I149" s="1406"/>
      <c r="J149" s="1406"/>
      <c r="K149" s="1406"/>
      <c r="L149" s="1406"/>
      <c r="M149" s="1406"/>
      <c r="N149" s="1406"/>
      <c r="O149" s="1406"/>
      <c r="P149" s="1406"/>
      <c r="Q149" s="1406"/>
      <c r="R149" s="1406"/>
      <c r="S149" s="1406"/>
      <c r="T149" s="1406"/>
      <c r="U149" s="1406"/>
      <c r="V149" s="1406"/>
      <c r="W149" s="1406"/>
      <c r="X149" s="1406"/>
      <c r="Y149" s="1406"/>
      <c r="Z149" s="1406"/>
      <c r="AA149" s="1406"/>
      <c r="AB149" s="1406"/>
      <c r="AC149" s="1406"/>
      <c r="AD149" s="1406"/>
      <c r="AE149" s="1406"/>
      <c r="AF149" s="1406"/>
      <c r="AG149" s="1406"/>
      <c r="AI149" s="544"/>
      <c r="AJ149" s="544"/>
      <c r="AK149" s="544"/>
      <c r="AL149" s="544"/>
      <c r="AM149" s="544"/>
      <c r="AN149" s="544"/>
      <c r="AP149" s="544"/>
      <c r="AQ149" s="544"/>
      <c r="AR149" s="544"/>
      <c r="AS149" s="544"/>
      <c r="AT149" s="544"/>
      <c r="AU149" s="544"/>
      <c r="AV149" s="544"/>
    </row>
    <row r="150" spans="1:48" x14ac:dyDescent="0.35">
      <c r="A150" s="1406"/>
      <c r="B150" s="1406"/>
      <c r="C150" s="1406"/>
      <c r="D150" s="1406"/>
      <c r="E150" s="1406"/>
      <c r="F150" s="1406"/>
      <c r="G150" s="1406"/>
      <c r="H150" s="1406"/>
      <c r="I150" s="1406"/>
      <c r="J150" s="1406"/>
      <c r="K150" s="1406"/>
      <c r="L150" s="1406"/>
      <c r="M150" s="1406"/>
      <c r="N150" s="1406"/>
      <c r="O150" s="1406"/>
      <c r="P150" s="1406"/>
      <c r="Q150" s="1406"/>
      <c r="R150" s="1406"/>
      <c r="S150" s="1406"/>
      <c r="T150" s="1406"/>
      <c r="U150" s="1406"/>
      <c r="V150" s="1406"/>
      <c r="W150" s="1406"/>
      <c r="X150" s="1406"/>
      <c r="Y150" s="1406"/>
      <c r="Z150" s="1406"/>
      <c r="AA150" s="1406"/>
      <c r="AB150" s="1406"/>
      <c r="AC150" s="1406"/>
      <c r="AD150" s="1406"/>
      <c r="AE150" s="1406"/>
      <c r="AF150" s="1406"/>
      <c r="AG150" s="1406"/>
      <c r="AI150" s="544"/>
      <c r="AJ150" s="544"/>
      <c r="AK150" s="544"/>
      <c r="AL150" s="544"/>
      <c r="AM150" s="544"/>
      <c r="AN150" s="544"/>
      <c r="AP150" s="544"/>
      <c r="AQ150" s="544"/>
      <c r="AR150" s="544"/>
      <c r="AS150" s="544"/>
      <c r="AT150" s="544"/>
      <c r="AU150" s="544"/>
      <c r="AV150" s="544"/>
    </row>
    <row r="151" spans="1:48" x14ac:dyDescent="0.35">
      <c r="A151" s="1406"/>
      <c r="B151" s="1406"/>
      <c r="C151" s="1406"/>
      <c r="D151" s="1406"/>
      <c r="E151" s="1406"/>
      <c r="F151" s="1406"/>
      <c r="G151" s="1406"/>
      <c r="H151" s="1406"/>
      <c r="I151" s="1406"/>
      <c r="J151" s="1406"/>
      <c r="K151" s="1406"/>
      <c r="L151" s="1406"/>
      <c r="M151" s="1406"/>
      <c r="N151" s="1406"/>
      <c r="O151" s="1406"/>
      <c r="P151" s="1406"/>
      <c r="Q151" s="1406"/>
      <c r="R151" s="1406"/>
      <c r="S151" s="1406"/>
      <c r="T151" s="1406"/>
      <c r="U151" s="1406"/>
      <c r="V151" s="1406"/>
      <c r="W151" s="1406"/>
      <c r="X151" s="1406"/>
      <c r="Y151" s="1406"/>
      <c r="Z151" s="1406"/>
      <c r="AA151" s="1406"/>
      <c r="AB151" s="1406"/>
      <c r="AC151" s="1406"/>
      <c r="AD151" s="1406"/>
      <c r="AE151" s="1406"/>
      <c r="AF151" s="1406"/>
      <c r="AG151" s="1406"/>
      <c r="AI151" s="544"/>
      <c r="AJ151" s="544"/>
      <c r="AK151" s="544"/>
      <c r="AL151" s="544"/>
      <c r="AM151" s="544"/>
      <c r="AN151" s="544"/>
      <c r="AP151" s="544"/>
      <c r="AQ151" s="544"/>
      <c r="AR151" s="544"/>
      <c r="AS151" s="544"/>
      <c r="AT151" s="544"/>
      <c r="AU151" s="544"/>
      <c r="AV151" s="544"/>
    </row>
    <row r="152" spans="1:48" x14ac:dyDescent="0.35">
      <c r="A152" s="1406"/>
      <c r="B152" s="1406"/>
      <c r="C152" s="1406"/>
      <c r="D152" s="1406"/>
      <c r="E152" s="1406"/>
      <c r="F152" s="1406"/>
      <c r="G152" s="1406"/>
      <c r="H152" s="1406"/>
      <c r="I152" s="1406"/>
      <c r="J152" s="1406"/>
      <c r="K152" s="1406"/>
      <c r="L152" s="1406"/>
      <c r="M152" s="1406"/>
      <c r="N152" s="1406"/>
      <c r="O152" s="1406"/>
      <c r="P152" s="1406"/>
      <c r="Q152" s="1406"/>
      <c r="R152" s="1406"/>
      <c r="S152" s="1406"/>
      <c r="T152" s="1406"/>
      <c r="U152" s="1406"/>
      <c r="V152" s="1406"/>
      <c r="W152" s="1406"/>
      <c r="X152" s="1406"/>
      <c r="Y152" s="1406"/>
      <c r="Z152" s="1406"/>
      <c r="AA152" s="1406"/>
      <c r="AB152" s="1406"/>
      <c r="AC152" s="1406"/>
      <c r="AD152" s="1406"/>
      <c r="AE152" s="1406"/>
      <c r="AF152" s="1406"/>
      <c r="AG152" s="1406"/>
      <c r="AI152" s="544"/>
      <c r="AJ152" s="544"/>
      <c r="AK152" s="544"/>
      <c r="AL152" s="544"/>
      <c r="AM152" s="544"/>
      <c r="AN152" s="544"/>
      <c r="AP152" s="544"/>
      <c r="AQ152" s="544"/>
      <c r="AR152" s="544"/>
      <c r="AS152" s="544"/>
      <c r="AT152" s="544"/>
      <c r="AU152" s="544"/>
      <c r="AV152" s="544"/>
    </row>
    <row r="153" spans="1:48" x14ac:dyDescent="0.35">
      <c r="A153" s="1406"/>
      <c r="B153" s="1406"/>
      <c r="C153" s="1406"/>
      <c r="D153" s="1406"/>
      <c r="E153" s="1406"/>
      <c r="F153" s="1406"/>
      <c r="G153" s="1406"/>
      <c r="H153" s="1406"/>
      <c r="I153" s="1406"/>
      <c r="J153" s="1406"/>
      <c r="K153" s="1406"/>
      <c r="L153" s="1406"/>
      <c r="M153" s="1406"/>
      <c r="N153" s="1406"/>
      <c r="O153" s="1406"/>
      <c r="P153" s="1406"/>
      <c r="Q153" s="1406"/>
      <c r="R153" s="1406"/>
      <c r="S153" s="1406"/>
      <c r="T153" s="1406"/>
      <c r="U153" s="1406"/>
      <c r="V153" s="1406"/>
      <c r="W153" s="1406"/>
      <c r="X153" s="1406"/>
      <c r="Y153" s="1406"/>
      <c r="Z153" s="1406"/>
      <c r="AA153" s="1406"/>
      <c r="AB153" s="1406"/>
      <c r="AC153" s="1406"/>
      <c r="AD153" s="1406"/>
      <c r="AE153" s="1406"/>
      <c r="AF153" s="1406"/>
      <c r="AG153" s="1406"/>
      <c r="AI153" s="544"/>
      <c r="AJ153" s="544"/>
      <c r="AK153" s="544"/>
      <c r="AL153" s="544"/>
      <c r="AM153" s="544"/>
      <c r="AN153" s="544"/>
      <c r="AP153" s="544"/>
      <c r="AQ153" s="544"/>
      <c r="AR153" s="544"/>
      <c r="AS153" s="544"/>
      <c r="AT153" s="544"/>
      <c r="AU153" s="544"/>
      <c r="AV153" s="544"/>
    </row>
    <row r="154" spans="1:48" x14ac:dyDescent="0.35">
      <c r="A154" s="1406"/>
      <c r="B154" s="1406"/>
      <c r="C154" s="1406"/>
      <c r="D154" s="1406"/>
      <c r="E154" s="1406"/>
      <c r="F154" s="1406"/>
      <c r="G154" s="1406"/>
      <c r="H154" s="1406"/>
      <c r="I154" s="1406"/>
      <c r="J154" s="1406"/>
      <c r="K154" s="1406"/>
      <c r="L154" s="1406"/>
      <c r="M154" s="1406"/>
      <c r="N154" s="1406"/>
      <c r="O154" s="1406"/>
      <c r="P154" s="1406"/>
      <c r="Q154" s="1406"/>
      <c r="R154" s="1406"/>
      <c r="S154" s="1406"/>
      <c r="T154" s="1406"/>
      <c r="U154" s="1406"/>
      <c r="V154" s="1406"/>
      <c r="W154" s="1406"/>
      <c r="X154" s="1406"/>
      <c r="Y154" s="1406"/>
      <c r="Z154" s="1406"/>
      <c r="AA154" s="1406"/>
      <c r="AB154" s="1406"/>
      <c r="AC154" s="1406"/>
      <c r="AD154" s="1406"/>
      <c r="AE154" s="1406"/>
      <c r="AF154" s="1406"/>
      <c r="AG154" s="1406"/>
      <c r="AI154" s="544"/>
      <c r="AJ154" s="544"/>
      <c r="AK154" s="544"/>
      <c r="AL154" s="544"/>
      <c r="AM154" s="544"/>
      <c r="AN154" s="544"/>
      <c r="AP154" s="544"/>
      <c r="AQ154" s="544"/>
      <c r="AR154" s="544"/>
      <c r="AS154" s="544"/>
      <c r="AT154" s="544"/>
      <c r="AU154" s="544"/>
      <c r="AV154" s="544"/>
    </row>
    <row r="155" spans="1:48" x14ac:dyDescent="0.35">
      <c r="A155" s="1406"/>
      <c r="B155" s="1406"/>
      <c r="C155" s="1406"/>
      <c r="D155" s="1406"/>
      <c r="E155" s="1406"/>
      <c r="F155" s="1406"/>
      <c r="G155" s="1406"/>
      <c r="H155" s="1406"/>
      <c r="I155" s="1406"/>
      <c r="J155" s="1406"/>
      <c r="K155" s="1406"/>
      <c r="L155" s="1406"/>
      <c r="M155" s="1406"/>
      <c r="N155" s="1406"/>
      <c r="O155" s="1406"/>
      <c r="P155" s="1406"/>
      <c r="Q155" s="1406"/>
      <c r="R155" s="1406"/>
      <c r="S155" s="1406"/>
      <c r="T155" s="1406"/>
      <c r="U155" s="1406"/>
      <c r="V155" s="1406"/>
      <c r="W155" s="1406"/>
      <c r="X155" s="1406"/>
      <c r="Y155" s="1406"/>
      <c r="Z155" s="1406"/>
      <c r="AA155" s="1406"/>
      <c r="AB155" s="1406"/>
      <c r="AC155" s="1406"/>
      <c r="AD155" s="1406"/>
      <c r="AE155" s="1406"/>
      <c r="AF155" s="1406"/>
      <c r="AG155" s="1406"/>
      <c r="AI155" s="544"/>
      <c r="AJ155" s="544"/>
      <c r="AK155" s="544"/>
      <c r="AL155" s="544"/>
      <c r="AM155" s="544"/>
      <c r="AN155" s="544"/>
      <c r="AP155" s="544"/>
      <c r="AQ155" s="544"/>
      <c r="AR155" s="544"/>
      <c r="AS155" s="544"/>
      <c r="AT155" s="544"/>
      <c r="AU155" s="544"/>
      <c r="AV155" s="544"/>
    </row>
    <row r="156" spans="1:48" x14ac:dyDescent="0.35">
      <c r="A156" s="1406"/>
      <c r="B156" s="1406"/>
      <c r="C156" s="1406"/>
      <c r="D156" s="1406"/>
      <c r="E156" s="1406"/>
      <c r="F156" s="1406"/>
      <c r="G156" s="1406"/>
      <c r="H156" s="1406"/>
      <c r="I156" s="1406"/>
      <c r="J156" s="1406"/>
      <c r="K156" s="1406"/>
      <c r="L156" s="1406"/>
      <c r="M156" s="1406"/>
      <c r="N156" s="1406"/>
      <c r="O156" s="1406"/>
      <c r="P156" s="1406"/>
      <c r="Q156" s="1406"/>
      <c r="R156" s="1406"/>
      <c r="S156" s="1406"/>
      <c r="T156" s="1406"/>
      <c r="U156" s="1406"/>
      <c r="V156" s="1406"/>
      <c r="W156" s="1406"/>
      <c r="X156" s="1406"/>
      <c r="Y156" s="1406"/>
      <c r="Z156" s="1406"/>
      <c r="AA156" s="1406"/>
      <c r="AB156" s="1406"/>
      <c r="AC156" s="1406"/>
      <c r="AD156" s="1406"/>
      <c r="AE156" s="1406"/>
      <c r="AF156" s="1406"/>
      <c r="AG156" s="1406"/>
      <c r="AI156" s="544"/>
      <c r="AJ156" s="544"/>
      <c r="AK156" s="544"/>
      <c r="AL156" s="544"/>
      <c r="AM156" s="544"/>
      <c r="AN156" s="544"/>
      <c r="AP156" s="544"/>
      <c r="AQ156" s="544"/>
      <c r="AR156" s="544"/>
      <c r="AS156" s="544"/>
      <c r="AT156" s="544"/>
      <c r="AU156" s="544"/>
      <c r="AV156" s="544"/>
    </row>
    <row r="157" spans="1:48" x14ac:dyDescent="0.35">
      <c r="A157" s="1406"/>
      <c r="B157" s="1406"/>
      <c r="C157" s="1406"/>
      <c r="D157" s="1406"/>
      <c r="E157" s="1406"/>
      <c r="F157" s="1406"/>
      <c r="G157" s="1406"/>
      <c r="H157" s="1406"/>
      <c r="I157" s="1406"/>
      <c r="J157" s="1406"/>
      <c r="K157" s="1406"/>
      <c r="L157" s="1406"/>
      <c r="M157" s="1406"/>
      <c r="N157" s="1406"/>
      <c r="O157" s="1406"/>
      <c r="P157" s="1406"/>
      <c r="Q157" s="1406"/>
      <c r="R157" s="1406"/>
      <c r="S157" s="1406"/>
      <c r="T157" s="1406"/>
      <c r="U157" s="1406"/>
      <c r="V157" s="1406"/>
      <c r="W157" s="1406"/>
      <c r="X157" s="1406"/>
      <c r="Y157" s="1406"/>
      <c r="Z157" s="1406"/>
      <c r="AA157" s="1406"/>
      <c r="AB157" s="1406"/>
      <c r="AC157" s="1406"/>
      <c r="AD157" s="1406"/>
      <c r="AE157" s="1406"/>
      <c r="AF157" s="1406"/>
      <c r="AG157" s="1406"/>
      <c r="AI157" s="544"/>
      <c r="AJ157" s="544"/>
      <c r="AK157" s="544"/>
      <c r="AL157" s="544"/>
      <c r="AM157" s="544"/>
      <c r="AN157" s="544"/>
      <c r="AP157" s="544"/>
      <c r="AQ157" s="544"/>
      <c r="AR157" s="544"/>
      <c r="AS157" s="544"/>
      <c r="AT157" s="544"/>
      <c r="AU157" s="544"/>
      <c r="AV157" s="544"/>
    </row>
    <row r="158" spans="1:48" x14ac:dyDescent="0.35">
      <c r="A158" s="1406"/>
      <c r="B158" s="1406"/>
      <c r="C158" s="1406"/>
      <c r="D158" s="1406"/>
      <c r="E158" s="1406"/>
      <c r="F158" s="1406"/>
      <c r="G158" s="1406"/>
      <c r="H158" s="1406"/>
      <c r="I158" s="1406"/>
      <c r="J158" s="1406"/>
      <c r="K158" s="1406"/>
      <c r="L158" s="1406"/>
      <c r="M158" s="1406"/>
      <c r="N158" s="1406"/>
      <c r="O158" s="1406"/>
      <c r="P158" s="1406"/>
      <c r="Q158" s="1406"/>
      <c r="R158" s="1406"/>
      <c r="S158" s="1406"/>
      <c r="T158" s="1406"/>
      <c r="U158" s="1406"/>
      <c r="V158" s="1406"/>
      <c r="W158" s="1406"/>
      <c r="X158" s="1406"/>
      <c r="Y158" s="1406"/>
      <c r="Z158" s="1406"/>
      <c r="AA158" s="1406"/>
      <c r="AB158" s="1406"/>
      <c r="AC158" s="1406"/>
      <c r="AD158" s="1406"/>
      <c r="AE158" s="1406"/>
      <c r="AF158" s="1406"/>
      <c r="AG158" s="1406"/>
      <c r="AI158" s="544"/>
      <c r="AJ158" s="544"/>
      <c r="AK158" s="544"/>
      <c r="AL158" s="544"/>
      <c r="AM158" s="544"/>
      <c r="AN158" s="544"/>
      <c r="AP158" s="544"/>
      <c r="AQ158" s="544"/>
      <c r="AR158" s="544"/>
      <c r="AS158" s="544"/>
      <c r="AT158" s="544"/>
      <c r="AU158" s="544"/>
      <c r="AV158" s="544"/>
    </row>
    <row r="159" spans="1:48" x14ac:dyDescent="0.35">
      <c r="A159" s="1406"/>
      <c r="B159" s="1406"/>
      <c r="C159" s="1406"/>
      <c r="D159" s="1406"/>
      <c r="E159" s="1406"/>
      <c r="F159" s="1406"/>
      <c r="G159" s="1406"/>
      <c r="H159" s="1406"/>
      <c r="I159" s="1406"/>
      <c r="J159" s="1406"/>
      <c r="K159" s="1406"/>
      <c r="L159" s="1406"/>
      <c r="M159" s="1406"/>
      <c r="N159" s="1406"/>
      <c r="O159" s="1406"/>
      <c r="P159" s="1406"/>
      <c r="Q159" s="1406"/>
      <c r="R159" s="1406"/>
      <c r="S159" s="1406"/>
      <c r="T159" s="1406"/>
      <c r="U159" s="1406"/>
      <c r="V159" s="1406"/>
      <c r="W159" s="1406"/>
      <c r="X159" s="1406"/>
      <c r="Y159" s="1406"/>
      <c r="Z159" s="1406"/>
      <c r="AA159" s="1406"/>
      <c r="AB159" s="1406"/>
      <c r="AC159" s="1406"/>
      <c r="AD159" s="1406"/>
      <c r="AE159" s="1406"/>
      <c r="AF159" s="1406"/>
      <c r="AG159" s="1406"/>
      <c r="AI159" s="544"/>
      <c r="AJ159" s="544"/>
      <c r="AK159" s="544"/>
      <c r="AL159" s="544"/>
      <c r="AM159" s="544"/>
      <c r="AN159" s="544"/>
      <c r="AP159" s="544"/>
      <c r="AQ159" s="544"/>
      <c r="AR159" s="544"/>
      <c r="AS159" s="544"/>
      <c r="AT159" s="544"/>
      <c r="AU159" s="544"/>
      <c r="AV159" s="544"/>
    </row>
    <row r="160" spans="1:48" x14ac:dyDescent="0.35">
      <c r="A160" s="1406"/>
      <c r="B160" s="1406"/>
      <c r="C160" s="1406"/>
      <c r="D160" s="1406"/>
      <c r="E160" s="1406"/>
      <c r="F160" s="1406"/>
      <c r="G160" s="1406"/>
      <c r="H160" s="1406"/>
      <c r="I160" s="1406"/>
      <c r="J160" s="1406"/>
      <c r="K160" s="1406"/>
      <c r="L160" s="1406"/>
      <c r="M160" s="1406"/>
      <c r="N160" s="1406"/>
      <c r="O160" s="1406"/>
      <c r="P160" s="1406"/>
      <c r="Q160" s="1406"/>
      <c r="R160" s="1406"/>
      <c r="S160" s="1406"/>
      <c r="T160" s="1406"/>
      <c r="U160" s="1406"/>
      <c r="V160" s="1406"/>
      <c r="W160" s="1406"/>
      <c r="X160" s="1406"/>
      <c r="Y160" s="1406"/>
      <c r="Z160" s="1406"/>
      <c r="AA160" s="1406"/>
      <c r="AB160" s="1406"/>
      <c r="AC160" s="1406"/>
      <c r="AD160" s="1406"/>
      <c r="AE160" s="1406"/>
      <c r="AF160" s="1406"/>
      <c r="AG160" s="1406"/>
      <c r="AI160" s="544"/>
      <c r="AJ160" s="544"/>
      <c r="AK160" s="544"/>
      <c r="AL160" s="544"/>
      <c r="AM160" s="544"/>
      <c r="AN160" s="544"/>
      <c r="AP160" s="544"/>
      <c r="AQ160" s="544"/>
      <c r="AR160" s="544"/>
      <c r="AS160" s="544"/>
      <c r="AT160" s="544"/>
      <c r="AU160" s="544"/>
      <c r="AV160" s="544"/>
    </row>
    <row r="161" spans="1:48" x14ac:dyDescent="0.35">
      <c r="A161" s="1406"/>
      <c r="B161" s="1406"/>
      <c r="C161" s="1406"/>
      <c r="D161" s="1406"/>
      <c r="E161" s="1406"/>
      <c r="F161" s="1406"/>
      <c r="G161" s="1406"/>
      <c r="H161" s="1406"/>
      <c r="I161" s="1406"/>
      <c r="J161" s="1406"/>
      <c r="K161" s="1406"/>
      <c r="L161" s="1406"/>
      <c r="M161" s="1406"/>
      <c r="N161" s="1406"/>
      <c r="O161" s="1406"/>
      <c r="P161" s="1406"/>
      <c r="Q161" s="1406"/>
      <c r="R161" s="1406"/>
      <c r="S161" s="1406"/>
      <c r="T161" s="1406"/>
      <c r="U161" s="1406"/>
      <c r="V161" s="1406"/>
      <c r="W161" s="1406"/>
      <c r="X161" s="1406"/>
      <c r="Y161" s="1406"/>
      <c r="Z161" s="1406"/>
      <c r="AA161" s="1406"/>
      <c r="AB161" s="1406"/>
      <c r="AC161" s="1406"/>
      <c r="AD161" s="1406"/>
      <c r="AE161" s="1406"/>
      <c r="AF161" s="1406"/>
      <c r="AG161" s="1406"/>
      <c r="AI161" s="544"/>
      <c r="AJ161" s="544"/>
      <c r="AK161" s="544"/>
      <c r="AL161" s="544"/>
      <c r="AM161" s="544"/>
      <c r="AN161" s="544"/>
      <c r="AP161" s="544"/>
      <c r="AQ161" s="544"/>
      <c r="AR161" s="544"/>
      <c r="AS161" s="544"/>
      <c r="AT161" s="544"/>
      <c r="AU161" s="544"/>
      <c r="AV161" s="544"/>
    </row>
    <row r="162" spans="1:48" x14ac:dyDescent="0.35">
      <c r="A162" s="1406"/>
      <c r="B162" s="1406"/>
      <c r="C162" s="1406"/>
      <c r="D162" s="1406"/>
      <c r="E162" s="1406"/>
      <c r="F162" s="1406"/>
      <c r="G162" s="1406"/>
      <c r="H162" s="1406"/>
      <c r="I162" s="1406"/>
      <c r="J162" s="1406"/>
      <c r="K162" s="1406"/>
      <c r="L162" s="1406"/>
      <c r="M162" s="1406"/>
      <c r="N162" s="1406"/>
      <c r="O162" s="1406"/>
      <c r="P162" s="1406"/>
      <c r="Q162" s="1406"/>
      <c r="R162" s="1406"/>
      <c r="S162" s="1406"/>
      <c r="T162" s="1406"/>
      <c r="U162" s="1406"/>
      <c r="V162" s="1406"/>
      <c r="W162" s="1406"/>
      <c r="X162" s="1406"/>
      <c r="Y162" s="1406"/>
      <c r="Z162" s="1406"/>
      <c r="AA162" s="1406"/>
      <c r="AB162" s="1406"/>
      <c r="AC162" s="1406"/>
      <c r="AD162" s="1406"/>
      <c r="AE162" s="1406"/>
      <c r="AF162" s="1406"/>
      <c r="AG162" s="1406"/>
      <c r="AI162" s="544"/>
      <c r="AJ162" s="544"/>
      <c r="AK162" s="544"/>
      <c r="AL162" s="544"/>
      <c r="AM162" s="544"/>
      <c r="AN162" s="544"/>
      <c r="AP162" s="544"/>
      <c r="AQ162" s="544"/>
      <c r="AR162" s="544"/>
      <c r="AS162" s="544"/>
      <c r="AT162" s="544"/>
      <c r="AU162" s="544"/>
      <c r="AV162" s="544"/>
    </row>
    <row r="163" spans="1:48" x14ac:dyDescent="0.35">
      <c r="A163" s="1406"/>
      <c r="B163" s="1406"/>
      <c r="C163" s="1406"/>
      <c r="D163" s="1406"/>
      <c r="E163" s="1406"/>
      <c r="F163" s="1406"/>
      <c r="G163" s="1406"/>
      <c r="H163" s="1406"/>
      <c r="I163" s="1406"/>
      <c r="J163" s="1406"/>
      <c r="K163" s="1406"/>
      <c r="L163" s="1406"/>
      <c r="M163" s="1406"/>
      <c r="N163" s="1406"/>
      <c r="O163" s="1406"/>
      <c r="P163" s="1406"/>
      <c r="Q163" s="1406"/>
      <c r="R163" s="1406"/>
      <c r="S163" s="1406"/>
      <c r="T163" s="1406"/>
      <c r="U163" s="1406"/>
      <c r="V163" s="1406"/>
      <c r="W163" s="1406"/>
      <c r="X163" s="1406"/>
      <c r="Y163" s="1406"/>
      <c r="Z163" s="1406"/>
      <c r="AA163" s="1406"/>
      <c r="AB163" s="1406"/>
      <c r="AC163" s="1406"/>
      <c r="AD163" s="1406"/>
      <c r="AE163" s="1406"/>
      <c r="AF163" s="1406"/>
      <c r="AG163" s="1406"/>
      <c r="AI163" s="544"/>
      <c r="AJ163" s="544"/>
      <c r="AK163" s="544"/>
      <c r="AL163" s="544"/>
      <c r="AM163" s="544"/>
      <c r="AN163" s="544"/>
      <c r="AP163" s="544"/>
      <c r="AQ163" s="544"/>
      <c r="AR163" s="544"/>
      <c r="AS163" s="544"/>
      <c r="AT163" s="544"/>
      <c r="AU163" s="544"/>
      <c r="AV163" s="544"/>
    </row>
    <row r="164" spans="1:48" x14ac:dyDescent="0.35">
      <c r="A164" s="1406"/>
      <c r="B164" s="1406"/>
      <c r="C164" s="1406"/>
      <c r="D164" s="1406"/>
      <c r="E164" s="1406"/>
      <c r="F164" s="1406"/>
      <c r="G164" s="1406"/>
      <c r="H164" s="1406"/>
      <c r="I164" s="1406"/>
      <c r="J164" s="1406"/>
      <c r="K164" s="1406"/>
      <c r="L164" s="1406"/>
      <c r="M164" s="1406"/>
      <c r="N164" s="1406"/>
      <c r="O164" s="1406"/>
      <c r="P164" s="1406"/>
      <c r="Q164" s="1406"/>
      <c r="R164" s="1406"/>
      <c r="S164" s="1406"/>
      <c r="T164" s="1406"/>
      <c r="U164" s="1406"/>
      <c r="V164" s="1406"/>
      <c r="W164" s="1406"/>
      <c r="X164" s="1406"/>
      <c r="Y164" s="1406"/>
      <c r="Z164" s="1406"/>
      <c r="AA164" s="1406"/>
      <c r="AB164" s="1406"/>
      <c r="AC164" s="1406"/>
      <c r="AD164" s="1406"/>
      <c r="AE164" s="1406"/>
      <c r="AF164" s="1406"/>
      <c r="AG164" s="1406"/>
      <c r="AI164" s="544"/>
      <c r="AJ164" s="544"/>
      <c r="AK164" s="544"/>
      <c r="AL164" s="544"/>
      <c r="AM164" s="544"/>
      <c r="AN164" s="544"/>
      <c r="AP164" s="544"/>
      <c r="AQ164" s="544"/>
      <c r="AR164" s="544"/>
      <c r="AS164" s="544"/>
      <c r="AT164" s="544"/>
      <c r="AU164" s="544"/>
      <c r="AV164" s="544"/>
    </row>
    <row r="165" spans="1:48" x14ac:dyDescent="0.35">
      <c r="A165" s="1406"/>
      <c r="B165" s="1406"/>
      <c r="C165" s="1406"/>
      <c r="D165" s="1406"/>
      <c r="E165" s="1406"/>
      <c r="F165" s="1406"/>
      <c r="G165" s="1406"/>
      <c r="H165" s="1406"/>
      <c r="I165" s="1406"/>
      <c r="J165" s="1406"/>
      <c r="K165" s="1406"/>
      <c r="L165" s="1406"/>
      <c r="M165" s="1406"/>
      <c r="N165" s="1406"/>
      <c r="O165" s="1406"/>
      <c r="P165" s="1406"/>
      <c r="Q165" s="1406"/>
      <c r="R165" s="1406"/>
      <c r="S165" s="1406"/>
      <c r="T165" s="1406"/>
      <c r="U165" s="1406"/>
      <c r="V165" s="1406"/>
      <c r="W165" s="1406"/>
      <c r="X165" s="1406"/>
      <c r="Y165" s="1406"/>
      <c r="Z165" s="1406"/>
      <c r="AA165" s="1406"/>
      <c r="AB165" s="1406"/>
      <c r="AC165" s="1406"/>
      <c r="AD165" s="1406"/>
      <c r="AE165" s="1406"/>
      <c r="AF165" s="1406"/>
      <c r="AG165" s="1406"/>
      <c r="AI165" s="544"/>
      <c r="AJ165" s="544"/>
      <c r="AK165" s="544"/>
      <c r="AL165" s="544"/>
      <c r="AM165" s="544"/>
      <c r="AN165" s="544"/>
      <c r="AP165" s="544"/>
      <c r="AQ165" s="544"/>
      <c r="AR165" s="544"/>
      <c r="AS165" s="544"/>
      <c r="AT165" s="544"/>
      <c r="AU165" s="544"/>
      <c r="AV165" s="544"/>
    </row>
    <row r="166" spans="1:48" x14ac:dyDescent="0.35">
      <c r="A166" s="1406"/>
      <c r="B166" s="1406"/>
      <c r="C166" s="1406"/>
      <c r="D166" s="1406"/>
      <c r="E166" s="1406"/>
      <c r="F166" s="1406"/>
      <c r="G166" s="1406"/>
      <c r="H166" s="1406"/>
      <c r="I166" s="1406"/>
      <c r="J166" s="1406"/>
      <c r="K166" s="1406"/>
      <c r="L166" s="1406"/>
      <c r="M166" s="1406"/>
      <c r="N166" s="1406"/>
      <c r="O166" s="1406"/>
      <c r="P166" s="1406"/>
      <c r="Q166" s="1406"/>
      <c r="R166" s="1406"/>
      <c r="S166" s="1406"/>
      <c r="T166" s="1406"/>
      <c r="U166" s="1406"/>
      <c r="V166" s="1406"/>
      <c r="W166" s="1406"/>
      <c r="X166" s="1406"/>
      <c r="Y166" s="1406"/>
      <c r="Z166" s="1406"/>
      <c r="AA166" s="1406"/>
      <c r="AB166" s="1406"/>
      <c r="AC166" s="1406"/>
      <c r="AD166" s="1406"/>
      <c r="AE166" s="1406"/>
      <c r="AF166" s="1406"/>
      <c r="AG166" s="1406"/>
      <c r="AI166" s="544"/>
      <c r="AJ166" s="544"/>
      <c r="AK166" s="544"/>
      <c r="AL166" s="544"/>
      <c r="AM166" s="544"/>
      <c r="AN166" s="544"/>
      <c r="AP166" s="544"/>
      <c r="AQ166" s="544"/>
      <c r="AR166" s="544"/>
      <c r="AS166" s="544"/>
      <c r="AT166" s="544"/>
      <c r="AU166" s="544"/>
      <c r="AV166" s="544"/>
    </row>
    <row r="167" spans="1:48" x14ac:dyDescent="0.35">
      <c r="A167" s="1406"/>
      <c r="B167" s="1406"/>
      <c r="C167" s="1406"/>
      <c r="D167" s="1406"/>
      <c r="E167" s="1406"/>
      <c r="F167" s="1406"/>
      <c r="G167" s="1406"/>
      <c r="H167" s="1406"/>
      <c r="I167" s="1406"/>
      <c r="J167" s="1406"/>
      <c r="K167" s="1406"/>
      <c r="L167" s="1406"/>
      <c r="M167" s="1406"/>
      <c r="N167" s="1406"/>
      <c r="O167" s="1406"/>
      <c r="P167" s="1406"/>
      <c r="Q167" s="1406"/>
      <c r="R167" s="1406"/>
      <c r="S167" s="1406"/>
      <c r="T167" s="1406"/>
      <c r="U167" s="1406"/>
      <c r="V167" s="1406"/>
      <c r="W167" s="1406"/>
      <c r="X167" s="1406"/>
      <c r="Y167" s="1406"/>
      <c r="Z167" s="1406"/>
      <c r="AA167" s="1406"/>
      <c r="AB167" s="1406"/>
      <c r="AC167" s="1406"/>
      <c r="AD167" s="1406"/>
      <c r="AE167" s="1406"/>
      <c r="AF167" s="1406"/>
      <c r="AG167" s="1406"/>
      <c r="AI167" s="544"/>
      <c r="AJ167" s="544"/>
      <c r="AK167" s="544"/>
      <c r="AL167" s="544"/>
      <c r="AM167" s="544"/>
      <c r="AN167" s="544"/>
      <c r="AP167" s="544"/>
      <c r="AQ167" s="544"/>
      <c r="AR167" s="544"/>
      <c r="AS167" s="544"/>
      <c r="AT167" s="544"/>
      <c r="AU167" s="544"/>
      <c r="AV167" s="544"/>
    </row>
    <row r="168" spans="1:48" x14ac:dyDescent="0.35">
      <c r="A168" s="1406"/>
      <c r="B168" s="1406"/>
      <c r="C168" s="1406"/>
      <c r="D168" s="1406"/>
      <c r="E168" s="1406"/>
      <c r="F168" s="1406"/>
      <c r="G168" s="1406"/>
      <c r="H168" s="1406"/>
      <c r="I168" s="1406"/>
      <c r="J168" s="1406"/>
      <c r="K168" s="1406"/>
      <c r="L168" s="1406"/>
      <c r="M168" s="1406"/>
      <c r="N168" s="1406"/>
      <c r="O168" s="1406"/>
      <c r="P168" s="1406"/>
      <c r="Q168" s="1406"/>
      <c r="R168" s="1406"/>
      <c r="S168" s="1406"/>
      <c r="T168" s="1406"/>
      <c r="U168" s="1406"/>
      <c r="V168" s="1406"/>
      <c r="W168" s="1406"/>
      <c r="X168" s="1406"/>
      <c r="Y168" s="1406"/>
      <c r="Z168" s="1406"/>
      <c r="AA168" s="1406"/>
      <c r="AB168" s="1406"/>
      <c r="AC168" s="1406"/>
      <c r="AD168" s="1406"/>
      <c r="AE168" s="1406"/>
      <c r="AF168" s="1406"/>
      <c r="AG168" s="1406"/>
      <c r="AI168" s="544"/>
      <c r="AJ168" s="544"/>
      <c r="AK168" s="544"/>
      <c r="AL168" s="544"/>
      <c r="AM168" s="544"/>
      <c r="AN168" s="544"/>
      <c r="AP168" s="544"/>
      <c r="AQ168" s="544"/>
      <c r="AR168" s="544"/>
      <c r="AS168" s="544"/>
      <c r="AT168" s="544"/>
      <c r="AU168" s="544"/>
      <c r="AV168" s="544"/>
    </row>
    <row r="169" spans="1:48" x14ac:dyDescent="0.35">
      <c r="A169" s="1406"/>
      <c r="B169" s="1406"/>
      <c r="C169" s="1406"/>
      <c r="D169" s="1406"/>
      <c r="E169" s="1406"/>
      <c r="F169" s="1406"/>
      <c r="G169" s="1406"/>
      <c r="H169" s="1406"/>
      <c r="I169" s="1406"/>
      <c r="J169" s="1406"/>
      <c r="K169" s="1406"/>
      <c r="L169" s="1406"/>
      <c r="M169" s="1406"/>
      <c r="N169" s="1406"/>
      <c r="O169" s="1406"/>
      <c r="P169" s="1406"/>
      <c r="Q169" s="1406"/>
      <c r="R169" s="1406"/>
      <c r="S169" s="1406"/>
      <c r="T169" s="1406"/>
      <c r="U169" s="1406"/>
      <c r="V169" s="1406"/>
      <c r="W169" s="1406"/>
      <c r="X169" s="1406"/>
      <c r="Y169" s="1406"/>
      <c r="Z169" s="1406"/>
      <c r="AA169" s="1406"/>
      <c r="AB169" s="1406"/>
      <c r="AC169" s="1406"/>
      <c r="AD169" s="1406"/>
      <c r="AE169" s="1406"/>
      <c r="AF169" s="1406"/>
      <c r="AG169" s="1406"/>
      <c r="AI169" s="544"/>
      <c r="AJ169" s="544"/>
      <c r="AK169" s="544"/>
      <c r="AL169" s="544"/>
      <c r="AM169" s="544"/>
      <c r="AN169" s="544"/>
      <c r="AP169" s="544"/>
      <c r="AQ169" s="544"/>
      <c r="AR169" s="544"/>
      <c r="AS169" s="544"/>
      <c r="AT169" s="544"/>
      <c r="AU169" s="544"/>
      <c r="AV169" s="544"/>
    </row>
    <row r="170" spans="1:48" x14ac:dyDescent="0.35">
      <c r="A170" s="1406"/>
      <c r="B170" s="1406"/>
      <c r="C170" s="1406"/>
      <c r="D170" s="1406"/>
      <c r="E170" s="1406"/>
      <c r="F170" s="1406"/>
      <c r="G170" s="1406"/>
      <c r="H170" s="1406"/>
      <c r="I170" s="1406"/>
      <c r="J170" s="1406"/>
      <c r="K170" s="1406"/>
      <c r="L170" s="1406"/>
      <c r="M170" s="1406"/>
      <c r="N170" s="1406"/>
      <c r="O170" s="1406"/>
      <c r="P170" s="1406"/>
      <c r="Q170" s="1406"/>
      <c r="R170" s="1406"/>
      <c r="S170" s="1406"/>
      <c r="T170" s="1406"/>
      <c r="U170" s="1406"/>
      <c r="V170" s="1406"/>
      <c r="W170" s="1406"/>
      <c r="X170" s="1406"/>
      <c r="Y170" s="1406"/>
      <c r="Z170" s="1406"/>
      <c r="AA170" s="1406"/>
      <c r="AB170" s="1406"/>
      <c r="AC170" s="1406"/>
      <c r="AD170" s="1406"/>
      <c r="AE170" s="1406"/>
      <c r="AF170" s="1406"/>
      <c r="AG170" s="1406"/>
      <c r="AI170" s="544"/>
      <c r="AJ170" s="544"/>
      <c r="AK170" s="544"/>
      <c r="AL170" s="544"/>
      <c r="AM170" s="544"/>
      <c r="AN170" s="544"/>
      <c r="AP170" s="544"/>
      <c r="AQ170" s="544"/>
      <c r="AR170" s="544"/>
      <c r="AS170" s="544"/>
      <c r="AT170" s="544"/>
      <c r="AU170" s="544"/>
      <c r="AV170" s="544"/>
    </row>
    <row r="171" spans="1:48" x14ac:dyDescent="0.35">
      <c r="A171" s="1406"/>
      <c r="B171" s="1406"/>
      <c r="C171" s="1406"/>
      <c r="D171" s="1406"/>
      <c r="E171" s="1406"/>
      <c r="F171" s="1406"/>
      <c r="G171" s="1406"/>
      <c r="H171" s="1406"/>
      <c r="I171" s="1406"/>
      <c r="J171" s="1406"/>
      <c r="K171" s="1406"/>
      <c r="L171" s="1406"/>
      <c r="M171" s="1406"/>
      <c r="N171" s="1406"/>
      <c r="O171" s="1406"/>
      <c r="P171" s="1406"/>
      <c r="Q171" s="1406"/>
      <c r="R171" s="1406"/>
      <c r="S171" s="1406"/>
      <c r="T171" s="1406"/>
      <c r="U171" s="1406"/>
      <c r="V171" s="1406"/>
      <c r="W171" s="1406"/>
      <c r="X171" s="1406"/>
      <c r="Y171" s="1406"/>
      <c r="Z171" s="1406"/>
      <c r="AA171" s="1406"/>
      <c r="AB171" s="1406"/>
      <c r="AC171" s="1406"/>
      <c r="AD171" s="1406"/>
      <c r="AE171" s="1406"/>
      <c r="AF171" s="1406"/>
      <c r="AG171" s="1406"/>
      <c r="AI171" s="544"/>
      <c r="AJ171" s="544"/>
      <c r="AK171" s="544"/>
      <c r="AL171" s="544"/>
      <c r="AM171" s="544"/>
      <c r="AN171" s="544"/>
      <c r="AP171" s="544"/>
      <c r="AQ171" s="544"/>
      <c r="AR171" s="544"/>
      <c r="AS171" s="544"/>
      <c r="AT171" s="544"/>
      <c r="AU171" s="544"/>
      <c r="AV171" s="544"/>
    </row>
    <row r="172" spans="1:48" x14ac:dyDescent="0.35">
      <c r="A172" s="1406"/>
      <c r="B172" s="1406"/>
      <c r="C172" s="1406"/>
      <c r="D172" s="1406"/>
      <c r="E172" s="1406"/>
      <c r="F172" s="1406"/>
      <c r="G172" s="1406"/>
      <c r="H172" s="1406"/>
      <c r="I172" s="1406"/>
      <c r="J172" s="1406"/>
      <c r="K172" s="1406"/>
      <c r="L172" s="1406"/>
      <c r="M172" s="1406"/>
      <c r="N172" s="1406"/>
      <c r="O172" s="1406"/>
      <c r="P172" s="1406"/>
      <c r="Q172" s="1406"/>
      <c r="R172" s="1406"/>
      <c r="S172" s="1406"/>
      <c r="T172" s="1406"/>
      <c r="U172" s="1406"/>
      <c r="V172" s="1406"/>
      <c r="W172" s="1406"/>
      <c r="X172" s="1406"/>
      <c r="Y172" s="1406"/>
      <c r="Z172" s="1406"/>
      <c r="AA172" s="1406"/>
      <c r="AB172" s="1406"/>
      <c r="AC172" s="1406"/>
      <c r="AD172" s="1406"/>
      <c r="AE172" s="1406"/>
      <c r="AF172" s="1406"/>
      <c r="AG172" s="1406"/>
      <c r="AI172" s="544"/>
      <c r="AJ172" s="544"/>
      <c r="AK172" s="544"/>
      <c r="AL172" s="544"/>
      <c r="AM172" s="544"/>
      <c r="AN172" s="544"/>
      <c r="AP172" s="544"/>
      <c r="AQ172" s="544"/>
      <c r="AR172" s="544"/>
      <c r="AS172" s="544"/>
      <c r="AT172" s="544"/>
      <c r="AU172" s="544"/>
      <c r="AV172" s="544"/>
    </row>
    <row r="173" spans="1:48" x14ac:dyDescent="0.35">
      <c r="A173" s="1406"/>
      <c r="B173" s="1406"/>
      <c r="C173" s="1406"/>
      <c r="D173" s="1406"/>
      <c r="E173" s="1406"/>
      <c r="F173" s="1406"/>
      <c r="G173" s="1406"/>
      <c r="H173" s="1406"/>
      <c r="I173" s="1406"/>
      <c r="J173" s="1406"/>
      <c r="K173" s="1406"/>
      <c r="L173" s="1406"/>
      <c r="M173" s="1406"/>
      <c r="N173" s="1406"/>
      <c r="O173" s="1406"/>
      <c r="P173" s="1406"/>
      <c r="Q173" s="1406"/>
      <c r="R173" s="1406"/>
      <c r="S173" s="1406"/>
      <c r="T173" s="1406"/>
      <c r="U173" s="1406"/>
      <c r="V173" s="1406"/>
      <c r="W173" s="1406"/>
      <c r="X173" s="1406"/>
      <c r="Y173" s="1406"/>
      <c r="Z173" s="1406"/>
      <c r="AA173" s="1406"/>
      <c r="AB173" s="1406"/>
      <c r="AC173" s="1406"/>
      <c r="AD173" s="1406"/>
      <c r="AE173" s="1406"/>
      <c r="AF173" s="1406"/>
      <c r="AG173" s="1406"/>
      <c r="AI173" s="544"/>
      <c r="AJ173" s="544"/>
      <c r="AK173" s="544"/>
      <c r="AL173" s="544"/>
      <c r="AM173" s="544"/>
      <c r="AN173" s="544"/>
      <c r="AP173" s="544"/>
      <c r="AQ173" s="544"/>
      <c r="AR173" s="544"/>
      <c r="AS173" s="544"/>
      <c r="AT173" s="544"/>
      <c r="AU173" s="544"/>
      <c r="AV173" s="544"/>
    </row>
    <row r="174" spans="1:48" x14ac:dyDescent="0.35">
      <c r="A174" s="1406"/>
      <c r="B174" s="1406"/>
      <c r="C174" s="1406"/>
      <c r="D174" s="1406"/>
      <c r="E174" s="1406"/>
      <c r="F174" s="1406"/>
      <c r="G174" s="1406"/>
      <c r="H174" s="1406"/>
      <c r="I174" s="1406"/>
      <c r="J174" s="1406"/>
      <c r="K174" s="1406"/>
      <c r="L174" s="1406"/>
      <c r="M174" s="1406"/>
      <c r="N174" s="1406"/>
      <c r="O174" s="1406"/>
      <c r="P174" s="1406"/>
      <c r="Q174" s="1406"/>
      <c r="R174" s="1406"/>
      <c r="S174" s="1406"/>
      <c r="T174" s="1406"/>
      <c r="U174" s="1406"/>
      <c r="V174" s="1406"/>
      <c r="W174" s="1406"/>
      <c r="X174" s="1406"/>
      <c r="Y174" s="1406"/>
      <c r="Z174" s="1406"/>
      <c r="AA174" s="1406"/>
      <c r="AB174" s="1406"/>
      <c r="AC174" s="1406"/>
      <c r="AD174" s="1406"/>
      <c r="AE174" s="1406"/>
      <c r="AF174" s="1406"/>
      <c r="AG174" s="1406"/>
      <c r="AI174" s="544"/>
      <c r="AJ174" s="544"/>
      <c r="AK174" s="544"/>
      <c r="AL174" s="544"/>
      <c r="AM174" s="544"/>
      <c r="AN174" s="544"/>
      <c r="AP174" s="544"/>
      <c r="AQ174" s="544"/>
      <c r="AR174" s="544"/>
      <c r="AS174" s="544"/>
      <c r="AT174" s="544"/>
      <c r="AU174" s="544"/>
      <c r="AV174" s="544"/>
    </row>
    <row r="175" spans="1:48" x14ac:dyDescent="0.35">
      <c r="A175" s="1406"/>
      <c r="B175" s="1406"/>
      <c r="C175" s="1406"/>
      <c r="D175" s="1406"/>
      <c r="E175" s="1406"/>
      <c r="F175" s="1406"/>
      <c r="G175" s="1406"/>
      <c r="H175" s="1406"/>
      <c r="I175" s="1406"/>
      <c r="J175" s="1406"/>
      <c r="K175" s="1406"/>
      <c r="L175" s="1406"/>
      <c r="M175" s="1406"/>
      <c r="N175" s="1406"/>
      <c r="O175" s="1406"/>
      <c r="P175" s="1406"/>
      <c r="Q175" s="1406"/>
      <c r="R175" s="1406"/>
      <c r="S175" s="1406"/>
      <c r="T175" s="1406"/>
      <c r="U175" s="1406"/>
      <c r="V175" s="1406"/>
      <c r="W175" s="1406"/>
      <c r="X175" s="1406"/>
      <c r="Y175" s="1406"/>
      <c r="Z175" s="1406"/>
      <c r="AA175" s="1406"/>
      <c r="AB175" s="1406"/>
      <c r="AC175" s="1406"/>
      <c r="AD175" s="1406"/>
      <c r="AE175" s="1406"/>
      <c r="AF175" s="1406"/>
      <c r="AG175" s="1406"/>
      <c r="AI175" s="544"/>
      <c r="AJ175" s="544"/>
      <c r="AK175" s="544"/>
      <c r="AL175" s="544"/>
      <c r="AM175" s="544"/>
      <c r="AN175" s="544"/>
      <c r="AP175" s="544"/>
      <c r="AQ175" s="544"/>
      <c r="AR175" s="544"/>
      <c r="AS175" s="544"/>
      <c r="AT175" s="544"/>
      <c r="AU175" s="544"/>
      <c r="AV175" s="544"/>
    </row>
    <row r="176" spans="1:48" x14ac:dyDescent="0.35">
      <c r="A176" s="1406"/>
      <c r="B176" s="1406"/>
      <c r="C176" s="1406"/>
      <c r="D176" s="1406"/>
      <c r="E176" s="1406"/>
      <c r="F176" s="1406"/>
      <c r="G176" s="1406"/>
      <c r="H176" s="1406"/>
      <c r="I176" s="1406"/>
      <c r="J176" s="1406"/>
      <c r="K176" s="1406"/>
      <c r="L176" s="1406"/>
      <c r="M176" s="1406"/>
      <c r="N176" s="1406"/>
      <c r="O176" s="1406"/>
      <c r="P176" s="1406"/>
      <c r="Q176" s="1406"/>
      <c r="R176" s="1406"/>
      <c r="S176" s="1406"/>
      <c r="T176" s="1406"/>
      <c r="U176" s="1406"/>
      <c r="V176" s="1406"/>
      <c r="W176" s="1406"/>
      <c r="X176" s="1406"/>
      <c r="Y176" s="1406"/>
      <c r="Z176" s="1406"/>
      <c r="AA176" s="1406"/>
      <c r="AB176" s="1406"/>
      <c r="AC176" s="1406"/>
      <c r="AD176" s="1406"/>
      <c r="AE176" s="1406"/>
      <c r="AF176" s="1406"/>
      <c r="AG176" s="1406"/>
      <c r="AI176" s="544"/>
      <c r="AJ176" s="544"/>
      <c r="AK176" s="544"/>
      <c r="AL176" s="544"/>
      <c r="AM176" s="544"/>
      <c r="AN176" s="544"/>
      <c r="AP176" s="544"/>
      <c r="AQ176" s="544"/>
      <c r="AR176" s="544"/>
      <c r="AS176" s="544"/>
      <c r="AT176" s="544"/>
      <c r="AU176" s="544"/>
      <c r="AV176" s="544"/>
    </row>
    <row r="177" spans="1:48" x14ac:dyDescent="0.35">
      <c r="A177" s="1406"/>
      <c r="B177" s="1406"/>
      <c r="C177" s="1406"/>
      <c r="D177" s="1406"/>
      <c r="E177" s="1406"/>
      <c r="F177" s="1406"/>
      <c r="G177" s="1406"/>
      <c r="H177" s="1406"/>
      <c r="I177" s="1406"/>
      <c r="J177" s="1406"/>
      <c r="K177" s="1406"/>
      <c r="L177" s="1406"/>
      <c r="M177" s="1406"/>
      <c r="N177" s="1406"/>
      <c r="O177" s="1406"/>
      <c r="P177" s="1406"/>
      <c r="Q177" s="1406"/>
      <c r="R177" s="1406"/>
      <c r="S177" s="1406"/>
      <c r="T177" s="1406"/>
      <c r="U177" s="1406"/>
      <c r="V177" s="1406"/>
      <c r="W177" s="1406"/>
      <c r="X177" s="1406"/>
      <c r="Y177" s="1406"/>
      <c r="Z177" s="1406"/>
      <c r="AA177" s="1406"/>
      <c r="AB177" s="1406"/>
      <c r="AC177" s="1406"/>
      <c r="AD177" s="1406"/>
      <c r="AE177" s="1406"/>
      <c r="AF177" s="1406"/>
      <c r="AG177" s="1406"/>
      <c r="AI177" s="544"/>
      <c r="AJ177" s="544"/>
      <c r="AK177" s="544"/>
      <c r="AL177" s="544"/>
      <c r="AM177" s="544"/>
      <c r="AN177" s="544"/>
      <c r="AP177" s="544"/>
      <c r="AQ177" s="544"/>
      <c r="AR177" s="544"/>
      <c r="AS177" s="544"/>
      <c r="AT177" s="544"/>
      <c r="AU177" s="544"/>
      <c r="AV177" s="544"/>
    </row>
    <row r="178" spans="1:48" x14ac:dyDescent="0.35">
      <c r="A178" s="1406"/>
      <c r="B178" s="1406"/>
      <c r="C178" s="1406"/>
      <c r="D178" s="1406"/>
      <c r="E178" s="1406"/>
      <c r="F178" s="1406"/>
      <c r="G178" s="1406"/>
      <c r="H178" s="1406"/>
      <c r="I178" s="1406"/>
      <c r="J178" s="1406"/>
      <c r="K178" s="1406"/>
      <c r="L178" s="1406"/>
      <c r="M178" s="1406"/>
      <c r="N178" s="1406"/>
      <c r="O178" s="1406"/>
      <c r="P178" s="1406"/>
      <c r="Q178" s="1406"/>
      <c r="R178" s="1406"/>
      <c r="S178" s="1406"/>
      <c r="T178" s="1406"/>
      <c r="U178" s="1406"/>
      <c r="V178" s="1406"/>
      <c r="W178" s="1406"/>
      <c r="X178" s="1406"/>
      <c r="Y178" s="1406"/>
      <c r="Z178" s="1406"/>
      <c r="AA178" s="1406"/>
      <c r="AB178" s="1406"/>
      <c r="AC178" s="1406"/>
      <c r="AD178" s="1406"/>
      <c r="AE178" s="1406"/>
      <c r="AF178" s="1406"/>
      <c r="AG178" s="1406"/>
      <c r="AI178" s="544"/>
      <c r="AJ178" s="544"/>
      <c r="AK178" s="544"/>
      <c r="AL178" s="544"/>
      <c r="AM178" s="544"/>
      <c r="AN178" s="544"/>
      <c r="AP178" s="544"/>
      <c r="AQ178" s="544"/>
      <c r="AR178" s="544"/>
      <c r="AS178" s="544"/>
      <c r="AT178" s="544"/>
      <c r="AU178" s="544"/>
      <c r="AV178" s="544"/>
    </row>
    <row r="179" spans="1:48" x14ac:dyDescent="0.35">
      <c r="A179" s="1406"/>
      <c r="B179" s="1406"/>
      <c r="C179" s="1406"/>
      <c r="D179" s="1406"/>
      <c r="E179" s="1406"/>
      <c r="F179" s="1406"/>
      <c r="G179" s="1406"/>
      <c r="H179" s="1406"/>
      <c r="I179" s="1406"/>
      <c r="J179" s="1406"/>
      <c r="K179" s="1406"/>
      <c r="L179" s="1406"/>
      <c r="M179" s="1406"/>
      <c r="N179" s="1406"/>
      <c r="O179" s="1406"/>
      <c r="P179" s="1406"/>
      <c r="Q179" s="1406"/>
      <c r="R179" s="1406"/>
      <c r="S179" s="1406"/>
      <c r="T179" s="1406"/>
      <c r="U179" s="1406"/>
      <c r="V179" s="1406"/>
      <c r="W179" s="1406"/>
      <c r="X179" s="1406"/>
      <c r="Y179" s="1406"/>
      <c r="Z179" s="1406"/>
      <c r="AA179" s="1406"/>
      <c r="AB179" s="1406"/>
      <c r="AC179" s="1406"/>
      <c r="AD179" s="1406"/>
      <c r="AE179" s="1406"/>
      <c r="AF179" s="1406"/>
      <c r="AG179" s="1406"/>
      <c r="AI179" s="544"/>
      <c r="AJ179" s="544"/>
      <c r="AK179" s="544"/>
      <c r="AL179" s="544"/>
      <c r="AM179" s="544"/>
      <c r="AN179" s="544"/>
      <c r="AP179" s="544"/>
      <c r="AQ179" s="544"/>
      <c r="AR179" s="544"/>
      <c r="AS179" s="544"/>
      <c r="AT179" s="544"/>
      <c r="AU179" s="544"/>
      <c r="AV179" s="544"/>
    </row>
    <row r="180" spans="1:48" x14ac:dyDescent="0.35">
      <c r="A180" s="1406"/>
      <c r="B180" s="1406"/>
      <c r="C180" s="1406"/>
      <c r="D180" s="1406"/>
      <c r="E180" s="1406"/>
      <c r="F180" s="1406"/>
      <c r="G180" s="1406"/>
      <c r="H180" s="1406"/>
      <c r="I180" s="1406"/>
      <c r="J180" s="1406"/>
      <c r="K180" s="1406"/>
      <c r="L180" s="1406"/>
      <c r="M180" s="1406"/>
      <c r="N180" s="1406"/>
      <c r="O180" s="1406"/>
      <c r="P180" s="1406"/>
      <c r="Q180" s="1406"/>
      <c r="R180" s="1406"/>
      <c r="S180" s="1406"/>
      <c r="T180" s="1406"/>
      <c r="U180" s="1406"/>
      <c r="V180" s="1406"/>
      <c r="W180" s="1406"/>
      <c r="X180" s="1406"/>
      <c r="Y180" s="1406"/>
      <c r="Z180" s="1406"/>
      <c r="AA180" s="1406"/>
      <c r="AB180" s="1406"/>
      <c r="AC180" s="1406"/>
      <c r="AD180" s="1406"/>
      <c r="AE180" s="1406"/>
      <c r="AF180" s="1406"/>
      <c r="AG180" s="1406"/>
      <c r="AI180" s="544"/>
      <c r="AJ180" s="544"/>
      <c r="AK180" s="544"/>
      <c r="AL180" s="544"/>
      <c r="AM180" s="544"/>
      <c r="AN180" s="544"/>
      <c r="AP180" s="544"/>
      <c r="AQ180" s="544"/>
      <c r="AR180" s="544"/>
      <c r="AS180" s="544"/>
      <c r="AT180" s="544"/>
      <c r="AU180" s="544"/>
      <c r="AV180" s="544"/>
    </row>
    <row r="181" spans="1:48" x14ac:dyDescent="0.35">
      <c r="A181" s="1406"/>
      <c r="B181" s="1406"/>
      <c r="C181" s="1406"/>
      <c r="D181" s="1406"/>
      <c r="E181" s="1406"/>
      <c r="F181" s="1406"/>
      <c r="G181" s="1406"/>
      <c r="H181" s="1406"/>
      <c r="I181" s="1406"/>
      <c r="J181" s="1406"/>
      <c r="K181" s="1406"/>
      <c r="L181" s="1406"/>
      <c r="M181" s="1406"/>
      <c r="N181" s="1406"/>
      <c r="O181" s="1406"/>
      <c r="P181" s="1406"/>
      <c r="Q181" s="1406"/>
      <c r="R181" s="1406"/>
      <c r="S181" s="1406"/>
      <c r="T181" s="1406"/>
      <c r="U181" s="1406"/>
      <c r="V181" s="1406"/>
      <c r="W181" s="1406"/>
      <c r="X181" s="1406"/>
      <c r="Y181" s="1406"/>
      <c r="Z181" s="1406"/>
      <c r="AA181" s="1406"/>
      <c r="AB181" s="1406"/>
      <c r="AC181" s="1406"/>
      <c r="AD181" s="1406"/>
      <c r="AE181" s="1406"/>
      <c r="AF181" s="1406"/>
      <c r="AG181" s="1406"/>
      <c r="AI181" s="544"/>
      <c r="AJ181" s="544"/>
      <c r="AK181" s="544"/>
      <c r="AL181" s="544"/>
      <c r="AM181" s="544"/>
      <c r="AN181" s="544"/>
      <c r="AP181" s="544"/>
      <c r="AQ181" s="544"/>
      <c r="AR181" s="544"/>
      <c r="AS181" s="544"/>
      <c r="AT181" s="544"/>
      <c r="AU181" s="544"/>
      <c r="AV181" s="544"/>
    </row>
    <row r="182" spans="1:48" x14ac:dyDescent="0.35">
      <c r="A182" s="1406"/>
      <c r="B182" s="1406"/>
      <c r="C182" s="1406"/>
      <c r="D182" s="1406"/>
      <c r="E182" s="1406"/>
      <c r="F182" s="1406"/>
      <c r="G182" s="1406"/>
      <c r="H182" s="1406"/>
      <c r="I182" s="1406"/>
      <c r="J182" s="1406"/>
      <c r="K182" s="1406"/>
      <c r="L182" s="1406"/>
      <c r="M182" s="1406"/>
      <c r="N182" s="1406"/>
      <c r="O182" s="1406"/>
      <c r="P182" s="1406"/>
      <c r="Q182" s="1406"/>
      <c r="R182" s="1406"/>
      <c r="S182" s="1406"/>
      <c r="T182" s="1406"/>
      <c r="U182" s="1406"/>
      <c r="V182" s="1406"/>
      <c r="W182" s="1406"/>
      <c r="X182" s="1406"/>
      <c r="Y182" s="1406"/>
      <c r="Z182" s="1406"/>
      <c r="AA182" s="1406"/>
      <c r="AB182" s="1406"/>
      <c r="AC182" s="1406"/>
      <c r="AD182" s="1406"/>
      <c r="AE182" s="1406"/>
      <c r="AF182" s="1406"/>
      <c r="AG182" s="1406"/>
      <c r="AI182" s="544"/>
      <c r="AJ182" s="544"/>
      <c r="AK182" s="544"/>
      <c r="AL182" s="544"/>
      <c r="AM182" s="544"/>
      <c r="AN182" s="544"/>
      <c r="AP182" s="544"/>
      <c r="AQ182" s="544"/>
      <c r="AR182" s="544"/>
      <c r="AS182" s="544"/>
      <c r="AT182" s="544"/>
      <c r="AU182" s="544"/>
      <c r="AV182" s="544"/>
    </row>
    <row r="183" spans="1:48" x14ac:dyDescent="0.35">
      <c r="A183" s="1406"/>
      <c r="B183" s="1406"/>
      <c r="C183" s="1406"/>
      <c r="D183" s="1406"/>
      <c r="E183" s="1406"/>
      <c r="F183" s="1406"/>
      <c r="G183" s="1406"/>
      <c r="H183" s="1406"/>
      <c r="I183" s="1406"/>
      <c r="J183" s="1406"/>
      <c r="K183" s="1406"/>
      <c r="L183" s="1406"/>
      <c r="M183" s="1406"/>
      <c r="N183" s="1406"/>
      <c r="O183" s="1406"/>
      <c r="P183" s="1406"/>
      <c r="Q183" s="1406"/>
      <c r="R183" s="1406"/>
      <c r="S183" s="1406"/>
      <c r="T183" s="1406"/>
      <c r="U183" s="1406"/>
      <c r="V183" s="1406"/>
      <c r="W183" s="1406"/>
      <c r="X183" s="1406"/>
      <c r="Y183" s="1406"/>
      <c r="Z183" s="1406"/>
      <c r="AA183" s="1406"/>
      <c r="AB183" s="1406"/>
      <c r="AC183" s="1406"/>
      <c r="AD183" s="1406"/>
      <c r="AE183" s="1406"/>
      <c r="AF183" s="1406"/>
      <c r="AG183" s="1406"/>
      <c r="AI183" s="544"/>
      <c r="AJ183" s="544"/>
      <c r="AK183" s="544"/>
      <c r="AL183" s="544"/>
      <c r="AM183" s="544"/>
      <c r="AN183" s="544"/>
      <c r="AP183" s="544"/>
      <c r="AQ183" s="544"/>
      <c r="AR183" s="544"/>
      <c r="AS183" s="544"/>
      <c r="AT183" s="544"/>
      <c r="AU183" s="544"/>
      <c r="AV183" s="544"/>
    </row>
    <row r="184" spans="1:48" x14ac:dyDescent="0.35">
      <c r="A184" s="1406"/>
      <c r="B184" s="1406"/>
      <c r="C184" s="1406"/>
      <c r="D184" s="1406"/>
      <c r="E184" s="1406"/>
      <c r="F184" s="1406"/>
      <c r="G184" s="1406"/>
      <c r="H184" s="1406"/>
      <c r="I184" s="1406"/>
      <c r="J184" s="1406"/>
      <c r="K184" s="1406"/>
      <c r="L184" s="1406"/>
      <c r="M184" s="1406"/>
      <c r="N184" s="1406"/>
      <c r="O184" s="1406"/>
      <c r="P184" s="1406"/>
      <c r="Q184" s="1406"/>
      <c r="R184" s="1406"/>
      <c r="S184" s="1406"/>
      <c r="T184" s="1406"/>
      <c r="U184" s="1406"/>
      <c r="V184" s="1406"/>
      <c r="W184" s="1406"/>
      <c r="X184" s="1406"/>
      <c r="Y184" s="1406"/>
      <c r="Z184" s="1406"/>
      <c r="AA184" s="1406"/>
      <c r="AB184" s="1406"/>
      <c r="AC184" s="1406"/>
      <c r="AD184" s="1406"/>
      <c r="AE184" s="1406"/>
      <c r="AF184" s="1406"/>
      <c r="AG184" s="1406"/>
      <c r="AI184" s="544"/>
      <c r="AJ184" s="544"/>
      <c r="AK184" s="544"/>
      <c r="AL184" s="544"/>
      <c r="AM184" s="544"/>
      <c r="AN184" s="544"/>
      <c r="AP184" s="544"/>
      <c r="AQ184" s="544"/>
      <c r="AR184" s="544"/>
      <c r="AS184" s="544"/>
      <c r="AT184" s="544"/>
      <c r="AU184" s="544"/>
      <c r="AV184" s="544"/>
    </row>
    <row r="185" spans="1:48" x14ac:dyDescent="0.35">
      <c r="A185" s="1406"/>
      <c r="B185" s="1406"/>
      <c r="C185" s="1406"/>
      <c r="D185" s="1406"/>
      <c r="E185" s="1406"/>
      <c r="F185" s="1406"/>
      <c r="G185" s="1406"/>
      <c r="H185" s="1406"/>
      <c r="I185" s="1406"/>
      <c r="J185" s="1406"/>
      <c r="K185" s="1406"/>
      <c r="L185" s="1406"/>
      <c r="M185" s="1406"/>
      <c r="N185" s="1406"/>
      <c r="O185" s="1406"/>
      <c r="P185" s="1406"/>
      <c r="Q185" s="1406"/>
      <c r="R185" s="1406"/>
      <c r="S185" s="1406"/>
      <c r="T185" s="1406"/>
      <c r="U185" s="1406"/>
      <c r="V185" s="1406"/>
      <c r="W185" s="1406"/>
      <c r="X185" s="1406"/>
      <c r="Y185" s="1406"/>
      <c r="Z185" s="1406"/>
      <c r="AA185" s="1406"/>
      <c r="AB185" s="1406"/>
      <c r="AC185" s="1406"/>
      <c r="AD185" s="1406"/>
      <c r="AE185" s="1406"/>
      <c r="AF185" s="1406"/>
      <c r="AG185" s="1406"/>
      <c r="AI185" s="544"/>
      <c r="AJ185" s="544"/>
      <c r="AK185" s="544"/>
      <c r="AL185" s="544"/>
      <c r="AM185" s="544"/>
      <c r="AN185" s="544"/>
      <c r="AP185" s="544"/>
      <c r="AQ185" s="544"/>
      <c r="AR185" s="544"/>
      <c r="AS185" s="544"/>
      <c r="AT185" s="544"/>
      <c r="AU185" s="544"/>
      <c r="AV185" s="544"/>
    </row>
    <row r="186" spans="1:48" x14ac:dyDescent="0.35">
      <c r="A186" s="1406"/>
      <c r="B186" s="1406"/>
      <c r="C186" s="1406"/>
      <c r="D186" s="1406"/>
      <c r="E186" s="1406"/>
      <c r="F186" s="1406"/>
      <c r="G186" s="1406"/>
      <c r="H186" s="1406"/>
      <c r="I186" s="1406"/>
      <c r="J186" s="1406"/>
      <c r="K186" s="1406"/>
      <c r="L186" s="1406"/>
      <c r="M186" s="1406"/>
      <c r="N186" s="1406"/>
      <c r="O186" s="1406"/>
      <c r="P186" s="1406"/>
      <c r="Q186" s="1406"/>
      <c r="R186" s="1406"/>
      <c r="S186" s="1406"/>
      <c r="T186" s="1406"/>
      <c r="U186" s="1406"/>
      <c r="V186" s="1406"/>
      <c r="W186" s="1406"/>
      <c r="X186" s="1406"/>
      <c r="Y186" s="1406"/>
      <c r="Z186" s="1406"/>
      <c r="AA186" s="1406"/>
      <c r="AB186" s="1406"/>
      <c r="AC186" s="1406"/>
      <c r="AD186" s="1406"/>
      <c r="AE186" s="1406"/>
      <c r="AF186" s="1406"/>
      <c r="AG186" s="1406"/>
      <c r="AI186" s="544"/>
      <c r="AJ186" s="544"/>
      <c r="AK186" s="544"/>
      <c r="AL186" s="544"/>
      <c r="AM186" s="544"/>
      <c r="AN186" s="544"/>
      <c r="AP186" s="544"/>
      <c r="AQ186" s="544"/>
      <c r="AR186" s="544"/>
      <c r="AS186" s="544"/>
      <c r="AT186" s="544"/>
      <c r="AU186" s="544"/>
      <c r="AV186" s="544"/>
    </row>
    <row r="187" spans="1:48" x14ac:dyDescent="0.35">
      <c r="A187" s="1406"/>
      <c r="B187" s="1406"/>
      <c r="C187" s="1406"/>
      <c r="D187" s="1406"/>
      <c r="E187" s="1406"/>
      <c r="F187" s="1406"/>
      <c r="G187" s="1406"/>
      <c r="H187" s="1406"/>
      <c r="I187" s="1406"/>
      <c r="J187" s="1406"/>
      <c r="K187" s="1406"/>
      <c r="L187" s="1406"/>
      <c r="M187" s="1406"/>
      <c r="N187" s="1406"/>
      <c r="O187" s="1406"/>
      <c r="P187" s="1406"/>
      <c r="Q187" s="1406"/>
      <c r="R187" s="1406"/>
      <c r="S187" s="1406"/>
      <c r="T187" s="1406"/>
      <c r="U187" s="1406"/>
      <c r="V187" s="1406"/>
      <c r="W187" s="1406"/>
      <c r="X187" s="1406"/>
      <c r="Y187" s="1406"/>
      <c r="Z187" s="1406"/>
      <c r="AA187" s="1406"/>
      <c r="AB187" s="1406"/>
      <c r="AC187" s="1406"/>
      <c r="AD187" s="1406"/>
      <c r="AE187" s="1406"/>
      <c r="AF187" s="1406"/>
      <c r="AG187" s="1406"/>
      <c r="AI187" s="544"/>
      <c r="AJ187" s="544"/>
      <c r="AK187" s="544"/>
      <c r="AL187" s="544"/>
      <c r="AM187" s="544"/>
      <c r="AN187" s="544"/>
      <c r="AP187" s="544"/>
      <c r="AQ187" s="544"/>
      <c r="AR187" s="544"/>
      <c r="AS187" s="544"/>
      <c r="AT187" s="544"/>
      <c r="AU187" s="544"/>
      <c r="AV187" s="544"/>
    </row>
    <row r="188" spans="1:48" x14ac:dyDescent="0.35">
      <c r="A188" s="1406"/>
      <c r="B188" s="1406"/>
      <c r="C188" s="1406"/>
      <c r="D188" s="1406"/>
      <c r="E188" s="1406"/>
      <c r="F188" s="1406"/>
      <c r="G188" s="1406"/>
      <c r="H188" s="1406"/>
      <c r="I188" s="1406"/>
      <c r="J188" s="1406"/>
      <c r="K188" s="1406"/>
      <c r="L188" s="1406"/>
      <c r="M188" s="1406"/>
      <c r="N188" s="1406"/>
      <c r="O188" s="1406"/>
      <c r="P188" s="1406"/>
      <c r="Q188" s="1406"/>
      <c r="R188" s="1406"/>
      <c r="S188" s="1406"/>
      <c r="T188" s="1406"/>
      <c r="U188" s="1406"/>
      <c r="V188" s="1406"/>
      <c r="W188" s="1406"/>
      <c r="X188" s="1406"/>
      <c r="Y188" s="1406"/>
      <c r="Z188" s="1406"/>
      <c r="AA188" s="1406"/>
      <c r="AB188" s="1406"/>
      <c r="AC188" s="1406"/>
      <c r="AD188" s="1406"/>
      <c r="AE188" s="1406"/>
      <c r="AF188" s="1406"/>
      <c r="AG188" s="1406"/>
      <c r="AI188" s="544"/>
      <c r="AJ188" s="544"/>
      <c r="AK188" s="544"/>
      <c r="AL188" s="544"/>
      <c r="AM188" s="544"/>
      <c r="AN188" s="544"/>
      <c r="AP188" s="544"/>
      <c r="AQ188" s="544"/>
      <c r="AR188" s="544"/>
      <c r="AS188" s="544"/>
      <c r="AT188" s="544"/>
      <c r="AU188" s="544"/>
      <c r="AV188" s="544"/>
    </row>
    <row r="189" spans="1:48" x14ac:dyDescent="0.35">
      <c r="A189" s="1406"/>
      <c r="B189" s="1406"/>
      <c r="C189" s="1406"/>
      <c r="D189" s="1406"/>
      <c r="E189" s="1406"/>
      <c r="F189" s="1406"/>
      <c r="G189" s="1406"/>
      <c r="H189" s="1406"/>
      <c r="I189" s="1406"/>
      <c r="J189" s="1406"/>
      <c r="K189" s="1406"/>
      <c r="L189" s="1406"/>
      <c r="M189" s="1406"/>
      <c r="N189" s="1406"/>
      <c r="O189" s="1406"/>
      <c r="P189" s="1406"/>
      <c r="Q189" s="1406"/>
      <c r="R189" s="1406"/>
      <c r="S189" s="1406"/>
      <c r="T189" s="1406"/>
      <c r="U189" s="1406"/>
      <c r="V189" s="1406"/>
      <c r="W189" s="1406"/>
      <c r="X189" s="1406"/>
      <c r="Y189" s="1406"/>
      <c r="Z189" s="1406"/>
      <c r="AA189" s="1406"/>
      <c r="AB189" s="1406"/>
      <c r="AC189" s="1406"/>
      <c r="AD189" s="1406"/>
      <c r="AE189" s="1406"/>
      <c r="AF189" s="1406"/>
      <c r="AG189" s="1406"/>
      <c r="AI189" s="544"/>
      <c r="AJ189" s="544"/>
      <c r="AK189" s="544"/>
      <c r="AL189" s="544"/>
      <c r="AM189" s="544"/>
      <c r="AN189" s="544"/>
      <c r="AP189" s="544"/>
      <c r="AQ189" s="544"/>
      <c r="AR189" s="544"/>
      <c r="AS189" s="544"/>
      <c r="AT189" s="544"/>
      <c r="AU189" s="544"/>
      <c r="AV189" s="544"/>
    </row>
    <row r="190" spans="1:48" x14ac:dyDescent="0.35">
      <c r="A190" s="1406"/>
      <c r="B190" s="1406"/>
      <c r="C190" s="1406"/>
      <c r="D190" s="1406"/>
      <c r="E190" s="1406"/>
      <c r="F190" s="1406"/>
      <c r="G190" s="1406"/>
      <c r="H190" s="1406"/>
      <c r="I190" s="1406"/>
      <c r="J190" s="1406"/>
      <c r="K190" s="1406"/>
      <c r="L190" s="1406"/>
      <c r="M190" s="1406"/>
      <c r="N190" s="1406"/>
      <c r="O190" s="1406"/>
      <c r="P190" s="1406"/>
      <c r="Q190" s="1406"/>
      <c r="R190" s="1406"/>
      <c r="S190" s="1406"/>
      <c r="T190" s="1406"/>
      <c r="U190" s="1406"/>
      <c r="V190" s="1406"/>
      <c r="W190" s="1406"/>
      <c r="X190" s="1406"/>
      <c r="Y190" s="1406"/>
      <c r="Z190" s="1406"/>
      <c r="AA190" s="1406"/>
      <c r="AB190" s="1406"/>
      <c r="AC190" s="1406"/>
      <c r="AD190" s="1406"/>
      <c r="AE190" s="1406"/>
      <c r="AF190" s="1406"/>
      <c r="AG190" s="1406"/>
      <c r="AI190" s="544"/>
      <c r="AJ190" s="544"/>
      <c r="AK190" s="544"/>
      <c r="AL190" s="544"/>
      <c r="AM190" s="544"/>
      <c r="AN190" s="544"/>
      <c r="AP190" s="544"/>
      <c r="AQ190" s="544"/>
      <c r="AR190" s="544"/>
      <c r="AS190" s="544"/>
      <c r="AT190" s="544"/>
      <c r="AU190" s="544"/>
      <c r="AV190" s="544"/>
    </row>
    <row r="191" spans="1:48" x14ac:dyDescent="0.35">
      <c r="A191" s="1406"/>
      <c r="B191" s="1406"/>
      <c r="C191" s="1406"/>
      <c r="D191" s="1406"/>
      <c r="E191" s="1406"/>
      <c r="F191" s="1406"/>
      <c r="G191" s="1406"/>
      <c r="H191" s="1406"/>
      <c r="I191" s="1406"/>
      <c r="J191" s="1406"/>
      <c r="K191" s="1406"/>
      <c r="L191" s="1406"/>
      <c r="M191" s="1406"/>
      <c r="N191" s="1406"/>
      <c r="O191" s="1406"/>
      <c r="P191" s="1406"/>
      <c r="Q191" s="1406"/>
      <c r="R191" s="1406"/>
      <c r="S191" s="1406"/>
      <c r="T191" s="1406"/>
      <c r="U191" s="1406"/>
      <c r="V191" s="1406"/>
      <c r="W191" s="1406"/>
      <c r="X191" s="1406"/>
      <c r="Y191" s="1406"/>
      <c r="Z191" s="1406"/>
      <c r="AA191" s="1406"/>
      <c r="AB191" s="1406"/>
      <c r="AC191" s="1406"/>
      <c r="AD191" s="1406"/>
      <c r="AE191" s="1406"/>
      <c r="AF191" s="1406"/>
      <c r="AG191" s="1406"/>
      <c r="AI191" s="544"/>
      <c r="AJ191" s="544"/>
      <c r="AK191" s="544"/>
      <c r="AL191" s="544"/>
      <c r="AM191" s="544"/>
      <c r="AN191" s="544"/>
      <c r="AP191" s="544"/>
      <c r="AQ191" s="544"/>
      <c r="AR191" s="544"/>
      <c r="AS191" s="544"/>
      <c r="AT191" s="544"/>
      <c r="AU191" s="544"/>
      <c r="AV191" s="544"/>
    </row>
    <row r="192" spans="1:48" x14ac:dyDescent="0.35">
      <c r="A192" s="1406"/>
      <c r="B192" s="1406"/>
      <c r="C192" s="1406"/>
      <c r="D192" s="1406"/>
      <c r="E192" s="1406"/>
      <c r="F192" s="1406"/>
      <c r="G192" s="1406"/>
      <c r="H192" s="1406"/>
      <c r="I192" s="1406"/>
      <c r="J192" s="1406"/>
      <c r="K192" s="1406"/>
      <c r="L192" s="1406"/>
      <c r="M192" s="1406"/>
      <c r="N192" s="1406"/>
      <c r="O192" s="1406"/>
      <c r="P192" s="1406"/>
      <c r="Q192" s="1406"/>
      <c r="R192" s="1406"/>
      <c r="S192" s="1406"/>
      <c r="T192" s="1406"/>
      <c r="U192" s="1406"/>
      <c r="V192" s="1406"/>
      <c r="W192" s="1406"/>
      <c r="X192" s="1406"/>
      <c r="Y192" s="1406"/>
      <c r="Z192" s="1406"/>
      <c r="AA192" s="1406"/>
      <c r="AB192" s="1406"/>
      <c r="AC192" s="1406"/>
      <c r="AD192" s="1406"/>
      <c r="AE192" s="1406"/>
      <c r="AF192" s="1406"/>
      <c r="AG192" s="1406"/>
      <c r="AI192" s="544"/>
      <c r="AJ192" s="544"/>
      <c r="AK192" s="544"/>
      <c r="AL192" s="544"/>
      <c r="AM192" s="544"/>
      <c r="AN192" s="544"/>
      <c r="AP192" s="544"/>
      <c r="AQ192" s="544"/>
      <c r="AR192" s="544"/>
      <c r="AS192" s="544"/>
      <c r="AT192" s="544"/>
      <c r="AU192" s="544"/>
      <c r="AV192" s="544"/>
    </row>
    <row r="193" spans="1:48" x14ac:dyDescent="0.35">
      <c r="A193" s="1406"/>
      <c r="B193" s="1406"/>
      <c r="C193" s="1406"/>
      <c r="D193" s="1406"/>
      <c r="E193" s="1406"/>
      <c r="F193" s="1406"/>
      <c r="G193" s="1406"/>
      <c r="H193" s="1406"/>
      <c r="I193" s="1406"/>
      <c r="J193" s="1406"/>
      <c r="K193" s="1406"/>
      <c r="L193" s="1406"/>
      <c r="M193" s="1406"/>
      <c r="N193" s="1406"/>
      <c r="O193" s="1406"/>
      <c r="P193" s="1406"/>
      <c r="Q193" s="1406"/>
      <c r="R193" s="1406"/>
      <c r="S193" s="1406"/>
      <c r="T193" s="1406"/>
      <c r="U193" s="1406"/>
      <c r="V193" s="1406"/>
      <c r="W193" s="1406"/>
      <c r="X193" s="1406"/>
      <c r="Y193" s="1406"/>
      <c r="Z193" s="1406"/>
      <c r="AA193" s="1406"/>
      <c r="AB193" s="1406"/>
      <c r="AC193" s="1406"/>
      <c r="AD193" s="1406"/>
      <c r="AE193" s="1406"/>
      <c r="AF193" s="1406"/>
      <c r="AG193" s="1406"/>
      <c r="AI193" s="544"/>
      <c r="AJ193" s="544"/>
      <c r="AK193" s="544"/>
      <c r="AL193" s="544"/>
      <c r="AM193" s="544"/>
      <c r="AN193" s="544"/>
      <c r="AP193" s="544"/>
      <c r="AQ193" s="544"/>
      <c r="AR193" s="544"/>
      <c r="AS193" s="544"/>
      <c r="AT193" s="544"/>
      <c r="AU193" s="544"/>
      <c r="AV193" s="544"/>
    </row>
    <row r="194" spans="1:48" x14ac:dyDescent="0.35">
      <c r="A194" s="1406"/>
      <c r="B194" s="1406"/>
      <c r="C194" s="1406"/>
      <c r="D194" s="1406"/>
      <c r="E194" s="1406"/>
      <c r="F194" s="1406"/>
      <c r="G194" s="1406"/>
      <c r="H194" s="1406"/>
      <c r="I194" s="1406"/>
      <c r="J194" s="1406"/>
      <c r="K194" s="1406"/>
      <c r="L194" s="1406"/>
      <c r="M194" s="1406"/>
      <c r="N194" s="1406"/>
      <c r="O194" s="1406"/>
      <c r="P194" s="1406"/>
      <c r="Q194" s="1406"/>
      <c r="R194" s="1406"/>
      <c r="S194" s="1406"/>
      <c r="T194" s="1406"/>
      <c r="U194" s="1406"/>
      <c r="V194" s="1406"/>
      <c r="W194" s="1406"/>
      <c r="X194" s="1406"/>
      <c r="Y194" s="1406"/>
      <c r="Z194" s="1406"/>
      <c r="AA194" s="1406"/>
      <c r="AB194" s="1406"/>
      <c r="AC194" s="1406"/>
      <c r="AD194" s="1406"/>
      <c r="AE194" s="1406"/>
      <c r="AF194" s="1406"/>
      <c r="AG194" s="1406"/>
      <c r="AI194" s="544"/>
      <c r="AJ194" s="544"/>
      <c r="AK194" s="544"/>
      <c r="AL194" s="544"/>
      <c r="AM194" s="544"/>
      <c r="AN194" s="544"/>
      <c r="AP194" s="544"/>
      <c r="AQ194" s="544"/>
      <c r="AR194" s="544"/>
      <c r="AS194" s="544"/>
      <c r="AT194" s="544"/>
      <c r="AU194" s="544"/>
      <c r="AV194" s="544"/>
    </row>
    <row r="195" spans="1:48" x14ac:dyDescent="0.35">
      <c r="A195" s="1406"/>
      <c r="B195" s="1406"/>
      <c r="C195" s="1406"/>
      <c r="D195" s="1406"/>
      <c r="E195" s="1406"/>
      <c r="F195" s="1406"/>
      <c r="G195" s="1406"/>
      <c r="H195" s="1406"/>
      <c r="I195" s="1406"/>
      <c r="J195" s="1406"/>
      <c r="K195" s="1406"/>
      <c r="L195" s="1406"/>
      <c r="M195" s="1406"/>
      <c r="N195" s="1406"/>
      <c r="O195" s="1406"/>
      <c r="P195" s="1406"/>
      <c r="Q195" s="1406"/>
      <c r="R195" s="1406"/>
      <c r="S195" s="1406"/>
      <c r="T195" s="1406"/>
      <c r="U195" s="1406"/>
      <c r="V195" s="1406"/>
      <c r="W195" s="1406"/>
      <c r="X195" s="1406"/>
      <c r="Y195" s="1406"/>
      <c r="Z195" s="1406"/>
      <c r="AA195" s="1406"/>
      <c r="AB195" s="1406"/>
      <c r="AC195" s="1406"/>
      <c r="AD195" s="1406"/>
      <c r="AE195" s="1406"/>
      <c r="AF195" s="1406"/>
      <c r="AG195" s="1406"/>
      <c r="AI195" s="544"/>
      <c r="AJ195" s="544"/>
      <c r="AK195" s="544"/>
      <c r="AL195" s="544"/>
      <c r="AM195" s="544"/>
      <c r="AN195" s="544"/>
      <c r="AP195" s="544"/>
      <c r="AQ195" s="544"/>
      <c r="AR195" s="544"/>
      <c r="AS195" s="544"/>
      <c r="AT195" s="544"/>
      <c r="AU195" s="544"/>
      <c r="AV195" s="544"/>
    </row>
    <row r="196" spans="1:48" x14ac:dyDescent="0.35">
      <c r="A196" s="1406"/>
      <c r="B196" s="1406"/>
      <c r="C196" s="1406"/>
      <c r="D196" s="1406"/>
      <c r="E196" s="1406"/>
      <c r="F196" s="1406"/>
      <c r="G196" s="1406"/>
      <c r="H196" s="1406"/>
      <c r="I196" s="1406"/>
      <c r="J196" s="1406"/>
      <c r="K196" s="1406"/>
      <c r="L196" s="1406"/>
      <c r="M196" s="1406"/>
      <c r="N196" s="1406"/>
      <c r="O196" s="1406"/>
      <c r="P196" s="1406"/>
      <c r="Q196" s="1406"/>
      <c r="R196" s="1406"/>
      <c r="S196" s="1406"/>
      <c r="T196" s="1406"/>
      <c r="U196" s="1406"/>
      <c r="V196" s="1406"/>
      <c r="W196" s="1406"/>
      <c r="X196" s="1406"/>
      <c r="Y196" s="1406"/>
      <c r="Z196" s="1406"/>
      <c r="AA196" s="1406"/>
      <c r="AB196" s="1406"/>
      <c r="AC196" s="1406"/>
      <c r="AD196" s="1406"/>
      <c r="AE196" s="1406"/>
      <c r="AF196" s="1406"/>
      <c r="AG196" s="1406"/>
      <c r="AI196" s="544"/>
      <c r="AJ196" s="544"/>
      <c r="AK196" s="544"/>
      <c r="AL196" s="544"/>
      <c r="AM196" s="544"/>
      <c r="AN196" s="544"/>
      <c r="AP196" s="544"/>
      <c r="AQ196" s="544"/>
      <c r="AR196" s="544"/>
      <c r="AS196" s="544"/>
      <c r="AT196" s="544"/>
      <c r="AU196" s="544"/>
      <c r="AV196" s="544"/>
    </row>
    <row r="197" spans="1:48" x14ac:dyDescent="0.35">
      <c r="A197" s="1406"/>
      <c r="B197" s="1406"/>
      <c r="C197" s="1406"/>
      <c r="D197" s="1406"/>
      <c r="E197" s="1406"/>
      <c r="F197" s="1406"/>
      <c r="G197" s="1406"/>
      <c r="H197" s="1406"/>
      <c r="I197" s="1406"/>
      <c r="J197" s="1406"/>
      <c r="K197" s="1406"/>
      <c r="L197" s="1406"/>
      <c r="M197" s="1406"/>
      <c r="N197" s="1406"/>
      <c r="O197" s="1406"/>
      <c r="P197" s="1406"/>
      <c r="Q197" s="1406"/>
      <c r="R197" s="1406"/>
      <c r="S197" s="1406"/>
      <c r="T197" s="1406"/>
      <c r="U197" s="1406"/>
      <c r="V197" s="1406"/>
      <c r="W197" s="1406"/>
      <c r="X197" s="1406"/>
      <c r="Y197" s="1406"/>
      <c r="Z197" s="1406"/>
      <c r="AA197" s="1406"/>
      <c r="AB197" s="1406"/>
      <c r="AC197" s="1406"/>
      <c r="AD197" s="1406"/>
      <c r="AE197" s="1406"/>
      <c r="AF197" s="1406"/>
      <c r="AG197" s="1406"/>
      <c r="AI197" s="544"/>
      <c r="AJ197" s="544"/>
      <c r="AK197" s="544"/>
      <c r="AL197" s="544"/>
      <c r="AM197" s="544"/>
      <c r="AN197" s="544"/>
      <c r="AP197" s="544"/>
      <c r="AQ197" s="544"/>
      <c r="AR197" s="544"/>
      <c r="AS197" s="544"/>
      <c r="AT197" s="544"/>
      <c r="AU197" s="544"/>
      <c r="AV197" s="544"/>
    </row>
    <row r="198" spans="1:48" x14ac:dyDescent="0.35">
      <c r="A198" s="1406"/>
      <c r="B198" s="1406"/>
      <c r="C198" s="1406"/>
      <c r="D198" s="1406"/>
      <c r="E198" s="1406"/>
      <c r="F198" s="1406"/>
      <c r="G198" s="1406"/>
      <c r="H198" s="1406"/>
      <c r="I198" s="1406"/>
      <c r="J198" s="1406"/>
      <c r="K198" s="1406"/>
      <c r="L198" s="1406"/>
      <c r="M198" s="1406"/>
      <c r="N198" s="1406"/>
      <c r="O198" s="1406"/>
      <c r="P198" s="1406"/>
      <c r="Q198" s="1406"/>
      <c r="R198" s="1406"/>
      <c r="S198" s="1406"/>
      <c r="T198" s="1406"/>
      <c r="U198" s="1406"/>
      <c r="V198" s="1406"/>
      <c r="W198" s="1406"/>
      <c r="X198" s="1406"/>
      <c r="Y198" s="1406"/>
      <c r="Z198" s="1406"/>
      <c r="AA198" s="1406"/>
      <c r="AB198" s="1406"/>
      <c r="AC198" s="1406"/>
      <c r="AD198" s="1406"/>
      <c r="AE198" s="1406"/>
      <c r="AF198" s="1406"/>
      <c r="AG198" s="1406"/>
      <c r="AI198" s="544"/>
      <c r="AJ198" s="544"/>
      <c r="AK198" s="544"/>
      <c r="AL198" s="544"/>
      <c r="AM198" s="544"/>
      <c r="AN198" s="544"/>
      <c r="AP198" s="544"/>
      <c r="AQ198" s="544"/>
      <c r="AR198" s="544"/>
      <c r="AS198" s="544"/>
      <c r="AT198" s="544"/>
      <c r="AU198" s="544"/>
      <c r="AV198" s="544"/>
    </row>
    <row r="199" spans="1:48" x14ac:dyDescent="0.35">
      <c r="A199" s="1406"/>
      <c r="B199" s="1406"/>
      <c r="C199" s="1406"/>
      <c r="D199" s="1406"/>
      <c r="E199" s="1406"/>
      <c r="F199" s="1406"/>
      <c r="G199" s="1406"/>
      <c r="H199" s="1406"/>
      <c r="I199" s="1406"/>
      <c r="J199" s="1406"/>
      <c r="K199" s="1406"/>
      <c r="L199" s="1406"/>
      <c r="M199" s="1406"/>
      <c r="N199" s="1406"/>
      <c r="O199" s="1406"/>
      <c r="P199" s="1406"/>
      <c r="Q199" s="1406"/>
      <c r="R199" s="1406"/>
      <c r="S199" s="1406"/>
      <c r="T199" s="1406"/>
      <c r="U199" s="1406"/>
      <c r="V199" s="1406"/>
      <c r="W199" s="1406"/>
      <c r="X199" s="1406"/>
      <c r="Y199" s="1406"/>
      <c r="Z199" s="1406"/>
      <c r="AA199" s="1406"/>
      <c r="AB199" s="1406"/>
      <c r="AC199" s="1406"/>
      <c r="AD199" s="1406"/>
      <c r="AE199" s="1406"/>
      <c r="AF199" s="1406"/>
      <c r="AG199" s="1406"/>
      <c r="AI199" s="544"/>
      <c r="AJ199" s="544"/>
      <c r="AK199" s="544"/>
      <c r="AL199" s="544"/>
      <c r="AM199" s="544"/>
      <c r="AN199" s="544"/>
      <c r="AP199" s="544"/>
      <c r="AQ199" s="544"/>
      <c r="AR199" s="544"/>
      <c r="AS199" s="544"/>
      <c r="AT199" s="544"/>
      <c r="AU199" s="544"/>
      <c r="AV199" s="544"/>
    </row>
    <row r="200" spans="1:48" x14ac:dyDescent="0.35">
      <c r="A200" s="1406"/>
      <c r="B200" s="1406"/>
      <c r="C200" s="1406"/>
      <c r="D200" s="1406"/>
      <c r="E200" s="1406"/>
      <c r="F200" s="1406"/>
      <c r="G200" s="1406"/>
      <c r="H200" s="1406"/>
      <c r="I200" s="1406"/>
      <c r="J200" s="1406"/>
      <c r="K200" s="1406"/>
      <c r="L200" s="1406"/>
      <c r="M200" s="1406"/>
      <c r="N200" s="1406"/>
      <c r="O200" s="1406"/>
      <c r="P200" s="1406"/>
      <c r="Q200" s="1406"/>
      <c r="R200" s="1406"/>
      <c r="S200" s="1406"/>
      <c r="T200" s="1406"/>
      <c r="U200" s="1406"/>
      <c r="V200" s="1406"/>
      <c r="W200" s="1406"/>
      <c r="X200" s="1406"/>
      <c r="Y200" s="1406"/>
      <c r="Z200" s="1406"/>
      <c r="AA200" s="1406"/>
      <c r="AB200" s="1406"/>
      <c r="AC200" s="1406"/>
      <c r="AD200" s="1406"/>
      <c r="AE200" s="1406"/>
      <c r="AF200" s="1406"/>
      <c r="AG200" s="1406"/>
      <c r="AI200" s="544"/>
      <c r="AJ200" s="544"/>
      <c r="AK200" s="544"/>
      <c r="AL200" s="544"/>
      <c r="AM200" s="544"/>
      <c r="AN200" s="544"/>
      <c r="AP200" s="544"/>
      <c r="AQ200" s="544"/>
      <c r="AR200" s="544"/>
      <c r="AS200" s="544"/>
      <c r="AT200" s="544"/>
      <c r="AU200" s="544"/>
      <c r="AV200" s="544"/>
    </row>
    <row r="201" spans="1:48" x14ac:dyDescent="0.35">
      <c r="A201" s="1406"/>
      <c r="B201" s="1406"/>
      <c r="C201" s="1406"/>
      <c r="D201" s="1406"/>
      <c r="E201" s="1406"/>
      <c r="F201" s="1406"/>
      <c r="G201" s="1406"/>
      <c r="H201" s="1406"/>
      <c r="I201" s="1406"/>
      <c r="J201" s="1406"/>
      <c r="K201" s="1406"/>
      <c r="L201" s="1406"/>
      <c r="M201" s="1406"/>
      <c r="N201" s="1406"/>
      <c r="O201" s="1406"/>
      <c r="P201" s="1406"/>
      <c r="Q201" s="1406"/>
      <c r="R201" s="1406"/>
      <c r="S201" s="1406"/>
      <c r="T201" s="1406"/>
      <c r="U201" s="1406"/>
      <c r="V201" s="1406"/>
      <c r="W201" s="1406"/>
      <c r="X201" s="1406"/>
      <c r="Y201" s="1406"/>
      <c r="Z201" s="1406"/>
      <c r="AA201" s="1406"/>
      <c r="AB201" s="1406"/>
      <c r="AC201" s="1406"/>
      <c r="AD201" s="1406"/>
      <c r="AE201" s="1406"/>
      <c r="AF201" s="1406"/>
      <c r="AG201" s="1406"/>
      <c r="AI201" s="544"/>
      <c r="AJ201" s="544"/>
      <c r="AK201" s="544"/>
      <c r="AL201" s="544"/>
      <c r="AM201" s="544"/>
      <c r="AN201" s="544"/>
      <c r="AP201" s="544"/>
      <c r="AQ201" s="544"/>
      <c r="AR201" s="544"/>
      <c r="AS201" s="544"/>
      <c r="AT201" s="544"/>
      <c r="AU201" s="544"/>
      <c r="AV201" s="544"/>
    </row>
    <row r="202" spans="1:48" x14ac:dyDescent="0.35">
      <c r="A202" s="1406"/>
      <c r="B202" s="1406"/>
      <c r="C202" s="1406"/>
      <c r="D202" s="1406"/>
      <c r="E202" s="1406"/>
      <c r="F202" s="1406"/>
      <c r="G202" s="1406"/>
      <c r="H202" s="1406"/>
      <c r="I202" s="1406"/>
      <c r="J202" s="1406"/>
      <c r="K202" s="1406"/>
      <c r="L202" s="1406"/>
      <c r="M202" s="1406"/>
      <c r="N202" s="1406"/>
      <c r="O202" s="1406"/>
      <c r="P202" s="1406"/>
      <c r="Q202" s="1406"/>
      <c r="R202" s="1406"/>
      <c r="S202" s="1406"/>
      <c r="T202" s="1406"/>
      <c r="U202" s="1406"/>
      <c r="V202" s="1406"/>
      <c r="W202" s="1406"/>
      <c r="X202" s="1406"/>
      <c r="Y202" s="1406"/>
      <c r="Z202" s="1406"/>
      <c r="AA202" s="1406"/>
      <c r="AB202" s="1406"/>
      <c r="AC202" s="1406"/>
      <c r="AD202" s="1406"/>
      <c r="AE202" s="1406"/>
      <c r="AF202" s="1406"/>
      <c r="AG202" s="1406"/>
      <c r="AI202" s="544"/>
      <c r="AJ202" s="544"/>
      <c r="AK202" s="544"/>
      <c r="AL202" s="544"/>
      <c r="AM202" s="544"/>
      <c r="AN202" s="544"/>
      <c r="AP202" s="544"/>
      <c r="AQ202" s="544"/>
      <c r="AR202" s="544"/>
      <c r="AS202" s="544"/>
      <c r="AT202" s="544"/>
      <c r="AU202" s="544"/>
      <c r="AV202" s="544"/>
    </row>
    <row r="203" spans="1:48" x14ac:dyDescent="0.35">
      <c r="A203" s="1406"/>
      <c r="B203" s="1406"/>
      <c r="C203" s="1406"/>
      <c r="D203" s="1406"/>
      <c r="E203" s="1406"/>
      <c r="F203" s="1406"/>
      <c r="G203" s="1406"/>
      <c r="H203" s="1406"/>
      <c r="I203" s="1406"/>
      <c r="J203" s="1406"/>
      <c r="K203" s="1406"/>
      <c r="L203" s="1406"/>
      <c r="M203" s="1406"/>
      <c r="N203" s="1406"/>
      <c r="O203" s="1406"/>
      <c r="P203" s="1406"/>
      <c r="Q203" s="1406"/>
      <c r="R203" s="1406"/>
      <c r="S203" s="1406"/>
      <c r="T203" s="1406"/>
      <c r="U203" s="1406"/>
      <c r="V203" s="1406"/>
      <c r="W203" s="1406"/>
      <c r="X203" s="1406"/>
      <c r="Y203" s="1406"/>
      <c r="Z203" s="1406"/>
      <c r="AA203" s="1406"/>
      <c r="AB203" s="1406"/>
      <c r="AC203" s="1406"/>
      <c r="AD203" s="1406"/>
      <c r="AE203" s="1406"/>
      <c r="AF203" s="1406"/>
      <c r="AG203" s="1406"/>
      <c r="AI203" s="544"/>
      <c r="AJ203" s="544"/>
      <c r="AK203" s="544"/>
      <c r="AL203" s="544"/>
      <c r="AM203" s="544"/>
      <c r="AN203" s="544"/>
      <c r="AP203" s="544"/>
      <c r="AQ203" s="544"/>
      <c r="AR203" s="544"/>
      <c r="AS203" s="544"/>
      <c r="AT203" s="544"/>
      <c r="AU203" s="544"/>
      <c r="AV203" s="544"/>
    </row>
    <row r="204" spans="1:48" x14ac:dyDescent="0.35">
      <c r="A204" s="1406"/>
      <c r="B204" s="1406"/>
      <c r="C204" s="1406"/>
      <c r="D204" s="1406"/>
      <c r="E204" s="1406"/>
      <c r="F204" s="1406"/>
      <c r="G204" s="1406"/>
      <c r="H204" s="1406"/>
      <c r="I204" s="1406"/>
      <c r="J204" s="1406"/>
      <c r="K204" s="1406"/>
      <c r="L204" s="1406"/>
      <c r="M204" s="1406"/>
      <c r="N204" s="1406"/>
      <c r="O204" s="1406"/>
      <c r="P204" s="1406"/>
      <c r="Q204" s="1406"/>
      <c r="R204" s="1406"/>
      <c r="S204" s="1406"/>
      <c r="T204" s="1406"/>
      <c r="U204" s="1406"/>
      <c r="V204" s="1406"/>
      <c r="W204" s="1406"/>
      <c r="X204" s="1406"/>
      <c r="Y204" s="1406"/>
      <c r="Z204" s="1406"/>
      <c r="AA204" s="1406"/>
      <c r="AB204" s="1406"/>
      <c r="AC204" s="1406"/>
      <c r="AD204" s="1406"/>
      <c r="AE204" s="1406"/>
      <c r="AF204" s="1406"/>
      <c r="AG204" s="1406"/>
      <c r="AI204" s="544"/>
      <c r="AJ204" s="544"/>
      <c r="AK204" s="544"/>
      <c r="AL204" s="544"/>
      <c r="AM204" s="544"/>
      <c r="AN204" s="544"/>
      <c r="AP204" s="544"/>
      <c r="AQ204" s="544"/>
      <c r="AR204" s="544"/>
      <c r="AS204" s="544"/>
      <c r="AT204" s="544"/>
      <c r="AU204" s="544"/>
      <c r="AV204" s="544"/>
    </row>
    <row r="205" spans="1:48" x14ac:dyDescent="0.35">
      <c r="A205" s="1406"/>
      <c r="B205" s="1406"/>
      <c r="C205" s="1406"/>
      <c r="D205" s="1406"/>
      <c r="E205" s="1406"/>
      <c r="F205" s="1406"/>
      <c r="G205" s="1406"/>
      <c r="H205" s="1406"/>
      <c r="I205" s="1406"/>
      <c r="J205" s="1406"/>
      <c r="K205" s="1406"/>
      <c r="L205" s="1406"/>
      <c r="M205" s="1406"/>
      <c r="N205" s="1406"/>
      <c r="O205" s="1406"/>
      <c r="P205" s="1406"/>
      <c r="Q205" s="1406"/>
      <c r="R205" s="1406"/>
      <c r="S205" s="1406"/>
      <c r="T205" s="1406"/>
      <c r="U205" s="1406"/>
      <c r="V205" s="1406"/>
      <c r="W205" s="1406"/>
      <c r="X205" s="1406"/>
      <c r="Y205" s="1406"/>
      <c r="Z205" s="1406"/>
      <c r="AA205" s="1406"/>
      <c r="AB205" s="1406"/>
      <c r="AC205" s="1406"/>
      <c r="AD205" s="1406"/>
      <c r="AE205" s="1406"/>
      <c r="AF205" s="1406"/>
      <c r="AG205" s="1406"/>
      <c r="AI205" s="544"/>
      <c r="AJ205" s="544"/>
      <c r="AK205" s="544"/>
      <c r="AL205" s="544"/>
      <c r="AM205" s="544"/>
      <c r="AN205" s="544"/>
      <c r="AP205" s="544"/>
      <c r="AQ205" s="544"/>
      <c r="AR205" s="544"/>
      <c r="AS205" s="544"/>
      <c r="AT205" s="544"/>
      <c r="AU205" s="544"/>
      <c r="AV205" s="544"/>
    </row>
    <row r="206" spans="1:48" x14ac:dyDescent="0.35">
      <c r="A206" s="1406"/>
      <c r="B206" s="1406"/>
      <c r="C206" s="1406"/>
      <c r="D206" s="1406"/>
      <c r="E206" s="1406"/>
      <c r="F206" s="1406"/>
      <c r="G206" s="1406"/>
      <c r="H206" s="1406"/>
      <c r="I206" s="1406"/>
      <c r="J206" s="1406"/>
      <c r="K206" s="1406"/>
      <c r="L206" s="1406"/>
      <c r="M206" s="1406"/>
      <c r="N206" s="1406"/>
      <c r="O206" s="1406"/>
      <c r="P206" s="1406"/>
      <c r="Q206" s="1406"/>
      <c r="R206" s="1406"/>
      <c r="S206" s="1406"/>
      <c r="T206" s="1406"/>
      <c r="U206" s="1406"/>
      <c r="V206" s="1406"/>
      <c r="W206" s="1406"/>
      <c r="X206" s="1406"/>
      <c r="Y206" s="1406"/>
      <c r="Z206" s="1406"/>
      <c r="AA206" s="1406"/>
      <c r="AB206" s="1406"/>
      <c r="AC206" s="1406"/>
      <c r="AD206" s="1406"/>
      <c r="AE206" s="1406"/>
      <c r="AF206" s="1406"/>
      <c r="AG206" s="1406"/>
      <c r="AI206" s="544"/>
      <c r="AJ206" s="544"/>
      <c r="AK206" s="544"/>
      <c r="AL206" s="544"/>
      <c r="AM206" s="544"/>
      <c r="AN206" s="544"/>
      <c r="AP206" s="544"/>
      <c r="AQ206" s="544"/>
      <c r="AR206" s="544"/>
      <c r="AS206" s="544"/>
      <c r="AT206" s="544"/>
      <c r="AU206" s="544"/>
      <c r="AV206" s="544"/>
    </row>
    <row r="207" spans="1:48" x14ac:dyDescent="0.35">
      <c r="A207" s="1406"/>
      <c r="B207" s="1406"/>
      <c r="C207" s="1406"/>
      <c r="D207" s="1406"/>
      <c r="E207" s="1406"/>
      <c r="F207" s="1406"/>
      <c r="G207" s="1406"/>
      <c r="H207" s="1406"/>
      <c r="I207" s="1406"/>
      <c r="J207" s="1406"/>
      <c r="K207" s="1406"/>
      <c r="L207" s="1406"/>
      <c r="M207" s="1406"/>
      <c r="N207" s="1406"/>
      <c r="O207" s="1406"/>
      <c r="P207" s="1406"/>
      <c r="Q207" s="1406"/>
      <c r="R207" s="1406"/>
      <c r="S207" s="1406"/>
      <c r="T207" s="1406"/>
      <c r="U207" s="1406"/>
      <c r="V207" s="1406"/>
      <c r="W207" s="1406"/>
      <c r="X207" s="1406"/>
      <c r="Y207" s="1406"/>
      <c r="Z207" s="1406"/>
      <c r="AA207" s="1406"/>
      <c r="AB207" s="1406"/>
      <c r="AC207" s="1406"/>
      <c r="AD207" s="1406"/>
      <c r="AE207" s="1406"/>
      <c r="AF207" s="1406"/>
      <c r="AG207" s="1406"/>
      <c r="AI207" s="544"/>
      <c r="AJ207" s="544"/>
      <c r="AK207" s="544"/>
      <c r="AL207" s="544"/>
      <c r="AM207" s="544"/>
      <c r="AN207" s="544"/>
      <c r="AP207" s="544"/>
      <c r="AQ207" s="544"/>
      <c r="AR207" s="544"/>
      <c r="AS207" s="544"/>
      <c r="AT207" s="544"/>
      <c r="AU207" s="544"/>
      <c r="AV207" s="544"/>
    </row>
    <row r="208" spans="1:48" x14ac:dyDescent="0.35">
      <c r="A208" s="1406"/>
      <c r="B208" s="1406"/>
      <c r="C208" s="1406"/>
      <c r="D208" s="1406"/>
      <c r="E208" s="1406"/>
      <c r="F208" s="1406"/>
      <c r="G208" s="1406"/>
      <c r="H208" s="1406"/>
      <c r="I208" s="1406"/>
      <c r="J208" s="1406"/>
      <c r="K208" s="1406"/>
      <c r="L208" s="1406"/>
      <c r="M208" s="1406"/>
      <c r="N208" s="1406"/>
      <c r="O208" s="1406"/>
      <c r="P208" s="1406"/>
      <c r="Q208" s="1406"/>
      <c r="R208" s="1406"/>
      <c r="S208" s="1406"/>
      <c r="T208" s="1406"/>
      <c r="U208" s="1406"/>
      <c r="V208" s="1406"/>
      <c r="W208" s="1406"/>
      <c r="X208" s="1406"/>
      <c r="Y208" s="1406"/>
      <c r="Z208" s="1406"/>
      <c r="AA208" s="1406"/>
      <c r="AB208" s="1406"/>
      <c r="AC208" s="1406"/>
      <c r="AD208" s="1406"/>
      <c r="AE208" s="1406"/>
      <c r="AF208" s="1406"/>
      <c r="AG208" s="1406"/>
      <c r="AI208" s="544"/>
      <c r="AJ208" s="544"/>
      <c r="AK208" s="544"/>
      <c r="AL208" s="544"/>
      <c r="AM208" s="544"/>
      <c r="AN208" s="544"/>
      <c r="AP208" s="544"/>
      <c r="AQ208" s="544"/>
      <c r="AR208" s="544"/>
      <c r="AS208" s="544"/>
      <c r="AT208" s="544"/>
      <c r="AU208" s="544"/>
      <c r="AV208" s="544"/>
    </row>
    <row r="209" spans="1:48" x14ac:dyDescent="0.35">
      <c r="A209" s="1406"/>
      <c r="B209" s="1406"/>
      <c r="C209" s="1406"/>
      <c r="D209" s="1406"/>
      <c r="E209" s="1406"/>
      <c r="F209" s="1406"/>
      <c r="G209" s="1406"/>
      <c r="H209" s="1406"/>
      <c r="I209" s="1406"/>
      <c r="J209" s="1406"/>
      <c r="K209" s="1406"/>
      <c r="L209" s="1406"/>
      <c r="M209" s="1406"/>
      <c r="N209" s="1406"/>
      <c r="O209" s="1406"/>
      <c r="P209" s="1406"/>
      <c r="Q209" s="1406"/>
      <c r="R209" s="1406"/>
      <c r="S209" s="1406"/>
      <c r="T209" s="1406"/>
      <c r="U209" s="1406"/>
      <c r="V209" s="1406"/>
      <c r="W209" s="1406"/>
      <c r="X209" s="1406"/>
      <c r="Y209" s="1406"/>
      <c r="Z209" s="1406"/>
      <c r="AA209" s="1406"/>
      <c r="AB209" s="1406"/>
      <c r="AC209" s="1406"/>
      <c r="AD209" s="1406"/>
      <c r="AE209" s="1406"/>
      <c r="AF209" s="1406"/>
      <c r="AG209" s="1406"/>
      <c r="AI209" s="544"/>
      <c r="AJ209" s="544"/>
      <c r="AK209" s="544"/>
      <c r="AL209" s="544"/>
      <c r="AM209" s="544"/>
      <c r="AN209" s="544"/>
      <c r="AP209" s="544"/>
      <c r="AQ209" s="544"/>
      <c r="AR209" s="544"/>
      <c r="AS209" s="544"/>
      <c r="AT209" s="544"/>
      <c r="AU209" s="544"/>
      <c r="AV209" s="544"/>
    </row>
    <row r="210" spans="1:48" x14ac:dyDescent="0.35">
      <c r="A210" s="1406"/>
      <c r="B210" s="1406"/>
      <c r="C210" s="1406"/>
      <c r="D210" s="1406"/>
      <c r="E210" s="1406"/>
      <c r="F210" s="1406"/>
      <c r="G210" s="1406"/>
      <c r="H210" s="1406"/>
      <c r="I210" s="1406"/>
      <c r="J210" s="1406"/>
      <c r="K210" s="1406"/>
      <c r="L210" s="1406"/>
      <c r="M210" s="1406"/>
      <c r="N210" s="1406"/>
      <c r="O210" s="1406"/>
      <c r="P210" s="1406"/>
      <c r="Q210" s="1406"/>
      <c r="R210" s="1406"/>
      <c r="S210" s="1406"/>
      <c r="T210" s="1406"/>
      <c r="U210" s="1406"/>
      <c r="V210" s="1406"/>
      <c r="W210" s="1406"/>
      <c r="X210" s="1406"/>
      <c r="Y210" s="1406"/>
      <c r="Z210" s="1406"/>
      <c r="AA210" s="1406"/>
      <c r="AB210" s="1406"/>
      <c r="AC210" s="1406"/>
      <c r="AD210" s="1406"/>
      <c r="AE210" s="1406"/>
      <c r="AF210" s="1406"/>
      <c r="AG210" s="1406"/>
      <c r="AI210" s="544"/>
      <c r="AJ210" s="544"/>
      <c r="AK210" s="544"/>
      <c r="AL210" s="544"/>
      <c r="AM210" s="544"/>
      <c r="AN210" s="544"/>
      <c r="AP210" s="544"/>
      <c r="AQ210" s="544"/>
      <c r="AR210" s="544"/>
      <c r="AS210" s="544"/>
      <c r="AT210" s="544"/>
      <c r="AU210" s="544"/>
      <c r="AV210" s="544"/>
    </row>
    <row r="211" spans="1:48" x14ac:dyDescent="0.35">
      <c r="A211" s="1406"/>
      <c r="B211" s="1406"/>
      <c r="C211" s="1406"/>
      <c r="D211" s="1406"/>
      <c r="E211" s="1406"/>
      <c r="F211" s="1406"/>
      <c r="G211" s="1406"/>
      <c r="H211" s="1406"/>
      <c r="I211" s="1406"/>
      <c r="J211" s="1406"/>
      <c r="K211" s="1406"/>
      <c r="L211" s="1406"/>
      <c r="M211" s="1406"/>
      <c r="N211" s="1406"/>
      <c r="O211" s="1406"/>
      <c r="P211" s="1406"/>
      <c r="Q211" s="1406"/>
      <c r="R211" s="1406"/>
      <c r="S211" s="1406"/>
      <c r="T211" s="1406"/>
      <c r="U211" s="1406"/>
      <c r="V211" s="1406"/>
      <c r="W211" s="1406"/>
      <c r="X211" s="1406"/>
      <c r="Y211" s="1406"/>
      <c r="Z211" s="1406"/>
      <c r="AA211" s="1406"/>
      <c r="AB211" s="1406"/>
      <c r="AC211" s="1406"/>
      <c r="AD211" s="1406"/>
      <c r="AE211" s="1406"/>
      <c r="AF211" s="1406"/>
      <c r="AG211" s="1406"/>
      <c r="AI211" s="544"/>
      <c r="AJ211" s="544"/>
      <c r="AK211" s="544"/>
      <c r="AL211" s="544"/>
      <c r="AM211" s="544"/>
      <c r="AN211" s="544"/>
      <c r="AP211" s="544"/>
      <c r="AQ211" s="544"/>
      <c r="AR211" s="544"/>
      <c r="AS211" s="544"/>
      <c r="AT211" s="544"/>
      <c r="AU211" s="544"/>
      <c r="AV211" s="544"/>
    </row>
    <row r="212" spans="1:48" x14ac:dyDescent="0.35">
      <c r="A212" s="1406"/>
      <c r="B212" s="1406"/>
      <c r="C212" s="1406"/>
      <c r="D212" s="1406"/>
      <c r="E212" s="1406"/>
      <c r="F212" s="1406"/>
      <c r="G212" s="1406"/>
      <c r="H212" s="1406"/>
      <c r="I212" s="1406"/>
      <c r="J212" s="1406"/>
      <c r="K212" s="1406"/>
      <c r="L212" s="1406"/>
      <c r="M212" s="1406"/>
      <c r="N212" s="1406"/>
      <c r="O212" s="1406"/>
      <c r="P212" s="1406"/>
      <c r="Q212" s="1406"/>
      <c r="R212" s="1406"/>
      <c r="S212" s="1406"/>
      <c r="T212" s="1406"/>
      <c r="U212" s="1406"/>
      <c r="V212" s="1406"/>
      <c r="W212" s="1406"/>
      <c r="X212" s="1406"/>
      <c r="Y212" s="1406"/>
      <c r="Z212" s="1406"/>
      <c r="AA212" s="1406"/>
      <c r="AB212" s="1406"/>
      <c r="AC212" s="1406"/>
      <c r="AD212" s="1406"/>
      <c r="AE212" s="1406"/>
      <c r="AF212" s="1406"/>
      <c r="AG212" s="1406"/>
      <c r="AI212" s="544"/>
      <c r="AJ212" s="544"/>
      <c r="AK212" s="544"/>
      <c r="AL212" s="544"/>
      <c r="AM212" s="544"/>
      <c r="AN212" s="544"/>
      <c r="AP212" s="544"/>
      <c r="AQ212" s="544"/>
      <c r="AR212" s="544"/>
      <c r="AS212" s="544"/>
      <c r="AT212" s="544"/>
      <c r="AU212" s="544"/>
      <c r="AV212" s="544"/>
    </row>
    <row r="213" spans="1:48" x14ac:dyDescent="0.35">
      <c r="A213" s="1406"/>
      <c r="B213" s="1406"/>
      <c r="C213" s="1406"/>
      <c r="D213" s="1406"/>
      <c r="E213" s="1406"/>
      <c r="F213" s="1406"/>
      <c r="G213" s="1406"/>
      <c r="H213" s="1406"/>
      <c r="I213" s="1406"/>
      <c r="J213" s="1406"/>
      <c r="K213" s="1406"/>
      <c r="L213" s="1406"/>
      <c r="M213" s="1406"/>
      <c r="N213" s="1406"/>
      <c r="O213" s="1406"/>
      <c r="P213" s="1406"/>
      <c r="Q213" s="1406"/>
      <c r="R213" s="1406"/>
      <c r="S213" s="1406"/>
      <c r="T213" s="1406"/>
      <c r="U213" s="1406"/>
      <c r="V213" s="1406"/>
      <c r="W213" s="1406"/>
      <c r="X213" s="1406"/>
      <c r="Y213" s="1406"/>
      <c r="Z213" s="1406"/>
      <c r="AA213" s="1406"/>
      <c r="AB213" s="1406"/>
      <c r="AC213" s="1406"/>
      <c r="AD213" s="1406"/>
      <c r="AE213" s="1406"/>
      <c r="AF213" s="1406"/>
      <c r="AG213" s="1406"/>
      <c r="AI213" s="544"/>
      <c r="AJ213" s="544"/>
      <c r="AK213" s="544"/>
      <c r="AL213" s="544"/>
      <c r="AM213" s="544"/>
      <c r="AN213" s="544"/>
      <c r="AP213" s="544"/>
      <c r="AQ213" s="544"/>
      <c r="AR213" s="544"/>
      <c r="AS213" s="544"/>
      <c r="AT213" s="544"/>
      <c r="AU213" s="544"/>
      <c r="AV213" s="544"/>
    </row>
    <row r="214" spans="1:48" x14ac:dyDescent="0.35">
      <c r="A214" s="1406"/>
      <c r="B214" s="1406"/>
      <c r="C214" s="1406"/>
      <c r="D214" s="1406"/>
      <c r="E214" s="1406"/>
      <c r="F214" s="1406"/>
      <c r="G214" s="1406"/>
      <c r="H214" s="1406"/>
      <c r="I214" s="1406"/>
      <c r="J214" s="1406"/>
      <c r="K214" s="1406"/>
      <c r="L214" s="1406"/>
      <c r="M214" s="1406"/>
      <c r="N214" s="1406"/>
      <c r="O214" s="1406"/>
      <c r="P214" s="1406"/>
      <c r="Q214" s="1406"/>
      <c r="R214" s="1406"/>
      <c r="S214" s="1406"/>
      <c r="T214" s="1406"/>
      <c r="U214" s="1406"/>
      <c r="V214" s="1406"/>
      <c r="W214" s="1406"/>
      <c r="X214" s="1406"/>
      <c r="Y214" s="1406"/>
      <c r="Z214" s="1406"/>
      <c r="AA214" s="1406"/>
      <c r="AB214" s="1406"/>
      <c r="AC214" s="1406"/>
      <c r="AD214" s="1406"/>
      <c r="AE214" s="1406"/>
      <c r="AF214" s="1406"/>
      <c r="AG214" s="1406"/>
      <c r="AI214" s="544"/>
      <c r="AJ214" s="544"/>
      <c r="AK214" s="544"/>
      <c r="AL214" s="544"/>
      <c r="AM214" s="544"/>
      <c r="AN214" s="544"/>
      <c r="AP214" s="544"/>
      <c r="AQ214" s="544"/>
      <c r="AR214" s="544"/>
      <c r="AS214" s="544"/>
      <c r="AT214" s="544"/>
      <c r="AU214" s="544"/>
      <c r="AV214" s="544"/>
    </row>
    <row r="215" spans="1:48" x14ac:dyDescent="0.35">
      <c r="A215" s="1406"/>
      <c r="B215" s="1406"/>
      <c r="C215" s="1406"/>
      <c r="D215" s="1406"/>
      <c r="E215" s="1406"/>
      <c r="F215" s="1406"/>
      <c r="G215" s="1406"/>
      <c r="H215" s="1406"/>
      <c r="I215" s="1406"/>
      <c r="J215" s="1406"/>
      <c r="K215" s="1406"/>
      <c r="L215" s="1406"/>
      <c r="M215" s="1406"/>
      <c r="N215" s="1406"/>
      <c r="O215" s="1406"/>
      <c r="P215" s="1406"/>
      <c r="Q215" s="1406"/>
      <c r="R215" s="1406"/>
      <c r="S215" s="1406"/>
      <c r="T215" s="1406"/>
      <c r="U215" s="1406"/>
      <c r="V215" s="1406"/>
      <c r="W215" s="1406"/>
      <c r="X215" s="1406"/>
      <c r="Y215" s="1406"/>
      <c r="Z215" s="1406"/>
      <c r="AA215" s="1406"/>
      <c r="AB215" s="1406"/>
      <c r="AC215" s="1406"/>
      <c r="AD215" s="1406"/>
      <c r="AE215" s="1406"/>
      <c r="AF215" s="1406"/>
      <c r="AG215" s="1406"/>
      <c r="AI215" s="544"/>
      <c r="AJ215" s="544"/>
      <c r="AK215" s="544"/>
      <c r="AL215" s="544"/>
      <c r="AM215" s="544"/>
      <c r="AN215" s="544"/>
      <c r="AP215" s="544"/>
      <c r="AQ215" s="544"/>
      <c r="AR215" s="544"/>
      <c r="AS215" s="544"/>
      <c r="AT215" s="544"/>
      <c r="AU215" s="544"/>
      <c r="AV215" s="544"/>
    </row>
    <row r="216" spans="1:48" x14ac:dyDescent="0.35">
      <c r="A216" s="1406"/>
      <c r="B216" s="1406"/>
      <c r="C216" s="1406"/>
      <c r="D216" s="1406"/>
      <c r="E216" s="1406"/>
      <c r="F216" s="1406"/>
      <c r="G216" s="1406"/>
      <c r="H216" s="1406"/>
      <c r="I216" s="1406"/>
      <c r="J216" s="1406"/>
      <c r="K216" s="1406"/>
      <c r="L216" s="1406"/>
      <c r="M216" s="1406"/>
      <c r="N216" s="1406"/>
      <c r="O216" s="1406"/>
      <c r="P216" s="1406"/>
      <c r="Q216" s="1406"/>
      <c r="R216" s="1406"/>
      <c r="S216" s="1406"/>
      <c r="T216" s="1406"/>
      <c r="U216" s="1406"/>
      <c r="V216" s="1406"/>
      <c r="W216" s="1406"/>
      <c r="X216" s="1406"/>
      <c r="Y216" s="1406"/>
      <c r="Z216" s="1406"/>
      <c r="AA216" s="1406"/>
      <c r="AB216" s="1406"/>
      <c r="AC216" s="1406"/>
      <c r="AD216" s="1406"/>
      <c r="AE216" s="1406"/>
      <c r="AF216" s="1406"/>
      <c r="AG216" s="1406"/>
      <c r="AI216" s="544"/>
      <c r="AJ216" s="544"/>
      <c r="AK216" s="544"/>
      <c r="AL216" s="544"/>
      <c r="AM216" s="544"/>
      <c r="AN216" s="544"/>
      <c r="AP216" s="544"/>
      <c r="AQ216" s="544"/>
      <c r="AR216" s="544"/>
      <c r="AS216" s="544"/>
      <c r="AT216" s="544"/>
      <c r="AU216" s="544"/>
      <c r="AV216" s="544"/>
    </row>
    <row r="217" spans="1:48" x14ac:dyDescent="0.35">
      <c r="A217" s="1406"/>
      <c r="B217" s="1406"/>
      <c r="C217" s="1406"/>
      <c r="D217" s="1406"/>
      <c r="E217" s="1406"/>
      <c r="F217" s="1406"/>
      <c r="G217" s="1406"/>
      <c r="H217" s="1406"/>
      <c r="I217" s="1406"/>
      <c r="J217" s="1406"/>
      <c r="K217" s="1406"/>
      <c r="L217" s="1406"/>
      <c r="M217" s="1406"/>
      <c r="N217" s="1406"/>
      <c r="O217" s="1406"/>
      <c r="P217" s="1406"/>
      <c r="Q217" s="1406"/>
      <c r="R217" s="1406"/>
      <c r="S217" s="1406"/>
      <c r="T217" s="1406"/>
      <c r="U217" s="1406"/>
      <c r="V217" s="1406"/>
      <c r="W217" s="1406"/>
      <c r="X217" s="1406"/>
      <c r="Y217" s="1406"/>
      <c r="Z217" s="1406"/>
      <c r="AA217" s="1406"/>
      <c r="AB217" s="1406"/>
      <c r="AC217" s="1406"/>
      <c r="AD217" s="1406"/>
      <c r="AE217" s="1406"/>
      <c r="AF217" s="1406"/>
      <c r="AG217" s="1406"/>
      <c r="AI217" s="544"/>
      <c r="AJ217" s="544"/>
      <c r="AK217" s="544"/>
      <c r="AL217" s="544"/>
      <c r="AM217" s="544"/>
      <c r="AN217" s="544"/>
      <c r="AP217" s="544"/>
      <c r="AQ217" s="544"/>
      <c r="AR217" s="544"/>
      <c r="AS217" s="544"/>
      <c r="AT217" s="544"/>
      <c r="AU217" s="544"/>
      <c r="AV217" s="544"/>
    </row>
    <row r="218" spans="1:48" x14ac:dyDescent="0.35">
      <c r="A218" s="1406"/>
      <c r="B218" s="1406"/>
      <c r="C218" s="1406"/>
      <c r="D218" s="1406"/>
      <c r="E218" s="1406"/>
      <c r="F218" s="1406"/>
      <c r="G218" s="1406"/>
      <c r="H218" s="1406"/>
      <c r="I218" s="1406"/>
      <c r="J218" s="1406"/>
      <c r="K218" s="1406"/>
      <c r="L218" s="1406"/>
      <c r="M218" s="1406"/>
      <c r="N218" s="1406"/>
      <c r="O218" s="1406"/>
      <c r="P218" s="1406"/>
      <c r="Q218" s="1406"/>
      <c r="R218" s="1406"/>
      <c r="S218" s="1406"/>
      <c r="T218" s="1406"/>
      <c r="U218" s="1406"/>
      <c r="V218" s="1406"/>
      <c r="W218" s="1406"/>
      <c r="X218" s="1406"/>
      <c r="Y218" s="1406"/>
      <c r="Z218" s="1406"/>
      <c r="AA218" s="1406"/>
      <c r="AB218" s="1406"/>
      <c r="AC218" s="1406"/>
      <c r="AD218" s="1406"/>
      <c r="AE218" s="1406"/>
      <c r="AF218" s="1406"/>
      <c r="AG218" s="1406"/>
      <c r="AI218" s="544"/>
      <c r="AJ218" s="544"/>
      <c r="AK218" s="544"/>
      <c r="AL218" s="544"/>
      <c r="AM218" s="544"/>
      <c r="AN218" s="544"/>
      <c r="AP218" s="544"/>
      <c r="AQ218" s="544"/>
      <c r="AR218" s="544"/>
      <c r="AS218" s="544"/>
      <c r="AT218" s="544"/>
      <c r="AU218" s="544"/>
      <c r="AV218" s="544"/>
    </row>
    <row r="219" spans="1:48" x14ac:dyDescent="0.35">
      <c r="A219" s="1406"/>
      <c r="B219" s="1406"/>
      <c r="C219" s="1406"/>
      <c r="D219" s="1406"/>
      <c r="E219" s="1406"/>
      <c r="F219" s="1406"/>
      <c r="G219" s="1406"/>
      <c r="H219" s="1406"/>
      <c r="I219" s="1406"/>
      <c r="J219" s="1406"/>
      <c r="K219" s="1406"/>
      <c r="L219" s="1406"/>
      <c r="M219" s="1406"/>
      <c r="N219" s="1406"/>
      <c r="O219" s="1406"/>
      <c r="P219" s="1406"/>
      <c r="Q219" s="1406"/>
      <c r="R219" s="1406"/>
      <c r="S219" s="1406"/>
      <c r="T219" s="1406"/>
      <c r="U219" s="1406"/>
      <c r="V219" s="1406"/>
      <c r="W219" s="1406"/>
      <c r="X219" s="1406"/>
      <c r="Y219" s="1406"/>
      <c r="Z219" s="1406"/>
      <c r="AA219" s="1406"/>
      <c r="AB219" s="1406"/>
      <c r="AC219" s="1406"/>
      <c r="AD219" s="1406"/>
      <c r="AE219" s="1406"/>
      <c r="AF219" s="1406"/>
      <c r="AG219" s="1406"/>
      <c r="AI219" s="544"/>
      <c r="AJ219" s="544"/>
      <c r="AK219" s="544"/>
      <c r="AL219" s="544"/>
      <c r="AM219" s="544"/>
      <c r="AN219" s="544"/>
      <c r="AP219" s="544"/>
      <c r="AQ219" s="544"/>
      <c r="AR219" s="544"/>
      <c r="AS219" s="544"/>
      <c r="AT219" s="544"/>
      <c r="AU219" s="544"/>
      <c r="AV219" s="544"/>
    </row>
    <row r="220" spans="1:48" x14ac:dyDescent="0.35">
      <c r="A220" s="1406"/>
      <c r="B220" s="1406"/>
      <c r="C220" s="1406"/>
      <c r="D220" s="1406"/>
      <c r="E220" s="1406"/>
      <c r="F220" s="1406"/>
      <c r="G220" s="1406"/>
      <c r="H220" s="1406"/>
      <c r="I220" s="1406"/>
      <c r="J220" s="1406"/>
      <c r="K220" s="1406"/>
      <c r="L220" s="1406"/>
      <c r="M220" s="1406"/>
      <c r="N220" s="1406"/>
      <c r="O220" s="1406"/>
      <c r="P220" s="1406"/>
      <c r="Q220" s="1406"/>
      <c r="R220" s="1406"/>
      <c r="S220" s="1406"/>
      <c r="T220" s="1406"/>
      <c r="U220" s="1406"/>
      <c r="V220" s="1406"/>
      <c r="W220" s="1406"/>
      <c r="X220" s="1406"/>
      <c r="Y220" s="1406"/>
      <c r="Z220" s="1406"/>
      <c r="AA220" s="1406"/>
      <c r="AB220" s="1406"/>
      <c r="AC220" s="1406"/>
      <c r="AD220" s="1406"/>
      <c r="AE220" s="1406"/>
      <c r="AF220" s="1406"/>
      <c r="AG220" s="1406"/>
      <c r="AI220" s="544"/>
      <c r="AJ220" s="544"/>
      <c r="AK220" s="544"/>
      <c r="AL220" s="544"/>
      <c r="AM220" s="544"/>
      <c r="AN220" s="544"/>
      <c r="AP220" s="544"/>
      <c r="AQ220" s="544"/>
      <c r="AR220" s="544"/>
      <c r="AS220" s="544"/>
      <c r="AT220" s="544"/>
      <c r="AU220" s="544"/>
      <c r="AV220" s="544"/>
    </row>
    <row r="221" spans="1:48" x14ac:dyDescent="0.35">
      <c r="A221" s="1406"/>
      <c r="B221" s="1406"/>
      <c r="C221" s="1406"/>
      <c r="D221" s="1406"/>
      <c r="E221" s="1406"/>
      <c r="F221" s="1406"/>
      <c r="G221" s="1406"/>
      <c r="H221" s="1406"/>
      <c r="I221" s="1406"/>
      <c r="J221" s="1406"/>
      <c r="K221" s="1406"/>
      <c r="L221" s="1406"/>
      <c r="M221" s="1406"/>
      <c r="N221" s="1406"/>
      <c r="O221" s="1406"/>
      <c r="P221" s="1406"/>
      <c r="Q221" s="1406"/>
      <c r="R221" s="1406"/>
      <c r="S221" s="1406"/>
      <c r="T221" s="1406"/>
      <c r="U221" s="1406"/>
      <c r="V221" s="1406"/>
      <c r="W221" s="1406"/>
      <c r="X221" s="1406"/>
      <c r="Y221" s="1406"/>
      <c r="Z221" s="1406"/>
      <c r="AA221" s="1406"/>
      <c r="AB221" s="1406"/>
      <c r="AC221" s="1406"/>
      <c r="AD221" s="1406"/>
      <c r="AE221" s="1406"/>
      <c r="AF221" s="1406"/>
      <c r="AG221" s="1406"/>
      <c r="AI221" s="544"/>
      <c r="AJ221" s="544"/>
      <c r="AK221" s="544"/>
      <c r="AL221" s="544"/>
      <c r="AM221" s="544"/>
      <c r="AN221" s="544"/>
      <c r="AP221" s="544"/>
      <c r="AQ221" s="544"/>
      <c r="AR221" s="544"/>
      <c r="AS221" s="544"/>
      <c r="AT221" s="544"/>
      <c r="AU221" s="544"/>
      <c r="AV221" s="544"/>
    </row>
    <row r="222" spans="1:48" x14ac:dyDescent="0.35">
      <c r="A222" s="1406"/>
      <c r="B222" s="1406"/>
      <c r="C222" s="1406"/>
      <c r="D222" s="1406"/>
      <c r="E222" s="1406"/>
      <c r="F222" s="1406"/>
      <c r="G222" s="1406"/>
      <c r="H222" s="1406"/>
      <c r="I222" s="1406"/>
      <c r="J222" s="1406"/>
      <c r="K222" s="1406"/>
      <c r="L222" s="1406"/>
      <c r="M222" s="1406"/>
      <c r="N222" s="1406"/>
      <c r="O222" s="1406"/>
      <c r="P222" s="1406"/>
      <c r="Q222" s="1406"/>
      <c r="R222" s="1406"/>
      <c r="S222" s="1406"/>
      <c r="T222" s="1406"/>
      <c r="U222" s="1406"/>
      <c r="V222" s="1406"/>
      <c r="W222" s="1406"/>
      <c r="X222" s="1406"/>
      <c r="Y222" s="1406"/>
      <c r="Z222" s="1406"/>
      <c r="AA222" s="1406"/>
      <c r="AB222" s="1406"/>
      <c r="AC222" s="1406"/>
      <c r="AD222" s="1406"/>
      <c r="AE222" s="1406"/>
      <c r="AF222" s="1406"/>
      <c r="AG222" s="1406"/>
      <c r="AI222" s="544"/>
      <c r="AJ222" s="544"/>
      <c r="AK222" s="544"/>
      <c r="AL222" s="544"/>
      <c r="AM222" s="544"/>
      <c r="AN222" s="544"/>
      <c r="AP222" s="544"/>
      <c r="AQ222" s="544"/>
      <c r="AR222" s="544"/>
      <c r="AS222" s="544"/>
      <c r="AT222" s="544"/>
      <c r="AU222" s="544"/>
      <c r="AV222" s="544"/>
    </row>
    <row r="223" spans="1:48" x14ac:dyDescent="0.35">
      <c r="A223" s="1406"/>
      <c r="B223" s="1406"/>
      <c r="C223" s="1406"/>
      <c r="D223" s="1406"/>
      <c r="E223" s="1406"/>
      <c r="F223" s="1406"/>
      <c r="G223" s="1406"/>
      <c r="H223" s="1406"/>
      <c r="I223" s="1406"/>
      <c r="J223" s="1406"/>
      <c r="K223" s="1406"/>
      <c r="L223" s="1406"/>
      <c r="M223" s="1406"/>
      <c r="N223" s="1406"/>
      <c r="O223" s="1406"/>
      <c r="P223" s="1406"/>
      <c r="Q223" s="1406"/>
      <c r="R223" s="1406"/>
      <c r="S223" s="1406"/>
      <c r="T223" s="1406"/>
      <c r="U223" s="1406"/>
      <c r="V223" s="1406"/>
      <c r="W223" s="1406"/>
      <c r="X223" s="1406"/>
      <c r="Y223" s="1406"/>
      <c r="Z223" s="1406"/>
      <c r="AA223" s="1406"/>
      <c r="AB223" s="1406"/>
      <c r="AC223" s="1406"/>
      <c r="AD223" s="1406"/>
      <c r="AE223" s="1406"/>
      <c r="AF223" s="1406"/>
      <c r="AG223" s="1406"/>
      <c r="AI223" s="544"/>
      <c r="AJ223" s="544"/>
      <c r="AK223" s="544"/>
      <c r="AL223" s="544"/>
      <c r="AM223" s="544"/>
      <c r="AN223" s="544"/>
      <c r="AP223" s="544"/>
      <c r="AQ223" s="544"/>
      <c r="AR223" s="544"/>
      <c r="AS223" s="544"/>
      <c r="AT223" s="544"/>
      <c r="AU223" s="544"/>
      <c r="AV223" s="544"/>
    </row>
    <row r="224" spans="1:48" x14ac:dyDescent="0.35">
      <c r="A224" s="1406"/>
      <c r="B224" s="1406"/>
      <c r="C224" s="1406"/>
      <c r="D224" s="1406"/>
      <c r="E224" s="1406"/>
      <c r="F224" s="1406"/>
      <c r="G224" s="1406"/>
      <c r="H224" s="1406"/>
      <c r="I224" s="1406"/>
      <c r="J224" s="1406"/>
      <c r="K224" s="1406"/>
      <c r="L224" s="1406"/>
      <c r="M224" s="1406"/>
      <c r="N224" s="1406"/>
      <c r="O224" s="1406"/>
      <c r="P224" s="1406"/>
      <c r="Q224" s="1406"/>
      <c r="R224" s="1406"/>
      <c r="S224" s="1406"/>
      <c r="T224" s="1406"/>
      <c r="U224" s="1406"/>
      <c r="V224" s="1406"/>
      <c r="W224" s="1406"/>
      <c r="X224" s="1406"/>
      <c r="Y224" s="1406"/>
      <c r="Z224" s="1406"/>
      <c r="AA224" s="1406"/>
      <c r="AB224" s="1406"/>
      <c r="AC224" s="1406"/>
      <c r="AD224" s="1406"/>
      <c r="AE224" s="1406"/>
      <c r="AF224" s="1406"/>
      <c r="AG224" s="1406"/>
      <c r="AI224" s="544"/>
      <c r="AJ224" s="544"/>
      <c r="AK224" s="544"/>
      <c r="AL224" s="544"/>
      <c r="AM224" s="544"/>
      <c r="AN224" s="544"/>
      <c r="AP224" s="544"/>
      <c r="AQ224" s="544"/>
      <c r="AR224" s="544"/>
      <c r="AS224" s="544"/>
      <c r="AT224" s="544"/>
      <c r="AU224" s="544"/>
      <c r="AV224" s="544"/>
    </row>
    <row r="225" spans="1:48" x14ac:dyDescent="0.35">
      <c r="A225" s="1406"/>
      <c r="B225" s="1406"/>
      <c r="C225" s="1406"/>
      <c r="D225" s="1406"/>
      <c r="E225" s="1406"/>
      <c r="F225" s="1406"/>
      <c r="G225" s="1406"/>
      <c r="H225" s="1406"/>
      <c r="I225" s="1406"/>
      <c r="J225" s="1406"/>
      <c r="K225" s="1406"/>
      <c r="L225" s="1406"/>
      <c r="M225" s="1406"/>
      <c r="N225" s="1406"/>
      <c r="O225" s="1406"/>
      <c r="P225" s="1406"/>
      <c r="Q225" s="1406"/>
      <c r="R225" s="1406"/>
      <c r="S225" s="1406"/>
      <c r="T225" s="1406"/>
      <c r="U225" s="1406"/>
      <c r="V225" s="1406"/>
      <c r="W225" s="1406"/>
      <c r="X225" s="1406"/>
      <c r="Y225" s="1406"/>
      <c r="Z225" s="1406"/>
      <c r="AA225" s="1406"/>
      <c r="AB225" s="1406"/>
      <c r="AC225" s="1406"/>
      <c r="AD225" s="1406"/>
      <c r="AE225" s="1406"/>
      <c r="AF225" s="1406"/>
      <c r="AG225" s="1406"/>
      <c r="AI225" s="544"/>
      <c r="AJ225" s="544"/>
      <c r="AK225" s="544"/>
      <c r="AL225" s="544"/>
      <c r="AM225" s="544"/>
      <c r="AN225" s="544"/>
      <c r="AP225" s="544"/>
      <c r="AQ225" s="544"/>
      <c r="AR225" s="544"/>
      <c r="AS225" s="544"/>
      <c r="AT225" s="544"/>
      <c r="AU225" s="544"/>
      <c r="AV225" s="544"/>
    </row>
    <row r="226" spans="1:48" x14ac:dyDescent="0.35">
      <c r="A226" s="1406"/>
      <c r="B226" s="1406"/>
      <c r="C226" s="1406"/>
      <c r="D226" s="1406"/>
      <c r="E226" s="1406"/>
      <c r="F226" s="1406"/>
      <c r="G226" s="1406"/>
      <c r="H226" s="1406"/>
      <c r="I226" s="1406"/>
      <c r="J226" s="1406"/>
      <c r="K226" s="1406"/>
      <c r="L226" s="1406"/>
      <c r="M226" s="1406"/>
      <c r="N226" s="1406"/>
      <c r="O226" s="1406"/>
      <c r="P226" s="1406"/>
      <c r="Q226" s="1406"/>
      <c r="R226" s="1406"/>
      <c r="S226" s="1406"/>
      <c r="T226" s="1406"/>
      <c r="U226" s="1406"/>
      <c r="V226" s="1406"/>
      <c r="W226" s="1406"/>
      <c r="X226" s="1406"/>
      <c r="Y226" s="1406"/>
      <c r="Z226" s="1406"/>
      <c r="AA226" s="1406"/>
      <c r="AB226" s="1406"/>
      <c r="AC226" s="1406"/>
      <c r="AD226" s="1406"/>
      <c r="AE226" s="1406"/>
      <c r="AF226" s="1406"/>
      <c r="AG226" s="1406"/>
      <c r="AI226" s="544"/>
      <c r="AJ226" s="544"/>
      <c r="AK226" s="544"/>
      <c r="AL226" s="544"/>
      <c r="AM226" s="544"/>
      <c r="AN226" s="544"/>
      <c r="AP226" s="544"/>
      <c r="AQ226" s="544"/>
      <c r="AR226" s="544"/>
      <c r="AS226" s="544"/>
      <c r="AT226" s="544"/>
      <c r="AU226" s="544"/>
      <c r="AV226" s="544"/>
    </row>
    <row r="227" spans="1:48" x14ac:dyDescent="0.35">
      <c r="A227" s="1406"/>
      <c r="B227" s="1406"/>
      <c r="C227" s="1406"/>
      <c r="D227" s="1406"/>
      <c r="E227" s="1406"/>
      <c r="F227" s="1406"/>
      <c r="G227" s="1406"/>
      <c r="H227" s="1406"/>
      <c r="I227" s="1406"/>
      <c r="J227" s="1406"/>
      <c r="K227" s="1406"/>
      <c r="L227" s="1406"/>
      <c r="M227" s="1406"/>
      <c r="N227" s="1406"/>
      <c r="O227" s="1406"/>
      <c r="P227" s="1406"/>
      <c r="Q227" s="1406"/>
      <c r="R227" s="1406"/>
      <c r="S227" s="1406"/>
      <c r="T227" s="1406"/>
      <c r="U227" s="1406"/>
      <c r="V227" s="1406"/>
      <c r="W227" s="1406"/>
      <c r="X227" s="1406"/>
      <c r="Y227" s="1406"/>
      <c r="Z227" s="1406"/>
      <c r="AA227" s="1406"/>
      <c r="AB227" s="1406"/>
      <c r="AC227" s="1406"/>
      <c r="AD227" s="1406"/>
      <c r="AE227" s="1406"/>
      <c r="AF227" s="1406"/>
      <c r="AG227" s="1406"/>
      <c r="AI227" s="544"/>
      <c r="AJ227" s="544"/>
      <c r="AK227" s="544"/>
      <c r="AL227" s="544"/>
      <c r="AM227" s="544"/>
      <c r="AN227" s="544"/>
      <c r="AP227" s="544"/>
      <c r="AQ227" s="544"/>
      <c r="AR227" s="544"/>
      <c r="AS227" s="544"/>
      <c r="AT227" s="544"/>
      <c r="AU227" s="544"/>
      <c r="AV227" s="544"/>
    </row>
    <row r="228" spans="1:48" x14ac:dyDescent="0.35">
      <c r="A228" s="1406"/>
      <c r="B228" s="1406"/>
      <c r="C228" s="1406"/>
      <c r="D228" s="1406"/>
      <c r="E228" s="1406"/>
      <c r="F228" s="1406"/>
      <c r="G228" s="1406"/>
      <c r="H228" s="1406"/>
      <c r="I228" s="1406"/>
      <c r="J228" s="1406"/>
      <c r="K228" s="1406"/>
      <c r="L228" s="1406"/>
      <c r="M228" s="1406"/>
      <c r="N228" s="1406"/>
      <c r="O228" s="1406"/>
      <c r="P228" s="1406"/>
      <c r="Q228" s="1406"/>
      <c r="R228" s="1406"/>
      <c r="S228" s="1406"/>
      <c r="T228" s="1406"/>
      <c r="U228" s="1406"/>
      <c r="V228" s="1406"/>
      <c r="W228" s="1406"/>
      <c r="X228" s="1406"/>
      <c r="Y228" s="1406"/>
      <c r="Z228" s="1406"/>
      <c r="AA228" s="1406"/>
      <c r="AB228" s="1406"/>
      <c r="AC228" s="1406"/>
      <c r="AD228" s="1406"/>
      <c r="AE228" s="1406"/>
      <c r="AF228" s="1406"/>
      <c r="AG228" s="1406"/>
      <c r="AI228" s="544"/>
      <c r="AJ228" s="544"/>
      <c r="AK228" s="544"/>
      <c r="AL228" s="544"/>
      <c r="AM228" s="544"/>
      <c r="AN228" s="544"/>
      <c r="AP228" s="544"/>
      <c r="AQ228" s="544"/>
      <c r="AR228" s="544"/>
      <c r="AS228" s="544"/>
      <c r="AT228" s="544"/>
      <c r="AU228" s="544"/>
      <c r="AV228" s="544"/>
    </row>
    <row r="229" spans="1:48" x14ac:dyDescent="0.35">
      <c r="A229" s="1406"/>
      <c r="B229" s="1406"/>
      <c r="C229" s="1406"/>
      <c r="D229" s="1406"/>
      <c r="E229" s="1406"/>
      <c r="F229" s="1406"/>
      <c r="G229" s="1406"/>
      <c r="H229" s="1406"/>
      <c r="I229" s="1406"/>
      <c r="J229" s="1406"/>
      <c r="K229" s="1406"/>
      <c r="L229" s="1406"/>
      <c r="M229" s="1406"/>
      <c r="N229" s="1406"/>
      <c r="O229" s="1406"/>
      <c r="P229" s="1406"/>
      <c r="Q229" s="1406"/>
      <c r="R229" s="1406"/>
      <c r="S229" s="1406"/>
      <c r="T229" s="1406"/>
      <c r="U229" s="1406"/>
      <c r="V229" s="1406"/>
      <c r="W229" s="1406"/>
      <c r="X229" s="1406"/>
      <c r="Y229" s="1406"/>
      <c r="Z229" s="1406"/>
      <c r="AA229" s="1406"/>
      <c r="AB229" s="1406"/>
      <c r="AC229" s="1406"/>
      <c r="AD229" s="1406"/>
      <c r="AE229" s="1406"/>
      <c r="AF229" s="1406"/>
      <c r="AG229" s="1406"/>
      <c r="AI229" s="544"/>
      <c r="AJ229" s="544"/>
      <c r="AK229" s="544"/>
      <c r="AL229" s="544"/>
      <c r="AM229" s="544"/>
      <c r="AN229" s="544"/>
      <c r="AP229" s="544"/>
      <c r="AQ229" s="544"/>
      <c r="AR229" s="544"/>
      <c r="AS229" s="544"/>
      <c r="AT229" s="544"/>
      <c r="AU229" s="544"/>
      <c r="AV229" s="544"/>
    </row>
    <row r="230" spans="1:48" x14ac:dyDescent="0.35">
      <c r="A230" s="1406"/>
      <c r="B230" s="1406"/>
      <c r="C230" s="1406"/>
      <c r="D230" s="1406"/>
      <c r="E230" s="1406"/>
      <c r="F230" s="1406"/>
      <c r="G230" s="1406"/>
      <c r="H230" s="1406"/>
      <c r="I230" s="1406"/>
      <c r="J230" s="1406"/>
      <c r="K230" s="1406"/>
      <c r="L230" s="1406"/>
      <c r="M230" s="1406"/>
      <c r="N230" s="1406"/>
      <c r="O230" s="1406"/>
      <c r="P230" s="1406"/>
      <c r="Q230" s="1406"/>
      <c r="R230" s="1406"/>
      <c r="S230" s="1406"/>
      <c r="T230" s="1406"/>
      <c r="U230" s="1406"/>
      <c r="V230" s="1406"/>
      <c r="W230" s="1406"/>
      <c r="X230" s="1406"/>
      <c r="Y230" s="1406"/>
      <c r="Z230" s="1406"/>
      <c r="AA230" s="1406"/>
      <c r="AB230" s="1406"/>
      <c r="AC230" s="1406"/>
      <c r="AD230" s="1406"/>
      <c r="AE230" s="1406"/>
      <c r="AF230" s="1406"/>
      <c r="AG230" s="1406"/>
      <c r="AI230" s="544"/>
      <c r="AJ230" s="544"/>
      <c r="AK230" s="544"/>
      <c r="AL230" s="544"/>
      <c r="AM230" s="544"/>
      <c r="AN230" s="544"/>
      <c r="AP230" s="544"/>
      <c r="AQ230" s="544"/>
      <c r="AR230" s="544"/>
      <c r="AS230" s="544"/>
      <c r="AT230" s="544"/>
      <c r="AU230" s="544"/>
      <c r="AV230" s="544"/>
    </row>
    <row r="231" spans="1:48" x14ac:dyDescent="0.35">
      <c r="A231" s="544"/>
      <c r="B231" s="544"/>
      <c r="C231" s="544"/>
      <c r="D231" s="544"/>
      <c r="E231" s="544"/>
      <c r="F231" s="544"/>
      <c r="G231" s="544"/>
      <c r="H231" s="544"/>
      <c r="I231" s="544"/>
      <c r="J231" s="544"/>
      <c r="L231" s="544"/>
      <c r="M231" s="544"/>
      <c r="N231" s="544"/>
      <c r="O231" s="544"/>
      <c r="P231" s="544"/>
      <c r="Q231" s="544"/>
      <c r="R231" s="544"/>
      <c r="T231" s="544"/>
      <c r="U231" s="544"/>
      <c r="V231" s="544"/>
      <c r="W231" s="544"/>
      <c r="X231" s="544"/>
      <c r="Y231" s="544"/>
      <c r="AA231" s="544"/>
      <c r="AB231" s="544"/>
      <c r="AC231" s="544"/>
      <c r="AD231" s="544"/>
      <c r="AE231" s="544"/>
      <c r="AF231" s="544"/>
      <c r="AG231" s="544"/>
      <c r="AI231" s="544"/>
      <c r="AJ231" s="544"/>
      <c r="AK231" s="544"/>
      <c r="AL231" s="544"/>
      <c r="AM231" s="544"/>
      <c r="AN231" s="544"/>
      <c r="AP231" s="544"/>
      <c r="AQ231" s="544"/>
      <c r="AR231" s="544"/>
      <c r="AS231" s="544"/>
      <c r="AT231" s="544"/>
      <c r="AU231" s="544"/>
      <c r="AV231" s="544"/>
    </row>
    <row r="232" spans="1:48" x14ac:dyDescent="0.35">
      <c r="A232" s="544"/>
      <c r="B232" s="544"/>
      <c r="C232" s="544"/>
      <c r="D232" s="544"/>
      <c r="E232" s="544"/>
      <c r="F232" s="544"/>
      <c r="G232" s="544"/>
      <c r="H232" s="544"/>
      <c r="I232" s="544"/>
      <c r="J232" s="544"/>
      <c r="L232" s="544"/>
      <c r="M232" s="544"/>
      <c r="N232" s="544"/>
      <c r="O232" s="544"/>
      <c r="P232" s="544"/>
      <c r="Q232" s="544"/>
      <c r="R232" s="544"/>
      <c r="T232" s="544"/>
      <c r="U232" s="544"/>
      <c r="V232" s="544"/>
      <c r="W232" s="544"/>
      <c r="X232" s="544"/>
      <c r="Y232" s="544"/>
      <c r="AA232" s="544"/>
      <c r="AB232" s="544"/>
      <c r="AC232" s="544"/>
      <c r="AD232" s="544"/>
      <c r="AE232" s="544"/>
      <c r="AF232" s="544"/>
      <c r="AG232" s="544"/>
      <c r="AI232" s="544"/>
      <c r="AJ232" s="544"/>
      <c r="AK232" s="544"/>
      <c r="AL232" s="544"/>
      <c r="AM232" s="544"/>
      <c r="AN232" s="544"/>
      <c r="AP232" s="544"/>
      <c r="AQ232" s="544"/>
      <c r="AR232" s="544"/>
      <c r="AS232" s="544"/>
      <c r="AT232" s="544"/>
      <c r="AU232" s="544"/>
      <c r="AV232" s="544"/>
    </row>
    <row r="233" spans="1:48" x14ac:dyDescent="0.35">
      <c r="A233" s="544"/>
      <c r="B233" s="544"/>
      <c r="C233" s="544"/>
      <c r="D233" s="544"/>
      <c r="E233" s="544"/>
      <c r="F233" s="544"/>
      <c r="G233" s="544"/>
      <c r="H233" s="544"/>
      <c r="I233" s="544"/>
      <c r="J233" s="544"/>
      <c r="L233" s="544"/>
      <c r="M233" s="544"/>
      <c r="N233" s="544"/>
      <c r="O233" s="544"/>
      <c r="P233" s="544"/>
      <c r="Q233" s="544"/>
      <c r="R233" s="544"/>
      <c r="T233" s="544"/>
      <c r="U233" s="544"/>
      <c r="V233" s="544"/>
      <c r="W233" s="544"/>
      <c r="X233" s="544"/>
      <c r="Y233" s="544"/>
      <c r="AA233" s="544"/>
      <c r="AB233" s="544"/>
      <c r="AC233" s="544"/>
      <c r="AD233" s="544"/>
      <c r="AE233" s="544"/>
      <c r="AF233" s="544"/>
      <c r="AG233" s="544"/>
      <c r="AI233" s="544"/>
      <c r="AJ233" s="544"/>
      <c r="AK233" s="544"/>
      <c r="AL233" s="544"/>
      <c r="AM233" s="544"/>
      <c r="AN233" s="544"/>
      <c r="AP233" s="544"/>
      <c r="AQ233" s="544"/>
      <c r="AR233" s="544"/>
      <c r="AS233" s="544"/>
      <c r="AT233" s="544"/>
      <c r="AU233" s="544"/>
      <c r="AV233" s="544"/>
    </row>
    <row r="234" spans="1:48" x14ac:dyDescent="0.35">
      <c r="A234" s="544"/>
      <c r="B234" s="544"/>
      <c r="C234" s="544"/>
      <c r="D234" s="544"/>
      <c r="E234" s="544"/>
      <c r="F234" s="544"/>
      <c r="G234" s="544"/>
      <c r="H234" s="544"/>
      <c r="I234" s="544"/>
      <c r="J234" s="544"/>
      <c r="L234" s="544"/>
      <c r="M234" s="544"/>
      <c r="N234" s="544"/>
      <c r="O234" s="544"/>
      <c r="P234" s="544"/>
      <c r="Q234" s="544"/>
      <c r="R234" s="544"/>
      <c r="T234" s="544"/>
      <c r="U234" s="544"/>
      <c r="V234" s="544"/>
      <c r="W234" s="544"/>
      <c r="X234" s="544"/>
      <c r="Y234" s="544"/>
      <c r="AA234" s="544"/>
      <c r="AB234" s="544"/>
      <c r="AC234" s="544"/>
      <c r="AD234" s="544"/>
      <c r="AE234" s="544"/>
      <c r="AF234" s="544"/>
      <c r="AG234" s="544"/>
      <c r="AI234" s="544"/>
      <c r="AJ234" s="544"/>
      <c r="AK234" s="544"/>
      <c r="AL234" s="544"/>
      <c r="AM234" s="544"/>
      <c r="AN234" s="544"/>
      <c r="AP234" s="544"/>
      <c r="AQ234" s="544"/>
      <c r="AR234" s="544"/>
      <c r="AS234" s="544"/>
      <c r="AT234" s="544"/>
      <c r="AU234" s="544"/>
      <c r="AV234" s="544"/>
    </row>
    <row r="235" spans="1:48" x14ac:dyDescent="0.35">
      <c r="A235" s="544"/>
      <c r="B235" s="544"/>
      <c r="C235" s="544"/>
      <c r="D235" s="544"/>
      <c r="E235" s="544"/>
      <c r="F235" s="544"/>
      <c r="G235" s="544"/>
      <c r="H235" s="544"/>
      <c r="I235" s="544"/>
      <c r="J235" s="544"/>
      <c r="L235" s="544"/>
      <c r="M235" s="544"/>
      <c r="N235" s="544"/>
      <c r="O235" s="544"/>
      <c r="P235" s="544"/>
      <c r="Q235" s="544"/>
      <c r="R235" s="544"/>
      <c r="T235" s="544"/>
      <c r="U235" s="544"/>
      <c r="V235" s="544"/>
      <c r="W235" s="544"/>
      <c r="X235" s="544"/>
      <c r="Y235" s="544"/>
      <c r="AA235" s="544"/>
      <c r="AB235" s="544"/>
      <c r="AC235" s="544"/>
      <c r="AD235" s="544"/>
      <c r="AE235" s="544"/>
      <c r="AF235" s="544"/>
      <c r="AG235" s="544"/>
      <c r="AI235" s="544"/>
      <c r="AJ235" s="544"/>
      <c r="AK235" s="544"/>
      <c r="AL235" s="544"/>
      <c r="AM235" s="544"/>
      <c r="AN235" s="544"/>
      <c r="AP235" s="544"/>
      <c r="AQ235" s="544"/>
      <c r="AR235" s="544"/>
      <c r="AS235" s="544"/>
      <c r="AT235" s="544"/>
      <c r="AU235" s="544"/>
      <c r="AV235" s="544"/>
    </row>
    <row r="236" spans="1:48" x14ac:dyDescent="0.35">
      <c r="A236" s="544"/>
      <c r="B236" s="544"/>
      <c r="C236" s="544"/>
      <c r="D236" s="544"/>
      <c r="E236" s="544"/>
      <c r="F236" s="544"/>
      <c r="G236" s="544"/>
      <c r="H236" s="544"/>
      <c r="I236" s="544"/>
      <c r="J236" s="544"/>
      <c r="L236" s="544"/>
      <c r="M236" s="544"/>
      <c r="N236" s="544"/>
      <c r="O236" s="544"/>
      <c r="P236" s="544"/>
      <c r="Q236" s="544"/>
      <c r="R236" s="544"/>
      <c r="T236" s="544"/>
      <c r="U236" s="544"/>
      <c r="V236" s="544"/>
      <c r="W236" s="544"/>
      <c r="X236" s="544"/>
      <c r="Y236" s="544"/>
      <c r="AA236" s="544"/>
      <c r="AB236" s="544"/>
      <c r="AC236" s="544"/>
      <c r="AD236" s="544"/>
      <c r="AE236" s="544"/>
      <c r="AF236" s="544"/>
      <c r="AG236" s="544"/>
      <c r="AI236" s="544"/>
      <c r="AJ236" s="544"/>
      <c r="AK236" s="544"/>
      <c r="AL236" s="544"/>
      <c r="AM236" s="544"/>
      <c r="AN236" s="544"/>
      <c r="AP236" s="544"/>
      <c r="AQ236" s="544"/>
      <c r="AR236" s="544"/>
      <c r="AS236" s="544"/>
      <c r="AT236" s="544"/>
      <c r="AU236" s="544"/>
      <c r="AV236" s="544"/>
    </row>
    <row r="237" spans="1:48" x14ac:dyDescent="0.35">
      <c r="A237" s="544"/>
      <c r="B237" s="544"/>
      <c r="C237" s="544"/>
      <c r="D237" s="544"/>
      <c r="E237" s="544"/>
      <c r="F237" s="544"/>
      <c r="G237" s="544"/>
      <c r="H237" s="544"/>
      <c r="I237" s="544"/>
      <c r="J237" s="544"/>
      <c r="L237" s="544"/>
      <c r="M237" s="544"/>
      <c r="N237" s="544"/>
      <c r="O237" s="544"/>
      <c r="P237" s="544"/>
      <c r="Q237" s="544"/>
      <c r="R237" s="544"/>
      <c r="T237" s="544"/>
      <c r="U237" s="544"/>
      <c r="V237" s="544"/>
      <c r="W237" s="544"/>
      <c r="X237" s="544"/>
      <c r="Y237" s="544"/>
      <c r="AA237" s="544"/>
      <c r="AB237" s="544"/>
      <c r="AC237" s="544"/>
      <c r="AD237" s="544"/>
      <c r="AE237" s="544"/>
      <c r="AF237" s="544"/>
      <c r="AG237" s="544"/>
      <c r="AI237" s="544"/>
      <c r="AJ237" s="544"/>
      <c r="AK237" s="544"/>
      <c r="AL237" s="544"/>
      <c r="AM237" s="544"/>
      <c r="AN237" s="544"/>
      <c r="AP237" s="544"/>
      <c r="AQ237" s="544"/>
      <c r="AR237" s="544"/>
      <c r="AS237" s="544"/>
      <c r="AT237" s="544"/>
      <c r="AU237" s="544"/>
      <c r="AV237" s="544"/>
    </row>
    <row r="238" spans="1:48" x14ac:dyDescent="0.35">
      <c r="A238" s="544"/>
      <c r="B238" s="544"/>
      <c r="C238" s="544"/>
      <c r="D238" s="544"/>
      <c r="E238" s="544"/>
      <c r="F238" s="544"/>
      <c r="G238" s="544"/>
      <c r="H238" s="544"/>
      <c r="I238" s="544"/>
      <c r="J238" s="544"/>
      <c r="L238" s="544"/>
      <c r="M238" s="544"/>
      <c r="N238" s="544"/>
      <c r="O238" s="544"/>
      <c r="P238" s="544"/>
      <c r="Q238" s="544"/>
      <c r="R238" s="544"/>
      <c r="T238" s="544"/>
      <c r="U238" s="544"/>
      <c r="V238" s="544"/>
      <c r="W238" s="544"/>
      <c r="X238" s="544"/>
      <c r="Y238" s="544"/>
      <c r="AA238" s="544"/>
      <c r="AB238" s="544"/>
      <c r="AC238" s="544"/>
      <c r="AD238" s="544"/>
      <c r="AE238" s="544"/>
      <c r="AF238" s="544"/>
      <c r="AG238" s="544"/>
      <c r="AI238" s="544"/>
      <c r="AJ238" s="544"/>
      <c r="AK238" s="544"/>
      <c r="AL238" s="544"/>
      <c r="AM238" s="544"/>
      <c r="AN238" s="544"/>
      <c r="AP238" s="544"/>
      <c r="AQ238" s="544"/>
      <c r="AR238" s="544"/>
      <c r="AS238" s="544"/>
      <c r="AT238" s="544"/>
      <c r="AU238" s="544"/>
      <c r="AV238" s="544"/>
    </row>
    <row r="239" spans="1:48" x14ac:dyDescent="0.35">
      <c r="A239" s="544"/>
      <c r="B239" s="544"/>
      <c r="C239" s="544"/>
      <c r="D239" s="544"/>
      <c r="E239" s="544"/>
      <c r="F239" s="544"/>
      <c r="G239" s="544"/>
      <c r="H239" s="544"/>
      <c r="I239" s="544"/>
      <c r="J239" s="544"/>
      <c r="L239" s="544"/>
      <c r="M239" s="544"/>
      <c r="N239" s="544"/>
      <c r="O239" s="544"/>
      <c r="P239" s="544"/>
      <c r="Q239" s="544"/>
      <c r="R239" s="544"/>
      <c r="T239" s="544"/>
      <c r="U239" s="544"/>
      <c r="V239" s="544"/>
      <c r="W239" s="544"/>
      <c r="X239" s="544"/>
      <c r="Y239" s="544"/>
      <c r="AA239" s="544"/>
      <c r="AB239" s="544"/>
      <c r="AC239" s="544"/>
      <c r="AD239" s="544"/>
      <c r="AE239" s="544"/>
      <c r="AF239" s="544"/>
      <c r="AG239" s="544"/>
      <c r="AI239" s="544"/>
      <c r="AJ239" s="544"/>
      <c r="AK239" s="544"/>
      <c r="AL239" s="544"/>
      <c r="AM239" s="544"/>
      <c r="AN239" s="544"/>
      <c r="AP239" s="544"/>
      <c r="AQ239" s="544"/>
      <c r="AR239" s="544"/>
      <c r="AS239" s="544"/>
      <c r="AT239" s="544"/>
      <c r="AU239" s="544"/>
      <c r="AV239" s="544"/>
    </row>
    <row r="240" spans="1:48" x14ac:dyDescent="0.35">
      <c r="A240" s="544"/>
      <c r="B240" s="544"/>
      <c r="C240" s="544"/>
      <c r="D240" s="544"/>
      <c r="E240" s="544"/>
      <c r="F240" s="544"/>
      <c r="G240" s="544"/>
      <c r="H240" s="544"/>
      <c r="I240" s="544"/>
      <c r="J240" s="544"/>
      <c r="L240" s="544"/>
      <c r="M240" s="544"/>
      <c r="N240" s="544"/>
      <c r="O240" s="544"/>
      <c r="P240" s="544"/>
      <c r="Q240" s="544"/>
      <c r="R240" s="544"/>
      <c r="T240" s="544"/>
      <c r="U240" s="544"/>
      <c r="V240" s="544"/>
      <c r="W240" s="544"/>
      <c r="X240" s="544"/>
      <c r="Y240" s="544"/>
      <c r="AA240" s="544"/>
      <c r="AB240" s="544"/>
      <c r="AC240" s="544"/>
      <c r="AD240" s="544"/>
      <c r="AE240" s="544"/>
      <c r="AF240" s="544"/>
      <c r="AG240" s="544"/>
      <c r="AI240" s="544"/>
      <c r="AJ240" s="544"/>
      <c r="AK240" s="544"/>
      <c r="AL240" s="544"/>
      <c r="AM240" s="544"/>
      <c r="AN240" s="544"/>
      <c r="AP240" s="544"/>
      <c r="AQ240" s="544"/>
      <c r="AR240" s="544"/>
      <c r="AS240" s="544"/>
      <c r="AT240" s="544"/>
      <c r="AU240" s="544"/>
      <c r="AV240" s="544"/>
    </row>
    <row r="241" spans="1:48" x14ac:dyDescent="0.35">
      <c r="A241" s="544"/>
      <c r="B241" s="544"/>
      <c r="C241" s="544"/>
      <c r="D241" s="544"/>
      <c r="E241" s="544"/>
      <c r="F241" s="544"/>
      <c r="G241" s="544"/>
      <c r="H241" s="544"/>
      <c r="I241" s="544"/>
      <c r="J241" s="544"/>
      <c r="L241" s="544"/>
      <c r="M241" s="544"/>
      <c r="N241" s="544"/>
      <c r="O241" s="544"/>
      <c r="P241" s="544"/>
      <c r="Q241" s="544"/>
      <c r="R241" s="544"/>
      <c r="T241" s="544"/>
      <c r="U241" s="544"/>
      <c r="V241" s="544"/>
      <c r="W241" s="544"/>
      <c r="X241" s="544"/>
      <c r="Y241" s="544"/>
      <c r="AA241" s="544"/>
      <c r="AB241" s="544"/>
      <c r="AC241" s="544"/>
      <c r="AD241" s="544"/>
      <c r="AE241" s="544"/>
      <c r="AF241" s="544"/>
      <c r="AG241" s="544"/>
      <c r="AI241" s="544"/>
      <c r="AJ241" s="544"/>
      <c r="AK241" s="544"/>
      <c r="AL241" s="544"/>
      <c r="AM241" s="544"/>
      <c r="AN241" s="544"/>
      <c r="AP241" s="544"/>
      <c r="AQ241" s="544"/>
      <c r="AR241" s="544"/>
      <c r="AS241" s="544"/>
      <c r="AT241" s="544"/>
      <c r="AU241" s="544"/>
      <c r="AV241" s="544"/>
    </row>
    <row r="242" spans="1:48" x14ac:dyDescent="0.35">
      <c r="A242" s="544"/>
      <c r="B242" s="544"/>
      <c r="C242" s="544"/>
      <c r="D242" s="544"/>
      <c r="E242" s="544"/>
      <c r="F242" s="544"/>
      <c r="G242" s="544"/>
      <c r="H242" s="544"/>
      <c r="I242" s="544"/>
      <c r="J242" s="544"/>
      <c r="L242" s="544"/>
      <c r="M242" s="544"/>
      <c r="N242" s="544"/>
      <c r="O242" s="544"/>
      <c r="P242" s="544"/>
      <c r="Q242" s="544"/>
      <c r="R242" s="544"/>
      <c r="T242" s="544"/>
      <c r="U242" s="544"/>
      <c r="V242" s="544"/>
      <c r="W242" s="544"/>
      <c r="X242" s="544"/>
      <c r="Y242" s="544"/>
      <c r="AA242" s="544"/>
      <c r="AB242" s="544"/>
      <c r="AC242" s="544"/>
      <c r="AD242" s="544"/>
      <c r="AE242" s="544"/>
      <c r="AF242" s="544"/>
      <c r="AG242" s="544"/>
      <c r="AI242" s="544"/>
      <c r="AJ242" s="544"/>
      <c r="AK242" s="544"/>
      <c r="AL242" s="544"/>
      <c r="AM242" s="544"/>
      <c r="AN242" s="544"/>
      <c r="AP242" s="544"/>
      <c r="AQ242" s="544"/>
      <c r="AR242" s="544"/>
      <c r="AS242" s="544"/>
      <c r="AT242" s="544"/>
      <c r="AU242" s="544"/>
      <c r="AV242" s="544"/>
    </row>
    <row r="243" spans="1:48" x14ac:dyDescent="0.35">
      <c r="A243" s="544"/>
      <c r="B243" s="544"/>
      <c r="C243" s="544"/>
      <c r="D243" s="544"/>
      <c r="E243" s="544"/>
      <c r="F243" s="544"/>
      <c r="G243" s="544"/>
      <c r="H243" s="544"/>
      <c r="I243" s="544"/>
      <c r="J243" s="544"/>
      <c r="L243" s="544"/>
      <c r="M243" s="544"/>
      <c r="N243" s="544"/>
      <c r="O243" s="544"/>
      <c r="P243" s="544"/>
      <c r="Q243" s="544"/>
      <c r="R243" s="544"/>
      <c r="T243" s="544"/>
      <c r="U243" s="544"/>
      <c r="V243" s="544"/>
      <c r="W243" s="544"/>
      <c r="X243" s="544"/>
      <c r="Y243" s="544"/>
      <c r="AA243" s="544"/>
      <c r="AB243" s="544"/>
      <c r="AC243" s="544"/>
      <c r="AD243" s="544"/>
      <c r="AE243" s="544"/>
      <c r="AF243" s="544"/>
      <c r="AG243" s="544"/>
      <c r="AI243" s="544"/>
      <c r="AJ243" s="544"/>
      <c r="AK243" s="544"/>
      <c r="AL243" s="544"/>
      <c r="AM243" s="544"/>
      <c r="AN243" s="544"/>
      <c r="AP243" s="544"/>
      <c r="AQ243" s="544"/>
      <c r="AR243" s="544"/>
      <c r="AS243" s="544"/>
      <c r="AT243" s="544"/>
      <c r="AU243" s="544"/>
      <c r="AV243" s="544"/>
    </row>
    <row r="244" spans="1:48" x14ac:dyDescent="0.35">
      <c r="A244" s="544"/>
      <c r="B244" s="544"/>
      <c r="C244" s="544"/>
      <c r="D244" s="544"/>
      <c r="E244" s="544"/>
      <c r="F244" s="544"/>
      <c r="G244" s="544"/>
      <c r="H244" s="544"/>
      <c r="I244" s="544"/>
      <c r="J244" s="544"/>
      <c r="L244" s="544"/>
      <c r="M244" s="544"/>
      <c r="N244" s="544"/>
      <c r="O244" s="544"/>
      <c r="P244" s="544"/>
      <c r="Q244" s="544"/>
      <c r="R244" s="544"/>
      <c r="T244" s="544"/>
      <c r="U244" s="544"/>
      <c r="V244" s="544"/>
      <c r="W244" s="544"/>
      <c r="X244" s="544"/>
      <c r="Y244" s="544"/>
      <c r="AA244" s="544"/>
      <c r="AB244" s="544"/>
      <c r="AC244" s="544"/>
      <c r="AD244" s="544"/>
      <c r="AE244" s="544"/>
      <c r="AF244" s="544"/>
      <c r="AG244" s="544"/>
      <c r="AI244" s="544"/>
      <c r="AJ244" s="544"/>
      <c r="AK244" s="544"/>
      <c r="AL244" s="544"/>
      <c r="AM244" s="544"/>
      <c r="AN244" s="544"/>
      <c r="AP244" s="544"/>
      <c r="AQ244" s="544"/>
      <c r="AR244" s="544"/>
      <c r="AS244" s="544"/>
      <c r="AT244" s="544"/>
      <c r="AU244" s="544"/>
      <c r="AV244" s="544"/>
    </row>
    <row r="245" spans="1:48" x14ac:dyDescent="0.35">
      <c r="A245" s="544"/>
      <c r="B245" s="544"/>
      <c r="C245" s="544"/>
      <c r="D245" s="544"/>
      <c r="E245" s="544"/>
      <c r="F245" s="544"/>
      <c r="G245" s="544"/>
      <c r="H245" s="544"/>
      <c r="I245" s="544"/>
      <c r="J245" s="544"/>
      <c r="L245" s="544"/>
      <c r="M245" s="544"/>
      <c r="N245" s="544"/>
      <c r="O245" s="544"/>
      <c r="P245" s="544"/>
      <c r="Q245" s="544"/>
      <c r="R245" s="544"/>
      <c r="T245" s="544"/>
      <c r="U245" s="544"/>
      <c r="V245" s="544"/>
      <c r="W245" s="544"/>
      <c r="X245" s="544"/>
      <c r="Y245" s="544"/>
      <c r="AA245" s="544"/>
      <c r="AB245" s="544"/>
      <c r="AC245" s="544"/>
      <c r="AD245" s="544"/>
      <c r="AE245" s="544"/>
      <c r="AF245" s="544"/>
      <c r="AG245" s="544"/>
      <c r="AI245" s="544"/>
      <c r="AJ245" s="544"/>
      <c r="AK245" s="544"/>
      <c r="AL245" s="544"/>
      <c r="AM245" s="544"/>
      <c r="AN245" s="544"/>
      <c r="AP245" s="544"/>
      <c r="AQ245" s="544"/>
      <c r="AR245" s="544"/>
      <c r="AS245" s="544"/>
      <c r="AT245" s="544"/>
      <c r="AU245" s="544"/>
      <c r="AV245" s="544"/>
    </row>
    <row r="246" spans="1:48" x14ac:dyDescent="0.35">
      <c r="A246" s="544"/>
      <c r="B246" s="544"/>
      <c r="C246" s="544"/>
      <c r="D246" s="544"/>
      <c r="E246" s="544"/>
      <c r="F246" s="544"/>
      <c r="G246" s="544"/>
      <c r="H246" s="544"/>
      <c r="I246" s="544"/>
      <c r="J246" s="544"/>
      <c r="L246" s="544"/>
      <c r="M246" s="544"/>
      <c r="N246" s="544"/>
      <c r="O246" s="544"/>
      <c r="P246" s="544"/>
      <c r="Q246" s="544"/>
      <c r="R246" s="544"/>
      <c r="T246" s="544"/>
      <c r="U246" s="544"/>
      <c r="V246" s="544"/>
      <c r="W246" s="544"/>
      <c r="X246" s="544"/>
      <c r="Y246" s="544"/>
      <c r="AA246" s="544"/>
      <c r="AB246" s="544"/>
      <c r="AC246" s="544"/>
      <c r="AD246" s="544"/>
      <c r="AE246" s="544"/>
      <c r="AF246" s="544"/>
      <c r="AG246" s="544"/>
      <c r="AI246" s="544"/>
      <c r="AJ246" s="544"/>
      <c r="AK246" s="544"/>
      <c r="AL246" s="544"/>
      <c r="AM246" s="544"/>
      <c r="AN246" s="544"/>
      <c r="AP246" s="544"/>
      <c r="AQ246" s="544"/>
      <c r="AR246" s="544"/>
      <c r="AS246" s="544"/>
      <c r="AT246" s="544"/>
      <c r="AU246" s="544"/>
      <c r="AV246" s="544"/>
    </row>
    <row r="247" spans="1:48" x14ac:dyDescent="0.35">
      <c r="A247" s="544"/>
      <c r="B247" s="544"/>
      <c r="C247" s="544"/>
      <c r="D247" s="544"/>
      <c r="E247" s="544"/>
      <c r="F247" s="544"/>
      <c r="G247" s="544"/>
      <c r="H247" s="544"/>
      <c r="I247" s="544"/>
      <c r="J247" s="544"/>
      <c r="L247" s="544"/>
      <c r="M247" s="544"/>
      <c r="N247" s="544"/>
      <c r="O247" s="544"/>
      <c r="P247" s="544"/>
      <c r="Q247" s="544"/>
      <c r="R247" s="544"/>
      <c r="T247" s="544"/>
      <c r="U247" s="544"/>
      <c r="V247" s="544"/>
      <c r="W247" s="544"/>
      <c r="X247" s="544"/>
      <c r="Y247" s="544"/>
      <c r="AA247" s="544"/>
      <c r="AB247" s="544"/>
      <c r="AC247" s="544"/>
      <c r="AD247" s="544"/>
      <c r="AE247" s="544"/>
      <c r="AF247" s="544"/>
      <c r="AG247" s="544"/>
      <c r="AI247" s="544"/>
      <c r="AJ247" s="544"/>
      <c r="AK247" s="544"/>
      <c r="AL247" s="544"/>
      <c r="AM247" s="544"/>
      <c r="AN247" s="544"/>
      <c r="AP247" s="544"/>
      <c r="AQ247" s="544"/>
      <c r="AR247" s="544"/>
      <c r="AS247" s="544"/>
      <c r="AT247" s="544"/>
      <c r="AU247" s="544"/>
      <c r="AV247" s="544"/>
    </row>
    <row r="248" spans="1:48" x14ac:dyDescent="0.35">
      <c r="A248" s="544"/>
      <c r="B248" s="544"/>
      <c r="C248" s="544"/>
      <c r="D248" s="544"/>
      <c r="E248" s="544"/>
      <c r="F248" s="544"/>
      <c r="G248" s="544"/>
      <c r="H248" s="544"/>
      <c r="I248" s="544"/>
      <c r="J248" s="544"/>
      <c r="L248" s="544"/>
      <c r="M248" s="544"/>
      <c r="N248" s="544"/>
      <c r="O248" s="544"/>
      <c r="P248" s="544"/>
      <c r="Q248" s="544"/>
      <c r="R248" s="544"/>
      <c r="T248" s="544"/>
      <c r="U248" s="544"/>
      <c r="V248" s="544"/>
      <c r="W248" s="544"/>
      <c r="X248" s="544"/>
      <c r="Y248" s="544"/>
      <c r="AA248" s="544"/>
      <c r="AB248" s="544"/>
      <c r="AC248" s="544"/>
      <c r="AD248" s="544"/>
      <c r="AE248" s="544"/>
      <c r="AF248" s="544"/>
      <c r="AG248" s="544"/>
      <c r="AI248" s="544"/>
      <c r="AJ248" s="544"/>
      <c r="AK248" s="544"/>
      <c r="AL248" s="544"/>
      <c r="AM248" s="544"/>
      <c r="AN248" s="544"/>
      <c r="AP248" s="544"/>
      <c r="AQ248" s="544"/>
      <c r="AR248" s="544"/>
      <c r="AS248" s="544"/>
      <c r="AT248" s="544"/>
      <c r="AU248" s="544"/>
      <c r="AV248" s="544"/>
    </row>
    <row r="249" spans="1:48" x14ac:dyDescent="0.35">
      <c r="A249" s="544"/>
      <c r="B249" s="544"/>
      <c r="C249" s="544"/>
      <c r="D249" s="544"/>
      <c r="E249" s="544"/>
      <c r="F249" s="544"/>
      <c r="G249" s="544"/>
      <c r="H249" s="544"/>
      <c r="I249" s="544"/>
      <c r="J249" s="544"/>
      <c r="L249" s="544"/>
      <c r="M249" s="544"/>
      <c r="N249" s="544"/>
      <c r="O249" s="544"/>
      <c r="P249" s="544"/>
      <c r="Q249" s="544"/>
      <c r="R249" s="544"/>
      <c r="T249" s="544"/>
      <c r="U249" s="544"/>
      <c r="V249" s="544"/>
      <c r="W249" s="544"/>
      <c r="X249" s="544"/>
      <c r="Y249" s="544"/>
      <c r="AA249" s="544"/>
      <c r="AB249" s="544"/>
      <c r="AC249" s="544"/>
      <c r="AD249" s="544"/>
      <c r="AE249" s="544"/>
      <c r="AF249" s="544"/>
      <c r="AG249" s="544"/>
      <c r="AI249" s="544"/>
      <c r="AJ249" s="544"/>
      <c r="AK249" s="544"/>
      <c r="AL249" s="544"/>
      <c r="AM249" s="544"/>
      <c r="AN249" s="544"/>
      <c r="AP249" s="544"/>
      <c r="AQ249" s="544"/>
      <c r="AR249" s="544"/>
      <c r="AS249" s="544"/>
      <c r="AT249" s="544"/>
      <c r="AU249" s="544"/>
      <c r="AV249" s="544"/>
    </row>
    <row r="250" spans="1:48" x14ac:dyDescent="0.35">
      <c r="A250" s="544"/>
      <c r="B250" s="544"/>
      <c r="C250" s="544"/>
      <c r="D250" s="544"/>
      <c r="E250" s="544"/>
      <c r="F250" s="544"/>
      <c r="G250" s="544"/>
      <c r="H250" s="544"/>
      <c r="I250" s="544"/>
      <c r="J250" s="544"/>
      <c r="L250" s="544"/>
      <c r="M250" s="544"/>
      <c r="N250" s="544"/>
      <c r="O250" s="544"/>
      <c r="P250" s="544"/>
      <c r="Q250" s="544"/>
      <c r="R250" s="544"/>
      <c r="T250" s="544"/>
      <c r="U250" s="544"/>
      <c r="V250" s="544"/>
      <c r="W250" s="544"/>
      <c r="X250" s="544"/>
      <c r="Y250" s="544"/>
      <c r="AA250" s="544"/>
      <c r="AB250" s="544"/>
      <c r="AC250" s="544"/>
      <c r="AD250" s="544"/>
      <c r="AE250" s="544"/>
      <c r="AF250" s="544"/>
      <c r="AG250" s="544"/>
      <c r="AI250" s="544"/>
      <c r="AJ250" s="544"/>
      <c r="AK250" s="544"/>
      <c r="AL250" s="544"/>
      <c r="AM250" s="544"/>
      <c r="AN250" s="544"/>
      <c r="AP250" s="544"/>
      <c r="AQ250" s="544"/>
      <c r="AR250" s="544"/>
      <c r="AS250" s="544"/>
      <c r="AT250" s="544"/>
      <c r="AU250" s="544"/>
      <c r="AV250" s="544"/>
    </row>
    <row r="251" spans="1:48" x14ac:dyDescent="0.35">
      <c r="A251" s="544"/>
      <c r="B251" s="544"/>
      <c r="C251" s="544"/>
      <c r="D251" s="544"/>
      <c r="E251" s="544"/>
      <c r="F251" s="544"/>
      <c r="G251" s="544"/>
      <c r="H251" s="544"/>
      <c r="I251" s="544"/>
      <c r="J251" s="544"/>
      <c r="L251" s="544"/>
      <c r="M251" s="544"/>
      <c r="N251" s="544"/>
      <c r="O251" s="544"/>
      <c r="P251" s="544"/>
      <c r="Q251" s="544"/>
      <c r="R251" s="544"/>
      <c r="T251" s="544"/>
      <c r="U251" s="544"/>
      <c r="V251" s="544"/>
      <c r="W251" s="544"/>
      <c r="X251" s="544"/>
      <c r="Y251" s="544"/>
      <c r="AA251" s="544"/>
      <c r="AB251" s="544"/>
      <c r="AC251" s="544"/>
      <c r="AD251" s="544"/>
      <c r="AE251" s="544"/>
      <c r="AF251" s="544"/>
      <c r="AG251" s="544"/>
      <c r="AI251" s="544"/>
      <c r="AJ251" s="544"/>
      <c r="AK251" s="544"/>
      <c r="AL251" s="544"/>
      <c r="AM251" s="544"/>
      <c r="AN251" s="544"/>
      <c r="AP251" s="544"/>
      <c r="AQ251" s="544"/>
      <c r="AR251" s="544"/>
      <c r="AS251" s="544"/>
      <c r="AT251" s="544"/>
      <c r="AU251" s="544"/>
      <c r="AV251" s="544"/>
    </row>
    <row r="252" spans="1:48" x14ac:dyDescent="0.35">
      <c r="A252" s="544"/>
      <c r="B252" s="544"/>
      <c r="C252" s="544"/>
      <c r="D252" s="544"/>
      <c r="E252" s="544"/>
      <c r="F252" s="544"/>
      <c r="G252" s="544"/>
      <c r="H252" s="544"/>
      <c r="I252" s="544"/>
      <c r="J252" s="544"/>
      <c r="L252" s="544"/>
      <c r="M252" s="544"/>
      <c r="N252" s="544"/>
      <c r="O252" s="544"/>
      <c r="P252" s="544"/>
      <c r="Q252" s="544"/>
      <c r="R252" s="544"/>
      <c r="T252" s="544"/>
      <c r="U252" s="544"/>
      <c r="V252" s="544"/>
      <c r="W252" s="544"/>
      <c r="X252" s="544"/>
      <c r="Y252" s="544"/>
      <c r="AA252" s="544"/>
      <c r="AB252" s="544"/>
      <c r="AC252" s="544"/>
      <c r="AD252" s="544"/>
      <c r="AE252" s="544"/>
      <c r="AF252" s="544"/>
      <c r="AG252" s="544"/>
      <c r="AI252" s="544"/>
      <c r="AJ252" s="544"/>
      <c r="AK252" s="544"/>
      <c r="AL252" s="544"/>
      <c r="AM252" s="544"/>
      <c r="AN252" s="544"/>
      <c r="AP252" s="544"/>
      <c r="AQ252" s="544"/>
      <c r="AR252" s="544"/>
      <c r="AS252" s="544"/>
      <c r="AT252" s="544"/>
      <c r="AU252" s="544"/>
      <c r="AV252" s="544"/>
    </row>
    <row r="253" spans="1:48" x14ac:dyDescent="0.35">
      <c r="A253" s="544"/>
      <c r="B253" s="544"/>
      <c r="C253" s="544"/>
      <c r="D253" s="544"/>
      <c r="E253" s="544"/>
      <c r="F253" s="544"/>
      <c r="G253" s="544"/>
      <c r="H253" s="544"/>
      <c r="I253" s="544"/>
      <c r="J253" s="544"/>
      <c r="L253" s="544"/>
      <c r="M253" s="544"/>
      <c r="N253" s="544"/>
      <c r="O253" s="544"/>
      <c r="P253" s="544"/>
      <c r="Q253" s="544"/>
      <c r="R253" s="544"/>
      <c r="T253" s="544"/>
      <c r="U253" s="544"/>
      <c r="V253" s="544"/>
      <c r="W253" s="544"/>
      <c r="X253" s="544"/>
      <c r="Y253" s="544"/>
      <c r="AA253" s="544"/>
      <c r="AB253" s="544"/>
      <c r="AC253" s="544"/>
      <c r="AD253" s="544"/>
      <c r="AE253" s="544"/>
      <c r="AF253" s="544"/>
      <c r="AG253" s="544"/>
      <c r="AI253" s="544"/>
      <c r="AJ253" s="544"/>
      <c r="AK253" s="544"/>
      <c r="AL253" s="544"/>
      <c r="AM253" s="544"/>
      <c r="AN253" s="544"/>
      <c r="AP253" s="544"/>
      <c r="AQ253" s="544"/>
      <c r="AR253" s="544"/>
      <c r="AS253" s="544"/>
      <c r="AT253" s="544"/>
      <c r="AU253" s="544"/>
      <c r="AV253" s="544"/>
    </row>
    <row r="254" spans="1:48" x14ac:dyDescent="0.35">
      <c r="A254" s="544"/>
      <c r="B254" s="544"/>
      <c r="C254" s="544"/>
      <c r="D254" s="544"/>
      <c r="E254" s="544"/>
      <c r="F254" s="544"/>
      <c r="G254" s="544"/>
      <c r="H254" s="544"/>
      <c r="I254" s="544"/>
      <c r="J254" s="544"/>
      <c r="L254" s="544"/>
      <c r="M254" s="544"/>
      <c r="N254" s="544"/>
      <c r="O254" s="544"/>
      <c r="P254" s="544"/>
      <c r="Q254" s="544"/>
      <c r="R254" s="544"/>
      <c r="T254" s="544"/>
      <c r="U254" s="544"/>
      <c r="V254" s="544"/>
      <c r="W254" s="544"/>
      <c r="X254" s="544"/>
      <c r="Y254" s="544"/>
      <c r="AA254" s="544"/>
      <c r="AB254" s="544"/>
      <c r="AC254" s="544"/>
      <c r="AD254" s="544"/>
      <c r="AE254" s="544"/>
      <c r="AF254" s="544"/>
      <c r="AG254" s="544"/>
      <c r="AI254" s="544"/>
      <c r="AJ254" s="544"/>
      <c r="AK254" s="544"/>
      <c r="AL254" s="544"/>
      <c r="AM254" s="544"/>
      <c r="AN254" s="544"/>
      <c r="AP254" s="544"/>
      <c r="AQ254" s="544"/>
      <c r="AR254" s="544"/>
      <c r="AS254" s="544"/>
      <c r="AT254" s="544"/>
      <c r="AU254" s="544"/>
      <c r="AV254" s="544"/>
    </row>
    <row r="255" spans="1:48" x14ac:dyDescent="0.35">
      <c r="A255" s="544"/>
      <c r="B255" s="544"/>
      <c r="C255" s="544"/>
      <c r="D255" s="544"/>
      <c r="E255" s="544"/>
      <c r="F255" s="544"/>
      <c r="G255" s="544"/>
      <c r="H255" s="544"/>
      <c r="I255" s="544"/>
      <c r="J255" s="544"/>
      <c r="L255" s="544"/>
      <c r="M255" s="544"/>
      <c r="N255" s="544"/>
      <c r="O255" s="544"/>
      <c r="P255" s="544"/>
      <c r="Q255" s="544"/>
      <c r="R255" s="544"/>
      <c r="T255" s="544"/>
      <c r="U255" s="544"/>
      <c r="V255" s="544"/>
      <c r="W255" s="544"/>
      <c r="X255" s="544"/>
      <c r="Y255" s="544"/>
      <c r="AA255" s="544"/>
      <c r="AB255" s="544"/>
      <c r="AC255" s="544"/>
      <c r="AD255" s="544"/>
      <c r="AE255" s="544"/>
      <c r="AF255" s="544"/>
      <c r="AG255" s="544"/>
      <c r="AI255" s="544"/>
      <c r="AJ255" s="544"/>
      <c r="AK255" s="544"/>
      <c r="AL255" s="544"/>
      <c r="AM255" s="544"/>
      <c r="AN255" s="544"/>
      <c r="AP255" s="544"/>
      <c r="AQ255" s="544"/>
      <c r="AR255" s="544"/>
      <c r="AS255" s="544"/>
      <c r="AT255" s="544"/>
      <c r="AU255" s="544"/>
      <c r="AV255" s="544"/>
    </row>
    <row r="256" spans="1:48" x14ac:dyDescent="0.35">
      <c r="B256" s="544"/>
      <c r="C256" s="544"/>
      <c r="D256" s="544"/>
      <c r="E256" s="544"/>
      <c r="F256" s="544"/>
      <c r="G256" s="544"/>
      <c r="H256" s="544"/>
      <c r="I256" s="544"/>
      <c r="J256" s="544"/>
      <c r="L256" s="544"/>
      <c r="M256" s="544"/>
      <c r="N256" s="544"/>
      <c r="O256" s="544"/>
      <c r="P256" s="544"/>
      <c r="Q256" s="544"/>
      <c r="R256" s="544"/>
      <c r="T256" s="544"/>
      <c r="U256" s="544"/>
      <c r="V256" s="544"/>
      <c r="W256" s="544"/>
      <c r="X256" s="544"/>
      <c r="Y256" s="544"/>
      <c r="AA256" s="544"/>
      <c r="AB256" s="544"/>
      <c r="AC256" s="544"/>
      <c r="AD256" s="544"/>
      <c r="AE256" s="544"/>
      <c r="AF256" s="544"/>
      <c r="AG256" s="544"/>
      <c r="AI256" s="544"/>
      <c r="AJ256" s="544"/>
      <c r="AK256" s="544"/>
      <c r="AL256" s="544"/>
      <c r="AM256" s="544"/>
      <c r="AN256" s="544"/>
      <c r="AP256" s="544"/>
      <c r="AQ256" s="544"/>
      <c r="AR256" s="544"/>
      <c r="AS256" s="544"/>
      <c r="AT256" s="544"/>
      <c r="AU256" s="544"/>
      <c r="AV256" s="544"/>
    </row>
    <row r="257" spans="2:48" x14ac:dyDescent="0.35">
      <c r="B257" s="544"/>
      <c r="C257" s="544"/>
      <c r="D257" s="544"/>
      <c r="E257" s="544"/>
      <c r="F257" s="544"/>
      <c r="G257" s="544"/>
      <c r="H257" s="544"/>
      <c r="I257" s="544"/>
      <c r="J257" s="544"/>
      <c r="L257" s="544"/>
      <c r="M257" s="544"/>
      <c r="N257" s="544"/>
      <c r="O257" s="544"/>
      <c r="P257" s="544"/>
      <c r="Q257" s="544"/>
      <c r="R257" s="544"/>
      <c r="T257" s="544"/>
      <c r="U257" s="544"/>
      <c r="V257" s="544"/>
      <c r="W257" s="544"/>
      <c r="X257" s="544"/>
      <c r="Y257" s="544"/>
      <c r="AA257" s="544"/>
      <c r="AB257" s="544"/>
      <c r="AC257" s="544"/>
      <c r="AD257" s="544"/>
      <c r="AE257" s="544"/>
      <c r="AF257" s="544"/>
      <c r="AG257" s="544"/>
      <c r="AI257" s="544"/>
      <c r="AJ257" s="544"/>
      <c r="AK257" s="544"/>
      <c r="AL257" s="544"/>
      <c r="AM257" s="544"/>
      <c r="AN257" s="544"/>
      <c r="AP257" s="544"/>
      <c r="AQ257" s="544"/>
      <c r="AR257" s="544"/>
      <c r="AS257" s="544"/>
      <c r="AT257" s="544"/>
      <c r="AU257" s="544"/>
      <c r="AV257" s="544"/>
    </row>
    <row r="258" spans="2:48" x14ac:dyDescent="0.35">
      <c r="B258" s="544"/>
      <c r="C258" s="544"/>
      <c r="D258" s="544"/>
      <c r="E258" s="544"/>
      <c r="F258" s="544"/>
      <c r="G258" s="544"/>
      <c r="H258" s="544"/>
      <c r="I258" s="544"/>
      <c r="J258" s="544"/>
      <c r="L258" s="544"/>
      <c r="M258" s="544"/>
      <c r="N258" s="544"/>
      <c r="O258" s="544"/>
      <c r="P258" s="544"/>
      <c r="Q258" s="544"/>
      <c r="R258" s="544"/>
      <c r="T258" s="544"/>
      <c r="U258" s="544"/>
      <c r="V258" s="544"/>
      <c r="W258" s="544"/>
      <c r="X258" s="544"/>
      <c r="Y258" s="544"/>
      <c r="AA258" s="544"/>
      <c r="AB258" s="544"/>
      <c r="AC258" s="544"/>
      <c r="AD258" s="544"/>
      <c r="AE258" s="544"/>
      <c r="AF258" s="544"/>
      <c r="AG258" s="544"/>
      <c r="AI258" s="544"/>
      <c r="AJ258" s="544"/>
      <c r="AK258" s="544"/>
      <c r="AL258" s="544"/>
      <c r="AM258" s="544"/>
      <c r="AN258" s="544"/>
      <c r="AP258" s="544"/>
      <c r="AQ258" s="544"/>
      <c r="AR258" s="544"/>
      <c r="AS258" s="544"/>
      <c r="AT258" s="544"/>
      <c r="AU258" s="544"/>
      <c r="AV258" s="544"/>
    </row>
    <row r="259" spans="2:48" x14ac:dyDescent="0.35">
      <c r="B259" s="544"/>
      <c r="C259" s="544"/>
      <c r="D259" s="544"/>
      <c r="E259" s="544"/>
      <c r="F259" s="544"/>
      <c r="G259" s="544"/>
      <c r="H259" s="544"/>
      <c r="I259" s="544"/>
      <c r="J259" s="544"/>
      <c r="L259" s="544"/>
      <c r="M259" s="544"/>
      <c r="N259" s="544"/>
      <c r="O259" s="544"/>
      <c r="P259" s="544"/>
      <c r="Q259" s="544"/>
      <c r="R259" s="544"/>
      <c r="T259" s="544"/>
      <c r="U259" s="544"/>
      <c r="V259" s="544"/>
      <c r="W259" s="544"/>
      <c r="X259" s="544"/>
      <c r="Y259" s="544"/>
      <c r="AA259" s="544"/>
      <c r="AB259" s="544"/>
      <c r="AC259" s="544"/>
      <c r="AD259" s="544"/>
      <c r="AE259" s="544"/>
      <c r="AF259" s="544"/>
      <c r="AG259" s="544"/>
      <c r="AI259" s="544"/>
      <c r="AJ259" s="544"/>
      <c r="AK259" s="544"/>
      <c r="AL259" s="544"/>
      <c r="AM259" s="544"/>
      <c r="AN259" s="544"/>
      <c r="AP259" s="544"/>
      <c r="AQ259" s="544"/>
      <c r="AR259" s="544"/>
      <c r="AS259" s="544"/>
      <c r="AT259" s="544"/>
      <c r="AU259" s="544"/>
      <c r="AV259" s="544"/>
    </row>
    <row r="260" spans="2:48" x14ac:dyDescent="0.35">
      <c r="B260" s="544"/>
      <c r="C260" s="544"/>
      <c r="D260" s="544"/>
      <c r="E260" s="544"/>
      <c r="F260" s="544"/>
      <c r="G260" s="544"/>
      <c r="H260" s="544"/>
      <c r="I260" s="544"/>
      <c r="J260" s="544"/>
      <c r="L260" s="544"/>
      <c r="M260" s="544"/>
      <c r="N260" s="544"/>
      <c r="O260" s="544"/>
      <c r="P260" s="544"/>
      <c r="Q260" s="544"/>
      <c r="R260" s="544"/>
      <c r="T260" s="544"/>
      <c r="U260" s="544"/>
      <c r="V260" s="544"/>
      <c r="W260" s="544"/>
      <c r="X260" s="544"/>
      <c r="Y260" s="544"/>
      <c r="AA260" s="544"/>
      <c r="AB260" s="544"/>
      <c r="AC260" s="544"/>
      <c r="AD260" s="544"/>
      <c r="AE260" s="544"/>
      <c r="AF260" s="544"/>
      <c r="AG260" s="544"/>
      <c r="AI260" s="544"/>
      <c r="AJ260" s="544"/>
      <c r="AK260" s="544"/>
      <c r="AL260" s="544"/>
      <c r="AM260" s="544"/>
      <c r="AN260" s="544"/>
      <c r="AP260" s="544"/>
      <c r="AQ260" s="544"/>
      <c r="AR260" s="544"/>
      <c r="AS260" s="544"/>
      <c r="AT260" s="544"/>
      <c r="AU260" s="544"/>
      <c r="AV260" s="544"/>
    </row>
    <row r="261" spans="2:48" x14ac:dyDescent="0.35">
      <c r="B261" s="544"/>
      <c r="C261" s="544"/>
      <c r="D261" s="544"/>
      <c r="E261" s="544"/>
      <c r="F261" s="544"/>
      <c r="G261" s="544"/>
      <c r="H261" s="544"/>
      <c r="I261" s="544"/>
      <c r="J261" s="544"/>
      <c r="L261" s="544"/>
      <c r="M261" s="544"/>
      <c r="N261" s="544"/>
      <c r="O261" s="544"/>
      <c r="P261" s="544"/>
      <c r="Q261" s="544"/>
      <c r="R261" s="544"/>
      <c r="T261" s="544"/>
      <c r="U261" s="544"/>
      <c r="V261" s="544"/>
      <c r="W261" s="544"/>
      <c r="X261" s="544"/>
      <c r="Y261" s="544"/>
      <c r="AA261" s="544"/>
      <c r="AB261" s="544"/>
      <c r="AC261" s="544"/>
      <c r="AD261" s="544"/>
      <c r="AE261" s="544"/>
      <c r="AF261" s="544"/>
      <c r="AG261" s="544"/>
      <c r="AI261" s="544"/>
      <c r="AJ261" s="544"/>
      <c r="AK261" s="544"/>
      <c r="AL261" s="544"/>
      <c r="AM261" s="544"/>
      <c r="AN261" s="544"/>
      <c r="AP261" s="544"/>
      <c r="AQ261" s="544"/>
      <c r="AR261" s="544"/>
      <c r="AS261" s="544"/>
      <c r="AT261" s="544"/>
      <c r="AU261" s="544"/>
      <c r="AV261" s="544"/>
    </row>
    <row r="262" spans="2:48" x14ac:dyDescent="0.35">
      <c r="B262" s="544"/>
      <c r="C262" s="544"/>
      <c r="D262" s="544"/>
      <c r="E262" s="544"/>
      <c r="F262" s="544"/>
      <c r="G262" s="544"/>
      <c r="H262" s="544"/>
      <c r="I262" s="544"/>
      <c r="J262" s="544"/>
      <c r="L262" s="544"/>
      <c r="M262" s="544"/>
      <c r="N262" s="544"/>
      <c r="O262" s="544"/>
      <c r="P262" s="544"/>
      <c r="Q262" s="544"/>
      <c r="R262" s="544"/>
      <c r="T262" s="544"/>
      <c r="U262" s="544"/>
      <c r="V262" s="544"/>
      <c r="W262" s="544"/>
      <c r="X262" s="544"/>
      <c r="Y262" s="544"/>
      <c r="AA262" s="544"/>
      <c r="AB262" s="544"/>
      <c r="AC262" s="544"/>
      <c r="AD262" s="544"/>
      <c r="AE262" s="544"/>
      <c r="AF262" s="544"/>
      <c r="AG262" s="544"/>
      <c r="AI262" s="544"/>
      <c r="AJ262" s="544"/>
      <c r="AK262" s="544"/>
      <c r="AL262" s="544"/>
      <c r="AM262" s="544"/>
      <c r="AN262" s="544"/>
      <c r="AP262" s="544"/>
      <c r="AQ262" s="544"/>
      <c r="AR262" s="544"/>
      <c r="AS262" s="544"/>
      <c r="AT262" s="544"/>
      <c r="AU262" s="544"/>
      <c r="AV262" s="544"/>
    </row>
    <row r="263" spans="2:48" x14ac:dyDescent="0.35">
      <c r="B263" s="544"/>
      <c r="C263" s="544"/>
      <c r="D263" s="544"/>
      <c r="E263" s="544"/>
      <c r="F263" s="544"/>
      <c r="G263" s="544"/>
      <c r="H263" s="544"/>
      <c r="I263" s="544"/>
      <c r="J263" s="544"/>
      <c r="L263" s="544"/>
      <c r="M263" s="544"/>
      <c r="N263" s="544"/>
      <c r="O263" s="544"/>
      <c r="P263" s="544"/>
      <c r="Q263" s="544"/>
      <c r="R263" s="544"/>
      <c r="T263" s="544"/>
      <c r="U263" s="544"/>
      <c r="V263" s="544"/>
      <c r="W263" s="544"/>
      <c r="X263" s="544"/>
      <c r="Y263" s="544"/>
      <c r="AA263" s="544"/>
      <c r="AB263" s="544"/>
      <c r="AC263" s="544"/>
      <c r="AD263" s="544"/>
      <c r="AE263" s="544"/>
      <c r="AF263" s="544"/>
      <c r="AG263" s="544"/>
      <c r="AI263" s="544"/>
      <c r="AJ263" s="544"/>
      <c r="AK263" s="544"/>
      <c r="AL263" s="544"/>
      <c r="AM263" s="544"/>
      <c r="AN263" s="544"/>
      <c r="AP263" s="544"/>
      <c r="AQ263" s="544"/>
      <c r="AR263" s="544"/>
      <c r="AS263" s="544"/>
      <c r="AT263" s="544"/>
      <c r="AU263" s="544"/>
      <c r="AV263" s="544"/>
    </row>
    <row r="264" spans="2:48" x14ac:dyDescent="0.35">
      <c r="B264" s="544"/>
      <c r="C264" s="544"/>
      <c r="D264" s="544"/>
      <c r="E264" s="544"/>
      <c r="F264" s="544"/>
      <c r="G264" s="544"/>
      <c r="H264" s="544"/>
      <c r="I264" s="544"/>
      <c r="J264" s="544"/>
      <c r="L264" s="544"/>
      <c r="M264" s="544"/>
      <c r="N264" s="544"/>
      <c r="O264" s="544"/>
      <c r="P264" s="544"/>
      <c r="Q264" s="544"/>
      <c r="R264" s="544"/>
      <c r="T264" s="544"/>
      <c r="U264" s="544"/>
      <c r="V264" s="544"/>
      <c r="W264" s="544"/>
      <c r="X264" s="544"/>
      <c r="Y264" s="544"/>
      <c r="AA264" s="544"/>
      <c r="AB264" s="544"/>
      <c r="AC264" s="544"/>
      <c r="AD264" s="544"/>
      <c r="AE264" s="544"/>
      <c r="AF264" s="544"/>
      <c r="AG264" s="544"/>
      <c r="AI264" s="544"/>
      <c r="AJ264" s="544"/>
      <c r="AK264" s="544"/>
      <c r="AL264" s="544"/>
      <c r="AM264" s="544"/>
      <c r="AN264" s="544"/>
      <c r="AP264" s="544"/>
      <c r="AQ264" s="544"/>
      <c r="AR264" s="544"/>
      <c r="AS264" s="544"/>
      <c r="AT264" s="544"/>
      <c r="AU264" s="544"/>
      <c r="AV264" s="544"/>
    </row>
    <row r="265" spans="2:48" x14ac:dyDescent="0.35">
      <c r="B265" s="544"/>
      <c r="C265" s="544"/>
      <c r="D265" s="544"/>
      <c r="E265" s="544"/>
      <c r="F265" s="544"/>
      <c r="G265" s="544"/>
      <c r="H265" s="544"/>
      <c r="I265" s="544"/>
      <c r="J265" s="544"/>
      <c r="L265" s="544"/>
      <c r="M265" s="544"/>
      <c r="N265" s="544"/>
      <c r="O265" s="544"/>
      <c r="P265" s="544"/>
      <c r="Q265" s="544"/>
      <c r="R265" s="544"/>
      <c r="T265" s="544"/>
      <c r="U265" s="544"/>
      <c r="V265" s="544"/>
      <c r="W265" s="544"/>
      <c r="X265" s="544"/>
      <c r="Y265" s="544"/>
      <c r="AA265" s="544"/>
      <c r="AB265" s="544"/>
      <c r="AC265" s="544"/>
      <c r="AD265" s="544"/>
      <c r="AE265" s="544"/>
      <c r="AF265" s="544"/>
      <c r="AG265" s="544"/>
      <c r="AI265" s="544"/>
      <c r="AJ265" s="544"/>
      <c r="AK265" s="544"/>
      <c r="AL265" s="544"/>
      <c r="AM265" s="544"/>
      <c r="AN265" s="544"/>
      <c r="AP265" s="544"/>
      <c r="AQ265" s="544"/>
      <c r="AR265" s="544"/>
      <c r="AS265" s="544"/>
      <c r="AT265" s="544"/>
      <c r="AU265" s="544"/>
      <c r="AV265" s="544"/>
    </row>
    <row r="266" spans="2:48" x14ac:dyDescent="0.35">
      <c r="B266" s="544"/>
      <c r="C266" s="544"/>
      <c r="D266" s="544"/>
      <c r="E266" s="544"/>
      <c r="F266" s="544"/>
      <c r="G266" s="544"/>
      <c r="H266" s="544"/>
      <c r="I266" s="544"/>
      <c r="J266" s="544"/>
      <c r="L266" s="544"/>
      <c r="M266" s="544"/>
      <c r="N266" s="544"/>
      <c r="O266" s="544"/>
      <c r="P266" s="544"/>
      <c r="Q266" s="544"/>
      <c r="R266" s="544"/>
      <c r="T266" s="544"/>
      <c r="U266" s="544"/>
      <c r="V266" s="544"/>
      <c r="W266" s="544"/>
      <c r="X266" s="544"/>
      <c r="Y266" s="544"/>
      <c r="AA266" s="544"/>
      <c r="AB266" s="544"/>
      <c r="AC266" s="544"/>
      <c r="AD266" s="544"/>
      <c r="AE266" s="544"/>
      <c r="AF266" s="544"/>
      <c r="AG266" s="544"/>
      <c r="AI266" s="544"/>
      <c r="AJ266" s="544"/>
      <c r="AK266" s="544"/>
      <c r="AL266" s="544"/>
      <c r="AM266" s="544"/>
      <c r="AN266" s="544"/>
      <c r="AP266" s="544"/>
      <c r="AQ266" s="544"/>
      <c r="AR266" s="544"/>
      <c r="AS266" s="544"/>
      <c r="AT266" s="544"/>
      <c r="AU266" s="544"/>
      <c r="AV266" s="544"/>
    </row>
    <row r="267" spans="2:48" x14ac:dyDescent="0.35">
      <c r="B267" s="544"/>
      <c r="C267" s="544"/>
      <c r="D267" s="544"/>
      <c r="E267" s="544"/>
      <c r="F267" s="544"/>
      <c r="G267" s="544"/>
      <c r="H267" s="544"/>
      <c r="I267" s="544"/>
      <c r="J267" s="544"/>
      <c r="L267" s="544"/>
      <c r="M267" s="544"/>
      <c r="N267" s="544"/>
      <c r="O267" s="544"/>
      <c r="P267" s="544"/>
      <c r="Q267" s="544"/>
      <c r="R267" s="544"/>
      <c r="T267" s="544"/>
      <c r="U267" s="544"/>
      <c r="V267" s="544"/>
      <c r="W267" s="544"/>
      <c r="X267" s="544"/>
      <c r="Y267" s="544"/>
      <c r="AA267" s="544"/>
      <c r="AB267" s="544"/>
      <c r="AC267" s="544"/>
      <c r="AD267" s="544"/>
      <c r="AE267" s="544"/>
      <c r="AF267" s="544"/>
      <c r="AG267" s="544"/>
      <c r="AI267" s="544"/>
      <c r="AJ267" s="544"/>
      <c r="AK267" s="544"/>
      <c r="AL267" s="544"/>
      <c r="AM267" s="544"/>
      <c r="AN267" s="544"/>
      <c r="AP267" s="544"/>
      <c r="AQ267" s="544"/>
      <c r="AR267" s="544"/>
      <c r="AS267" s="544"/>
      <c r="AT267" s="544"/>
      <c r="AU267" s="544"/>
      <c r="AV267" s="544"/>
    </row>
    <row r="268" spans="2:48" x14ac:dyDescent="0.35">
      <c r="B268" s="544"/>
      <c r="C268" s="544"/>
      <c r="D268" s="544"/>
      <c r="E268" s="544"/>
      <c r="F268" s="544"/>
      <c r="G268" s="544"/>
      <c r="H268" s="544"/>
      <c r="I268" s="544"/>
      <c r="J268" s="544"/>
      <c r="L268" s="544"/>
      <c r="M268" s="544"/>
      <c r="N268" s="544"/>
      <c r="O268" s="544"/>
      <c r="P268" s="544"/>
      <c r="Q268" s="544"/>
      <c r="R268" s="544"/>
      <c r="T268" s="544"/>
      <c r="U268" s="544"/>
      <c r="V268" s="544"/>
      <c r="W268" s="544"/>
      <c r="X268" s="544"/>
      <c r="Y268" s="544"/>
      <c r="AA268" s="544"/>
      <c r="AB268" s="544"/>
      <c r="AC268" s="544"/>
      <c r="AD268" s="544"/>
      <c r="AE268" s="544"/>
      <c r="AF268" s="544"/>
      <c r="AG268" s="544"/>
      <c r="AI268" s="544"/>
      <c r="AJ268" s="544"/>
      <c r="AK268" s="544"/>
      <c r="AL268" s="544"/>
      <c r="AM268" s="544"/>
      <c r="AN268" s="544"/>
      <c r="AP268" s="544"/>
      <c r="AQ268" s="544"/>
      <c r="AR268" s="544"/>
      <c r="AS268" s="544"/>
      <c r="AT268" s="544"/>
      <c r="AU268" s="544"/>
      <c r="AV268" s="544"/>
    </row>
    <row r="269" spans="2:48" x14ac:dyDescent="0.35">
      <c r="B269" s="544"/>
      <c r="C269" s="544"/>
      <c r="D269" s="544"/>
      <c r="E269" s="544"/>
      <c r="F269" s="544"/>
      <c r="G269" s="544"/>
      <c r="H269" s="544"/>
      <c r="I269" s="544"/>
      <c r="J269" s="544"/>
      <c r="L269" s="544"/>
      <c r="M269" s="544"/>
      <c r="N269" s="544"/>
      <c r="O269" s="544"/>
      <c r="P269" s="544"/>
      <c r="Q269" s="544"/>
      <c r="R269" s="544"/>
      <c r="T269" s="544"/>
      <c r="U269" s="544"/>
      <c r="V269" s="544"/>
      <c r="W269" s="544"/>
      <c r="X269" s="544"/>
      <c r="Y269" s="544"/>
      <c r="AA269" s="544"/>
      <c r="AB269" s="544"/>
      <c r="AC269" s="544"/>
      <c r="AD269" s="544"/>
      <c r="AE269" s="544"/>
      <c r="AF269" s="544"/>
      <c r="AG269" s="544"/>
      <c r="AI269" s="544"/>
      <c r="AJ269" s="544"/>
      <c r="AK269" s="544"/>
      <c r="AL269" s="544"/>
      <c r="AM269" s="544"/>
      <c r="AN269" s="544"/>
      <c r="AP269" s="544"/>
      <c r="AQ269" s="544"/>
      <c r="AR269" s="544"/>
      <c r="AS269" s="544"/>
      <c r="AT269" s="544"/>
      <c r="AU269" s="544"/>
      <c r="AV269" s="544"/>
    </row>
    <row r="270" spans="2:48" x14ac:dyDescent="0.35">
      <c r="B270" s="544"/>
      <c r="C270" s="544"/>
      <c r="D270" s="544"/>
      <c r="E270" s="544"/>
      <c r="F270" s="544"/>
      <c r="G270" s="544"/>
      <c r="H270" s="544"/>
      <c r="I270" s="544"/>
      <c r="J270" s="544"/>
      <c r="L270" s="544"/>
      <c r="M270" s="544"/>
      <c r="N270" s="544"/>
      <c r="O270" s="544"/>
      <c r="P270" s="544"/>
      <c r="Q270" s="544"/>
      <c r="R270" s="544"/>
      <c r="T270" s="544"/>
      <c r="U270" s="544"/>
      <c r="V270" s="544"/>
      <c r="W270" s="544"/>
      <c r="X270" s="544"/>
      <c r="Y270" s="544"/>
      <c r="AA270" s="544"/>
      <c r="AB270" s="544"/>
      <c r="AC270" s="544"/>
      <c r="AD270" s="544"/>
      <c r="AE270" s="544"/>
      <c r="AF270" s="544"/>
      <c r="AG270" s="544"/>
      <c r="AI270" s="544"/>
      <c r="AJ270" s="544"/>
      <c r="AK270" s="544"/>
      <c r="AL270" s="544"/>
      <c r="AM270" s="544"/>
      <c r="AN270" s="544"/>
      <c r="AP270" s="544"/>
      <c r="AQ270" s="544"/>
      <c r="AR270" s="544"/>
      <c r="AS270" s="544"/>
      <c r="AT270" s="544"/>
      <c r="AU270" s="544"/>
      <c r="AV270" s="544"/>
    </row>
  </sheetData>
  <sheetProtection password="C8C1" sheet="1" objects="1" scenarios="1" selectLockedCells="1"/>
  <mergeCells count="90">
    <mergeCell ref="D74:E74"/>
    <mergeCell ref="D75:E75"/>
    <mergeCell ref="AI67:AN67"/>
    <mergeCell ref="AP67:AV67"/>
    <mergeCell ref="D70:E70"/>
    <mergeCell ref="D71:E71"/>
    <mergeCell ref="D72:E72"/>
    <mergeCell ref="D73:E73"/>
    <mergeCell ref="AA66:AG66"/>
    <mergeCell ref="AP66:AV66"/>
    <mergeCell ref="B67:B68"/>
    <mergeCell ref="C67:C68"/>
    <mergeCell ref="D67:E68"/>
    <mergeCell ref="F67:F68"/>
    <mergeCell ref="G67:H67"/>
    <mergeCell ref="I67:I68"/>
    <mergeCell ref="J67:J68"/>
    <mergeCell ref="T67:Y67"/>
    <mergeCell ref="AA67:AG67"/>
    <mergeCell ref="AI66:AN66"/>
    <mergeCell ref="D54:E54"/>
    <mergeCell ref="D56:E56"/>
    <mergeCell ref="D57:E57"/>
    <mergeCell ref="D58:E58"/>
    <mergeCell ref="T66:Y66"/>
    <mergeCell ref="D55:E55"/>
    <mergeCell ref="AI49:AN49"/>
    <mergeCell ref="AP49:AV49"/>
    <mergeCell ref="B50:B51"/>
    <mergeCell ref="C50:C51"/>
    <mergeCell ref="D50:E51"/>
    <mergeCell ref="F50:F51"/>
    <mergeCell ref="G50:H50"/>
    <mergeCell ref="I50:I51"/>
    <mergeCell ref="J50:J51"/>
    <mergeCell ref="T50:Y50"/>
    <mergeCell ref="AA49:AG49"/>
    <mergeCell ref="AA50:AG50"/>
    <mergeCell ref="AI50:AN50"/>
    <mergeCell ref="AP50:AV50"/>
    <mergeCell ref="T49:Y49"/>
    <mergeCell ref="D53:E53"/>
    <mergeCell ref="D38:E38"/>
    <mergeCell ref="D39:E39"/>
    <mergeCell ref="D40:E40"/>
    <mergeCell ref="D41:E41"/>
    <mergeCell ref="D37:E37"/>
    <mergeCell ref="J29:J30"/>
    <mergeCell ref="L29:R29"/>
    <mergeCell ref="T29:Y29"/>
    <mergeCell ref="AA29:AG29"/>
    <mergeCell ref="I29:I30"/>
    <mergeCell ref="D32:E32"/>
    <mergeCell ref="D33:E33"/>
    <mergeCell ref="D34:E34"/>
    <mergeCell ref="D35:E35"/>
    <mergeCell ref="D36:E36"/>
    <mergeCell ref="AI29:AN29"/>
    <mergeCell ref="AP29:AV29"/>
    <mergeCell ref="T28:Y28"/>
    <mergeCell ref="AA28:AG28"/>
    <mergeCell ref="AI28:AN28"/>
    <mergeCell ref="AP28:AV28"/>
    <mergeCell ref="B29:B30"/>
    <mergeCell ref="C29:C30"/>
    <mergeCell ref="D29:E30"/>
    <mergeCell ref="F29:F30"/>
    <mergeCell ref="G29:H29"/>
    <mergeCell ref="D20:E20"/>
    <mergeCell ref="J12:J13"/>
    <mergeCell ref="L12:R12"/>
    <mergeCell ref="T12:Y12"/>
    <mergeCell ref="AA12:AG12"/>
    <mergeCell ref="I12:I13"/>
    <mergeCell ref="D15:E15"/>
    <mergeCell ref="D16:E16"/>
    <mergeCell ref="D17:E17"/>
    <mergeCell ref="D18:E18"/>
    <mergeCell ref="D19:E19"/>
    <mergeCell ref="AI12:AN12"/>
    <mergeCell ref="AP12:AV12"/>
    <mergeCell ref="T11:Y11"/>
    <mergeCell ref="AA11:AG11"/>
    <mergeCell ref="AI11:AN11"/>
    <mergeCell ref="AP11:AV11"/>
    <mergeCell ref="B12:B13"/>
    <mergeCell ref="C12:C13"/>
    <mergeCell ref="D12:E13"/>
    <mergeCell ref="F12:F13"/>
    <mergeCell ref="G12:H12"/>
  </mergeCells>
  <conditionalFormatting sqref="C24">
    <cfRule type="expression" dxfId="329" priority="26">
      <formula>C23&lt;0</formula>
    </cfRule>
    <cfRule type="expression" dxfId="328" priority="27">
      <formula>C23&gt;0</formula>
    </cfRule>
    <cfRule type="expression" dxfId="327" priority="28">
      <formula>C23=0</formula>
    </cfRule>
  </conditionalFormatting>
  <conditionalFormatting sqref="C45">
    <cfRule type="expression" dxfId="326" priority="23">
      <formula>C44&lt;0</formula>
    </cfRule>
    <cfRule type="expression" dxfId="325" priority="24">
      <formula>C44&gt;0</formula>
    </cfRule>
    <cfRule type="expression" dxfId="324" priority="25">
      <formula>C44=0</formula>
    </cfRule>
  </conditionalFormatting>
  <conditionalFormatting sqref="C62">
    <cfRule type="expression" dxfId="323" priority="20">
      <formula>C61&lt;0</formula>
    </cfRule>
    <cfRule type="expression" dxfId="322" priority="21">
      <formula>C61&gt;0</formula>
    </cfRule>
    <cfRule type="expression" dxfId="321" priority="22">
      <formula>C61=0</formula>
    </cfRule>
  </conditionalFormatting>
  <conditionalFormatting sqref="C79">
    <cfRule type="expression" dxfId="320" priority="17">
      <formula>C78&lt;0</formula>
    </cfRule>
    <cfRule type="expression" dxfId="319" priority="18">
      <formula>C78&gt;0</formula>
    </cfRule>
    <cfRule type="expression" dxfId="318" priority="19">
      <formula>C78=0</formula>
    </cfRule>
  </conditionalFormatting>
  <conditionalFormatting sqref="AG15:AG20">
    <cfRule type="expression" dxfId="317" priority="15">
      <formula>AND(AA15&gt;0,AF15=1)</formula>
    </cfRule>
    <cfRule type="expression" dxfId="316" priority="16">
      <formula>AND(AA15=0,AF15=0)</formula>
    </cfRule>
  </conditionalFormatting>
  <conditionalFormatting sqref="AV15:AV20">
    <cfRule type="expression" dxfId="315" priority="13">
      <formula>AND(AP15&gt;0,AU15=1)</formula>
    </cfRule>
    <cfRule type="expression" dxfId="314" priority="14">
      <formula>AND(AP15=0,AU15=0)</formula>
    </cfRule>
  </conditionalFormatting>
  <conditionalFormatting sqref="AG32:AG41">
    <cfRule type="expression" dxfId="313" priority="11">
      <formula>AND(AA32&gt;0,AF32=1)</formula>
    </cfRule>
    <cfRule type="expression" dxfId="312" priority="12">
      <formula>AND(AA32=0,AF32=0)</formula>
    </cfRule>
  </conditionalFormatting>
  <conditionalFormatting sqref="AV32:AV41">
    <cfRule type="expression" dxfId="311" priority="9">
      <formula>AND(AP32&gt;0,AU32=1)</formula>
    </cfRule>
    <cfRule type="expression" dxfId="310" priority="10">
      <formula>AND(AP32=0,AU32=0)</formula>
    </cfRule>
  </conditionalFormatting>
  <conditionalFormatting sqref="AG53:AG58">
    <cfRule type="expression" dxfId="309" priority="7">
      <formula>AND(AA53&gt;0,AF53=1)</formula>
    </cfRule>
    <cfRule type="expression" dxfId="308" priority="8">
      <formula>AND(AA53=0,AF53=0)</formula>
    </cfRule>
  </conditionalFormatting>
  <conditionalFormatting sqref="AV53:AV58">
    <cfRule type="expression" dxfId="307" priority="5">
      <formula>AND(AP53&gt;0,AU53=1)</formula>
    </cfRule>
    <cfRule type="expression" dxfId="306" priority="6">
      <formula>AND(AP53=0,AU53=0)</formula>
    </cfRule>
  </conditionalFormatting>
  <conditionalFormatting sqref="AG70:AG75">
    <cfRule type="expression" dxfId="305" priority="3">
      <formula>AND(AA70&gt;0,AF70=1)</formula>
    </cfRule>
    <cfRule type="expression" dxfId="304" priority="4">
      <formula>AND(AA70=0,AF70=0)</formula>
    </cfRule>
  </conditionalFormatting>
  <conditionalFormatting sqref="AV70:AV75">
    <cfRule type="expression" dxfId="303" priority="1">
      <formula>AND(AP70&gt;0,AU70=1)</formula>
    </cfRule>
    <cfRule type="expression" dxfId="302" priority="2">
      <formula>AND(AP70=0,AU70=0)</formula>
    </cfRule>
  </conditionalFormatting>
  <conditionalFormatting sqref="AN15:AN20 AN53:AN58 AN70:AN75 AN32:AN41">
    <cfRule type="expression" dxfId="301" priority="29">
      <formula>AND(H15&gt;0,AM15=1)</formula>
    </cfRule>
    <cfRule type="expression" dxfId="300" priority="30">
      <formula>AND(H15=0,AM15=0)</formula>
    </cfRule>
  </conditionalFormatting>
  <conditionalFormatting sqref="Y15:Y20 Y53:Y58 Y70:Y75 Y32:Y41">
    <cfRule type="expression" dxfId="299" priority="31">
      <formula>AND(G15&gt;0,X15=1)</formula>
    </cfRule>
    <cfRule type="expression" dxfId="298" priority="32">
      <formula>AND(G15=0,X15=0)</formula>
    </cfRule>
  </conditionalFormatting>
  <pageMargins left="0.7" right="0.7" top="0.75" bottom="0.75" header="0.3" footer="0.3"/>
  <ignoredErrors>
    <ignoredError sqref="T32:Y41 AI32:AL41 AQ32:AV41 AN32:AN41 AE32:AG41 I32:J41 I70:J75 T70:W75 AE70:AE75 AI70:AL75 AQ70:AT75 AB70:AC75 AB32:AC41 AD70:AD75 AD32:AD41 T53:W58 AI53:AL58 AI15:AL20 T15:W20 B53:B58 D33:E41 D15:E20 D53:E58 D70:E75 B70:B75 I53:J58 I15:J20 AB15:AE20 Y15:AA20 AF15:AG20 AB53:AE58 Y53:AA58 AF53:AG58 AQ53:AT58 AN53:AP58 AU53:AV58 AQ15:AT20 AN15:AP20 AU15:AV20 F15:F20 F32:F41 F53:F58 F70:F75 C15:C20 C53:C58 C70:C75 G15:G20 G32:G41 G53:G58 G70:G75 C32:C41 E32" unlockedFormula="1"/>
  </ignoredErrors>
  <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00B050"/>
  </sheetPr>
  <dimension ref="A1:BD1993"/>
  <sheetViews>
    <sheetView showGridLines="0" showRowColHeaders="0" topLeftCell="A2" zoomScale="80" zoomScaleNormal="80" workbookViewId="0">
      <pane ySplit="3" topLeftCell="A5" activePane="bottomLeft" state="frozen"/>
      <selection activeCell="A2" sqref="A2"/>
      <selection pane="bottomLeft" activeCell="B36" sqref="B36:B39"/>
    </sheetView>
  </sheetViews>
  <sheetFormatPr defaultColWidth="9.1796875" defaultRowHeight="14.5" x14ac:dyDescent="0.35"/>
  <cols>
    <col min="1" max="1" width="3.26953125" style="17" customWidth="1"/>
    <col min="2" max="2" width="50.7265625" style="17" customWidth="1"/>
    <col min="3" max="3" width="10.7265625" style="17" customWidth="1"/>
    <col min="4" max="4" width="8.7265625" style="544" customWidth="1"/>
    <col min="5" max="13" width="35.7265625" style="17" customWidth="1"/>
    <col min="14" max="26" width="9.1796875" style="544"/>
    <col min="27" max="27" width="3.7265625" style="544" customWidth="1"/>
    <col min="28" max="56" width="9.1796875" style="544"/>
    <col min="57" max="16384" width="9.1796875" style="17"/>
  </cols>
  <sheetData>
    <row r="1" spans="1:56" ht="18.5" hidden="1" x14ac:dyDescent="0.35">
      <c r="B1" s="13" t="e">
        <f>Overview_SLUDGE!#REF!</f>
        <v>#REF!</v>
      </c>
    </row>
    <row r="2" spans="1:56" s="575" customFormat="1" ht="36.75" customHeight="1" x14ac:dyDescent="0.45">
      <c r="B2" s="824" t="str">
        <f>'User interface_RES'!AJ11</f>
        <v>Any city in , the world</v>
      </c>
    </row>
    <row r="3" spans="1:56" s="660" customFormat="1" ht="10.5" hidden="1" x14ac:dyDescent="0.25"/>
    <row r="4" spans="1:56" s="669" customFormat="1" ht="57" customHeight="1" thickBot="1" x14ac:dyDescent="0.4">
      <c r="B4" s="1497" t="s">
        <v>592</v>
      </c>
    </row>
    <row r="5" spans="1:56" ht="17.149999999999999" customHeight="1" x14ac:dyDescent="0.35">
      <c r="A5" s="903"/>
      <c r="B5" s="544"/>
      <c r="C5" s="544"/>
      <c r="E5" s="544"/>
      <c r="F5" s="544"/>
      <c r="G5" s="544"/>
      <c r="H5" s="544"/>
      <c r="I5" s="544"/>
      <c r="J5" s="544"/>
      <c r="K5" s="544"/>
      <c r="L5" s="544"/>
      <c r="M5" s="544"/>
    </row>
    <row r="6" spans="1:56" ht="17.149999999999999" hidden="1" customHeight="1" x14ac:dyDescent="0.35">
      <c r="A6" s="544"/>
      <c r="B6" s="544"/>
      <c r="C6" s="544"/>
      <c r="E6" s="544"/>
      <c r="F6" s="544"/>
      <c r="G6" s="544"/>
      <c r="H6" s="544"/>
      <c r="I6" s="544"/>
      <c r="J6" s="544"/>
      <c r="K6" s="544"/>
      <c r="L6" s="544"/>
      <c r="M6" s="544"/>
    </row>
    <row r="7" spans="1:56" ht="17.149999999999999" customHeight="1" x14ac:dyDescent="0.35">
      <c r="A7" s="544"/>
      <c r="B7" s="564" t="s">
        <v>593</v>
      </c>
      <c r="C7" s="478"/>
      <c r="D7" s="523"/>
      <c r="E7" s="572" t="s">
        <v>521</v>
      </c>
      <c r="F7" s="478"/>
      <c r="G7" s="478"/>
      <c r="H7" s="478"/>
      <c r="I7" s="478"/>
      <c r="J7" s="478"/>
      <c r="K7" s="544"/>
      <c r="L7" s="478"/>
      <c r="M7" s="478"/>
      <c r="N7" s="478"/>
    </row>
    <row r="8" spans="1:56" s="12" customFormat="1" ht="28" customHeight="1" x14ac:dyDescent="0.35">
      <c r="A8" s="544"/>
      <c r="B8" s="1484" t="s">
        <v>594</v>
      </c>
      <c r="C8" s="597" t="s">
        <v>374</v>
      </c>
      <c r="D8" s="570"/>
      <c r="E8" s="1474" t="s">
        <v>595</v>
      </c>
      <c r="F8" s="1484" t="s">
        <v>596</v>
      </c>
      <c r="G8" s="1474" t="s">
        <v>597</v>
      </c>
      <c r="H8" s="1474" t="s">
        <v>598</v>
      </c>
      <c r="I8" s="1751" t="s">
        <v>599</v>
      </c>
      <c r="J8" s="1751"/>
      <c r="K8" s="570"/>
      <c r="L8" s="570"/>
      <c r="M8" s="570"/>
      <c r="N8" s="570"/>
      <c r="O8" s="570"/>
      <c r="P8" s="570"/>
      <c r="Q8" s="570"/>
      <c r="R8" s="570"/>
      <c r="S8" s="570"/>
      <c r="T8" s="570"/>
      <c r="U8" s="570"/>
      <c r="V8" s="570"/>
      <c r="W8" s="570"/>
      <c r="X8" s="570"/>
      <c r="Y8" s="570"/>
      <c r="Z8" s="570"/>
      <c r="AA8" s="570"/>
      <c r="AB8" s="570"/>
      <c r="AC8" s="570"/>
      <c r="AD8" s="570"/>
      <c r="AE8" s="570"/>
      <c r="AF8" s="570"/>
      <c r="AG8" s="570"/>
      <c r="AH8" s="570"/>
      <c r="AI8" s="570"/>
      <c r="AJ8" s="570"/>
      <c r="AK8" s="570"/>
      <c r="AL8" s="570"/>
      <c r="AM8" s="570"/>
      <c r="AN8" s="570"/>
      <c r="AO8" s="570"/>
      <c r="AP8" s="570"/>
      <c r="AQ8" s="570"/>
      <c r="AR8" s="570"/>
      <c r="AS8" s="570"/>
      <c r="AT8" s="570"/>
      <c r="AU8" s="570"/>
      <c r="AV8" s="570"/>
      <c r="AW8" s="570"/>
      <c r="AX8" s="570"/>
      <c r="AY8" s="570"/>
      <c r="AZ8" s="570"/>
      <c r="BA8" s="570"/>
      <c r="BB8" s="570"/>
      <c r="BC8" s="570"/>
      <c r="BD8" s="570"/>
    </row>
    <row r="9" spans="1:56" ht="31" x14ac:dyDescent="0.35">
      <c r="A9" s="544"/>
      <c r="B9" s="598" t="s">
        <v>600</v>
      </c>
      <c r="C9" s="882">
        <v>1</v>
      </c>
      <c r="D9" s="478"/>
      <c r="E9" s="905"/>
      <c r="F9" s="906"/>
      <c r="G9" s="906"/>
      <c r="H9" s="1495"/>
      <c r="I9" s="1750"/>
      <c r="J9" s="1750"/>
      <c r="K9" s="544"/>
      <c r="L9" s="544"/>
      <c r="M9" s="544"/>
      <c r="AA9" s="1089" t="s">
        <v>601</v>
      </c>
    </row>
    <row r="10" spans="1:56" ht="31" x14ac:dyDescent="0.35">
      <c r="A10" s="544"/>
      <c r="B10" s="598" t="s">
        <v>602</v>
      </c>
      <c r="C10" s="882">
        <v>1</v>
      </c>
      <c r="D10" s="478"/>
      <c r="E10" s="906"/>
      <c r="F10" s="906"/>
      <c r="G10" s="906"/>
      <c r="H10" s="906"/>
      <c r="I10" s="1750"/>
      <c r="J10" s="1750"/>
      <c r="K10" s="544"/>
      <c r="L10" s="544"/>
      <c r="M10" s="544"/>
      <c r="AA10" s="1089" t="s">
        <v>601</v>
      </c>
    </row>
    <row r="11" spans="1:56" ht="31" x14ac:dyDescent="0.35">
      <c r="A11" s="544"/>
      <c r="B11" s="598" t="s">
        <v>603</v>
      </c>
      <c r="C11" s="882">
        <v>1</v>
      </c>
      <c r="D11" s="478"/>
      <c r="E11" s="906"/>
      <c r="F11" s="906"/>
      <c r="G11" s="906"/>
      <c r="H11" s="906"/>
      <c r="I11" s="1750"/>
      <c r="J11" s="1750"/>
      <c r="K11" s="544"/>
      <c r="L11" s="544"/>
      <c r="M11" s="544"/>
      <c r="AA11" s="1089" t="s">
        <v>601</v>
      </c>
    </row>
    <row r="12" spans="1:56" ht="31" x14ac:dyDescent="0.35">
      <c r="A12" s="544"/>
      <c r="B12" s="598" t="s">
        <v>604</v>
      </c>
      <c r="C12" s="882">
        <v>1</v>
      </c>
      <c r="D12" s="478"/>
      <c r="E12" s="905"/>
      <c r="F12" s="906"/>
      <c r="G12" s="906"/>
      <c r="H12" s="906"/>
      <c r="I12" s="1750"/>
      <c r="J12" s="1750"/>
      <c r="K12" s="544"/>
      <c r="L12" s="544"/>
      <c r="M12" s="544"/>
      <c r="AA12" s="1089" t="s">
        <v>601</v>
      </c>
    </row>
    <row r="13" spans="1:56" ht="31" x14ac:dyDescent="0.35">
      <c r="A13" s="544"/>
      <c r="B13" s="598" t="s">
        <v>605</v>
      </c>
      <c r="C13" s="882"/>
      <c r="D13" s="478"/>
      <c r="E13" s="906"/>
      <c r="F13" s="906"/>
      <c r="G13" s="906"/>
      <c r="H13" s="906"/>
      <c r="I13" s="1750"/>
      <c r="J13" s="1750"/>
      <c r="K13" s="544"/>
      <c r="L13" s="544"/>
      <c r="M13" s="544"/>
      <c r="AA13" s="1089" t="s">
        <v>601</v>
      </c>
    </row>
    <row r="14" spans="1:56" ht="17.149999999999999" customHeight="1" x14ac:dyDescent="0.35">
      <c r="A14" s="544"/>
      <c r="B14" s="478"/>
      <c r="C14" s="478"/>
      <c r="D14" s="523"/>
      <c r="E14" s="478"/>
      <c r="F14" s="478"/>
      <c r="G14" s="478"/>
      <c r="H14" s="478"/>
      <c r="I14" s="478"/>
      <c r="J14" s="544"/>
      <c r="K14" s="544"/>
      <c r="L14" s="544"/>
      <c r="M14" s="544"/>
      <c r="AA14" s="1089"/>
    </row>
    <row r="15" spans="1:56" ht="17.149999999999999" customHeight="1" x14ac:dyDescent="0.35">
      <c r="A15" s="544"/>
      <c r="B15" s="544"/>
      <c r="C15" s="544"/>
      <c r="E15" s="544"/>
      <c r="F15" s="544"/>
      <c r="G15" s="544"/>
      <c r="H15" s="544"/>
      <c r="I15" s="544"/>
      <c r="J15" s="544"/>
      <c r="K15" s="544"/>
      <c r="L15" s="544"/>
      <c r="M15" s="544"/>
      <c r="AA15" s="1089"/>
    </row>
    <row r="16" spans="1:56" ht="17.149999999999999" customHeight="1" x14ac:dyDescent="0.35">
      <c r="A16" s="544"/>
      <c r="B16" s="564" t="s">
        <v>606</v>
      </c>
      <c r="C16" s="478"/>
      <c r="D16" s="523"/>
      <c r="E16" s="572" t="s">
        <v>521</v>
      </c>
      <c r="F16" s="478"/>
      <c r="G16" s="478"/>
      <c r="H16" s="478"/>
      <c r="I16" s="478"/>
      <c r="J16" s="478"/>
      <c r="K16" s="645"/>
      <c r="L16" s="478"/>
      <c r="M16" s="478"/>
      <c r="N16" s="478"/>
      <c r="O16" s="478"/>
    </row>
    <row r="17" spans="1:56" ht="28" customHeight="1" x14ac:dyDescent="0.35">
      <c r="A17" s="544"/>
      <c r="B17" s="1484" t="s">
        <v>594</v>
      </c>
      <c r="C17" s="666" t="s">
        <v>607</v>
      </c>
      <c r="D17" s="645"/>
      <c r="E17" s="1496" t="s">
        <v>595</v>
      </c>
      <c r="F17" s="1473" t="s">
        <v>596</v>
      </c>
      <c r="G17" s="1496" t="s">
        <v>597</v>
      </c>
      <c r="H17" s="1496" t="s">
        <v>598</v>
      </c>
      <c r="I17" s="1751" t="s">
        <v>599</v>
      </c>
      <c r="J17" s="1751"/>
      <c r="K17" s="544"/>
      <c r="L17" s="544"/>
      <c r="M17" s="544"/>
    </row>
    <row r="18" spans="1:56" ht="31" x14ac:dyDescent="0.35">
      <c r="A18" s="544"/>
      <c r="B18" s="598" t="s">
        <v>608</v>
      </c>
      <c r="C18" s="882">
        <v>1</v>
      </c>
      <c r="D18" s="478"/>
      <c r="E18" s="907"/>
      <c r="F18" s="906"/>
      <c r="G18" s="906"/>
      <c r="H18" s="1495"/>
      <c r="I18" s="1750"/>
      <c r="J18" s="1750"/>
      <c r="K18" s="544"/>
      <c r="L18" s="544"/>
      <c r="M18" s="544"/>
      <c r="AA18" s="1089" t="s">
        <v>601</v>
      </c>
    </row>
    <row r="19" spans="1:56" ht="31" x14ac:dyDescent="0.35">
      <c r="A19" s="544"/>
      <c r="B19" s="598" t="s">
        <v>602</v>
      </c>
      <c r="C19" s="882">
        <v>1</v>
      </c>
      <c r="D19" s="478"/>
      <c r="E19" s="906"/>
      <c r="F19" s="906"/>
      <c r="G19" s="906"/>
      <c r="H19" s="906"/>
      <c r="I19" s="1750"/>
      <c r="J19" s="1750"/>
      <c r="K19" s="544"/>
      <c r="L19" s="544"/>
      <c r="M19" s="544"/>
      <c r="AA19" s="1089" t="s">
        <v>601</v>
      </c>
    </row>
    <row r="20" spans="1:56" ht="31" x14ac:dyDescent="0.35">
      <c r="A20" s="544"/>
      <c r="B20" s="598" t="s">
        <v>603</v>
      </c>
      <c r="C20" s="882">
        <v>1</v>
      </c>
      <c r="D20" s="478"/>
      <c r="E20" s="906"/>
      <c r="F20" s="906"/>
      <c r="G20" s="906"/>
      <c r="H20" s="906"/>
      <c r="I20" s="1750"/>
      <c r="J20" s="1750"/>
      <c r="K20" s="544"/>
      <c r="L20" s="544"/>
      <c r="M20" s="544"/>
      <c r="AA20" s="1089" t="s">
        <v>601</v>
      </c>
    </row>
    <row r="21" spans="1:56" ht="31" x14ac:dyDescent="0.35">
      <c r="A21" s="544"/>
      <c r="B21" s="598" t="s">
        <v>604</v>
      </c>
      <c r="C21" s="882">
        <v>1</v>
      </c>
      <c r="D21" s="478"/>
      <c r="E21" s="906"/>
      <c r="F21" s="906"/>
      <c r="G21" s="906"/>
      <c r="H21" s="906"/>
      <c r="I21" s="1750"/>
      <c r="J21" s="1750"/>
      <c r="K21" s="544"/>
      <c r="L21" s="544"/>
      <c r="M21" s="544"/>
      <c r="AA21" s="1089" t="s">
        <v>601</v>
      </c>
    </row>
    <row r="22" spans="1:56" ht="31" x14ac:dyDescent="0.35">
      <c r="A22" s="544"/>
      <c r="B22" s="598" t="s">
        <v>605</v>
      </c>
      <c r="C22" s="882"/>
      <c r="D22" s="478"/>
      <c r="E22" s="906"/>
      <c r="F22" s="906"/>
      <c r="G22" s="906"/>
      <c r="H22" s="906"/>
      <c r="I22" s="1750"/>
      <c r="J22" s="1750"/>
      <c r="K22" s="544"/>
      <c r="L22" s="544"/>
      <c r="M22" s="544"/>
      <c r="AA22" s="1089" t="s">
        <v>601</v>
      </c>
    </row>
    <row r="23" spans="1:56" ht="17.149999999999999" customHeight="1" x14ac:dyDescent="0.35">
      <c r="A23" s="544"/>
      <c r="B23" s="478"/>
      <c r="C23" s="478"/>
      <c r="D23" s="523"/>
      <c r="E23" s="523"/>
      <c r="F23" s="523"/>
      <c r="G23" s="523"/>
      <c r="H23" s="523"/>
      <c r="I23" s="478"/>
      <c r="J23" s="478"/>
      <c r="K23" s="478"/>
      <c r="L23" s="478"/>
      <c r="M23" s="478"/>
      <c r="N23" s="478"/>
      <c r="O23" s="478"/>
    </row>
    <row r="24" spans="1:56" ht="17.149999999999999" customHeight="1" x14ac:dyDescent="0.35">
      <c r="A24" s="544"/>
      <c r="B24" s="544"/>
      <c r="C24" s="544"/>
      <c r="E24" s="544"/>
      <c r="F24" s="544"/>
      <c r="G24" s="544"/>
      <c r="H24" s="544"/>
      <c r="I24" s="544"/>
      <c r="J24" s="544"/>
      <c r="K24" s="544"/>
      <c r="L24" s="544"/>
      <c r="M24" s="544"/>
    </row>
    <row r="25" spans="1:56" ht="17.149999999999999" customHeight="1" x14ac:dyDescent="0.35">
      <c r="A25" s="544"/>
      <c r="B25" s="564" t="s">
        <v>609</v>
      </c>
      <c r="C25" s="661"/>
      <c r="D25" s="661"/>
      <c r="E25" s="664"/>
      <c r="F25" s="661"/>
      <c r="G25" s="661"/>
      <c r="H25" s="665"/>
      <c r="I25" s="478"/>
      <c r="J25" s="645"/>
      <c r="K25" s="489"/>
      <c r="L25" s="489"/>
      <c r="M25" s="544"/>
    </row>
    <row r="26" spans="1:56" s="12" customFormat="1" ht="28" customHeight="1" x14ac:dyDescent="0.35">
      <c r="A26" s="544"/>
      <c r="B26" s="1484" t="s">
        <v>594</v>
      </c>
      <c r="C26" s="597" t="s">
        <v>374</v>
      </c>
      <c r="D26" s="662"/>
      <c r="E26" s="667" t="s">
        <v>521</v>
      </c>
      <c r="F26" s="1480"/>
      <c r="G26" s="1480"/>
      <c r="H26" s="1481"/>
      <c r="I26" s="570"/>
      <c r="J26" s="570"/>
      <c r="K26" s="570"/>
      <c r="L26" s="570"/>
      <c r="M26" s="570"/>
      <c r="N26" s="570"/>
      <c r="O26" s="570"/>
      <c r="P26" s="570"/>
      <c r="Q26" s="570"/>
      <c r="R26" s="570"/>
      <c r="S26" s="570"/>
      <c r="T26" s="570"/>
      <c r="U26" s="570"/>
      <c r="V26" s="570"/>
      <c r="W26" s="570"/>
      <c r="X26" s="570"/>
      <c r="Y26" s="570"/>
      <c r="Z26" s="570"/>
      <c r="AA26" s="570"/>
      <c r="AB26" s="570"/>
      <c r="AC26" s="570"/>
      <c r="AD26" s="570"/>
      <c r="AE26" s="570"/>
      <c r="AF26" s="570"/>
      <c r="AG26" s="570"/>
      <c r="AH26" s="570"/>
      <c r="AI26" s="570"/>
      <c r="AJ26" s="570"/>
      <c r="AK26" s="570"/>
      <c r="AL26" s="570"/>
      <c r="AM26" s="570"/>
      <c r="AN26" s="570"/>
      <c r="AO26" s="570"/>
      <c r="AP26" s="570"/>
      <c r="AQ26" s="570"/>
      <c r="AR26" s="570"/>
      <c r="AS26" s="570"/>
      <c r="AT26" s="570"/>
      <c r="AU26" s="570"/>
      <c r="AV26" s="570"/>
      <c r="AW26" s="570"/>
      <c r="AX26" s="570"/>
      <c r="AY26" s="570"/>
      <c r="AZ26" s="570"/>
      <c r="BA26" s="570"/>
      <c r="BB26" s="570"/>
      <c r="BC26" s="570"/>
      <c r="BD26" s="570"/>
    </row>
    <row r="27" spans="1:56" ht="31" x14ac:dyDescent="0.35">
      <c r="A27" s="544"/>
      <c r="B27" s="598" t="s">
        <v>610</v>
      </c>
      <c r="C27" s="882">
        <v>1</v>
      </c>
      <c r="D27" s="663"/>
      <c r="E27" s="907"/>
      <c r="F27" s="908"/>
      <c r="G27" s="908"/>
      <c r="H27" s="909"/>
      <c r="I27" s="544"/>
      <c r="J27" s="544"/>
      <c r="K27" s="544"/>
      <c r="L27" s="544"/>
      <c r="M27" s="544"/>
      <c r="AA27" s="1089" t="s">
        <v>601</v>
      </c>
    </row>
    <row r="28" spans="1:56" ht="31" x14ac:dyDescent="0.35">
      <c r="A28" s="544"/>
      <c r="B28" s="598" t="s">
        <v>611</v>
      </c>
      <c r="C28" s="882">
        <v>1</v>
      </c>
      <c r="D28" s="663"/>
      <c r="E28" s="907"/>
      <c r="F28" s="908"/>
      <c r="G28" s="908"/>
      <c r="H28" s="909"/>
      <c r="I28" s="544"/>
      <c r="J28" s="544"/>
      <c r="K28" s="544"/>
      <c r="L28" s="544"/>
      <c r="M28" s="544"/>
      <c r="AA28" s="1089" t="s">
        <v>601</v>
      </c>
    </row>
    <row r="29" spans="1:56" ht="31" x14ac:dyDescent="0.35">
      <c r="A29" s="544"/>
      <c r="B29" s="598" t="s">
        <v>612</v>
      </c>
      <c r="C29" s="882"/>
      <c r="D29" s="663"/>
      <c r="E29" s="907"/>
      <c r="F29" s="908"/>
      <c r="G29" s="908"/>
      <c r="H29" s="909"/>
      <c r="I29" s="544"/>
      <c r="J29" s="544"/>
      <c r="K29" s="544"/>
      <c r="L29" s="544"/>
      <c r="M29" s="544"/>
      <c r="AA29" s="1089" t="s">
        <v>601</v>
      </c>
    </row>
    <row r="30" spans="1:56" ht="31" x14ac:dyDescent="0.35">
      <c r="A30" s="544"/>
      <c r="B30" s="598" t="s">
        <v>613</v>
      </c>
      <c r="C30" s="882"/>
      <c r="D30" s="663"/>
      <c r="E30" s="907"/>
      <c r="F30" s="908"/>
      <c r="G30" s="908"/>
      <c r="H30" s="909"/>
      <c r="I30" s="544"/>
      <c r="J30" s="544"/>
      <c r="K30" s="544"/>
      <c r="L30" s="544"/>
      <c r="M30" s="544"/>
      <c r="AA30" s="1089" t="s">
        <v>601</v>
      </c>
    </row>
    <row r="31" spans="1:56" ht="31" x14ac:dyDescent="0.35">
      <c r="A31" s="544"/>
      <c r="B31" s="598" t="s">
        <v>614</v>
      </c>
      <c r="C31" s="882"/>
      <c r="D31" s="663"/>
      <c r="E31" s="907"/>
      <c r="F31" s="908"/>
      <c r="G31" s="908"/>
      <c r="H31" s="909"/>
      <c r="I31" s="544"/>
      <c r="J31" s="544"/>
      <c r="K31" s="544"/>
      <c r="L31" s="544"/>
      <c r="M31" s="544"/>
      <c r="AA31" s="1089" t="s">
        <v>601</v>
      </c>
    </row>
    <row r="32" spans="1:56" ht="17.149999999999999" customHeight="1" x14ac:dyDescent="0.35">
      <c r="A32" s="544"/>
      <c r="B32" s="544"/>
      <c r="C32" s="544"/>
      <c r="E32" s="544"/>
      <c r="F32" s="544"/>
      <c r="G32" s="544"/>
      <c r="H32" s="544"/>
      <c r="I32" s="544"/>
      <c r="J32" s="544"/>
      <c r="K32" s="544"/>
      <c r="L32" s="544"/>
      <c r="M32" s="544"/>
    </row>
    <row r="33" spans="1:56" ht="17.149999999999999" customHeight="1" x14ac:dyDescent="0.35">
      <c r="A33" s="544"/>
      <c r="B33" s="544"/>
      <c r="C33" s="544"/>
      <c r="E33" s="544"/>
      <c r="F33" s="544"/>
      <c r="G33" s="544"/>
      <c r="H33" s="544"/>
      <c r="I33" s="544"/>
      <c r="J33" s="544"/>
      <c r="K33" s="544"/>
      <c r="L33" s="544"/>
      <c r="M33" s="544"/>
    </row>
    <row r="34" spans="1:56" ht="17.149999999999999" customHeight="1" x14ac:dyDescent="0.35">
      <c r="A34" s="544"/>
      <c r="B34" s="564" t="s">
        <v>615</v>
      </c>
      <c r="C34" s="478"/>
      <c r="E34" s="478"/>
      <c r="F34" s="478"/>
      <c r="G34" s="478"/>
      <c r="H34" s="478"/>
      <c r="I34" s="478"/>
      <c r="J34" s="478"/>
      <c r="K34" s="478"/>
      <c r="L34" s="478"/>
      <c r="M34" s="478"/>
    </row>
    <row r="35" spans="1:56" ht="28" customHeight="1" x14ac:dyDescent="0.35">
      <c r="A35" s="544"/>
      <c r="B35" s="506" t="s">
        <v>616</v>
      </c>
      <c r="C35" s="507"/>
      <c r="E35" s="1496" t="s">
        <v>617</v>
      </c>
      <c r="F35" s="1496" t="s">
        <v>618</v>
      </c>
      <c r="G35" s="1496" t="s">
        <v>619</v>
      </c>
      <c r="H35" s="1496" t="s">
        <v>620</v>
      </c>
      <c r="I35" s="1496" t="s">
        <v>621</v>
      </c>
      <c r="J35" s="1496" t="s">
        <v>622</v>
      </c>
      <c r="K35" s="1496" t="s">
        <v>623</v>
      </c>
      <c r="L35" s="1496" t="s">
        <v>624</v>
      </c>
      <c r="M35" s="1496" t="s">
        <v>625</v>
      </c>
    </row>
    <row r="36" spans="1:56" ht="31" x14ac:dyDescent="0.35">
      <c r="A36" s="544"/>
      <c r="B36" s="910"/>
      <c r="C36" s="911"/>
      <c r="E36" s="1086"/>
      <c r="F36" s="900"/>
      <c r="G36" s="900"/>
      <c r="H36" s="900"/>
      <c r="I36" s="900"/>
      <c r="J36" s="900"/>
      <c r="K36" s="900"/>
      <c r="L36" s="900"/>
      <c r="M36" s="900"/>
      <c r="AA36" s="1089" t="s">
        <v>601</v>
      </c>
    </row>
    <row r="37" spans="1:56" ht="31" x14ac:dyDescent="0.35">
      <c r="A37" s="544"/>
      <c r="B37" s="910"/>
      <c r="C37" s="911"/>
      <c r="E37" s="1086"/>
      <c r="F37" s="900"/>
      <c r="G37" s="900"/>
      <c r="H37" s="900"/>
      <c r="I37" s="900"/>
      <c r="J37" s="900"/>
      <c r="K37" s="900"/>
      <c r="L37" s="900"/>
      <c r="M37" s="900"/>
      <c r="AA37" s="1089" t="s">
        <v>601</v>
      </c>
    </row>
    <row r="38" spans="1:56" ht="31" x14ac:dyDescent="0.35">
      <c r="A38" s="544"/>
      <c r="B38" s="910"/>
      <c r="C38" s="911"/>
      <c r="E38" s="1086"/>
      <c r="F38" s="900"/>
      <c r="G38" s="900"/>
      <c r="H38" s="900"/>
      <c r="I38" s="900"/>
      <c r="J38" s="900"/>
      <c r="K38" s="900"/>
      <c r="L38" s="900"/>
      <c r="M38" s="900"/>
      <c r="AA38" s="1089" t="s">
        <v>601</v>
      </c>
    </row>
    <row r="39" spans="1:56" ht="31" x14ac:dyDescent="0.35">
      <c r="A39" s="544"/>
      <c r="B39" s="910"/>
      <c r="C39" s="911"/>
      <c r="E39" s="1086"/>
      <c r="F39" s="900"/>
      <c r="G39" s="900"/>
      <c r="H39" s="900"/>
      <c r="I39" s="900"/>
      <c r="J39" s="900"/>
      <c r="K39" s="900"/>
      <c r="L39" s="900"/>
      <c r="M39" s="900"/>
      <c r="AA39" s="1089" t="s">
        <v>601</v>
      </c>
    </row>
    <row r="40" spans="1:56" ht="31" x14ac:dyDescent="0.35">
      <c r="A40" s="544"/>
      <c r="B40" s="910"/>
      <c r="C40" s="911"/>
      <c r="E40" s="1086"/>
      <c r="F40" s="900"/>
      <c r="G40" s="900"/>
      <c r="H40" s="900"/>
      <c r="I40" s="900"/>
      <c r="J40" s="900"/>
      <c r="K40" s="900"/>
      <c r="L40" s="900"/>
      <c r="M40" s="900"/>
      <c r="AA40" s="1089" t="s">
        <v>601</v>
      </c>
    </row>
    <row r="41" spans="1:56" ht="17.149999999999999" customHeight="1" x14ac:dyDescent="0.35">
      <c r="A41" s="544"/>
      <c r="B41" s="478"/>
      <c r="C41" s="478"/>
      <c r="D41" s="523"/>
      <c r="E41" s="478"/>
      <c r="F41" s="489"/>
      <c r="G41" s="489"/>
      <c r="H41" s="489"/>
      <c r="I41" s="489"/>
      <c r="J41" s="489"/>
      <c r="K41" s="489"/>
      <c r="L41" s="489"/>
      <c r="M41" s="489"/>
    </row>
    <row r="42" spans="1:56" ht="17.149999999999999" customHeight="1" x14ac:dyDescent="0.35">
      <c r="A42" s="544"/>
      <c r="B42" s="478"/>
      <c r="C42" s="478"/>
      <c r="D42" s="523"/>
      <c r="E42" s="478"/>
      <c r="F42" s="489"/>
      <c r="G42" s="489"/>
      <c r="H42" s="489"/>
      <c r="I42" s="489"/>
      <c r="J42" s="489"/>
      <c r="K42" s="489"/>
      <c r="L42" s="489"/>
      <c r="M42" s="489"/>
    </row>
    <row r="43" spans="1:56" ht="17.149999999999999" customHeight="1" x14ac:dyDescent="0.35">
      <c r="A43" s="544"/>
      <c r="B43" s="695" t="s">
        <v>626</v>
      </c>
      <c r="C43" s="542"/>
      <c r="D43" s="523"/>
      <c r="E43" s="478"/>
      <c r="F43" s="478"/>
      <c r="G43" s="478"/>
      <c r="H43" s="478"/>
      <c r="I43" s="489"/>
      <c r="J43" s="489"/>
      <c r="K43" s="489"/>
      <c r="L43" s="489"/>
      <c r="M43" s="478"/>
    </row>
    <row r="44" spans="1:56" ht="17.149999999999999" customHeight="1" x14ac:dyDescent="0.35">
      <c r="A44" s="544"/>
      <c r="B44" s="645"/>
      <c r="C44" s="478"/>
      <c r="D44" s="523"/>
      <c r="E44" s="478"/>
      <c r="F44" s="478"/>
      <c r="G44" s="478"/>
      <c r="H44" s="478"/>
      <c r="I44" s="489"/>
      <c r="J44" s="489"/>
      <c r="K44" s="489"/>
      <c r="L44" s="489"/>
      <c r="M44" s="478"/>
    </row>
    <row r="45" spans="1:56" ht="17.149999999999999" customHeight="1" x14ac:dyDescent="0.35">
      <c r="A45" s="544"/>
      <c r="B45" s="592" t="s">
        <v>627</v>
      </c>
      <c r="C45" s="489"/>
      <c r="D45" s="661"/>
      <c r="E45" s="572" t="s">
        <v>521</v>
      </c>
      <c r="F45" s="478"/>
      <c r="G45" s="478"/>
      <c r="H45" s="478"/>
      <c r="I45" s="478"/>
      <c r="J45" s="478"/>
      <c r="K45" s="645"/>
      <c r="L45" s="478"/>
      <c r="M45" s="489"/>
    </row>
    <row r="46" spans="1:56" s="12" customFormat="1" ht="28" customHeight="1" x14ac:dyDescent="0.35">
      <c r="A46" s="544"/>
      <c r="B46" s="1484" t="s">
        <v>594</v>
      </c>
      <c r="C46" s="597" t="s">
        <v>374</v>
      </c>
      <c r="D46" s="551"/>
      <c r="E46" s="1474" t="s">
        <v>628</v>
      </c>
      <c r="F46" s="1474" t="s">
        <v>629</v>
      </c>
      <c r="G46" s="1474" t="s">
        <v>599</v>
      </c>
      <c r="H46" s="570"/>
      <c r="I46" s="570"/>
      <c r="J46" s="551"/>
      <c r="K46" s="551"/>
      <c r="L46" s="572"/>
      <c r="M46" s="570"/>
      <c r="N46" s="570"/>
      <c r="O46" s="570"/>
      <c r="P46" s="570"/>
      <c r="Q46" s="570"/>
      <c r="R46" s="570"/>
      <c r="S46" s="570"/>
      <c r="T46" s="570"/>
      <c r="U46" s="570"/>
      <c r="V46" s="570"/>
      <c r="W46" s="570"/>
      <c r="X46" s="570"/>
      <c r="Y46" s="570"/>
      <c r="Z46" s="570"/>
      <c r="AA46" s="570"/>
      <c r="AB46" s="570"/>
      <c r="AC46" s="570"/>
      <c r="AD46" s="570"/>
      <c r="AE46" s="570"/>
      <c r="AF46" s="570"/>
      <c r="AG46" s="570"/>
      <c r="AH46" s="570"/>
      <c r="AI46" s="570"/>
      <c r="AJ46" s="570"/>
      <c r="AK46" s="570"/>
      <c r="AL46" s="570"/>
      <c r="AM46" s="570"/>
      <c r="AN46" s="570"/>
      <c r="AO46" s="570"/>
      <c r="AP46" s="570"/>
      <c r="AQ46" s="570"/>
      <c r="AR46" s="570"/>
      <c r="AS46" s="570"/>
      <c r="AT46" s="570"/>
      <c r="AU46" s="570"/>
      <c r="AV46" s="570"/>
      <c r="AW46" s="570"/>
      <c r="AX46" s="570"/>
      <c r="AY46" s="570"/>
      <c r="AZ46" s="570"/>
      <c r="BA46" s="570"/>
      <c r="BB46" s="570"/>
      <c r="BC46" s="570"/>
      <c r="BD46" s="570"/>
    </row>
    <row r="47" spans="1:56" ht="31" x14ac:dyDescent="0.35">
      <c r="A47" s="544"/>
      <c r="B47" s="598" t="s">
        <v>630</v>
      </c>
      <c r="C47" s="912">
        <v>1</v>
      </c>
      <c r="D47" s="489"/>
      <c r="E47" s="900"/>
      <c r="F47" s="906"/>
      <c r="G47" s="900"/>
      <c r="H47" s="544"/>
      <c r="I47" s="544"/>
      <c r="J47" s="489"/>
      <c r="K47" s="478"/>
      <c r="L47" s="478"/>
      <c r="M47" s="544"/>
      <c r="AA47" s="1089" t="s">
        <v>601</v>
      </c>
    </row>
    <row r="48" spans="1:56" ht="31" x14ac:dyDescent="0.35">
      <c r="A48" s="544"/>
      <c r="B48" s="598" t="s">
        <v>631</v>
      </c>
      <c r="C48" s="912">
        <v>1</v>
      </c>
      <c r="D48" s="489"/>
      <c r="E48" s="900"/>
      <c r="F48" s="906"/>
      <c r="G48" s="900"/>
      <c r="H48" s="544"/>
      <c r="I48" s="544"/>
      <c r="J48" s="489"/>
      <c r="K48" s="489"/>
      <c r="L48" s="478"/>
      <c r="M48" s="544"/>
      <c r="AA48" s="1089" t="s">
        <v>601</v>
      </c>
    </row>
    <row r="49" spans="1:56" ht="31" x14ac:dyDescent="0.35">
      <c r="A49" s="544"/>
      <c r="B49" s="598" t="s">
        <v>632</v>
      </c>
      <c r="C49" s="912"/>
      <c r="D49" s="489"/>
      <c r="E49" s="900"/>
      <c r="F49" s="900"/>
      <c r="G49" s="900"/>
      <c r="H49" s="544"/>
      <c r="I49" s="544"/>
      <c r="J49" s="489"/>
      <c r="K49" s="489"/>
      <c r="L49" s="478"/>
      <c r="M49" s="544"/>
      <c r="AA49" s="1089" t="s">
        <v>601</v>
      </c>
    </row>
    <row r="50" spans="1:56" ht="31" x14ac:dyDescent="0.35">
      <c r="A50" s="544"/>
      <c r="B50" s="598" t="s">
        <v>633</v>
      </c>
      <c r="C50" s="912"/>
      <c r="D50" s="489"/>
      <c r="E50" s="900"/>
      <c r="F50" s="906"/>
      <c r="G50" s="900"/>
      <c r="H50" s="544"/>
      <c r="I50" s="544"/>
      <c r="J50" s="478"/>
      <c r="K50" s="478"/>
      <c r="L50" s="478"/>
      <c r="M50" s="544"/>
      <c r="AA50" s="1089" t="s">
        <v>601</v>
      </c>
    </row>
    <row r="51" spans="1:56" ht="31" x14ac:dyDescent="0.35">
      <c r="A51" s="544"/>
      <c r="B51" s="598" t="s">
        <v>634</v>
      </c>
      <c r="C51" s="912"/>
      <c r="D51" s="489"/>
      <c r="E51" s="900"/>
      <c r="F51" s="900"/>
      <c r="G51" s="900"/>
      <c r="H51" s="544"/>
      <c r="I51" s="544"/>
      <c r="J51" s="478"/>
      <c r="K51" s="478"/>
      <c r="L51" s="478"/>
      <c r="M51" s="544"/>
      <c r="AA51" s="1089" t="s">
        <v>601</v>
      </c>
    </row>
    <row r="52" spans="1:56" ht="17.149999999999999" customHeight="1" x14ac:dyDescent="0.35">
      <c r="A52" s="544"/>
      <c r="B52" s="489"/>
      <c r="C52" s="523"/>
      <c r="D52" s="489"/>
      <c r="E52" s="478"/>
      <c r="F52" s="478"/>
      <c r="G52" s="478"/>
      <c r="H52" s="544"/>
      <c r="I52" s="544"/>
      <c r="J52" s="478"/>
      <c r="K52" s="478"/>
      <c r="L52" s="478"/>
      <c r="M52" s="544"/>
    </row>
    <row r="53" spans="1:56" ht="17.149999999999999" customHeight="1" x14ac:dyDescent="0.35">
      <c r="A53" s="544"/>
      <c r="B53" s="489"/>
      <c r="C53" s="523"/>
      <c r="D53" s="489"/>
      <c r="E53" s="478"/>
      <c r="F53" s="478"/>
      <c r="G53" s="478"/>
      <c r="H53" s="544"/>
      <c r="I53" s="544"/>
      <c r="J53" s="478"/>
      <c r="K53" s="478"/>
      <c r="L53" s="478"/>
      <c r="M53" s="544"/>
    </row>
    <row r="54" spans="1:56" ht="17.149999999999999" customHeight="1" x14ac:dyDescent="0.35">
      <c r="A54" s="544"/>
      <c r="B54" s="592" t="s">
        <v>635</v>
      </c>
      <c r="C54" s="661"/>
      <c r="D54" s="489"/>
      <c r="E54" s="572" t="s">
        <v>521</v>
      </c>
      <c r="F54" s="489"/>
      <c r="G54" s="489"/>
      <c r="H54" s="544"/>
      <c r="I54" s="544"/>
      <c r="J54" s="489"/>
      <c r="K54" s="489"/>
      <c r="L54" s="478"/>
      <c r="M54" s="544"/>
    </row>
    <row r="55" spans="1:56" s="12" customFormat="1" ht="28" customHeight="1" x14ac:dyDescent="0.35">
      <c r="A55" s="544"/>
      <c r="B55" s="1484" t="s">
        <v>594</v>
      </c>
      <c r="C55" s="597" t="s">
        <v>607</v>
      </c>
      <c r="D55" s="551"/>
      <c r="E55" s="1474" t="s">
        <v>628</v>
      </c>
      <c r="F55" s="1474" t="s">
        <v>629</v>
      </c>
      <c r="G55" s="1474" t="s">
        <v>599</v>
      </c>
      <c r="H55" s="570"/>
      <c r="I55" s="570"/>
      <c r="J55" s="551"/>
      <c r="K55" s="551"/>
      <c r="L55" s="572"/>
      <c r="M55" s="570"/>
      <c r="N55" s="570"/>
      <c r="O55" s="570"/>
      <c r="P55" s="570"/>
      <c r="Q55" s="570"/>
      <c r="R55" s="570"/>
      <c r="S55" s="570"/>
      <c r="T55" s="570"/>
      <c r="U55" s="570"/>
      <c r="V55" s="570"/>
      <c r="W55" s="570"/>
      <c r="X55" s="570"/>
      <c r="Y55" s="570"/>
      <c r="Z55" s="570"/>
      <c r="AA55" s="570"/>
      <c r="AB55" s="570"/>
      <c r="AC55" s="570"/>
      <c r="AD55" s="570"/>
      <c r="AE55" s="570"/>
      <c r="AF55" s="570"/>
      <c r="AG55" s="570"/>
      <c r="AH55" s="570"/>
      <c r="AI55" s="570"/>
      <c r="AJ55" s="570"/>
      <c r="AK55" s="570"/>
      <c r="AL55" s="570"/>
      <c r="AM55" s="570"/>
      <c r="AN55" s="570"/>
      <c r="AO55" s="570"/>
      <c r="AP55" s="570"/>
      <c r="AQ55" s="570"/>
      <c r="AR55" s="570"/>
      <c r="AS55" s="570"/>
      <c r="AT55" s="570"/>
      <c r="AU55" s="570"/>
      <c r="AV55" s="570"/>
      <c r="AW55" s="570"/>
      <c r="AX55" s="570"/>
      <c r="AY55" s="570"/>
      <c r="AZ55" s="570"/>
      <c r="BA55" s="570"/>
      <c r="BB55" s="570"/>
      <c r="BC55" s="570"/>
      <c r="BD55" s="570"/>
    </row>
    <row r="56" spans="1:56" ht="31" x14ac:dyDescent="0.35">
      <c r="A56" s="544"/>
      <c r="B56" s="598" t="s">
        <v>636</v>
      </c>
      <c r="C56" s="912">
        <v>1</v>
      </c>
      <c r="D56" s="478"/>
      <c r="E56" s="900"/>
      <c r="F56" s="906"/>
      <c r="G56" s="900"/>
      <c r="H56" s="544"/>
      <c r="I56" s="544"/>
      <c r="J56" s="489"/>
      <c r="K56" s="489"/>
      <c r="L56" s="478"/>
      <c r="M56" s="544"/>
      <c r="AA56" s="1089" t="s">
        <v>601</v>
      </c>
    </row>
    <row r="57" spans="1:56" ht="31" x14ac:dyDescent="0.35">
      <c r="A57" s="544"/>
      <c r="B57" s="598" t="s">
        <v>637</v>
      </c>
      <c r="C57" s="912">
        <v>1</v>
      </c>
      <c r="D57" s="478"/>
      <c r="E57" s="900"/>
      <c r="F57" s="906"/>
      <c r="G57" s="900"/>
      <c r="H57" s="544"/>
      <c r="I57" s="544"/>
      <c r="J57" s="489"/>
      <c r="K57" s="489"/>
      <c r="L57" s="478"/>
      <c r="M57" s="544"/>
      <c r="AA57" s="1089" t="s">
        <v>601</v>
      </c>
    </row>
    <row r="58" spans="1:56" ht="31" x14ac:dyDescent="0.35">
      <c r="A58" s="544"/>
      <c r="B58" s="598" t="s">
        <v>638</v>
      </c>
      <c r="C58" s="912">
        <v>1</v>
      </c>
      <c r="D58" s="478"/>
      <c r="E58" s="900"/>
      <c r="F58" s="900"/>
      <c r="G58" s="900"/>
      <c r="H58" s="544"/>
      <c r="I58" s="544"/>
      <c r="J58" s="489"/>
      <c r="K58" s="489"/>
      <c r="L58" s="478"/>
      <c r="M58" s="544"/>
      <c r="AA58" s="1089" t="s">
        <v>601</v>
      </c>
    </row>
    <row r="59" spans="1:56" ht="31" x14ac:dyDescent="0.35">
      <c r="A59" s="544"/>
      <c r="B59" s="598" t="s">
        <v>633</v>
      </c>
      <c r="C59" s="912"/>
      <c r="D59" s="478"/>
      <c r="E59" s="900"/>
      <c r="F59" s="906"/>
      <c r="G59" s="900"/>
      <c r="H59" s="544"/>
      <c r="I59" s="544"/>
      <c r="J59" s="489"/>
      <c r="K59" s="489"/>
      <c r="L59" s="478"/>
      <c r="M59" s="544"/>
      <c r="AA59" s="1089" t="s">
        <v>601</v>
      </c>
    </row>
    <row r="60" spans="1:56" ht="31" x14ac:dyDescent="0.35">
      <c r="A60" s="544"/>
      <c r="B60" s="598" t="s">
        <v>639</v>
      </c>
      <c r="C60" s="912">
        <v>1</v>
      </c>
      <c r="D60" s="478"/>
      <c r="E60" s="900"/>
      <c r="F60" s="906"/>
      <c r="G60" s="900"/>
      <c r="H60" s="489"/>
      <c r="I60" s="489"/>
      <c r="J60" s="489"/>
      <c r="K60" s="489"/>
      <c r="L60" s="489"/>
      <c r="M60" s="544"/>
      <c r="AA60" s="1089" t="s">
        <v>601</v>
      </c>
    </row>
    <row r="61" spans="1:56" x14ac:dyDescent="0.35">
      <c r="A61" s="544"/>
      <c r="B61" s="478"/>
      <c r="C61" s="478"/>
      <c r="D61" s="523"/>
      <c r="E61" s="478"/>
      <c r="F61" s="478"/>
      <c r="G61" s="489"/>
      <c r="H61" s="489"/>
      <c r="I61" s="489"/>
      <c r="J61" s="489"/>
      <c r="K61" s="489"/>
      <c r="L61" s="489"/>
      <c r="M61" s="478"/>
    </row>
    <row r="62" spans="1:56" x14ac:dyDescent="0.35">
      <c r="A62" s="544"/>
      <c r="B62" s="544"/>
      <c r="C62" s="544"/>
      <c r="E62" s="544"/>
      <c r="F62" s="544"/>
      <c r="G62" s="544"/>
      <c r="H62" s="544"/>
      <c r="I62" s="544"/>
      <c r="J62" s="544"/>
      <c r="K62" s="544"/>
      <c r="L62" s="544"/>
      <c r="M62" s="544"/>
    </row>
    <row r="63" spans="1:56" x14ac:dyDescent="0.35">
      <c r="A63" s="544"/>
      <c r="B63" s="544"/>
      <c r="C63" s="544"/>
      <c r="E63" s="544"/>
      <c r="F63" s="544"/>
      <c r="G63" s="544"/>
      <c r="H63" s="544"/>
      <c r="I63" s="544"/>
      <c r="J63" s="544"/>
      <c r="K63" s="544"/>
      <c r="L63" s="544"/>
      <c r="M63" s="544"/>
    </row>
    <row r="64" spans="1:56" x14ac:dyDescent="0.35">
      <c r="A64" s="544"/>
      <c r="B64" s="544"/>
      <c r="C64" s="544"/>
      <c r="E64" s="544"/>
      <c r="F64" s="544"/>
      <c r="G64" s="544"/>
      <c r="H64" s="544"/>
      <c r="I64" s="544"/>
      <c r="J64" s="544"/>
      <c r="K64" s="544"/>
      <c r="L64" s="544"/>
      <c r="M64" s="544"/>
    </row>
    <row r="65" spans="1:13" x14ac:dyDescent="0.35">
      <c r="A65" s="544"/>
      <c r="B65" s="544"/>
      <c r="C65" s="544"/>
      <c r="E65" s="544"/>
      <c r="F65" s="544"/>
      <c r="G65" s="544"/>
      <c r="H65" s="544"/>
      <c r="I65" s="544"/>
      <c r="J65" s="544"/>
      <c r="K65" s="544"/>
      <c r="L65" s="544"/>
      <c r="M65" s="544"/>
    </row>
    <row r="66" spans="1:13" x14ac:dyDescent="0.35">
      <c r="A66" s="544"/>
      <c r="B66" s="544"/>
      <c r="C66" s="544"/>
      <c r="E66" s="544"/>
      <c r="F66" s="544"/>
      <c r="G66" s="544"/>
      <c r="H66" s="544"/>
      <c r="I66" s="544"/>
      <c r="J66" s="544"/>
      <c r="K66" s="544"/>
      <c r="L66" s="544"/>
      <c r="M66" s="544"/>
    </row>
    <row r="67" spans="1:13" x14ac:dyDescent="0.35">
      <c r="A67" s="544"/>
      <c r="B67" s="544"/>
      <c r="C67" s="544"/>
      <c r="E67" s="544"/>
      <c r="F67" s="544"/>
      <c r="G67" s="544"/>
      <c r="H67" s="544"/>
      <c r="I67" s="544"/>
      <c r="J67" s="544"/>
      <c r="K67" s="544"/>
      <c r="L67" s="544"/>
      <c r="M67" s="544"/>
    </row>
    <row r="68" spans="1:13" x14ac:dyDescent="0.35">
      <c r="A68" s="544"/>
      <c r="B68" s="544"/>
      <c r="C68" s="544"/>
      <c r="E68" s="544"/>
      <c r="F68" s="544"/>
      <c r="G68" s="544"/>
      <c r="H68" s="544"/>
      <c r="I68" s="544"/>
      <c r="J68" s="544"/>
      <c r="K68" s="544"/>
      <c r="L68" s="544"/>
      <c r="M68" s="544"/>
    </row>
    <row r="69" spans="1:13" x14ac:dyDescent="0.35">
      <c r="A69" s="544"/>
      <c r="B69" s="544"/>
      <c r="C69" s="544"/>
      <c r="E69" s="544"/>
      <c r="F69" s="544"/>
      <c r="G69" s="544"/>
      <c r="H69" s="544"/>
      <c r="I69" s="544"/>
      <c r="J69" s="544"/>
      <c r="K69" s="544"/>
      <c r="L69" s="544"/>
      <c r="M69" s="544"/>
    </row>
    <row r="70" spans="1:13" x14ac:dyDescent="0.35">
      <c r="A70" s="544"/>
      <c r="B70" s="544"/>
      <c r="C70" s="544"/>
      <c r="E70" s="544"/>
      <c r="F70" s="544"/>
      <c r="G70" s="544"/>
      <c r="H70" s="544"/>
      <c r="I70" s="544"/>
      <c r="J70" s="544"/>
      <c r="K70" s="544"/>
      <c r="L70" s="544"/>
      <c r="M70" s="544"/>
    </row>
    <row r="71" spans="1:13" x14ac:dyDescent="0.35">
      <c r="A71" s="544"/>
      <c r="B71" s="544"/>
      <c r="C71" s="544"/>
      <c r="E71" s="544"/>
      <c r="F71" s="544"/>
      <c r="G71" s="544"/>
      <c r="H71" s="544"/>
      <c r="I71" s="544"/>
      <c r="J71" s="544"/>
      <c r="K71" s="544"/>
      <c r="L71" s="544"/>
      <c r="M71" s="544"/>
    </row>
    <row r="72" spans="1:13" x14ac:dyDescent="0.35">
      <c r="A72" s="544"/>
      <c r="B72" s="544"/>
      <c r="C72" s="544"/>
      <c r="E72" s="544"/>
      <c r="F72" s="544"/>
      <c r="G72" s="544"/>
      <c r="H72" s="544"/>
      <c r="I72" s="544"/>
      <c r="J72" s="544"/>
      <c r="K72" s="544"/>
      <c r="L72" s="544"/>
      <c r="M72" s="544"/>
    </row>
    <row r="73" spans="1:13" x14ac:dyDescent="0.35">
      <c r="A73" s="544"/>
      <c r="B73" s="544"/>
      <c r="C73" s="544"/>
      <c r="E73" s="544"/>
      <c r="F73" s="544"/>
      <c r="G73" s="544"/>
      <c r="H73" s="544"/>
      <c r="I73" s="544"/>
      <c r="J73" s="544"/>
      <c r="K73" s="544"/>
      <c r="L73" s="544"/>
      <c r="M73" s="544"/>
    </row>
    <row r="74" spans="1:13" x14ac:dyDescent="0.35">
      <c r="A74" s="544"/>
      <c r="B74" s="544"/>
      <c r="C74" s="544"/>
      <c r="E74" s="544"/>
      <c r="F74" s="544"/>
      <c r="G74" s="544"/>
      <c r="H74" s="544"/>
      <c r="I74" s="544"/>
      <c r="J74" s="544"/>
      <c r="K74" s="544"/>
      <c r="L74" s="544"/>
      <c r="M74" s="544"/>
    </row>
    <row r="75" spans="1:13" x14ac:dyDescent="0.35">
      <c r="A75" s="544"/>
      <c r="B75" s="544"/>
      <c r="C75" s="544"/>
      <c r="E75" s="544"/>
      <c r="F75" s="544"/>
      <c r="G75" s="544"/>
      <c r="H75" s="544"/>
      <c r="I75" s="544"/>
      <c r="J75" s="544"/>
      <c r="K75" s="544"/>
      <c r="L75" s="544"/>
      <c r="M75" s="544"/>
    </row>
    <row r="76" spans="1:13" x14ac:dyDescent="0.35">
      <c r="A76" s="544"/>
      <c r="B76" s="544"/>
      <c r="C76" s="544"/>
      <c r="E76" s="544"/>
      <c r="F76" s="544"/>
      <c r="G76" s="544"/>
      <c r="H76" s="544"/>
      <c r="I76" s="544"/>
      <c r="J76" s="544"/>
      <c r="K76" s="544"/>
      <c r="L76" s="544"/>
      <c r="M76" s="544"/>
    </row>
    <row r="77" spans="1:13" x14ac:dyDescent="0.35">
      <c r="A77" s="544"/>
      <c r="B77" s="544"/>
      <c r="C77" s="544"/>
      <c r="E77" s="544"/>
      <c r="F77" s="544"/>
      <c r="G77" s="544"/>
      <c r="H77" s="544"/>
      <c r="I77" s="544"/>
      <c r="J77" s="544"/>
      <c r="K77" s="544"/>
      <c r="L77" s="544"/>
      <c r="M77" s="544"/>
    </row>
    <row r="78" spans="1:13" x14ac:dyDescent="0.35">
      <c r="A78" s="544"/>
      <c r="B78" s="544"/>
      <c r="C78" s="544"/>
      <c r="E78" s="544"/>
      <c r="F78" s="544"/>
      <c r="G78" s="544"/>
      <c r="H78" s="544"/>
      <c r="I78" s="544"/>
      <c r="J78" s="544"/>
      <c r="K78" s="544"/>
      <c r="L78" s="544"/>
      <c r="M78" s="544"/>
    </row>
    <row r="79" spans="1:13" x14ac:dyDescent="0.35">
      <c r="A79" s="544"/>
      <c r="B79" s="544"/>
      <c r="C79" s="544"/>
      <c r="E79" s="544"/>
      <c r="F79" s="544"/>
      <c r="G79" s="544"/>
      <c r="H79" s="544"/>
      <c r="I79" s="544"/>
      <c r="J79" s="544"/>
      <c r="K79" s="544"/>
      <c r="L79" s="544"/>
      <c r="M79" s="544"/>
    </row>
    <row r="80" spans="1:13" x14ac:dyDescent="0.35">
      <c r="A80" s="544"/>
      <c r="B80" s="544"/>
      <c r="C80" s="544"/>
      <c r="E80" s="544"/>
      <c r="F80" s="544"/>
      <c r="G80" s="544"/>
      <c r="H80" s="544"/>
      <c r="I80" s="544"/>
      <c r="J80" s="544"/>
      <c r="K80" s="544"/>
      <c r="L80" s="544"/>
      <c r="M80" s="544"/>
    </row>
    <row r="81" spans="1:13" x14ac:dyDescent="0.35">
      <c r="A81" s="544"/>
      <c r="B81" s="544"/>
      <c r="C81" s="544"/>
      <c r="E81" s="544"/>
      <c r="F81" s="544"/>
      <c r="G81" s="544"/>
      <c r="H81" s="544"/>
      <c r="I81" s="544"/>
      <c r="J81" s="544"/>
      <c r="K81" s="544"/>
      <c r="L81" s="544"/>
      <c r="M81" s="544"/>
    </row>
    <row r="82" spans="1:13" x14ac:dyDescent="0.35">
      <c r="A82" s="544"/>
      <c r="B82" s="544"/>
      <c r="C82" s="544"/>
      <c r="E82" s="544"/>
      <c r="F82" s="544"/>
      <c r="G82" s="544"/>
      <c r="H82" s="544"/>
      <c r="I82" s="544"/>
      <c r="J82" s="544"/>
      <c r="K82" s="544"/>
      <c r="L82" s="544"/>
      <c r="M82" s="544"/>
    </row>
    <row r="83" spans="1:13" x14ac:dyDescent="0.35">
      <c r="A83" s="544"/>
      <c r="B83" s="544"/>
      <c r="C83" s="544"/>
      <c r="E83" s="544"/>
      <c r="F83" s="544"/>
      <c r="G83" s="544"/>
      <c r="H83" s="544"/>
      <c r="I83" s="544"/>
      <c r="J83" s="544"/>
      <c r="K83" s="544"/>
      <c r="L83" s="544"/>
      <c r="M83" s="544"/>
    </row>
    <row r="84" spans="1:13" x14ac:dyDescent="0.35">
      <c r="A84" s="544"/>
      <c r="B84" s="544"/>
      <c r="C84" s="544"/>
      <c r="E84" s="544"/>
      <c r="F84" s="544"/>
      <c r="G84" s="544"/>
      <c r="H84" s="544"/>
      <c r="I84" s="544"/>
      <c r="J84" s="544"/>
      <c r="K84" s="544"/>
      <c r="L84" s="544"/>
      <c r="M84" s="544"/>
    </row>
    <row r="85" spans="1:13" x14ac:dyDescent="0.35">
      <c r="A85" s="544"/>
      <c r="B85" s="544"/>
      <c r="C85" s="544"/>
      <c r="E85" s="544"/>
      <c r="F85" s="544"/>
      <c r="G85" s="544"/>
      <c r="H85" s="544"/>
      <c r="I85" s="544"/>
      <c r="J85" s="544"/>
      <c r="K85" s="544"/>
      <c r="L85" s="544"/>
      <c r="M85" s="544"/>
    </row>
    <row r="86" spans="1:13" x14ac:dyDescent="0.35">
      <c r="A86" s="544"/>
      <c r="B86" s="544"/>
      <c r="C86" s="544"/>
      <c r="E86" s="544"/>
      <c r="F86" s="544"/>
      <c r="G86" s="544"/>
      <c r="H86" s="544"/>
      <c r="I86" s="544"/>
      <c r="J86" s="544"/>
      <c r="K86" s="544"/>
      <c r="L86" s="544"/>
      <c r="M86" s="544"/>
    </row>
    <row r="87" spans="1:13" x14ac:dyDescent="0.35">
      <c r="A87" s="544"/>
      <c r="B87" s="544"/>
      <c r="C87" s="544"/>
      <c r="E87" s="544"/>
      <c r="F87" s="544"/>
      <c r="G87" s="544"/>
      <c r="H87" s="544"/>
      <c r="I87" s="544"/>
      <c r="J87" s="544"/>
      <c r="K87" s="544"/>
      <c r="L87" s="544"/>
      <c r="M87" s="544"/>
    </row>
    <row r="88" spans="1:13" x14ac:dyDescent="0.35">
      <c r="A88" s="544"/>
      <c r="B88" s="544"/>
      <c r="C88" s="544"/>
      <c r="E88" s="544"/>
      <c r="F88" s="544"/>
      <c r="G88" s="544"/>
      <c r="H88" s="544"/>
      <c r="I88" s="544"/>
      <c r="J88" s="544"/>
      <c r="K88" s="544"/>
      <c r="L88" s="544"/>
      <c r="M88" s="544"/>
    </row>
    <row r="89" spans="1:13" x14ac:dyDescent="0.35">
      <c r="A89" s="544"/>
      <c r="B89" s="544"/>
      <c r="C89" s="544"/>
      <c r="E89" s="544"/>
      <c r="F89" s="544"/>
      <c r="G89" s="544"/>
      <c r="H89" s="544"/>
      <c r="I89" s="544"/>
      <c r="J89" s="544"/>
      <c r="K89" s="544"/>
      <c r="L89" s="544"/>
      <c r="M89" s="544"/>
    </row>
    <row r="90" spans="1:13" x14ac:dyDescent="0.35">
      <c r="A90" s="544"/>
      <c r="B90" s="544"/>
      <c r="C90" s="544"/>
      <c r="E90" s="544"/>
      <c r="F90" s="544"/>
      <c r="G90" s="544"/>
      <c r="H90" s="544"/>
      <c r="I90" s="544"/>
      <c r="J90" s="544"/>
      <c r="K90" s="544"/>
      <c r="L90" s="544"/>
      <c r="M90" s="544"/>
    </row>
    <row r="91" spans="1:13" x14ac:dyDescent="0.35">
      <c r="A91" s="544"/>
      <c r="B91" s="544"/>
      <c r="C91" s="544"/>
      <c r="E91" s="544"/>
      <c r="F91" s="544"/>
      <c r="G91" s="544"/>
      <c r="H91" s="544"/>
      <c r="I91" s="544"/>
      <c r="J91" s="544"/>
      <c r="K91" s="544"/>
      <c r="L91" s="544"/>
      <c r="M91" s="544"/>
    </row>
    <row r="92" spans="1:13" x14ac:dyDescent="0.35">
      <c r="A92" s="544"/>
      <c r="B92" s="544"/>
      <c r="C92" s="544"/>
      <c r="E92" s="544"/>
      <c r="F92" s="544"/>
      <c r="G92" s="544"/>
      <c r="H92" s="544"/>
      <c r="I92" s="544"/>
      <c r="J92" s="544"/>
      <c r="K92" s="544"/>
      <c r="L92" s="544"/>
      <c r="M92" s="544"/>
    </row>
    <row r="93" spans="1:13" x14ac:dyDescent="0.35">
      <c r="A93" s="544"/>
      <c r="B93" s="544"/>
      <c r="C93" s="544"/>
      <c r="E93" s="544"/>
      <c r="F93" s="544"/>
      <c r="G93" s="544"/>
      <c r="H93" s="544"/>
      <c r="I93" s="544"/>
      <c r="J93" s="544"/>
      <c r="K93" s="544"/>
      <c r="L93" s="544"/>
      <c r="M93" s="544"/>
    </row>
    <row r="94" spans="1:13" x14ac:dyDescent="0.35">
      <c r="A94" s="544"/>
      <c r="B94" s="544"/>
      <c r="C94" s="544"/>
      <c r="E94" s="544"/>
      <c r="F94" s="544"/>
      <c r="G94" s="544"/>
      <c r="H94" s="544"/>
      <c r="I94" s="544"/>
      <c r="J94" s="544"/>
      <c r="K94" s="544"/>
      <c r="L94" s="544"/>
      <c r="M94" s="544"/>
    </row>
    <row r="95" spans="1:13" x14ac:dyDescent="0.35">
      <c r="A95" s="544"/>
      <c r="B95" s="544"/>
      <c r="C95" s="544"/>
      <c r="E95" s="544"/>
      <c r="F95" s="544"/>
      <c r="G95" s="544"/>
      <c r="H95" s="544"/>
      <c r="I95" s="544"/>
      <c r="J95" s="544"/>
      <c r="K95" s="544"/>
      <c r="L95" s="544"/>
      <c r="M95" s="544"/>
    </row>
    <row r="96" spans="1:13" x14ac:dyDescent="0.35">
      <c r="A96" s="544"/>
      <c r="B96" s="544"/>
      <c r="C96" s="544"/>
      <c r="E96" s="544"/>
      <c r="F96" s="544"/>
      <c r="G96" s="544"/>
      <c r="H96" s="544"/>
      <c r="I96" s="544"/>
      <c r="J96" s="544"/>
      <c r="K96" s="544"/>
      <c r="L96" s="544"/>
      <c r="M96" s="544"/>
    </row>
    <row r="97" spans="1:13" x14ac:dyDescent="0.35">
      <c r="A97" s="544"/>
      <c r="B97" s="544"/>
      <c r="C97" s="544"/>
      <c r="E97" s="544"/>
      <c r="F97" s="544"/>
      <c r="G97" s="544"/>
      <c r="H97" s="544"/>
      <c r="I97" s="544"/>
      <c r="J97" s="544"/>
      <c r="K97" s="544"/>
      <c r="L97" s="544"/>
      <c r="M97" s="544"/>
    </row>
    <row r="98" spans="1:13" x14ac:dyDescent="0.35">
      <c r="A98" s="544"/>
      <c r="B98" s="544"/>
      <c r="C98" s="544"/>
      <c r="E98" s="544"/>
      <c r="F98" s="544"/>
      <c r="G98" s="544"/>
      <c r="H98" s="544"/>
      <c r="I98" s="544"/>
      <c r="J98" s="544"/>
      <c r="K98" s="544"/>
      <c r="L98" s="544"/>
      <c r="M98" s="544"/>
    </row>
    <row r="99" spans="1:13" x14ac:dyDescent="0.35">
      <c r="A99" s="544"/>
      <c r="B99" s="544"/>
      <c r="C99" s="544"/>
      <c r="E99" s="544"/>
      <c r="F99" s="544"/>
      <c r="G99" s="544"/>
      <c r="H99" s="544"/>
      <c r="I99" s="544"/>
      <c r="J99" s="544"/>
      <c r="K99" s="544"/>
      <c r="L99" s="544"/>
      <c r="M99" s="544"/>
    </row>
    <row r="100" spans="1:13" x14ac:dyDescent="0.35">
      <c r="A100" s="544"/>
      <c r="B100" s="544"/>
      <c r="C100" s="544"/>
      <c r="E100" s="544"/>
      <c r="F100" s="544"/>
      <c r="G100" s="544"/>
      <c r="H100" s="544"/>
      <c r="I100" s="544"/>
      <c r="J100" s="544"/>
      <c r="K100" s="544"/>
      <c r="L100" s="544"/>
      <c r="M100" s="544"/>
    </row>
    <row r="101" spans="1:13" x14ac:dyDescent="0.35">
      <c r="A101" s="544"/>
      <c r="B101" s="544"/>
      <c r="C101" s="544"/>
      <c r="E101" s="544"/>
      <c r="F101" s="544"/>
      <c r="G101" s="544"/>
      <c r="H101" s="544"/>
      <c r="I101" s="544"/>
      <c r="J101" s="544"/>
      <c r="K101" s="544"/>
      <c r="L101" s="544"/>
      <c r="M101" s="544"/>
    </row>
    <row r="102" spans="1:13" x14ac:dyDescent="0.35">
      <c r="A102" s="544"/>
      <c r="B102" s="544"/>
      <c r="C102" s="544"/>
      <c r="E102" s="544"/>
      <c r="F102" s="544"/>
      <c r="G102" s="544"/>
      <c r="H102" s="544"/>
      <c r="I102" s="544"/>
      <c r="J102" s="544"/>
      <c r="K102" s="544"/>
      <c r="L102" s="544"/>
      <c r="M102" s="544"/>
    </row>
    <row r="103" spans="1:13" x14ac:dyDescent="0.35">
      <c r="A103" s="544"/>
      <c r="B103" s="544"/>
      <c r="C103" s="544"/>
      <c r="E103" s="544"/>
      <c r="F103" s="544"/>
      <c r="G103" s="544"/>
      <c r="H103" s="544"/>
      <c r="I103" s="544"/>
      <c r="J103" s="544"/>
      <c r="K103" s="544"/>
      <c r="L103" s="544"/>
      <c r="M103" s="544"/>
    </row>
    <row r="104" spans="1:13" x14ac:dyDescent="0.35">
      <c r="A104" s="544"/>
      <c r="B104" s="544"/>
      <c r="C104" s="544"/>
      <c r="E104" s="544"/>
      <c r="F104" s="544"/>
      <c r="G104" s="544"/>
      <c r="H104" s="544"/>
      <c r="I104" s="544"/>
      <c r="J104" s="544"/>
      <c r="K104" s="544"/>
      <c r="L104" s="544"/>
      <c r="M104" s="544"/>
    </row>
    <row r="105" spans="1:13" x14ac:dyDescent="0.35">
      <c r="A105" s="544"/>
      <c r="B105" s="544"/>
      <c r="C105" s="544"/>
      <c r="E105" s="544"/>
      <c r="F105" s="544"/>
      <c r="G105" s="544"/>
      <c r="H105" s="544"/>
      <c r="I105" s="544"/>
      <c r="J105" s="544"/>
      <c r="K105" s="544"/>
      <c r="L105" s="544"/>
      <c r="M105" s="544"/>
    </row>
    <row r="106" spans="1:13" x14ac:dyDescent="0.35">
      <c r="A106" s="544"/>
      <c r="B106" s="544"/>
      <c r="C106" s="544"/>
      <c r="E106" s="544"/>
      <c r="F106" s="544"/>
      <c r="G106" s="544"/>
      <c r="H106" s="544"/>
      <c r="I106" s="544"/>
      <c r="J106" s="544"/>
      <c r="K106" s="544"/>
      <c r="L106" s="544"/>
      <c r="M106" s="544"/>
    </row>
    <row r="107" spans="1:13" x14ac:dyDescent="0.35">
      <c r="A107" s="544"/>
      <c r="B107" s="544"/>
      <c r="C107" s="544"/>
      <c r="E107" s="544"/>
      <c r="F107" s="544"/>
      <c r="G107" s="544"/>
      <c r="H107" s="544"/>
      <c r="I107" s="544"/>
      <c r="J107" s="544"/>
      <c r="K107" s="544"/>
      <c r="L107" s="544"/>
      <c r="M107" s="544"/>
    </row>
    <row r="108" spans="1:13" x14ac:dyDescent="0.35">
      <c r="A108" s="544"/>
      <c r="B108" s="544"/>
      <c r="C108" s="544"/>
      <c r="E108" s="544"/>
      <c r="F108" s="544"/>
      <c r="G108" s="544"/>
      <c r="H108" s="544"/>
      <c r="I108" s="544"/>
      <c r="J108" s="544"/>
      <c r="K108" s="544"/>
      <c r="L108" s="544"/>
      <c r="M108" s="544"/>
    </row>
    <row r="109" spans="1:13" x14ac:dyDescent="0.35">
      <c r="A109" s="544"/>
      <c r="B109" s="544"/>
      <c r="C109" s="544"/>
      <c r="E109" s="544"/>
      <c r="F109" s="544"/>
      <c r="G109" s="544"/>
      <c r="H109" s="544"/>
      <c r="I109" s="544"/>
      <c r="J109" s="544"/>
      <c r="K109" s="544"/>
      <c r="L109" s="544"/>
      <c r="M109" s="544"/>
    </row>
    <row r="110" spans="1:13" x14ac:dyDescent="0.35">
      <c r="A110" s="544"/>
      <c r="B110" s="544"/>
      <c r="C110" s="544"/>
      <c r="E110" s="544"/>
      <c r="F110" s="544"/>
      <c r="G110" s="544"/>
      <c r="H110" s="544"/>
      <c r="I110" s="544"/>
      <c r="J110" s="544"/>
      <c r="K110" s="544"/>
      <c r="L110" s="544"/>
      <c r="M110" s="544"/>
    </row>
    <row r="111" spans="1:13" x14ac:dyDescent="0.35">
      <c r="A111" s="544"/>
      <c r="B111" s="544"/>
      <c r="C111" s="544"/>
      <c r="E111" s="544"/>
      <c r="F111" s="544"/>
      <c r="G111" s="544"/>
      <c r="H111" s="544"/>
      <c r="I111" s="544"/>
      <c r="J111" s="544"/>
      <c r="K111" s="544"/>
      <c r="L111" s="544"/>
      <c r="M111" s="544"/>
    </row>
    <row r="112" spans="1:13" x14ac:dyDescent="0.35">
      <c r="A112" s="544"/>
      <c r="B112" s="544"/>
      <c r="C112" s="544"/>
      <c r="E112" s="544"/>
      <c r="F112" s="544"/>
      <c r="G112" s="544"/>
      <c r="H112" s="544"/>
      <c r="I112" s="544"/>
      <c r="J112" s="544"/>
      <c r="K112" s="544"/>
      <c r="L112" s="544"/>
      <c r="M112" s="544"/>
    </row>
    <row r="113" spans="1:13" x14ac:dyDescent="0.35">
      <c r="A113" s="544"/>
      <c r="B113" s="544"/>
      <c r="C113" s="544"/>
      <c r="E113" s="544"/>
      <c r="F113" s="544"/>
      <c r="G113" s="544"/>
      <c r="H113" s="544"/>
      <c r="I113" s="544"/>
      <c r="J113" s="544"/>
      <c r="K113" s="544"/>
      <c r="L113" s="544"/>
      <c r="M113" s="544"/>
    </row>
    <row r="114" spans="1:13" x14ac:dyDescent="0.35">
      <c r="A114" s="544"/>
      <c r="B114" s="544"/>
      <c r="C114" s="544"/>
      <c r="E114" s="544"/>
      <c r="F114" s="544"/>
      <c r="G114" s="544"/>
      <c r="H114" s="544"/>
      <c r="I114" s="544"/>
      <c r="J114" s="544"/>
      <c r="K114" s="544"/>
      <c r="L114" s="544"/>
      <c r="M114" s="544"/>
    </row>
    <row r="115" spans="1:13" x14ac:dyDescent="0.35">
      <c r="A115" s="544"/>
      <c r="B115" s="544"/>
      <c r="C115" s="544"/>
      <c r="E115" s="544"/>
      <c r="F115" s="544"/>
      <c r="G115" s="544"/>
      <c r="H115" s="544"/>
      <c r="I115" s="544"/>
      <c r="J115" s="544"/>
      <c r="K115" s="544"/>
      <c r="L115" s="544"/>
      <c r="M115" s="544"/>
    </row>
    <row r="116" spans="1:13" x14ac:dyDescent="0.35">
      <c r="A116" s="544"/>
      <c r="B116" s="544"/>
      <c r="C116" s="544"/>
      <c r="E116" s="544"/>
      <c r="F116" s="544"/>
      <c r="G116" s="544"/>
      <c r="H116" s="544"/>
      <c r="I116" s="544"/>
      <c r="J116" s="544"/>
      <c r="K116" s="544"/>
      <c r="L116" s="544"/>
      <c r="M116" s="544"/>
    </row>
    <row r="117" spans="1:13" x14ac:dyDescent="0.35">
      <c r="A117" s="544"/>
      <c r="B117" s="544"/>
      <c r="C117" s="544"/>
      <c r="E117" s="544"/>
      <c r="F117" s="544"/>
      <c r="G117" s="544"/>
      <c r="H117" s="544"/>
      <c r="I117" s="544"/>
      <c r="J117" s="544"/>
      <c r="K117" s="544"/>
      <c r="L117" s="544"/>
      <c r="M117" s="544"/>
    </row>
    <row r="118" spans="1:13" x14ac:dyDescent="0.35">
      <c r="A118" s="544"/>
      <c r="B118" s="544"/>
      <c r="C118" s="544"/>
      <c r="E118" s="544"/>
      <c r="F118" s="544"/>
      <c r="G118" s="544"/>
      <c r="H118" s="544"/>
      <c r="I118" s="544"/>
      <c r="J118" s="544"/>
      <c r="K118" s="544"/>
      <c r="L118" s="544"/>
      <c r="M118" s="544"/>
    </row>
    <row r="119" spans="1:13" x14ac:dyDescent="0.35">
      <c r="A119" s="544"/>
      <c r="B119" s="544"/>
      <c r="C119" s="544"/>
      <c r="E119" s="544"/>
      <c r="F119" s="544"/>
      <c r="G119" s="544"/>
      <c r="H119" s="544"/>
      <c r="I119" s="544"/>
      <c r="J119" s="544"/>
      <c r="K119" s="544"/>
      <c r="L119" s="544"/>
      <c r="M119" s="544"/>
    </row>
    <row r="120" spans="1:13" x14ac:dyDescent="0.35">
      <c r="A120" s="544"/>
      <c r="B120" s="544"/>
      <c r="C120" s="544"/>
      <c r="E120" s="544"/>
      <c r="F120" s="544"/>
      <c r="G120" s="544"/>
      <c r="H120" s="544"/>
      <c r="I120" s="544"/>
      <c r="J120" s="544"/>
      <c r="K120" s="544"/>
      <c r="L120" s="544"/>
      <c r="M120" s="544"/>
    </row>
    <row r="121" spans="1:13" x14ac:dyDescent="0.35">
      <c r="A121" s="544"/>
      <c r="B121" s="544"/>
      <c r="C121" s="544"/>
      <c r="E121" s="544"/>
      <c r="F121" s="544"/>
      <c r="G121" s="544"/>
      <c r="H121" s="544"/>
      <c r="I121" s="544"/>
      <c r="J121" s="544"/>
      <c r="K121" s="544"/>
      <c r="L121" s="544"/>
      <c r="M121" s="544"/>
    </row>
    <row r="122" spans="1:13" x14ac:dyDescent="0.35">
      <c r="A122" s="544"/>
      <c r="B122" s="544"/>
      <c r="C122" s="544"/>
      <c r="E122" s="544"/>
      <c r="F122" s="544"/>
      <c r="G122" s="544"/>
      <c r="H122" s="544"/>
      <c r="I122" s="544"/>
      <c r="J122" s="544"/>
      <c r="K122" s="544"/>
      <c r="L122" s="544"/>
      <c r="M122" s="544"/>
    </row>
    <row r="123" spans="1:13" x14ac:dyDescent="0.35">
      <c r="A123" s="544"/>
      <c r="B123" s="544"/>
      <c r="C123" s="544"/>
      <c r="E123" s="544"/>
      <c r="F123" s="544"/>
      <c r="G123" s="544"/>
      <c r="H123" s="544"/>
      <c r="I123" s="544"/>
      <c r="J123" s="544"/>
      <c r="K123" s="544"/>
      <c r="L123" s="544"/>
      <c r="M123" s="544"/>
    </row>
    <row r="124" spans="1:13" x14ac:dyDescent="0.35">
      <c r="A124" s="544"/>
      <c r="B124" s="544"/>
      <c r="C124" s="544"/>
      <c r="E124" s="544"/>
      <c r="F124" s="544"/>
      <c r="G124" s="544"/>
      <c r="H124" s="544"/>
      <c r="I124" s="544"/>
      <c r="J124" s="544"/>
      <c r="K124" s="544"/>
      <c r="L124" s="544"/>
      <c r="M124" s="544"/>
    </row>
    <row r="125" spans="1:13" x14ac:dyDescent="0.35">
      <c r="A125" s="544"/>
      <c r="B125" s="544"/>
      <c r="C125" s="544"/>
      <c r="E125" s="544"/>
      <c r="F125" s="544"/>
      <c r="G125" s="544"/>
      <c r="H125" s="544"/>
      <c r="I125" s="544"/>
      <c r="J125" s="544"/>
      <c r="K125" s="544"/>
      <c r="L125" s="544"/>
      <c r="M125" s="544"/>
    </row>
    <row r="126" spans="1:13" x14ac:dyDescent="0.35">
      <c r="A126" s="544"/>
      <c r="B126" s="544"/>
      <c r="C126" s="544"/>
      <c r="E126" s="544"/>
      <c r="F126" s="544"/>
      <c r="G126" s="544"/>
      <c r="H126" s="544"/>
      <c r="I126" s="544"/>
      <c r="J126" s="544"/>
      <c r="K126" s="544"/>
      <c r="L126" s="544"/>
      <c r="M126" s="544"/>
    </row>
    <row r="127" spans="1:13" x14ac:dyDescent="0.35">
      <c r="A127" s="544"/>
      <c r="B127" s="544"/>
      <c r="C127" s="544"/>
      <c r="E127" s="544"/>
      <c r="F127" s="544"/>
      <c r="G127" s="544"/>
      <c r="H127" s="544"/>
      <c r="I127" s="544"/>
      <c r="J127" s="544"/>
      <c r="K127" s="544"/>
      <c r="L127" s="544"/>
      <c r="M127" s="544"/>
    </row>
    <row r="128" spans="1:13" x14ac:dyDescent="0.35">
      <c r="A128" s="544"/>
      <c r="B128" s="544"/>
      <c r="C128" s="544"/>
      <c r="E128" s="544"/>
      <c r="F128" s="544"/>
      <c r="G128" s="544"/>
      <c r="H128" s="544"/>
      <c r="I128" s="544"/>
      <c r="J128" s="544"/>
      <c r="K128" s="544"/>
      <c r="L128" s="544"/>
      <c r="M128" s="544"/>
    </row>
    <row r="129" spans="1:13" x14ac:dyDescent="0.35">
      <c r="A129" s="544"/>
      <c r="B129" s="544"/>
      <c r="C129" s="544"/>
      <c r="E129" s="544"/>
      <c r="F129" s="544"/>
      <c r="G129" s="544"/>
      <c r="H129" s="544"/>
      <c r="I129" s="544"/>
      <c r="J129" s="544"/>
      <c r="K129" s="544"/>
      <c r="L129" s="544"/>
      <c r="M129" s="544"/>
    </row>
    <row r="130" spans="1:13" x14ac:dyDescent="0.35">
      <c r="A130" s="544"/>
      <c r="B130" s="544"/>
      <c r="C130" s="544"/>
      <c r="E130" s="544"/>
      <c r="F130" s="544"/>
      <c r="G130" s="544"/>
      <c r="H130" s="544"/>
      <c r="I130" s="544"/>
      <c r="J130" s="544"/>
      <c r="K130" s="544"/>
      <c r="L130" s="544"/>
      <c r="M130" s="544"/>
    </row>
    <row r="131" spans="1:13" x14ac:dyDescent="0.35">
      <c r="A131" s="544"/>
      <c r="B131" s="544"/>
      <c r="C131" s="544"/>
      <c r="E131" s="544"/>
      <c r="F131" s="544"/>
      <c r="G131" s="544"/>
      <c r="H131" s="544"/>
      <c r="I131" s="544"/>
      <c r="J131" s="544"/>
      <c r="K131" s="544"/>
      <c r="L131" s="544"/>
      <c r="M131" s="544"/>
    </row>
    <row r="132" spans="1:13" x14ac:dyDescent="0.35">
      <c r="A132" s="544"/>
      <c r="B132" s="544"/>
      <c r="C132" s="544"/>
      <c r="E132" s="544"/>
      <c r="F132" s="544"/>
      <c r="G132" s="544"/>
      <c r="H132" s="544"/>
      <c r="I132" s="544"/>
      <c r="J132" s="544"/>
      <c r="K132" s="544"/>
      <c r="L132" s="544"/>
      <c r="M132" s="544"/>
    </row>
    <row r="133" spans="1:13" x14ac:dyDescent="0.35">
      <c r="A133" s="544"/>
      <c r="B133" s="544"/>
      <c r="C133" s="544"/>
      <c r="E133" s="544"/>
      <c r="F133" s="544"/>
      <c r="G133" s="544"/>
      <c r="H133" s="544"/>
      <c r="I133" s="544"/>
      <c r="J133" s="544"/>
      <c r="K133" s="544"/>
      <c r="L133" s="544"/>
      <c r="M133" s="544"/>
    </row>
    <row r="134" spans="1:13" x14ac:dyDescent="0.35">
      <c r="A134" s="544"/>
      <c r="B134" s="544"/>
      <c r="C134" s="544"/>
      <c r="E134" s="544"/>
      <c r="F134" s="544"/>
      <c r="G134" s="544"/>
      <c r="H134" s="544"/>
      <c r="I134" s="544"/>
      <c r="J134" s="544"/>
      <c r="K134" s="544"/>
      <c r="L134" s="544"/>
      <c r="M134" s="544"/>
    </row>
    <row r="135" spans="1:13" x14ac:dyDescent="0.35">
      <c r="A135" s="544"/>
      <c r="B135" s="544"/>
      <c r="C135" s="544"/>
      <c r="E135" s="544"/>
      <c r="F135" s="544"/>
      <c r="G135" s="544"/>
      <c r="H135" s="544"/>
      <c r="I135" s="544"/>
      <c r="J135" s="544"/>
      <c r="K135" s="544"/>
      <c r="L135" s="544"/>
      <c r="M135" s="544"/>
    </row>
    <row r="136" spans="1:13" x14ac:dyDescent="0.35">
      <c r="A136" s="544"/>
      <c r="B136" s="544"/>
      <c r="C136" s="544"/>
      <c r="E136" s="544"/>
      <c r="F136" s="544"/>
      <c r="G136" s="544"/>
      <c r="H136" s="544"/>
      <c r="I136" s="544"/>
      <c r="J136" s="544"/>
      <c r="K136" s="544"/>
      <c r="L136" s="544"/>
      <c r="M136" s="544"/>
    </row>
    <row r="137" spans="1:13" x14ac:dyDescent="0.35">
      <c r="A137" s="544"/>
      <c r="B137" s="544"/>
      <c r="C137" s="544"/>
      <c r="E137" s="544"/>
      <c r="F137" s="544"/>
      <c r="G137" s="544"/>
      <c r="H137" s="544"/>
      <c r="I137" s="544"/>
      <c r="J137" s="544"/>
      <c r="K137" s="544"/>
      <c r="L137" s="544"/>
      <c r="M137" s="544"/>
    </row>
    <row r="138" spans="1:13" x14ac:dyDescent="0.35">
      <c r="A138" s="544"/>
      <c r="B138" s="544"/>
      <c r="C138" s="544"/>
      <c r="E138" s="544"/>
      <c r="F138" s="544"/>
      <c r="G138" s="544"/>
      <c r="H138" s="544"/>
      <c r="I138" s="544"/>
      <c r="J138" s="544"/>
      <c r="K138" s="544"/>
      <c r="L138" s="544"/>
      <c r="M138" s="544"/>
    </row>
    <row r="139" spans="1:13" x14ac:dyDescent="0.35">
      <c r="A139" s="544"/>
      <c r="B139" s="544"/>
      <c r="C139" s="544"/>
      <c r="E139" s="544"/>
      <c r="F139" s="544"/>
      <c r="G139" s="544"/>
      <c r="H139" s="544"/>
      <c r="I139" s="544"/>
      <c r="J139" s="544"/>
      <c r="K139" s="544"/>
      <c r="L139" s="544"/>
      <c r="M139" s="544"/>
    </row>
    <row r="140" spans="1:13" x14ac:dyDescent="0.35">
      <c r="A140" s="544"/>
      <c r="B140" s="544"/>
      <c r="C140" s="544"/>
      <c r="E140" s="544"/>
      <c r="F140" s="544"/>
      <c r="G140" s="544"/>
      <c r="H140" s="544"/>
      <c r="I140" s="544"/>
      <c r="J140" s="544"/>
      <c r="K140" s="544"/>
      <c r="L140" s="544"/>
      <c r="M140" s="544"/>
    </row>
    <row r="141" spans="1:13" x14ac:dyDescent="0.35">
      <c r="A141" s="544"/>
      <c r="B141" s="544"/>
      <c r="C141" s="544"/>
      <c r="E141" s="544"/>
      <c r="F141" s="544"/>
      <c r="G141" s="544"/>
      <c r="H141" s="544"/>
      <c r="I141" s="544"/>
      <c r="J141" s="544"/>
      <c r="K141" s="544"/>
      <c r="L141" s="544"/>
      <c r="M141" s="544"/>
    </row>
    <row r="142" spans="1:13" x14ac:dyDescent="0.35">
      <c r="A142" s="544"/>
      <c r="B142" s="544"/>
      <c r="C142" s="544"/>
      <c r="E142" s="544"/>
      <c r="F142" s="544"/>
      <c r="G142" s="544"/>
      <c r="H142" s="544"/>
      <c r="I142" s="544"/>
      <c r="J142" s="544"/>
      <c r="K142" s="544"/>
      <c r="L142" s="544"/>
      <c r="M142" s="544"/>
    </row>
    <row r="143" spans="1:13" x14ac:dyDescent="0.35">
      <c r="A143" s="544"/>
      <c r="B143" s="544"/>
      <c r="C143" s="544"/>
      <c r="E143" s="544"/>
      <c r="F143" s="544"/>
      <c r="G143" s="544"/>
      <c r="H143" s="544"/>
      <c r="I143" s="544"/>
      <c r="J143" s="544"/>
      <c r="K143" s="544"/>
      <c r="L143" s="544"/>
      <c r="M143" s="544"/>
    </row>
    <row r="144" spans="1:13" x14ac:dyDescent="0.35">
      <c r="A144" s="544"/>
      <c r="B144" s="544"/>
      <c r="C144" s="544"/>
      <c r="E144" s="544"/>
      <c r="F144" s="544"/>
      <c r="G144" s="544"/>
      <c r="H144" s="544"/>
      <c r="I144" s="544"/>
      <c r="J144" s="544"/>
      <c r="K144" s="544"/>
      <c r="L144" s="544"/>
      <c r="M144" s="544"/>
    </row>
    <row r="145" spans="1:13" x14ac:dyDescent="0.35">
      <c r="A145" s="544"/>
      <c r="B145" s="544"/>
      <c r="C145" s="544"/>
      <c r="E145" s="544"/>
      <c r="F145" s="544"/>
      <c r="G145" s="544"/>
      <c r="H145" s="544"/>
      <c r="I145" s="544"/>
      <c r="J145" s="544"/>
      <c r="K145" s="544"/>
      <c r="L145" s="544"/>
      <c r="M145" s="544"/>
    </row>
    <row r="146" spans="1:13" x14ac:dyDescent="0.35">
      <c r="A146" s="544"/>
      <c r="B146" s="544"/>
      <c r="C146" s="544"/>
      <c r="E146" s="544"/>
      <c r="F146" s="544"/>
      <c r="G146" s="544"/>
      <c r="H146" s="544"/>
      <c r="I146" s="544"/>
      <c r="J146" s="544"/>
      <c r="K146" s="544"/>
      <c r="L146" s="544"/>
      <c r="M146" s="544"/>
    </row>
    <row r="147" spans="1:13" x14ac:dyDescent="0.35">
      <c r="A147" s="544"/>
      <c r="B147" s="544"/>
      <c r="C147" s="544"/>
      <c r="E147" s="544"/>
      <c r="F147" s="544"/>
      <c r="G147" s="544"/>
      <c r="H147" s="544"/>
      <c r="I147" s="544"/>
      <c r="J147" s="544"/>
      <c r="K147" s="544"/>
      <c r="L147" s="544"/>
      <c r="M147" s="544"/>
    </row>
    <row r="148" spans="1:13" x14ac:dyDescent="0.35">
      <c r="A148" s="544"/>
      <c r="B148" s="544"/>
      <c r="C148" s="544"/>
      <c r="E148" s="544"/>
      <c r="F148" s="544"/>
      <c r="G148" s="544"/>
      <c r="H148" s="544"/>
      <c r="I148" s="544"/>
      <c r="J148" s="544"/>
      <c r="K148" s="544"/>
      <c r="L148" s="544"/>
      <c r="M148" s="544"/>
    </row>
    <row r="149" spans="1:13" x14ac:dyDescent="0.35">
      <c r="A149" s="544"/>
      <c r="B149" s="544"/>
      <c r="C149" s="544"/>
      <c r="E149" s="544"/>
      <c r="F149" s="544"/>
      <c r="G149" s="544"/>
      <c r="H149" s="544"/>
      <c r="I149" s="544"/>
      <c r="J149" s="544"/>
      <c r="K149" s="544"/>
      <c r="L149" s="544"/>
      <c r="M149" s="544"/>
    </row>
    <row r="150" spans="1:13" x14ac:dyDescent="0.35">
      <c r="A150" s="544"/>
      <c r="B150" s="544"/>
      <c r="C150" s="544"/>
      <c r="E150" s="544"/>
      <c r="F150" s="544"/>
      <c r="G150" s="544"/>
      <c r="H150" s="544"/>
      <c r="I150" s="544"/>
      <c r="J150" s="544"/>
      <c r="K150" s="544"/>
      <c r="L150" s="544"/>
      <c r="M150" s="544"/>
    </row>
    <row r="151" spans="1:13" x14ac:dyDescent="0.35">
      <c r="A151" s="544"/>
      <c r="B151" s="544"/>
      <c r="C151" s="544"/>
      <c r="E151" s="544"/>
      <c r="F151" s="544"/>
      <c r="G151" s="544"/>
      <c r="H151" s="544"/>
      <c r="I151" s="544"/>
      <c r="J151" s="544"/>
      <c r="K151" s="544"/>
      <c r="L151" s="544"/>
      <c r="M151" s="544"/>
    </row>
    <row r="152" spans="1:13" x14ac:dyDescent="0.35">
      <c r="A152" s="544"/>
      <c r="B152" s="544"/>
      <c r="C152" s="544"/>
      <c r="E152" s="544"/>
      <c r="F152" s="544"/>
      <c r="G152" s="544"/>
      <c r="H152" s="544"/>
      <c r="I152" s="544"/>
      <c r="J152" s="544"/>
      <c r="K152" s="544"/>
      <c r="L152" s="544"/>
      <c r="M152" s="544"/>
    </row>
    <row r="153" spans="1:13" x14ac:dyDescent="0.35">
      <c r="A153" s="544"/>
      <c r="B153" s="544"/>
      <c r="C153" s="544"/>
      <c r="E153" s="544"/>
      <c r="F153" s="544"/>
      <c r="G153" s="544"/>
      <c r="H153" s="544"/>
      <c r="I153" s="544"/>
      <c r="J153" s="544"/>
      <c r="K153" s="544"/>
      <c r="L153" s="544"/>
      <c r="M153" s="544"/>
    </row>
    <row r="154" spans="1:13" x14ac:dyDescent="0.35">
      <c r="A154" s="544"/>
      <c r="B154" s="544"/>
      <c r="C154" s="544"/>
      <c r="E154" s="544"/>
      <c r="F154" s="544"/>
      <c r="G154" s="544"/>
      <c r="H154" s="544"/>
      <c r="I154" s="544"/>
      <c r="J154" s="544"/>
      <c r="K154" s="544"/>
      <c r="L154" s="544"/>
      <c r="M154" s="544"/>
    </row>
    <row r="155" spans="1:13" x14ac:dyDescent="0.35">
      <c r="A155" s="544"/>
      <c r="B155" s="544"/>
      <c r="C155" s="544"/>
      <c r="E155" s="544"/>
      <c r="F155" s="544"/>
      <c r="G155" s="544"/>
      <c r="H155" s="544"/>
      <c r="I155" s="544"/>
      <c r="J155" s="544"/>
      <c r="K155" s="544"/>
      <c r="L155" s="544"/>
      <c r="M155" s="544"/>
    </row>
    <row r="156" spans="1:13" x14ac:dyDescent="0.35">
      <c r="A156" s="544"/>
      <c r="B156" s="544"/>
      <c r="C156" s="544"/>
      <c r="E156" s="544"/>
      <c r="F156" s="544"/>
      <c r="G156" s="544"/>
      <c r="H156" s="544"/>
      <c r="I156" s="544"/>
      <c r="J156" s="544"/>
      <c r="K156" s="544"/>
      <c r="L156" s="544"/>
      <c r="M156" s="544"/>
    </row>
    <row r="157" spans="1:13" x14ac:dyDescent="0.35">
      <c r="A157" s="544"/>
      <c r="B157" s="544"/>
      <c r="C157" s="544"/>
      <c r="E157" s="544"/>
      <c r="F157" s="544"/>
      <c r="G157" s="544"/>
      <c r="H157" s="544"/>
      <c r="I157" s="544"/>
      <c r="J157" s="544"/>
      <c r="K157" s="544"/>
      <c r="L157" s="544"/>
      <c r="M157" s="544"/>
    </row>
    <row r="158" spans="1:13" x14ac:dyDescent="0.35">
      <c r="A158" s="544"/>
      <c r="B158" s="544"/>
      <c r="C158" s="544"/>
      <c r="E158" s="544"/>
      <c r="F158" s="544"/>
      <c r="G158" s="544"/>
      <c r="H158" s="544"/>
      <c r="I158" s="544"/>
      <c r="J158" s="544"/>
      <c r="K158" s="544"/>
      <c r="L158" s="544"/>
      <c r="M158" s="544"/>
    </row>
    <row r="159" spans="1:13" x14ac:dyDescent="0.35">
      <c r="A159" s="544"/>
      <c r="B159" s="544"/>
      <c r="C159" s="544"/>
      <c r="E159" s="544"/>
      <c r="F159" s="544"/>
      <c r="G159" s="544"/>
      <c r="H159" s="544"/>
      <c r="I159" s="544"/>
      <c r="J159" s="544"/>
      <c r="K159" s="544"/>
      <c r="L159" s="544"/>
      <c r="M159" s="544"/>
    </row>
    <row r="160" spans="1:13" x14ac:dyDescent="0.35">
      <c r="A160" s="544"/>
      <c r="B160" s="544"/>
      <c r="C160" s="544"/>
      <c r="E160" s="544"/>
      <c r="F160" s="544"/>
      <c r="G160" s="544"/>
      <c r="H160" s="544"/>
      <c r="I160" s="544"/>
      <c r="J160" s="544"/>
      <c r="K160" s="544"/>
      <c r="L160" s="544"/>
      <c r="M160" s="544"/>
    </row>
    <row r="161" spans="1:13" x14ac:dyDescent="0.35">
      <c r="A161" s="544"/>
      <c r="B161" s="544"/>
      <c r="C161" s="544"/>
      <c r="E161" s="544"/>
      <c r="F161" s="544"/>
      <c r="G161" s="544"/>
      <c r="H161" s="544"/>
      <c r="I161" s="544"/>
      <c r="J161" s="544"/>
      <c r="K161" s="544"/>
      <c r="L161" s="544"/>
      <c r="M161" s="544"/>
    </row>
    <row r="162" spans="1:13" x14ac:dyDescent="0.35">
      <c r="A162" s="544"/>
      <c r="B162" s="544"/>
      <c r="C162" s="544"/>
      <c r="E162" s="544"/>
      <c r="F162" s="544"/>
      <c r="G162" s="544"/>
      <c r="H162" s="544"/>
      <c r="I162" s="544"/>
      <c r="J162" s="544"/>
      <c r="K162" s="544"/>
      <c r="L162" s="544"/>
      <c r="M162" s="544"/>
    </row>
    <row r="163" spans="1:13" x14ac:dyDescent="0.35">
      <c r="A163" s="544"/>
      <c r="B163" s="544"/>
      <c r="C163" s="544"/>
      <c r="E163" s="544"/>
      <c r="F163" s="544"/>
      <c r="G163" s="544"/>
      <c r="H163" s="544"/>
      <c r="I163" s="544"/>
      <c r="J163" s="544"/>
      <c r="K163" s="544"/>
      <c r="L163" s="544"/>
      <c r="M163" s="544"/>
    </row>
    <row r="164" spans="1:13" x14ac:dyDescent="0.35">
      <c r="A164" s="544"/>
      <c r="B164" s="544"/>
      <c r="C164" s="544"/>
      <c r="E164" s="544"/>
      <c r="F164" s="544"/>
      <c r="G164" s="544"/>
      <c r="H164" s="544"/>
      <c r="I164" s="544"/>
      <c r="J164" s="544"/>
      <c r="K164" s="544"/>
      <c r="L164" s="544"/>
      <c r="M164" s="544"/>
    </row>
    <row r="165" spans="1:13" x14ac:dyDescent="0.35">
      <c r="A165" s="544"/>
      <c r="B165" s="544"/>
      <c r="C165" s="544"/>
      <c r="E165" s="544"/>
      <c r="F165" s="544"/>
      <c r="G165" s="544"/>
      <c r="H165" s="544"/>
      <c r="I165" s="544"/>
      <c r="J165" s="544"/>
      <c r="K165" s="544"/>
      <c r="L165" s="544"/>
      <c r="M165" s="544"/>
    </row>
    <row r="166" spans="1:13" x14ac:dyDescent="0.35">
      <c r="A166" s="544"/>
      <c r="B166" s="544"/>
      <c r="C166" s="544"/>
      <c r="E166" s="544"/>
      <c r="F166" s="544"/>
      <c r="G166" s="544"/>
      <c r="H166" s="544"/>
      <c r="I166" s="544"/>
      <c r="J166" s="544"/>
      <c r="K166" s="544"/>
      <c r="L166" s="544"/>
      <c r="M166" s="544"/>
    </row>
    <row r="167" spans="1:13" x14ac:dyDescent="0.35">
      <c r="A167" s="544"/>
      <c r="B167" s="544"/>
      <c r="C167" s="544"/>
      <c r="E167" s="544"/>
      <c r="F167" s="544"/>
      <c r="G167" s="544"/>
      <c r="H167" s="544"/>
      <c r="I167" s="544"/>
      <c r="J167" s="544"/>
      <c r="K167" s="544"/>
      <c r="L167" s="544"/>
      <c r="M167" s="544"/>
    </row>
    <row r="168" spans="1:13" x14ac:dyDescent="0.35">
      <c r="A168" s="544"/>
      <c r="B168" s="544"/>
      <c r="C168" s="544"/>
      <c r="E168" s="544"/>
      <c r="F168" s="544"/>
      <c r="G168" s="544"/>
      <c r="H168" s="544"/>
      <c r="I168" s="544"/>
      <c r="J168" s="544"/>
      <c r="K168" s="544"/>
      <c r="L168" s="544"/>
      <c r="M168" s="544"/>
    </row>
    <row r="169" spans="1:13" x14ac:dyDescent="0.35">
      <c r="A169" s="544"/>
      <c r="B169" s="544"/>
      <c r="C169" s="544"/>
      <c r="E169" s="544"/>
      <c r="F169" s="544"/>
      <c r="G169" s="544"/>
      <c r="H169" s="544"/>
      <c r="I169" s="544"/>
      <c r="J169" s="544"/>
      <c r="K169" s="544"/>
      <c r="L169" s="544"/>
      <c r="M169" s="544"/>
    </row>
    <row r="170" spans="1:13" x14ac:dyDescent="0.35">
      <c r="A170" s="544"/>
      <c r="B170" s="544"/>
      <c r="C170" s="544"/>
      <c r="E170" s="544"/>
      <c r="F170" s="544"/>
      <c r="G170" s="544"/>
      <c r="H170" s="544"/>
      <c r="I170" s="544"/>
      <c r="J170" s="544"/>
      <c r="K170" s="544"/>
      <c r="L170" s="544"/>
      <c r="M170" s="544"/>
    </row>
    <row r="171" spans="1:13" x14ac:dyDescent="0.35">
      <c r="A171" s="544"/>
      <c r="B171" s="544"/>
      <c r="C171" s="544"/>
      <c r="E171" s="544"/>
      <c r="F171" s="544"/>
      <c r="G171" s="544"/>
      <c r="H171" s="544"/>
      <c r="I171" s="544"/>
      <c r="J171" s="544"/>
      <c r="K171" s="544"/>
      <c r="L171" s="544"/>
      <c r="M171" s="544"/>
    </row>
    <row r="172" spans="1:13" x14ac:dyDescent="0.35">
      <c r="A172" s="544"/>
      <c r="B172" s="544"/>
      <c r="C172" s="544"/>
      <c r="E172" s="544"/>
      <c r="F172" s="544"/>
      <c r="G172" s="544"/>
      <c r="H172" s="544"/>
      <c r="I172" s="544"/>
      <c r="J172" s="544"/>
      <c r="K172" s="544"/>
      <c r="L172" s="544"/>
      <c r="M172" s="544"/>
    </row>
    <row r="173" spans="1:13" x14ac:dyDescent="0.35">
      <c r="A173" s="544"/>
      <c r="B173" s="544"/>
      <c r="C173" s="544"/>
      <c r="E173" s="544"/>
      <c r="F173" s="544"/>
      <c r="G173" s="544"/>
      <c r="H173" s="544"/>
      <c r="I173" s="544"/>
      <c r="J173" s="544"/>
      <c r="K173" s="544"/>
      <c r="L173" s="544"/>
      <c r="M173" s="544"/>
    </row>
    <row r="174" spans="1:13" x14ac:dyDescent="0.35">
      <c r="A174" s="544"/>
      <c r="B174" s="544"/>
      <c r="C174" s="544"/>
      <c r="E174" s="544"/>
      <c r="F174" s="544"/>
      <c r="G174" s="544"/>
      <c r="H174" s="544"/>
      <c r="I174" s="544"/>
      <c r="J174" s="544"/>
      <c r="K174" s="544"/>
      <c r="L174" s="544"/>
      <c r="M174" s="544"/>
    </row>
    <row r="175" spans="1:13" x14ac:dyDescent="0.35">
      <c r="A175" s="544"/>
      <c r="B175" s="544"/>
      <c r="C175" s="544"/>
      <c r="E175" s="544"/>
      <c r="F175" s="544"/>
      <c r="G175" s="544"/>
      <c r="H175" s="544"/>
      <c r="I175" s="544"/>
      <c r="J175" s="544"/>
      <c r="K175" s="544"/>
      <c r="L175" s="544"/>
      <c r="M175" s="544"/>
    </row>
    <row r="176" spans="1:13" x14ac:dyDescent="0.35">
      <c r="A176" s="544"/>
      <c r="B176" s="544"/>
      <c r="C176" s="544"/>
      <c r="E176" s="544"/>
      <c r="F176" s="544"/>
      <c r="G176" s="544"/>
      <c r="H176" s="544"/>
      <c r="I176" s="544"/>
      <c r="J176" s="544"/>
      <c r="K176" s="544"/>
      <c r="L176" s="544"/>
      <c r="M176" s="544"/>
    </row>
    <row r="177" spans="1:13" x14ac:dyDescent="0.35">
      <c r="A177" s="544"/>
      <c r="B177" s="544"/>
      <c r="C177" s="544"/>
      <c r="E177" s="544"/>
      <c r="F177" s="544"/>
      <c r="G177" s="544"/>
      <c r="H177" s="544"/>
      <c r="I177" s="544"/>
      <c r="J177" s="544"/>
      <c r="K177" s="544"/>
      <c r="L177" s="544"/>
      <c r="M177" s="544"/>
    </row>
    <row r="178" spans="1:13" x14ac:dyDescent="0.35">
      <c r="A178" s="544"/>
      <c r="B178" s="544"/>
      <c r="C178" s="544"/>
      <c r="E178" s="544"/>
      <c r="F178" s="544"/>
      <c r="G178" s="544"/>
      <c r="H178" s="544"/>
      <c r="I178" s="544"/>
      <c r="J178" s="544"/>
      <c r="K178" s="544"/>
      <c r="L178" s="544"/>
      <c r="M178" s="544"/>
    </row>
    <row r="179" spans="1:13" x14ac:dyDescent="0.35">
      <c r="A179" s="544"/>
      <c r="B179" s="544"/>
      <c r="C179" s="544"/>
      <c r="E179" s="544"/>
      <c r="F179" s="544"/>
      <c r="G179" s="544"/>
      <c r="H179" s="544"/>
      <c r="I179" s="544"/>
      <c r="J179" s="544"/>
      <c r="K179" s="544"/>
      <c r="L179" s="544"/>
      <c r="M179" s="544"/>
    </row>
    <row r="180" spans="1:13" x14ac:dyDescent="0.35">
      <c r="A180" s="544"/>
      <c r="B180" s="544"/>
      <c r="C180" s="544"/>
      <c r="E180" s="544"/>
      <c r="F180" s="544"/>
      <c r="G180" s="544"/>
      <c r="H180" s="544"/>
      <c r="I180" s="544"/>
      <c r="J180" s="544"/>
      <c r="K180" s="544"/>
      <c r="L180" s="544"/>
      <c r="M180" s="544"/>
    </row>
    <row r="181" spans="1:13" x14ac:dyDescent="0.35">
      <c r="A181" s="544"/>
      <c r="B181" s="544"/>
      <c r="C181" s="544"/>
      <c r="E181" s="544"/>
      <c r="F181" s="544"/>
      <c r="G181" s="544"/>
      <c r="H181" s="544"/>
      <c r="I181" s="544"/>
      <c r="J181" s="544"/>
      <c r="K181" s="544"/>
      <c r="L181" s="544"/>
      <c r="M181" s="544"/>
    </row>
    <row r="182" spans="1:13" x14ac:dyDescent="0.35">
      <c r="A182" s="544"/>
      <c r="B182" s="544"/>
      <c r="C182" s="544"/>
      <c r="E182" s="544"/>
      <c r="F182" s="544"/>
      <c r="G182" s="544"/>
      <c r="H182" s="544"/>
      <c r="I182" s="544"/>
      <c r="J182" s="544"/>
      <c r="K182" s="544"/>
      <c r="L182" s="544"/>
      <c r="M182" s="544"/>
    </row>
    <row r="183" spans="1:13" x14ac:dyDescent="0.35">
      <c r="A183" s="544"/>
      <c r="B183" s="544"/>
      <c r="C183" s="544"/>
      <c r="E183" s="544"/>
      <c r="F183" s="544"/>
      <c r="G183" s="544"/>
      <c r="H183" s="544"/>
      <c r="I183" s="544"/>
      <c r="J183" s="544"/>
      <c r="K183" s="544"/>
      <c r="L183" s="544"/>
      <c r="M183" s="544"/>
    </row>
    <row r="184" spans="1:13" x14ac:dyDescent="0.35">
      <c r="A184" s="544"/>
      <c r="B184" s="544"/>
      <c r="C184" s="544"/>
      <c r="E184" s="544"/>
      <c r="F184" s="544"/>
      <c r="G184" s="544"/>
      <c r="H184" s="544"/>
      <c r="I184" s="544"/>
      <c r="J184" s="544"/>
      <c r="K184" s="544"/>
      <c r="L184" s="544"/>
      <c r="M184" s="544"/>
    </row>
    <row r="185" spans="1:13" x14ac:dyDescent="0.35">
      <c r="A185" s="544"/>
      <c r="B185" s="544"/>
      <c r="C185" s="544"/>
      <c r="E185" s="544"/>
      <c r="F185" s="544"/>
      <c r="G185" s="544"/>
      <c r="H185" s="544"/>
      <c r="I185" s="544"/>
      <c r="J185" s="544"/>
      <c r="K185" s="544"/>
      <c r="L185" s="544"/>
      <c r="M185" s="544"/>
    </row>
    <row r="186" spans="1:13" x14ac:dyDescent="0.35">
      <c r="A186" s="544"/>
      <c r="B186" s="544"/>
      <c r="C186" s="544"/>
      <c r="E186" s="544"/>
      <c r="F186" s="544"/>
      <c r="G186" s="544"/>
      <c r="H186" s="544"/>
      <c r="I186" s="544"/>
      <c r="J186" s="544"/>
      <c r="K186" s="544"/>
      <c r="L186" s="544"/>
      <c r="M186" s="544"/>
    </row>
    <row r="187" spans="1:13" x14ac:dyDescent="0.35">
      <c r="A187" s="544"/>
      <c r="B187" s="544"/>
      <c r="C187" s="544"/>
      <c r="E187" s="544"/>
      <c r="F187" s="544"/>
      <c r="G187" s="544"/>
      <c r="H187" s="544"/>
      <c r="I187" s="544"/>
      <c r="J187" s="544"/>
      <c r="K187" s="544"/>
      <c r="L187" s="544"/>
      <c r="M187" s="544"/>
    </row>
    <row r="188" spans="1:13" x14ac:dyDescent="0.35">
      <c r="A188" s="544"/>
      <c r="B188" s="544"/>
      <c r="C188" s="544"/>
      <c r="E188" s="544"/>
      <c r="F188" s="544"/>
      <c r="G188" s="544"/>
      <c r="H188" s="544"/>
      <c r="I188" s="544"/>
      <c r="J188" s="544"/>
      <c r="K188" s="544"/>
      <c r="L188" s="544"/>
      <c r="M188" s="544"/>
    </row>
    <row r="189" spans="1:13" x14ac:dyDescent="0.35">
      <c r="A189" s="544"/>
      <c r="B189" s="544"/>
      <c r="C189" s="544"/>
      <c r="E189" s="544"/>
      <c r="F189" s="544"/>
      <c r="G189" s="544"/>
      <c r="H189" s="544"/>
      <c r="I189" s="544"/>
      <c r="J189" s="544"/>
      <c r="K189" s="544"/>
      <c r="L189" s="544"/>
      <c r="M189" s="544"/>
    </row>
    <row r="190" spans="1:13" x14ac:dyDescent="0.35">
      <c r="A190" s="544"/>
      <c r="B190" s="544"/>
      <c r="C190" s="544"/>
      <c r="E190" s="544"/>
      <c r="F190" s="544"/>
      <c r="G190" s="544"/>
      <c r="H190" s="544"/>
      <c r="I190" s="544"/>
      <c r="J190" s="544"/>
      <c r="K190" s="544"/>
      <c r="L190" s="544"/>
      <c r="M190" s="544"/>
    </row>
    <row r="191" spans="1:13" x14ac:dyDescent="0.35">
      <c r="A191" s="544"/>
      <c r="B191" s="544"/>
      <c r="C191" s="544"/>
      <c r="E191" s="544"/>
      <c r="F191" s="544"/>
      <c r="G191" s="544"/>
      <c r="H191" s="544"/>
      <c r="I191" s="544"/>
      <c r="J191" s="544"/>
      <c r="K191" s="544"/>
      <c r="L191" s="544"/>
      <c r="M191" s="544"/>
    </row>
    <row r="192" spans="1:13" x14ac:dyDescent="0.35">
      <c r="A192" s="544"/>
      <c r="B192" s="544"/>
      <c r="C192" s="544"/>
      <c r="E192" s="544"/>
      <c r="F192" s="544"/>
      <c r="G192" s="544"/>
      <c r="H192" s="544"/>
      <c r="I192" s="544"/>
      <c r="J192" s="544"/>
      <c r="K192" s="544"/>
      <c r="L192" s="544"/>
      <c r="M192" s="544"/>
    </row>
    <row r="193" spans="1:13" x14ac:dyDescent="0.35">
      <c r="A193" s="544"/>
      <c r="B193" s="544"/>
      <c r="C193" s="544"/>
      <c r="E193" s="544"/>
      <c r="F193" s="544"/>
      <c r="G193" s="544"/>
      <c r="H193" s="544"/>
      <c r="I193" s="544"/>
      <c r="J193" s="544"/>
      <c r="K193" s="544"/>
      <c r="L193" s="544"/>
      <c r="M193" s="544"/>
    </row>
    <row r="194" spans="1:13" x14ac:dyDescent="0.35">
      <c r="A194" s="544"/>
      <c r="B194" s="544"/>
      <c r="C194" s="544"/>
      <c r="E194" s="544"/>
      <c r="F194" s="544"/>
      <c r="G194" s="544"/>
      <c r="H194" s="544"/>
      <c r="I194" s="544"/>
      <c r="J194" s="544"/>
      <c r="K194" s="544"/>
      <c r="L194" s="544"/>
      <c r="M194" s="544"/>
    </row>
    <row r="195" spans="1:13" x14ac:dyDescent="0.35">
      <c r="A195" s="544"/>
      <c r="B195" s="544"/>
      <c r="C195" s="544"/>
      <c r="E195" s="544"/>
      <c r="F195" s="544"/>
      <c r="G195" s="544"/>
      <c r="H195" s="544"/>
      <c r="I195" s="544"/>
      <c r="J195" s="544"/>
      <c r="K195" s="544"/>
      <c r="L195" s="544"/>
      <c r="M195" s="544"/>
    </row>
    <row r="196" spans="1:13" x14ac:dyDescent="0.35">
      <c r="A196" s="544"/>
      <c r="B196" s="544"/>
      <c r="C196" s="544"/>
      <c r="E196" s="544"/>
      <c r="F196" s="544"/>
      <c r="G196" s="544"/>
      <c r="H196" s="544"/>
      <c r="I196" s="544"/>
      <c r="J196" s="544"/>
      <c r="K196" s="544"/>
      <c r="L196" s="544"/>
      <c r="M196" s="544"/>
    </row>
    <row r="197" spans="1:13" x14ac:dyDescent="0.35">
      <c r="A197" s="544"/>
      <c r="B197" s="544"/>
      <c r="C197" s="544"/>
      <c r="E197" s="544"/>
      <c r="F197" s="544"/>
      <c r="G197" s="544"/>
      <c r="H197" s="544"/>
      <c r="I197" s="544"/>
      <c r="J197" s="544"/>
      <c r="K197" s="544"/>
      <c r="L197" s="544"/>
      <c r="M197" s="544"/>
    </row>
    <row r="198" spans="1:13" x14ac:dyDescent="0.35">
      <c r="A198" s="544"/>
      <c r="B198" s="544"/>
      <c r="C198" s="544"/>
      <c r="E198" s="544"/>
      <c r="F198" s="544"/>
      <c r="G198" s="544"/>
      <c r="H198" s="544"/>
      <c r="I198" s="544"/>
      <c r="J198" s="544"/>
      <c r="K198" s="544"/>
      <c r="L198" s="544"/>
      <c r="M198" s="544"/>
    </row>
    <row r="199" spans="1:13" x14ac:dyDescent="0.35">
      <c r="A199" s="544"/>
      <c r="B199" s="544"/>
      <c r="C199" s="544"/>
      <c r="E199" s="544"/>
      <c r="F199" s="544"/>
      <c r="G199" s="544"/>
      <c r="H199" s="544"/>
      <c r="I199" s="544"/>
      <c r="J199" s="544"/>
      <c r="K199" s="544"/>
      <c r="L199" s="544"/>
      <c r="M199" s="544"/>
    </row>
    <row r="200" spans="1:13" x14ac:dyDescent="0.35">
      <c r="A200" s="544"/>
      <c r="B200" s="544"/>
      <c r="C200" s="544"/>
      <c r="E200" s="544"/>
      <c r="F200" s="544"/>
      <c r="G200" s="544"/>
      <c r="H200" s="544"/>
      <c r="I200" s="544"/>
      <c r="J200" s="544"/>
      <c r="K200" s="544"/>
      <c r="L200" s="544"/>
      <c r="M200" s="544"/>
    </row>
    <row r="201" spans="1:13" x14ac:dyDescent="0.35">
      <c r="A201" s="544"/>
      <c r="B201" s="544"/>
      <c r="C201" s="544"/>
      <c r="E201" s="544"/>
      <c r="F201" s="544"/>
      <c r="G201" s="544"/>
      <c r="H201" s="544"/>
      <c r="I201" s="544"/>
      <c r="J201" s="544"/>
      <c r="K201" s="544"/>
      <c r="L201" s="544"/>
      <c r="M201" s="544"/>
    </row>
    <row r="202" spans="1:13" x14ac:dyDescent="0.35">
      <c r="A202" s="544"/>
      <c r="B202" s="544"/>
      <c r="C202" s="544"/>
      <c r="E202" s="544"/>
      <c r="F202" s="544"/>
      <c r="G202" s="544"/>
      <c r="H202" s="544"/>
      <c r="I202" s="544"/>
      <c r="J202" s="544"/>
      <c r="K202" s="544"/>
      <c r="L202" s="544"/>
      <c r="M202" s="544"/>
    </row>
    <row r="203" spans="1:13" x14ac:dyDescent="0.35">
      <c r="A203" s="544"/>
      <c r="B203" s="544"/>
      <c r="C203" s="544"/>
      <c r="E203" s="544"/>
      <c r="F203" s="544"/>
      <c r="G203" s="544"/>
      <c r="H203" s="544"/>
      <c r="I203" s="544"/>
      <c r="J203" s="544"/>
      <c r="K203" s="544"/>
      <c r="L203" s="544"/>
      <c r="M203" s="544"/>
    </row>
    <row r="204" spans="1:13" x14ac:dyDescent="0.35">
      <c r="A204" s="544"/>
      <c r="B204" s="544"/>
      <c r="C204" s="544"/>
      <c r="E204" s="544"/>
      <c r="F204" s="544"/>
      <c r="G204" s="544"/>
      <c r="H204" s="544"/>
      <c r="I204" s="544"/>
      <c r="J204" s="544"/>
      <c r="K204" s="544"/>
      <c r="L204" s="544"/>
      <c r="M204" s="544"/>
    </row>
    <row r="205" spans="1:13" x14ac:dyDescent="0.35">
      <c r="A205" s="544"/>
      <c r="B205" s="544"/>
      <c r="C205" s="544"/>
      <c r="E205" s="544"/>
      <c r="F205" s="544"/>
      <c r="G205" s="544"/>
      <c r="H205" s="544"/>
      <c r="I205" s="544"/>
      <c r="J205" s="544"/>
      <c r="K205" s="544"/>
      <c r="L205" s="544"/>
      <c r="M205" s="544"/>
    </row>
    <row r="206" spans="1:13" x14ac:dyDescent="0.35">
      <c r="A206" s="544"/>
      <c r="B206" s="544"/>
      <c r="C206" s="544"/>
      <c r="E206" s="544"/>
      <c r="F206" s="544"/>
      <c r="G206" s="544"/>
      <c r="H206" s="544"/>
      <c r="I206" s="544"/>
      <c r="J206" s="544"/>
      <c r="K206" s="544"/>
      <c r="L206" s="544"/>
      <c r="M206" s="544"/>
    </row>
    <row r="207" spans="1:13" x14ac:dyDescent="0.35">
      <c r="A207" s="544"/>
      <c r="B207" s="544"/>
      <c r="C207" s="544"/>
      <c r="E207" s="544"/>
      <c r="F207" s="544"/>
      <c r="G207" s="544"/>
      <c r="H207" s="544"/>
      <c r="I207" s="544"/>
      <c r="J207" s="544"/>
      <c r="K207" s="544"/>
      <c r="L207" s="544"/>
      <c r="M207" s="544"/>
    </row>
    <row r="208" spans="1:13" x14ac:dyDescent="0.35">
      <c r="A208" s="544"/>
      <c r="B208" s="544"/>
      <c r="C208" s="544"/>
      <c r="E208" s="544"/>
      <c r="F208" s="544"/>
      <c r="G208" s="544"/>
      <c r="H208" s="544"/>
      <c r="I208" s="544"/>
      <c r="J208" s="544"/>
      <c r="K208" s="544"/>
      <c r="L208" s="544"/>
      <c r="M208" s="544"/>
    </row>
    <row r="209" spans="1:13" x14ac:dyDescent="0.35">
      <c r="A209" s="544"/>
      <c r="B209" s="544"/>
      <c r="C209" s="544"/>
      <c r="E209" s="544"/>
      <c r="F209" s="544"/>
      <c r="G209" s="544"/>
      <c r="H209" s="544"/>
      <c r="I209" s="544"/>
      <c r="J209" s="544"/>
      <c r="K209" s="544"/>
      <c r="L209" s="544"/>
      <c r="M209" s="544"/>
    </row>
    <row r="210" spans="1:13" x14ac:dyDescent="0.35">
      <c r="A210" s="544"/>
      <c r="B210" s="544"/>
      <c r="C210" s="544"/>
      <c r="E210" s="544"/>
      <c r="F210" s="544"/>
      <c r="G210" s="544"/>
      <c r="H210" s="544"/>
      <c r="I210" s="544"/>
      <c r="J210" s="544"/>
      <c r="K210" s="544"/>
      <c r="L210" s="544"/>
      <c r="M210" s="544"/>
    </row>
    <row r="211" spans="1:13" x14ac:dyDescent="0.35">
      <c r="A211" s="544"/>
      <c r="B211" s="544"/>
      <c r="C211" s="544"/>
      <c r="E211" s="544"/>
      <c r="F211" s="544"/>
      <c r="G211" s="544"/>
      <c r="H211" s="544"/>
      <c r="I211" s="544"/>
      <c r="J211" s="544"/>
      <c r="K211" s="544"/>
      <c r="L211" s="544"/>
      <c r="M211" s="544"/>
    </row>
    <row r="212" spans="1:13" x14ac:dyDescent="0.35">
      <c r="A212" s="544"/>
      <c r="B212" s="544"/>
      <c r="C212" s="544"/>
      <c r="E212" s="544"/>
      <c r="F212" s="544"/>
      <c r="G212" s="544"/>
      <c r="H212" s="544"/>
      <c r="I212" s="544"/>
      <c r="J212" s="544"/>
      <c r="K212" s="544"/>
      <c r="L212" s="544"/>
      <c r="M212" s="544"/>
    </row>
    <row r="213" spans="1:13" x14ac:dyDescent="0.35">
      <c r="A213" s="544"/>
      <c r="B213" s="544"/>
      <c r="C213" s="544"/>
      <c r="E213" s="544"/>
      <c r="F213" s="544"/>
      <c r="G213" s="544"/>
      <c r="H213" s="544"/>
      <c r="I213" s="544"/>
      <c r="J213" s="544"/>
      <c r="K213" s="544"/>
      <c r="L213" s="544"/>
      <c r="M213" s="544"/>
    </row>
    <row r="214" spans="1:13" x14ac:dyDescent="0.35">
      <c r="A214" s="544"/>
      <c r="B214" s="544"/>
      <c r="C214" s="544"/>
      <c r="E214" s="544"/>
      <c r="F214" s="544"/>
      <c r="G214" s="544"/>
      <c r="H214" s="544"/>
      <c r="I214" s="544"/>
      <c r="J214" s="544"/>
      <c r="K214" s="544"/>
      <c r="L214" s="544"/>
      <c r="M214" s="544"/>
    </row>
    <row r="215" spans="1:13" x14ac:dyDescent="0.35">
      <c r="A215" s="544"/>
      <c r="B215" s="544"/>
      <c r="C215" s="544"/>
      <c r="E215" s="544"/>
      <c r="F215" s="544"/>
      <c r="G215" s="544"/>
      <c r="H215" s="544"/>
      <c r="I215" s="544"/>
      <c r="J215" s="544"/>
      <c r="K215" s="544"/>
      <c r="L215" s="544"/>
      <c r="M215" s="544"/>
    </row>
    <row r="216" spans="1:13" x14ac:dyDescent="0.35">
      <c r="A216" s="544"/>
      <c r="B216" s="544"/>
      <c r="C216" s="544"/>
      <c r="E216" s="544"/>
      <c r="F216" s="544"/>
      <c r="G216" s="544"/>
      <c r="H216" s="544"/>
      <c r="I216" s="544"/>
      <c r="J216" s="544"/>
      <c r="K216" s="544"/>
      <c r="L216" s="544"/>
      <c r="M216" s="544"/>
    </row>
    <row r="217" spans="1:13" x14ac:dyDescent="0.35">
      <c r="A217" s="544"/>
      <c r="B217" s="544"/>
      <c r="C217" s="544"/>
      <c r="E217" s="544"/>
      <c r="F217" s="544"/>
      <c r="G217" s="544"/>
      <c r="H217" s="544"/>
      <c r="I217" s="544"/>
      <c r="J217" s="544"/>
      <c r="K217" s="544"/>
      <c r="L217" s="544"/>
      <c r="M217" s="544"/>
    </row>
    <row r="218" spans="1:13" x14ac:dyDescent="0.35">
      <c r="A218" s="544"/>
      <c r="B218" s="544"/>
      <c r="C218" s="544"/>
      <c r="E218" s="544"/>
      <c r="F218" s="544"/>
      <c r="G218" s="544"/>
      <c r="H218" s="544"/>
      <c r="I218" s="544"/>
      <c r="J218" s="544"/>
      <c r="K218" s="544"/>
      <c r="L218" s="544"/>
      <c r="M218" s="544"/>
    </row>
    <row r="219" spans="1:13" x14ac:dyDescent="0.35">
      <c r="A219" s="544"/>
      <c r="B219" s="544"/>
      <c r="C219" s="544"/>
      <c r="E219" s="544"/>
      <c r="F219" s="544"/>
      <c r="G219" s="544"/>
      <c r="H219" s="544"/>
      <c r="I219" s="544"/>
      <c r="J219" s="544"/>
      <c r="K219" s="544"/>
      <c r="L219" s="544"/>
      <c r="M219" s="544"/>
    </row>
    <row r="220" spans="1:13" x14ac:dyDescent="0.35">
      <c r="A220" s="544"/>
      <c r="B220" s="544"/>
      <c r="C220" s="544"/>
      <c r="E220" s="544"/>
      <c r="F220" s="544"/>
      <c r="G220" s="544"/>
      <c r="H220" s="544"/>
      <c r="I220" s="544"/>
      <c r="J220" s="544"/>
      <c r="K220" s="544"/>
      <c r="L220" s="544"/>
      <c r="M220" s="544"/>
    </row>
    <row r="221" spans="1:13" x14ac:dyDescent="0.35">
      <c r="A221" s="544"/>
      <c r="B221" s="544"/>
      <c r="C221" s="544"/>
      <c r="E221" s="544"/>
      <c r="F221" s="544"/>
      <c r="G221" s="544"/>
      <c r="H221" s="544"/>
      <c r="I221" s="544"/>
      <c r="J221" s="544"/>
      <c r="K221" s="544"/>
      <c r="L221" s="544"/>
      <c r="M221" s="544"/>
    </row>
    <row r="222" spans="1:13" x14ac:dyDescent="0.35">
      <c r="A222" s="544"/>
      <c r="B222" s="544"/>
      <c r="C222" s="544"/>
      <c r="E222" s="544"/>
      <c r="F222" s="544"/>
      <c r="G222" s="544"/>
      <c r="H222" s="544"/>
      <c r="I222" s="544"/>
      <c r="J222" s="544"/>
      <c r="K222" s="544"/>
      <c r="L222" s="544"/>
      <c r="M222" s="544"/>
    </row>
    <row r="223" spans="1:13" x14ac:dyDescent="0.35">
      <c r="A223" s="544"/>
      <c r="B223" s="544"/>
      <c r="C223" s="544"/>
      <c r="E223" s="544"/>
      <c r="F223" s="544"/>
      <c r="G223" s="544"/>
      <c r="H223" s="544"/>
      <c r="I223" s="544"/>
      <c r="J223" s="544"/>
      <c r="K223" s="544"/>
      <c r="L223" s="544"/>
      <c r="M223" s="544"/>
    </row>
    <row r="224" spans="1:13" x14ac:dyDescent="0.35">
      <c r="A224" s="544"/>
      <c r="B224" s="544"/>
      <c r="C224" s="544"/>
      <c r="E224" s="544"/>
      <c r="F224" s="544"/>
      <c r="G224" s="544"/>
      <c r="H224" s="544"/>
      <c r="I224" s="544"/>
      <c r="J224" s="544"/>
      <c r="K224" s="544"/>
      <c r="L224" s="544"/>
      <c r="M224" s="544"/>
    </row>
    <row r="225" spans="1:13" x14ac:dyDescent="0.35">
      <c r="A225" s="544"/>
      <c r="B225" s="544"/>
      <c r="C225" s="544"/>
      <c r="E225" s="544"/>
      <c r="F225" s="544"/>
      <c r="G225" s="544"/>
      <c r="H225" s="544"/>
      <c r="I225" s="544"/>
      <c r="J225" s="544"/>
      <c r="K225" s="544"/>
      <c r="L225" s="544"/>
      <c r="M225" s="544"/>
    </row>
    <row r="226" spans="1:13" x14ac:dyDescent="0.35">
      <c r="A226" s="544"/>
      <c r="B226" s="544"/>
      <c r="C226" s="544"/>
      <c r="E226" s="544"/>
      <c r="F226" s="544"/>
      <c r="G226" s="544"/>
      <c r="H226" s="544"/>
      <c r="I226" s="544"/>
      <c r="J226" s="544"/>
      <c r="K226" s="544"/>
      <c r="L226" s="544"/>
      <c r="M226" s="544"/>
    </row>
    <row r="227" spans="1:13" x14ac:dyDescent="0.35">
      <c r="A227" s="544"/>
      <c r="B227" s="544"/>
      <c r="C227" s="544"/>
      <c r="E227" s="544"/>
      <c r="F227" s="544"/>
      <c r="G227" s="544"/>
      <c r="H227" s="544"/>
      <c r="I227" s="544"/>
      <c r="J227" s="544"/>
      <c r="K227" s="544"/>
      <c r="L227" s="544"/>
      <c r="M227" s="544"/>
    </row>
    <row r="228" spans="1:13" x14ac:dyDescent="0.35">
      <c r="A228" s="544"/>
      <c r="B228" s="544"/>
      <c r="C228" s="544"/>
      <c r="E228" s="544"/>
      <c r="F228" s="544"/>
      <c r="G228" s="544"/>
      <c r="H228" s="544"/>
      <c r="I228" s="544"/>
      <c r="J228" s="544"/>
      <c r="K228" s="544"/>
      <c r="L228" s="544"/>
      <c r="M228" s="544"/>
    </row>
    <row r="229" spans="1:13" x14ac:dyDescent="0.35">
      <c r="A229" s="544"/>
      <c r="B229" s="544"/>
      <c r="C229" s="544"/>
      <c r="E229" s="544"/>
      <c r="F229" s="544"/>
      <c r="G229" s="544"/>
      <c r="H229" s="544"/>
      <c r="I229" s="544"/>
      <c r="J229" s="544"/>
      <c r="K229" s="544"/>
      <c r="L229" s="544"/>
      <c r="M229" s="544"/>
    </row>
    <row r="230" spans="1:13" x14ac:dyDescent="0.35">
      <c r="A230" s="544"/>
      <c r="B230" s="544"/>
      <c r="C230" s="544"/>
      <c r="E230" s="544"/>
      <c r="F230" s="544"/>
      <c r="G230" s="544"/>
      <c r="H230" s="544"/>
      <c r="I230" s="544"/>
      <c r="J230" s="544"/>
      <c r="K230" s="544"/>
      <c r="L230" s="544"/>
      <c r="M230" s="544"/>
    </row>
    <row r="231" spans="1:13" x14ac:dyDescent="0.35">
      <c r="A231" s="544"/>
      <c r="B231" s="544"/>
      <c r="C231" s="544"/>
      <c r="E231" s="544"/>
      <c r="F231" s="544"/>
      <c r="G231" s="544"/>
      <c r="H231" s="544"/>
      <c r="I231" s="544"/>
      <c r="J231" s="544"/>
      <c r="K231" s="544"/>
      <c r="L231" s="544"/>
      <c r="M231" s="544"/>
    </row>
    <row r="232" spans="1:13" x14ac:dyDescent="0.35">
      <c r="A232" s="544"/>
      <c r="B232" s="544"/>
      <c r="C232" s="544"/>
      <c r="E232" s="544"/>
      <c r="F232" s="544"/>
      <c r="G232" s="544"/>
      <c r="H232" s="544"/>
      <c r="I232" s="544"/>
      <c r="J232" s="544"/>
      <c r="K232" s="544"/>
      <c r="L232" s="544"/>
      <c r="M232" s="544"/>
    </row>
    <row r="233" spans="1:13" x14ac:dyDescent="0.35">
      <c r="A233" s="544"/>
      <c r="B233" s="544"/>
      <c r="C233" s="544"/>
      <c r="E233" s="544"/>
      <c r="F233" s="544"/>
      <c r="G233" s="544"/>
      <c r="H233" s="544"/>
      <c r="I233" s="544"/>
      <c r="J233" s="544"/>
      <c r="K233" s="544"/>
      <c r="L233" s="544"/>
      <c r="M233" s="544"/>
    </row>
    <row r="234" spans="1:13" x14ac:dyDescent="0.35">
      <c r="A234" s="544"/>
      <c r="B234" s="544"/>
      <c r="C234" s="544"/>
      <c r="E234" s="544"/>
      <c r="F234" s="544"/>
      <c r="G234" s="544"/>
      <c r="H234" s="544"/>
      <c r="I234" s="544"/>
      <c r="J234" s="544"/>
      <c r="K234" s="544"/>
      <c r="L234" s="544"/>
      <c r="M234" s="544"/>
    </row>
    <row r="235" spans="1:13" x14ac:dyDescent="0.35">
      <c r="A235" s="544"/>
      <c r="B235" s="544"/>
      <c r="C235" s="544"/>
      <c r="E235" s="544"/>
      <c r="F235" s="544"/>
      <c r="G235" s="544"/>
      <c r="H235" s="544"/>
      <c r="I235" s="544"/>
      <c r="J235" s="544"/>
      <c r="K235" s="544"/>
      <c r="L235" s="544"/>
      <c r="M235" s="544"/>
    </row>
    <row r="236" spans="1:13" x14ac:dyDescent="0.35">
      <c r="A236" s="544"/>
      <c r="B236" s="544"/>
      <c r="C236" s="544"/>
      <c r="E236" s="544"/>
      <c r="F236" s="544"/>
      <c r="G236" s="544"/>
      <c r="H236" s="544"/>
      <c r="I236" s="544"/>
      <c r="J236" s="544"/>
      <c r="K236" s="544"/>
      <c r="L236" s="544"/>
      <c r="M236" s="544"/>
    </row>
    <row r="237" spans="1:13" x14ac:dyDescent="0.35">
      <c r="A237" s="544"/>
      <c r="B237" s="544"/>
      <c r="C237" s="544"/>
      <c r="E237" s="544"/>
      <c r="F237" s="544"/>
      <c r="G237" s="544"/>
      <c r="H237" s="544"/>
      <c r="I237" s="544"/>
      <c r="J237" s="544"/>
      <c r="K237" s="544"/>
      <c r="L237" s="544"/>
      <c r="M237" s="544"/>
    </row>
    <row r="238" spans="1:13" x14ac:dyDescent="0.35">
      <c r="A238" s="544"/>
      <c r="B238" s="544"/>
      <c r="C238" s="544"/>
      <c r="E238" s="544"/>
      <c r="F238" s="544"/>
      <c r="G238" s="544"/>
      <c r="H238" s="544"/>
      <c r="I238" s="544"/>
      <c r="J238" s="544"/>
      <c r="K238" s="544"/>
      <c r="L238" s="544"/>
      <c r="M238" s="544"/>
    </row>
    <row r="239" spans="1:13" x14ac:dyDescent="0.35">
      <c r="A239" s="544"/>
      <c r="B239" s="544"/>
      <c r="C239" s="544"/>
      <c r="E239" s="544"/>
      <c r="F239" s="544"/>
      <c r="G239" s="544"/>
      <c r="H239" s="544"/>
      <c r="I239" s="544"/>
      <c r="J239" s="544"/>
      <c r="K239" s="544"/>
      <c r="L239" s="544"/>
      <c r="M239" s="544"/>
    </row>
    <row r="240" spans="1:13" x14ac:dyDescent="0.35">
      <c r="A240" s="544"/>
      <c r="B240" s="544"/>
      <c r="C240" s="544"/>
      <c r="E240" s="544"/>
      <c r="F240" s="544"/>
      <c r="G240" s="544"/>
      <c r="H240" s="544"/>
      <c r="I240" s="544"/>
      <c r="J240" s="544"/>
      <c r="K240" s="544"/>
      <c r="L240" s="544"/>
      <c r="M240" s="544"/>
    </row>
    <row r="241" spans="1:13" x14ac:dyDescent="0.35">
      <c r="A241" s="544"/>
      <c r="B241" s="544"/>
      <c r="C241" s="544"/>
      <c r="E241" s="544"/>
      <c r="F241" s="544"/>
      <c r="G241" s="544"/>
      <c r="H241" s="544"/>
      <c r="I241" s="544"/>
      <c r="J241" s="544"/>
      <c r="K241" s="544"/>
      <c r="L241" s="544"/>
      <c r="M241" s="544"/>
    </row>
    <row r="242" spans="1:13" x14ac:dyDescent="0.35">
      <c r="A242" s="544"/>
      <c r="B242" s="544"/>
      <c r="C242" s="544"/>
      <c r="E242" s="544"/>
      <c r="F242" s="544"/>
      <c r="G242" s="544"/>
      <c r="H242" s="544"/>
      <c r="I242" s="544"/>
      <c r="J242" s="544"/>
      <c r="K242" s="544"/>
      <c r="L242" s="544"/>
      <c r="M242" s="544"/>
    </row>
    <row r="243" spans="1:13" x14ac:dyDescent="0.35">
      <c r="A243" s="544"/>
      <c r="B243" s="544"/>
      <c r="C243" s="544"/>
      <c r="E243" s="544"/>
      <c r="F243" s="544"/>
      <c r="G243" s="544"/>
      <c r="H243" s="544"/>
      <c r="I243" s="544"/>
      <c r="J243" s="544"/>
      <c r="K243" s="544"/>
      <c r="L243" s="544"/>
      <c r="M243" s="544"/>
    </row>
    <row r="244" spans="1:13" x14ac:dyDescent="0.35">
      <c r="A244" s="544"/>
      <c r="B244" s="544"/>
      <c r="C244" s="544"/>
      <c r="E244" s="544"/>
      <c r="F244" s="544"/>
      <c r="G244" s="544"/>
      <c r="H244" s="544"/>
      <c r="I244" s="544"/>
      <c r="J244" s="544"/>
      <c r="K244" s="544"/>
      <c r="L244" s="544"/>
      <c r="M244" s="544"/>
    </row>
    <row r="245" spans="1:13" x14ac:dyDescent="0.35">
      <c r="A245" s="544"/>
      <c r="B245" s="544"/>
      <c r="C245" s="544"/>
      <c r="E245" s="544"/>
      <c r="F245" s="544"/>
      <c r="G245" s="544"/>
      <c r="H245" s="544"/>
      <c r="I245" s="544"/>
      <c r="J245" s="544"/>
      <c r="K245" s="544"/>
      <c r="L245" s="544"/>
      <c r="M245" s="544"/>
    </row>
    <row r="246" spans="1:13" x14ac:dyDescent="0.35">
      <c r="A246" s="544"/>
      <c r="B246" s="544"/>
      <c r="C246" s="544"/>
      <c r="E246" s="544"/>
      <c r="F246" s="544"/>
      <c r="G246" s="544"/>
      <c r="H246" s="544"/>
      <c r="I246" s="544"/>
      <c r="J246" s="544"/>
      <c r="K246" s="544"/>
      <c r="L246" s="544"/>
      <c r="M246" s="544"/>
    </row>
    <row r="247" spans="1:13" x14ac:dyDescent="0.35">
      <c r="A247" s="544"/>
      <c r="B247" s="544"/>
      <c r="C247" s="544"/>
      <c r="E247" s="544"/>
      <c r="F247" s="544"/>
      <c r="G247" s="544"/>
      <c r="H247" s="544"/>
      <c r="I247" s="544"/>
      <c r="J247" s="544"/>
      <c r="K247" s="544"/>
      <c r="L247" s="544"/>
      <c r="M247" s="544"/>
    </row>
    <row r="248" spans="1:13" x14ac:dyDescent="0.35">
      <c r="A248" s="544"/>
      <c r="B248" s="544"/>
      <c r="C248" s="544"/>
      <c r="E248" s="544"/>
      <c r="F248" s="544"/>
      <c r="G248" s="544"/>
      <c r="H248" s="544"/>
      <c r="I248" s="544"/>
      <c r="J248" s="544"/>
      <c r="K248" s="544"/>
      <c r="L248" s="544"/>
      <c r="M248" s="544"/>
    </row>
    <row r="249" spans="1:13" x14ac:dyDescent="0.35">
      <c r="A249" s="544"/>
      <c r="B249" s="544"/>
      <c r="C249" s="544"/>
      <c r="E249" s="544"/>
      <c r="F249" s="544"/>
      <c r="G249" s="544"/>
      <c r="H249" s="544"/>
      <c r="I249" s="544"/>
      <c r="J249" s="544"/>
      <c r="K249" s="544"/>
      <c r="L249" s="544"/>
      <c r="M249" s="544"/>
    </row>
    <row r="250" spans="1:13" x14ac:dyDescent="0.35">
      <c r="A250" s="544"/>
      <c r="B250" s="544"/>
      <c r="C250" s="544"/>
      <c r="E250" s="544"/>
      <c r="F250" s="544"/>
      <c r="G250" s="544"/>
      <c r="H250" s="544"/>
      <c r="I250" s="544"/>
      <c r="J250" s="544"/>
      <c r="K250" s="544"/>
      <c r="L250" s="544"/>
      <c r="M250" s="544"/>
    </row>
    <row r="251" spans="1:13" x14ac:dyDescent="0.35">
      <c r="A251" s="544"/>
      <c r="B251" s="544"/>
      <c r="C251" s="544"/>
      <c r="E251" s="544"/>
      <c r="F251" s="544"/>
      <c r="G251" s="544"/>
      <c r="H251" s="544"/>
      <c r="I251" s="544"/>
      <c r="J251" s="544"/>
      <c r="K251" s="544"/>
      <c r="L251" s="544"/>
      <c r="M251" s="544"/>
    </row>
    <row r="252" spans="1:13" x14ac:dyDescent="0.35">
      <c r="A252" s="544"/>
      <c r="B252" s="544"/>
      <c r="C252" s="544"/>
      <c r="E252" s="544"/>
      <c r="F252" s="544"/>
      <c r="G252" s="544"/>
      <c r="H252" s="544"/>
      <c r="I252" s="544"/>
      <c r="J252" s="544"/>
      <c r="K252" s="544"/>
      <c r="L252" s="544"/>
      <c r="M252" s="544"/>
    </row>
    <row r="253" spans="1:13" x14ac:dyDescent="0.35">
      <c r="A253" s="544"/>
      <c r="B253" s="544"/>
      <c r="C253" s="544"/>
      <c r="E253" s="544"/>
      <c r="F253" s="544"/>
      <c r="G253" s="544"/>
      <c r="H253" s="544"/>
      <c r="I253" s="544"/>
      <c r="J253" s="544"/>
      <c r="K253" s="544"/>
      <c r="L253" s="544"/>
      <c r="M253" s="544"/>
    </row>
    <row r="254" spans="1:13" x14ac:dyDescent="0.35">
      <c r="A254" s="544"/>
      <c r="B254" s="544"/>
      <c r="C254" s="544"/>
      <c r="E254" s="544"/>
      <c r="F254" s="544"/>
      <c r="G254" s="544"/>
      <c r="H254" s="544"/>
      <c r="I254" s="544"/>
      <c r="J254" s="544"/>
      <c r="K254" s="544"/>
      <c r="L254" s="544"/>
      <c r="M254" s="544"/>
    </row>
    <row r="255" spans="1:13" x14ac:dyDescent="0.35">
      <c r="A255" s="544"/>
      <c r="B255" s="544"/>
      <c r="C255" s="544"/>
      <c r="E255" s="544"/>
      <c r="F255" s="544"/>
      <c r="G255" s="544"/>
      <c r="H255" s="544"/>
      <c r="I255" s="544"/>
      <c r="J255" s="544"/>
      <c r="K255" s="544"/>
      <c r="L255" s="544"/>
      <c r="M255" s="544"/>
    </row>
    <row r="256" spans="1:13" x14ac:dyDescent="0.35">
      <c r="A256" s="544"/>
      <c r="B256" s="544"/>
      <c r="C256" s="544"/>
      <c r="E256" s="544"/>
      <c r="F256" s="544"/>
      <c r="G256" s="544"/>
      <c r="H256" s="544"/>
      <c r="I256" s="544"/>
      <c r="J256" s="544"/>
      <c r="K256" s="544"/>
      <c r="L256" s="544"/>
      <c r="M256" s="544"/>
    </row>
    <row r="257" spans="1:13" x14ac:dyDescent="0.35">
      <c r="A257" s="544"/>
      <c r="B257" s="544"/>
      <c r="C257" s="544"/>
      <c r="E257" s="544"/>
      <c r="F257" s="544"/>
      <c r="G257" s="544"/>
      <c r="H257" s="544"/>
      <c r="I257" s="544"/>
      <c r="J257" s="544"/>
      <c r="K257" s="544"/>
      <c r="L257" s="544"/>
      <c r="M257" s="544"/>
    </row>
    <row r="258" spans="1:13" x14ac:dyDescent="0.35">
      <c r="A258" s="544"/>
      <c r="B258" s="544"/>
      <c r="C258" s="544"/>
      <c r="E258" s="544"/>
      <c r="F258" s="544"/>
      <c r="G258" s="544"/>
      <c r="H258" s="544"/>
      <c r="I258" s="544"/>
      <c r="J258" s="544"/>
      <c r="K258" s="544"/>
      <c r="L258" s="544"/>
      <c r="M258" s="544"/>
    </row>
    <row r="259" spans="1:13" x14ac:dyDescent="0.35">
      <c r="A259" s="544"/>
      <c r="B259" s="544"/>
      <c r="C259" s="544"/>
      <c r="E259" s="544"/>
      <c r="F259" s="544"/>
      <c r="G259" s="544"/>
      <c r="H259" s="544"/>
      <c r="I259" s="544"/>
      <c r="J259" s="544"/>
      <c r="K259" s="544"/>
      <c r="L259" s="544"/>
      <c r="M259" s="544"/>
    </row>
    <row r="260" spans="1:13" x14ac:dyDescent="0.35">
      <c r="A260" s="544"/>
      <c r="B260" s="544"/>
      <c r="C260" s="544"/>
      <c r="E260" s="544"/>
      <c r="F260" s="544"/>
      <c r="G260" s="544"/>
      <c r="H260" s="544"/>
      <c r="I260" s="544"/>
      <c r="J260" s="544"/>
      <c r="K260" s="544"/>
      <c r="L260" s="544"/>
      <c r="M260" s="544"/>
    </row>
    <row r="261" spans="1:13" x14ac:dyDescent="0.35">
      <c r="A261" s="544"/>
      <c r="B261" s="544"/>
      <c r="C261" s="544"/>
      <c r="E261" s="544"/>
      <c r="F261" s="544"/>
      <c r="G261" s="544"/>
      <c r="H261" s="544"/>
      <c r="I261" s="544"/>
      <c r="J261" s="544"/>
      <c r="K261" s="544"/>
      <c r="L261" s="544"/>
      <c r="M261" s="544"/>
    </row>
    <row r="262" spans="1:13" x14ac:dyDescent="0.35">
      <c r="A262" s="544"/>
      <c r="B262" s="544"/>
      <c r="C262" s="544"/>
      <c r="E262" s="544"/>
      <c r="F262" s="544"/>
      <c r="G262" s="544"/>
      <c r="H262" s="544"/>
      <c r="I262" s="544"/>
      <c r="J262" s="544"/>
      <c r="K262" s="544"/>
      <c r="L262" s="544"/>
      <c r="M262" s="544"/>
    </row>
    <row r="263" spans="1:13" x14ac:dyDescent="0.35">
      <c r="A263" s="544"/>
      <c r="B263" s="544"/>
      <c r="C263" s="544"/>
      <c r="E263" s="544"/>
      <c r="F263" s="544"/>
      <c r="G263" s="544"/>
      <c r="H263" s="544"/>
      <c r="I263" s="544"/>
      <c r="J263" s="544"/>
      <c r="K263" s="544"/>
      <c r="L263" s="544"/>
      <c r="M263" s="544"/>
    </row>
    <row r="264" spans="1:13" x14ac:dyDescent="0.35">
      <c r="A264" s="544"/>
      <c r="B264" s="544"/>
      <c r="C264" s="544"/>
      <c r="E264" s="544"/>
      <c r="F264" s="544"/>
      <c r="G264" s="544"/>
      <c r="H264" s="544"/>
      <c r="I264" s="544"/>
      <c r="J264" s="544"/>
      <c r="K264" s="544"/>
      <c r="L264" s="544"/>
      <c r="M264" s="544"/>
    </row>
    <row r="265" spans="1:13" x14ac:dyDescent="0.35">
      <c r="A265" s="544"/>
      <c r="B265" s="544"/>
      <c r="C265" s="544"/>
      <c r="E265" s="544"/>
      <c r="F265" s="544"/>
      <c r="G265" s="544"/>
      <c r="H265" s="544"/>
      <c r="I265" s="544"/>
      <c r="J265" s="544"/>
      <c r="K265" s="544"/>
      <c r="L265" s="544"/>
      <c r="M265" s="544"/>
    </row>
    <row r="266" spans="1:13" x14ac:dyDescent="0.35">
      <c r="A266" s="544"/>
      <c r="B266" s="544"/>
      <c r="C266" s="544"/>
      <c r="E266" s="544"/>
      <c r="F266" s="544"/>
      <c r="G266" s="544"/>
      <c r="H266" s="544"/>
      <c r="I266" s="544"/>
      <c r="J266" s="544"/>
      <c r="K266" s="544"/>
      <c r="L266" s="544"/>
      <c r="M266" s="544"/>
    </row>
    <row r="267" spans="1:13" x14ac:dyDescent="0.35">
      <c r="A267" s="544"/>
      <c r="B267" s="544"/>
      <c r="C267" s="544"/>
      <c r="E267" s="544"/>
      <c r="F267" s="544"/>
      <c r="G267" s="544"/>
      <c r="H267" s="544"/>
      <c r="I267" s="544"/>
      <c r="J267" s="544"/>
      <c r="K267" s="544"/>
      <c r="L267" s="544"/>
      <c r="M267" s="544"/>
    </row>
    <row r="268" spans="1:13" x14ac:dyDescent="0.35">
      <c r="A268" s="544"/>
      <c r="B268" s="544"/>
      <c r="C268" s="544"/>
      <c r="E268" s="544"/>
      <c r="F268" s="544"/>
      <c r="G268" s="544"/>
      <c r="H268" s="544"/>
      <c r="I268" s="544"/>
      <c r="J268" s="544"/>
      <c r="K268" s="544"/>
      <c r="L268" s="544"/>
      <c r="M268" s="544"/>
    </row>
    <row r="269" spans="1:13" x14ac:dyDescent="0.35">
      <c r="A269" s="544"/>
      <c r="B269" s="544"/>
      <c r="C269" s="544"/>
      <c r="E269" s="544"/>
      <c r="F269" s="544"/>
      <c r="G269" s="544"/>
      <c r="H269" s="544"/>
      <c r="I269" s="544"/>
      <c r="J269" s="544"/>
      <c r="K269" s="544"/>
      <c r="L269" s="544"/>
      <c r="M269" s="544"/>
    </row>
    <row r="270" spans="1:13" x14ac:dyDescent="0.35">
      <c r="A270" s="544"/>
      <c r="B270" s="544"/>
      <c r="C270" s="544"/>
      <c r="E270" s="544"/>
      <c r="F270" s="544"/>
      <c r="G270" s="544"/>
      <c r="H270" s="544"/>
      <c r="I270" s="544"/>
      <c r="J270" s="544"/>
      <c r="K270" s="544"/>
      <c r="L270" s="544"/>
      <c r="M270" s="544"/>
    </row>
    <row r="271" spans="1:13" x14ac:dyDescent="0.35">
      <c r="A271" s="544"/>
      <c r="B271" s="544"/>
      <c r="C271" s="544"/>
      <c r="E271" s="544"/>
      <c r="F271" s="544"/>
      <c r="G271" s="544"/>
      <c r="H271" s="544"/>
      <c r="I271" s="544"/>
      <c r="J271" s="544"/>
      <c r="K271" s="544"/>
      <c r="L271" s="544"/>
      <c r="M271" s="544"/>
    </row>
    <row r="272" spans="1:13" x14ac:dyDescent="0.35">
      <c r="A272" s="544"/>
      <c r="B272" s="544"/>
      <c r="C272" s="544"/>
      <c r="E272" s="544"/>
      <c r="F272" s="544"/>
      <c r="G272" s="544"/>
      <c r="H272" s="544"/>
      <c r="I272" s="544"/>
      <c r="J272" s="544"/>
      <c r="K272" s="544"/>
      <c r="L272" s="544"/>
      <c r="M272" s="544"/>
    </row>
    <row r="273" spans="2:13" x14ac:dyDescent="0.35">
      <c r="B273" s="544"/>
      <c r="C273" s="544"/>
      <c r="E273" s="544"/>
      <c r="F273" s="544"/>
      <c r="G273" s="544"/>
      <c r="H273" s="544"/>
      <c r="I273" s="544"/>
      <c r="J273" s="544"/>
      <c r="K273" s="544"/>
      <c r="L273" s="544"/>
      <c r="M273" s="544"/>
    </row>
    <row r="274" spans="2:13" x14ac:dyDescent="0.35">
      <c r="B274" s="544"/>
      <c r="C274" s="544"/>
      <c r="E274" s="544"/>
      <c r="F274" s="544"/>
      <c r="G274" s="544"/>
      <c r="H274" s="544"/>
      <c r="I274" s="544"/>
      <c r="J274" s="544"/>
      <c r="K274" s="544"/>
      <c r="L274" s="544"/>
      <c r="M274" s="544"/>
    </row>
    <row r="275" spans="2:13" x14ac:dyDescent="0.35">
      <c r="B275" s="544"/>
      <c r="C275" s="544"/>
      <c r="E275" s="544"/>
      <c r="F275" s="544"/>
      <c r="G275" s="544"/>
      <c r="H275" s="544"/>
      <c r="I275" s="544"/>
      <c r="J275" s="544"/>
      <c r="K275" s="544"/>
      <c r="L275" s="544"/>
      <c r="M275" s="544"/>
    </row>
    <row r="276" spans="2:13" x14ac:dyDescent="0.35">
      <c r="B276" s="544"/>
      <c r="C276" s="544"/>
      <c r="E276" s="544"/>
      <c r="F276" s="544"/>
      <c r="G276" s="544"/>
      <c r="H276" s="544"/>
      <c r="I276" s="544"/>
      <c r="J276" s="544"/>
      <c r="K276" s="544"/>
      <c r="L276" s="544"/>
      <c r="M276" s="544"/>
    </row>
    <row r="277" spans="2:13" x14ac:dyDescent="0.35">
      <c r="B277" s="544"/>
      <c r="C277" s="544"/>
      <c r="E277" s="544"/>
      <c r="F277" s="544"/>
      <c r="G277" s="544"/>
      <c r="H277" s="544"/>
      <c r="I277" s="544"/>
      <c r="J277" s="544"/>
      <c r="K277" s="544"/>
      <c r="L277" s="544"/>
      <c r="M277" s="544"/>
    </row>
    <row r="278" spans="2:13" x14ac:dyDescent="0.35">
      <c r="B278" s="544"/>
      <c r="C278" s="544"/>
      <c r="E278" s="544"/>
      <c r="F278" s="544"/>
      <c r="G278" s="544"/>
      <c r="H278" s="544"/>
      <c r="I278" s="544"/>
      <c r="J278" s="544"/>
      <c r="K278" s="544"/>
      <c r="L278" s="544"/>
      <c r="M278" s="544"/>
    </row>
    <row r="279" spans="2:13" x14ac:dyDescent="0.35">
      <c r="B279" s="544"/>
      <c r="C279" s="544"/>
      <c r="E279" s="544"/>
      <c r="F279" s="544"/>
      <c r="G279" s="544"/>
      <c r="H279" s="544"/>
      <c r="I279" s="544"/>
      <c r="J279" s="544"/>
      <c r="K279" s="544"/>
      <c r="L279" s="544"/>
      <c r="M279" s="544"/>
    </row>
    <row r="280" spans="2:13" x14ac:dyDescent="0.35">
      <c r="B280" s="544"/>
      <c r="C280" s="544"/>
      <c r="E280" s="544"/>
      <c r="F280" s="544"/>
      <c r="G280" s="544"/>
      <c r="H280" s="544"/>
      <c r="I280" s="544"/>
      <c r="J280" s="544"/>
      <c r="K280" s="544"/>
      <c r="L280" s="544"/>
      <c r="M280" s="544"/>
    </row>
    <row r="281" spans="2:13" x14ac:dyDescent="0.35">
      <c r="B281" s="544"/>
      <c r="C281" s="544"/>
      <c r="E281" s="544"/>
      <c r="F281" s="544"/>
      <c r="G281" s="544"/>
      <c r="H281" s="544"/>
      <c r="I281" s="544"/>
      <c r="J281" s="544"/>
      <c r="K281" s="544"/>
      <c r="L281" s="544"/>
      <c r="M281" s="544"/>
    </row>
    <row r="282" spans="2:13" x14ac:dyDescent="0.35">
      <c r="B282" s="544"/>
      <c r="C282" s="544"/>
      <c r="E282" s="544"/>
      <c r="F282" s="544"/>
      <c r="G282" s="544"/>
      <c r="H282" s="544"/>
      <c r="I282" s="544"/>
      <c r="J282" s="544"/>
      <c r="K282" s="544"/>
      <c r="L282" s="544"/>
      <c r="M282" s="544"/>
    </row>
    <row r="283" spans="2:13" x14ac:dyDescent="0.35">
      <c r="B283" s="544"/>
      <c r="C283" s="544"/>
      <c r="E283" s="544"/>
      <c r="F283" s="544"/>
      <c r="G283" s="544"/>
      <c r="H283" s="544"/>
      <c r="I283" s="544"/>
      <c r="J283" s="544"/>
      <c r="K283" s="544"/>
      <c r="L283" s="544"/>
      <c r="M283" s="544"/>
    </row>
    <row r="284" spans="2:13" x14ac:dyDescent="0.35">
      <c r="B284" s="544"/>
      <c r="C284" s="544"/>
      <c r="E284" s="544"/>
      <c r="F284" s="544"/>
      <c r="G284" s="544"/>
      <c r="H284" s="544"/>
      <c r="I284" s="544"/>
      <c r="J284" s="544"/>
      <c r="K284" s="544"/>
      <c r="L284" s="544"/>
      <c r="M284" s="544"/>
    </row>
    <row r="285" spans="2:13" x14ac:dyDescent="0.35">
      <c r="B285" s="544"/>
      <c r="C285" s="544"/>
      <c r="E285" s="544"/>
      <c r="F285" s="544"/>
      <c r="G285" s="544"/>
      <c r="H285" s="544"/>
      <c r="I285" s="544"/>
      <c r="J285" s="544"/>
      <c r="K285" s="544"/>
      <c r="L285" s="544"/>
      <c r="M285" s="544"/>
    </row>
    <row r="286" spans="2:13" x14ac:dyDescent="0.35">
      <c r="B286" s="544"/>
      <c r="C286" s="544"/>
      <c r="E286" s="544"/>
      <c r="F286" s="544"/>
      <c r="G286" s="544"/>
      <c r="H286" s="544"/>
      <c r="I286" s="544"/>
      <c r="J286" s="544"/>
      <c r="K286" s="544"/>
      <c r="L286" s="544"/>
      <c r="M286" s="544"/>
    </row>
    <row r="287" spans="2:13" x14ac:dyDescent="0.35">
      <c r="B287" s="544"/>
      <c r="C287" s="544"/>
      <c r="E287" s="544"/>
      <c r="F287" s="544"/>
      <c r="G287" s="544"/>
      <c r="H287" s="544"/>
      <c r="I287" s="544"/>
      <c r="J287" s="544"/>
      <c r="K287" s="544"/>
      <c r="L287" s="544"/>
      <c r="M287" s="544"/>
    </row>
    <row r="288" spans="2:13" x14ac:dyDescent="0.35">
      <c r="B288" s="544"/>
      <c r="C288" s="544"/>
      <c r="E288" s="544"/>
      <c r="F288" s="544"/>
      <c r="G288" s="544"/>
      <c r="H288" s="544"/>
      <c r="I288" s="544"/>
      <c r="J288" s="544"/>
      <c r="K288" s="544"/>
      <c r="L288" s="544"/>
      <c r="M288" s="544"/>
    </row>
    <row r="289" spans="2:13" x14ac:dyDescent="0.35">
      <c r="B289" s="544"/>
      <c r="C289" s="544"/>
      <c r="E289" s="544"/>
      <c r="F289" s="544"/>
      <c r="G289" s="544"/>
      <c r="H289" s="544"/>
      <c r="I289" s="544"/>
      <c r="J289" s="544"/>
      <c r="K289" s="544"/>
      <c r="L289" s="544"/>
      <c r="M289" s="544"/>
    </row>
    <row r="290" spans="2:13" x14ac:dyDescent="0.35">
      <c r="B290" s="544"/>
      <c r="C290" s="544"/>
      <c r="E290" s="544"/>
      <c r="F290" s="544"/>
      <c r="G290" s="544"/>
      <c r="H290" s="544"/>
      <c r="I290" s="544"/>
      <c r="J290" s="544"/>
      <c r="K290" s="544"/>
      <c r="L290" s="544"/>
      <c r="M290" s="544"/>
    </row>
    <row r="291" spans="2:13" x14ac:dyDescent="0.35">
      <c r="B291" s="544"/>
      <c r="C291" s="544"/>
      <c r="E291" s="544"/>
      <c r="F291" s="544"/>
      <c r="G291" s="544"/>
      <c r="H291" s="544"/>
      <c r="I291" s="544"/>
      <c r="J291" s="544"/>
      <c r="K291" s="544"/>
      <c r="L291" s="544"/>
      <c r="M291" s="544"/>
    </row>
    <row r="292" spans="2:13" x14ac:dyDescent="0.35">
      <c r="B292" s="544"/>
      <c r="C292" s="544"/>
      <c r="E292" s="544"/>
      <c r="F292" s="544"/>
      <c r="G292" s="544"/>
      <c r="H292" s="544"/>
      <c r="I292" s="544"/>
      <c r="J292" s="544"/>
      <c r="K292" s="544"/>
      <c r="L292" s="544"/>
      <c r="M292" s="544"/>
    </row>
    <row r="293" spans="2:13" x14ac:dyDescent="0.35">
      <c r="B293" s="544"/>
      <c r="C293" s="544"/>
      <c r="E293" s="544"/>
      <c r="F293" s="544"/>
      <c r="G293" s="544"/>
      <c r="H293" s="544"/>
      <c r="I293" s="544"/>
      <c r="J293" s="544"/>
      <c r="K293" s="544"/>
      <c r="L293" s="544"/>
      <c r="M293" s="544"/>
    </row>
    <row r="294" spans="2:13" x14ac:dyDescent="0.35">
      <c r="B294" s="544"/>
      <c r="C294" s="544"/>
      <c r="E294" s="544"/>
      <c r="F294" s="544"/>
      <c r="G294" s="544"/>
      <c r="H294" s="544"/>
      <c r="I294" s="544"/>
      <c r="J294" s="544"/>
      <c r="K294" s="544"/>
      <c r="L294" s="544"/>
      <c r="M294" s="544"/>
    </row>
    <row r="295" spans="2:13" x14ac:dyDescent="0.35">
      <c r="B295" s="544"/>
      <c r="C295" s="544"/>
      <c r="E295" s="544"/>
      <c r="F295" s="544"/>
      <c r="G295" s="544"/>
      <c r="H295" s="544"/>
      <c r="I295" s="544"/>
      <c r="J295" s="544"/>
      <c r="K295" s="544"/>
      <c r="L295" s="544"/>
      <c r="M295" s="544"/>
    </row>
    <row r="296" spans="2:13" x14ac:dyDescent="0.35">
      <c r="B296" s="544"/>
      <c r="C296" s="544"/>
      <c r="E296" s="544"/>
      <c r="F296" s="544"/>
      <c r="G296" s="544"/>
      <c r="H296" s="544"/>
      <c r="I296" s="544"/>
      <c r="J296" s="544"/>
      <c r="K296" s="544"/>
      <c r="L296" s="544"/>
      <c r="M296" s="544"/>
    </row>
    <row r="297" spans="2:13" x14ac:dyDescent="0.35">
      <c r="B297" s="544"/>
      <c r="C297" s="544"/>
      <c r="E297" s="544"/>
      <c r="F297" s="544"/>
      <c r="G297" s="544"/>
      <c r="H297" s="544"/>
      <c r="I297" s="544"/>
      <c r="J297" s="544"/>
      <c r="K297" s="544"/>
      <c r="L297" s="544"/>
      <c r="M297" s="544"/>
    </row>
    <row r="298" spans="2:13" x14ac:dyDescent="0.35">
      <c r="B298" s="544"/>
      <c r="C298" s="544"/>
      <c r="E298" s="544"/>
      <c r="F298" s="544"/>
      <c r="G298" s="544"/>
      <c r="H298" s="544"/>
      <c r="I298" s="544"/>
      <c r="J298" s="544"/>
      <c r="K298" s="544"/>
      <c r="L298" s="544"/>
      <c r="M298" s="544"/>
    </row>
    <row r="299" spans="2:13" x14ac:dyDescent="0.35">
      <c r="B299" s="544"/>
      <c r="C299" s="544"/>
      <c r="E299" s="544"/>
      <c r="F299" s="544"/>
      <c r="G299" s="544"/>
      <c r="H299" s="544"/>
      <c r="I299" s="544"/>
      <c r="J299" s="544"/>
      <c r="K299" s="544"/>
      <c r="L299" s="544"/>
      <c r="M299" s="544"/>
    </row>
    <row r="300" spans="2:13" x14ac:dyDescent="0.35">
      <c r="B300" s="544"/>
      <c r="C300" s="544"/>
      <c r="E300" s="544"/>
      <c r="F300" s="544"/>
      <c r="G300" s="544"/>
      <c r="H300" s="544"/>
      <c r="I300" s="544"/>
      <c r="J300" s="544"/>
      <c r="K300" s="544"/>
      <c r="L300" s="544"/>
      <c r="M300" s="544"/>
    </row>
    <row r="301" spans="2:13" x14ac:dyDescent="0.35">
      <c r="B301" s="544"/>
      <c r="C301" s="544"/>
      <c r="E301" s="544"/>
      <c r="F301" s="544"/>
      <c r="G301" s="544"/>
      <c r="H301" s="544"/>
      <c r="I301" s="544"/>
      <c r="J301" s="544"/>
      <c r="K301" s="544"/>
      <c r="L301" s="544"/>
      <c r="M301" s="544"/>
    </row>
    <row r="302" spans="2:13" x14ac:dyDescent="0.35">
      <c r="B302" s="544"/>
      <c r="C302" s="544"/>
      <c r="E302" s="544"/>
      <c r="F302" s="544"/>
      <c r="G302" s="544"/>
      <c r="H302" s="544"/>
      <c r="I302" s="544"/>
      <c r="J302" s="544"/>
      <c r="K302" s="544"/>
      <c r="L302" s="544"/>
      <c r="M302" s="544"/>
    </row>
    <row r="303" spans="2:13" x14ac:dyDescent="0.35">
      <c r="B303" s="544"/>
      <c r="C303" s="544"/>
      <c r="E303" s="544"/>
      <c r="F303" s="544"/>
      <c r="G303" s="544"/>
      <c r="H303" s="544"/>
      <c r="I303" s="544"/>
      <c r="J303" s="544"/>
      <c r="K303" s="544"/>
      <c r="L303" s="544"/>
      <c r="M303" s="544"/>
    </row>
    <row r="304" spans="2:13" x14ac:dyDescent="0.35">
      <c r="B304" s="544"/>
      <c r="C304" s="544"/>
      <c r="E304" s="544"/>
      <c r="F304" s="544"/>
      <c r="G304" s="544"/>
      <c r="H304" s="544"/>
      <c r="I304" s="544"/>
      <c r="J304" s="544"/>
      <c r="K304" s="544"/>
      <c r="L304" s="544"/>
      <c r="M304" s="544"/>
    </row>
    <row r="305" spans="2:13" x14ac:dyDescent="0.35">
      <c r="B305" s="544"/>
      <c r="C305" s="544"/>
      <c r="E305" s="544"/>
      <c r="F305" s="544"/>
      <c r="G305" s="544"/>
      <c r="H305" s="544"/>
      <c r="I305" s="544"/>
      <c r="J305" s="544"/>
      <c r="K305" s="544"/>
      <c r="L305" s="544"/>
      <c r="M305" s="544"/>
    </row>
    <row r="306" spans="2:13" x14ac:dyDescent="0.35">
      <c r="B306" s="544"/>
      <c r="C306" s="544"/>
      <c r="E306" s="544"/>
      <c r="F306" s="544"/>
      <c r="G306" s="544"/>
      <c r="H306" s="544"/>
      <c r="I306" s="544"/>
      <c r="J306" s="544"/>
      <c r="K306" s="544"/>
      <c r="L306" s="544"/>
      <c r="M306" s="544"/>
    </row>
    <row r="307" spans="2:13" x14ac:dyDescent="0.35">
      <c r="B307" s="544"/>
      <c r="C307" s="544"/>
      <c r="E307" s="544"/>
      <c r="F307" s="544"/>
      <c r="G307" s="544"/>
      <c r="H307" s="544"/>
      <c r="I307" s="544"/>
      <c r="J307" s="544"/>
      <c r="K307" s="544"/>
      <c r="L307" s="544"/>
      <c r="M307" s="544"/>
    </row>
    <row r="308" spans="2:13" x14ac:dyDescent="0.35">
      <c r="B308" s="544"/>
      <c r="C308" s="544"/>
      <c r="E308" s="544"/>
      <c r="F308" s="544"/>
      <c r="G308" s="544"/>
      <c r="H308" s="544"/>
      <c r="I308" s="544"/>
      <c r="J308" s="544"/>
      <c r="K308" s="544"/>
      <c r="L308" s="544"/>
      <c r="M308" s="544"/>
    </row>
    <row r="309" spans="2:13" x14ac:dyDescent="0.35">
      <c r="B309" s="544"/>
      <c r="C309" s="544"/>
      <c r="E309" s="544"/>
      <c r="F309" s="544"/>
      <c r="G309" s="544"/>
      <c r="H309" s="544"/>
      <c r="I309" s="544"/>
      <c r="J309" s="544"/>
      <c r="K309" s="544"/>
      <c r="L309" s="544"/>
      <c r="M309" s="544"/>
    </row>
    <row r="310" spans="2:13" x14ac:dyDescent="0.35">
      <c r="B310" s="544"/>
      <c r="C310" s="544"/>
      <c r="E310" s="544"/>
      <c r="F310" s="544"/>
      <c r="G310" s="544"/>
      <c r="H310" s="544"/>
      <c r="I310" s="544"/>
      <c r="J310" s="544"/>
      <c r="K310" s="544"/>
      <c r="L310" s="544"/>
      <c r="M310" s="544"/>
    </row>
    <row r="311" spans="2:13" x14ac:dyDescent="0.35">
      <c r="B311" s="544"/>
      <c r="C311" s="544"/>
      <c r="E311" s="544"/>
      <c r="F311" s="544"/>
      <c r="G311" s="544"/>
      <c r="H311" s="544"/>
      <c r="I311" s="544"/>
      <c r="J311" s="544"/>
      <c r="K311" s="544"/>
      <c r="L311" s="544"/>
      <c r="M311" s="544"/>
    </row>
    <row r="312" spans="2:13" x14ac:dyDescent="0.35">
      <c r="B312" s="544"/>
      <c r="C312" s="544"/>
      <c r="E312" s="544"/>
      <c r="F312" s="544"/>
      <c r="G312" s="544"/>
      <c r="H312" s="544"/>
      <c r="I312" s="544"/>
      <c r="J312" s="544"/>
      <c r="K312" s="544"/>
      <c r="L312" s="544"/>
      <c r="M312" s="544"/>
    </row>
    <row r="313" spans="2:13" x14ac:dyDescent="0.35">
      <c r="B313" s="544"/>
      <c r="C313" s="544"/>
      <c r="E313" s="544"/>
      <c r="F313" s="544"/>
      <c r="G313" s="544"/>
      <c r="H313" s="544"/>
      <c r="I313" s="544"/>
      <c r="J313" s="544"/>
      <c r="K313" s="544"/>
      <c r="L313" s="544"/>
      <c r="M313" s="544"/>
    </row>
    <row r="314" spans="2:13" x14ac:dyDescent="0.35">
      <c r="B314" s="544"/>
      <c r="C314" s="544"/>
      <c r="E314" s="544"/>
      <c r="F314" s="544"/>
      <c r="G314" s="544"/>
      <c r="H314" s="544"/>
      <c r="I314" s="544"/>
      <c r="J314" s="544"/>
      <c r="K314" s="544"/>
      <c r="L314" s="544"/>
      <c r="M314" s="544"/>
    </row>
    <row r="315" spans="2:13" x14ac:dyDescent="0.35">
      <c r="B315" s="544"/>
      <c r="C315" s="544"/>
      <c r="E315" s="544"/>
      <c r="F315" s="544"/>
      <c r="G315" s="544"/>
      <c r="H315" s="544"/>
      <c r="I315" s="544"/>
      <c r="J315" s="544"/>
      <c r="K315" s="544"/>
      <c r="L315" s="544"/>
      <c r="M315" s="544"/>
    </row>
    <row r="316" spans="2:13" x14ac:dyDescent="0.35">
      <c r="B316" s="544"/>
      <c r="C316" s="544"/>
      <c r="E316" s="544"/>
      <c r="F316" s="544"/>
      <c r="G316" s="544"/>
      <c r="H316" s="544"/>
      <c r="I316" s="544"/>
      <c r="J316" s="544"/>
      <c r="K316" s="544"/>
      <c r="L316" s="544"/>
      <c r="M316" s="544"/>
    </row>
    <row r="317" spans="2:13" x14ac:dyDescent="0.35">
      <c r="B317" s="544"/>
      <c r="C317" s="544"/>
      <c r="E317" s="544"/>
      <c r="F317" s="544"/>
      <c r="G317" s="544"/>
      <c r="H317" s="544"/>
      <c r="I317" s="544"/>
      <c r="J317" s="544"/>
      <c r="K317" s="544"/>
      <c r="L317" s="544"/>
      <c r="M317" s="544"/>
    </row>
    <row r="318" spans="2:13" x14ac:dyDescent="0.35">
      <c r="B318" s="544"/>
      <c r="C318" s="544"/>
      <c r="E318" s="544"/>
      <c r="F318" s="544"/>
      <c r="G318" s="544"/>
      <c r="H318" s="544"/>
      <c r="I318" s="544"/>
      <c r="J318" s="544"/>
      <c r="K318" s="544"/>
      <c r="L318" s="544"/>
      <c r="M318" s="544"/>
    </row>
    <row r="319" spans="2:13" x14ac:dyDescent="0.35">
      <c r="B319" s="544"/>
      <c r="C319" s="544"/>
      <c r="E319" s="544"/>
      <c r="F319" s="544"/>
      <c r="G319" s="544"/>
      <c r="H319" s="544"/>
      <c r="I319" s="544"/>
      <c r="J319" s="544"/>
      <c r="K319" s="544"/>
      <c r="L319" s="544"/>
      <c r="M319" s="544"/>
    </row>
    <row r="320" spans="2:13" x14ac:dyDescent="0.35">
      <c r="B320" s="544"/>
      <c r="C320" s="544"/>
      <c r="E320" s="544"/>
      <c r="F320" s="544"/>
      <c r="G320" s="544"/>
      <c r="H320" s="544"/>
      <c r="I320" s="544"/>
      <c r="J320" s="544"/>
      <c r="K320" s="544"/>
      <c r="L320" s="544"/>
      <c r="M320" s="544"/>
    </row>
    <row r="321" spans="2:13" x14ac:dyDescent="0.35">
      <c r="B321" s="544"/>
      <c r="C321" s="544"/>
      <c r="E321" s="544"/>
      <c r="F321" s="544"/>
      <c r="G321" s="544"/>
      <c r="H321" s="544"/>
      <c r="I321" s="544"/>
      <c r="J321" s="544"/>
      <c r="K321" s="544"/>
      <c r="L321" s="544"/>
      <c r="M321" s="544"/>
    </row>
    <row r="322" spans="2:13" x14ac:dyDescent="0.35">
      <c r="B322" s="544"/>
      <c r="C322" s="544"/>
      <c r="E322" s="544"/>
      <c r="F322" s="544"/>
      <c r="G322" s="544"/>
      <c r="H322" s="544"/>
      <c r="I322" s="544"/>
      <c r="J322" s="544"/>
      <c r="K322" s="544"/>
      <c r="L322" s="544"/>
      <c r="M322" s="544"/>
    </row>
    <row r="323" spans="2:13" x14ac:dyDescent="0.35">
      <c r="B323" s="544"/>
      <c r="C323" s="544"/>
      <c r="E323" s="544"/>
      <c r="F323" s="544"/>
      <c r="G323" s="544"/>
      <c r="H323" s="544"/>
      <c r="I323" s="544"/>
      <c r="J323" s="544"/>
      <c r="K323" s="544"/>
      <c r="L323" s="544"/>
      <c r="M323" s="544"/>
    </row>
    <row r="324" spans="2:13" x14ac:dyDescent="0.35">
      <c r="B324" s="544"/>
      <c r="C324" s="544"/>
      <c r="E324" s="544"/>
      <c r="F324" s="544"/>
      <c r="G324" s="544"/>
      <c r="H324" s="544"/>
      <c r="I324" s="544"/>
      <c r="J324" s="544"/>
      <c r="K324" s="544"/>
      <c r="L324" s="544"/>
      <c r="M324" s="544"/>
    </row>
    <row r="325" spans="2:13" x14ac:dyDescent="0.35">
      <c r="B325" s="544"/>
      <c r="C325" s="544"/>
      <c r="E325" s="544"/>
      <c r="F325" s="544"/>
      <c r="G325" s="544"/>
      <c r="H325" s="544"/>
      <c r="I325" s="544"/>
      <c r="J325" s="544"/>
      <c r="K325" s="544"/>
      <c r="L325" s="544"/>
      <c r="M325" s="544"/>
    </row>
    <row r="326" spans="2:13" x14ac:dyDescent="0.35">
      <c r="B326" s="544"/>
      <c r="C326" s="544"/>
      <c r="E326" s="544"/>
      <c r="F326" s="544"/>
      <c r="G326" s="544"/>
      <c r="H326" s="544"/>
      <c r="I326" s="544"/>
      <c r="J326" s="544"/>
      <c r="K326" s="544"/>
      <c r="L326" s="544"/>
      <c r="M326" s="544"/>
    </row>
    <row r="327" spans="2:13" x14ac:dyDescent="0.35">
      <c r="B327" s="544"/>
      <c r="C327" s="544"/>
      <c r="E327" s="544"/>
      <c r="F327" s="544"/>
      <c r="G327" s="544"/>
      <c r="H327" s="544"/>
      <c r="I327" s="544"/>
      <c r="J327" s="544"/>
      <c r="K327" s="544"/>
      <c r="L327" s="544"/>
      <c r="M327" s="544"/>
    </row>
    <row r="328" spans="2:13" x14ac:dyDescent="0.35">
      <c r="B328" s="544"/>
      <c r="C328" s="544"/>
      <c r="E328" s="544"/>
      <c r="F328" s="544"/>
      <c r="G328" s="544"/>
      <c r="H328" s="544"/>
      <c r="I328" s="544"/>
      <c r="J328" s="544"/>
      <c r="K328" s="544"/>
      <c r="L328" s="544"/>
      <c r="M328" s="544"/>
    </row>
    <row r="329" spans="2:13" x14ac:dyDescent="0.35">
      <c r="B329" s="544"/>
      <c r="C329" s="544"/>
      <c r="E329" s="544"/>
      <c r="F329" s="544"/>
      <c r="G329" s="544"/>
      <c r="H329" s="544"/>
      <c r="I329" s="544"/>
      <c r="J329" s="544"/>
      <c r="K329" s="544"/>
      <c r="L329" s="544"/>
      <c r="M329" s="544"/>
    </row>
    <row r="330" spans="2:13" x14ac:dyDescent="0.35">
      <c r="B330" s="544"/>
      <c r="C330" s="544"/>
      <c r="E330" s="544"/>
      <c r="F330" s="544"/>
      <c r="G330" s="544"/>
      <c r="H330" s="544"/>
      <c r="I330" s="544"/>
      <c r="J330" s="544"/>
      <c r="K330" s="544"/>
      <c r="L330" s="544"/>
      <c r="M330" s="544"/>
    </row>
    <row r="331" spans="2:13" x14ac:dyDescent="0.35">
      <c r="B331" s="544"/>
      <c r="C331" s="544"/>
      <c r="E331" s="544"/>
      <c r="F331" s="544"/>
      <c r="G331" s="544"/>
      <c r="H331" s="544"/>
      <c r="I331" s="544"/>
      <c r="J331" s="544"/>
      <c r="K331" s="544"/>
      <c r="L331" s="544"/>
      <c r="M331" s="544"/>
    </row>
    <row r="332" spans="2:13" x14ac:dyDescent="0.35">
      <c r="B332" s="544"/>
      <c r="C332" s="544"/>
      <c r="E332" s="544"/>
      <c r="F332" s="544"/>
      <c r="G332" s="544"/>
      <c r="H332" s="544"/>
      <c r="I332" s="544"/>
      <c r="J332" s="544"/>
      <c r="K332" s="544"/>
      <c r="L332" s="544"/>
      <c r="M332" s="544"/>
    </row>
    <row r="333" spans="2:13" x14ac:dyDescent="0.35">
      <c r="B333" s="544"/>
      <c r="C333" s="544"/>
      <c r="E333" s="544"/>
      <c r="F333" s="544"/>
      <c r="G333" s="544"/>
      <c r="H333" s="544"/>
      <c r="I333" s="544"/>
      <c r="J333" s="544"/>
      <c r="K333" s="544"/>
      <c r="L333" s="544"/>
      <c r="M333" s="544"/>
    </row>
    <row r="334" spans="2:13" x14ac:dyDescent="0.35">
      <c r="B334" s="544"/>
      <c r="C334" s="544"/>
      <c r="E334" s="544"/>
      <c r="F334" s="544"/>
      <c r="G334" s="544"/>
      <c r="H334" s="544"/>
      <c r="I334" s="544"/>
      <c r="J334" s="544"/>
      <c r="K334" s="544"/>
      <c r="L334" s="544"/>
      <c r="M334" s="544"/>
    </row>
    <row r="335" spans="2:13" x14ac:dyDescent="0.35">
      <c r="B335" s="544"/>
      <c r="C335" s="544"/>
      <c r="E335" s="544"/>
      <c r="F335" s="544"/>
      <c r="G335" s="544"/>
      <c r="H335" s="544"/>
      <c r="I335" s="544"/>
      <c r="J335" s="544"/>
      <c r="K335" s="544"/>
      <c r="L335" s="544"/>
      <c r="M335" s="544"/>
    </row>
    <row r="336" spans="2:13" x14ac:dyDescent="0.35">
      <c r="B336" s="544"/>
      <c r="C336" s="544"/>
      <c r="E336" s="544"/>
      <c r="F336" s="544"/>
      <c r="G336" s="544"/>
      <c r="H336" s="544"/>
      <c r="I336" s="544"/>
      <c r="J336" s="544"/>
      <c r="K336" s="544"/>
      <c r="L336" s="544"/>
      <c r="M336" s="544"/>
    </row>
    <row r="337" spans="2:13" x14ac:dyDescent="0.35">
      <c r="B337" s="544"/>
      <c r="C337" s="544"/>
      <c r="E337" s="544"/>
      <c r="F337" s="544"/>
      <c r="G337" s="544"/>
      <c r="H337" s="544"/>
      <c r="I337" s="544"/>
      <c r="J337" s="544"/>
      <c r="K337" s="544"/>
      <c r="L337" s="544"/>
      <c r="M337" s="544"/>
    </row>
    <row r="338" spans="2:13" x14ac:dyDescent="0.35">
      <c r="B338" s="544"/>
      <c r="C338" s="544"/>
      <c r="E338" s="544"/>
      <c r="F338" s="544"/>
      <c r="G338" s="544"/>
      <c r="H338" s="544"/>
      <c r="I338" s="544"/>
      <c r="J338" s="544"/>
      <c r="K338" s="544"/>
      <c r="L338" s="544"/>
      <c r="M338" s="544"/>
    </row>
    <row r="339" spans="2:13" x14ac:dyDescent="0.35">
      <c r="B339" s="544"/>
      <c r="C339" s="544"/>
      <c r="E339" s="544"/>
      <c r="F339" s="544"/>
      <c r="G339" s="544"/>
      <c r="H339" s="544"/>
      <c r="I339" s="544"/>
      <c r="J339" s="544"/>
      <c r="K339" s="544"/>
      <c r="L339" s="544"/>
      <c r="M339" s="544"/>
    </row>
    <row r="340" spans="2:13" x14ac:dyDescent="0.35">
      <c r="B340" s="544"/>
      <c r="C340" s="544"/>
      <c r="E340" s="544"/>
      <c r="F340" s="544"/>
      <c r="G340" s="544"/>
      <c r="H340" s="544"/>
      <c r="I340" s="544"/>
      <c r="J340" s="544"/>
      <c r="K340" s="544"/>
      <c r="L340" s="544"/>
      <c r="M340" s="544"/>
    </row>
    <row r="341" spans="2:13" x14ac:dyDescent="0.35">
      <c r="B341" s="544"/>
      <c r="C341" s="544"/>
      <c r="E341" s="544"/>
      <c r="F341" s="544"/>
      <c r="G341" s="544"/>
      <c r="H341" s="544"/>
      <c r="I341" s="544"/>
      <c r="J341" s="544"/>
      <c r="K341" s="544"/>
      <c r="L341" s="544"/>
      <c r="M341" s="544"/>
    </row>
    <row r="342" spans="2:13" x14ac:dyDescent="0.35">
      <c r="B342" s="544"/>
      <c r="C342" s="544"/>
      <c r="E342" s="544"/>
      <c r="F342" s="544"/>
      <c r="G342" s="544"/>
      <c r="H342" s="544"/>
      <c r="I342" s="544"/>
      <c r="J342" s="544"/>
      <c r="K342" s="544"/>
      <c r="L342" s="544"/>
      <c r="M342" s="544"/>
    </row>
    <row r="343" spans="2:13" x14ac:dyDescent="0.35">
      <c r="B343" s="544"/>
      <c r="C343" s="544"/>
      <c r="E343" s="544"/>
      <c r="F343" s="544"/>
      <c r="G343" s="544"/>
      <c r="H343" s="544"/>
      <c r="I343" s="544"/>
      <c r="J343" s="544"/>
      <c r="K343" s="544"/>
      <c r="L343" s="544"/>
      <c r="M343" s="544"/>
    </row>
    <row r="344" spans="2:13" x14ac:dyDescent="0.35">
      <c r="B344" s="544"/>
      <c r="C344" s="544"/>
      <c r="E344" s="544"/>
      <c r="F344" s="544"/>
      <c r="G344" s="544"/>
      <c r="H344" s="544"/>
      <c r="I344" s="544"/>
      <c r="J344" s="544"/>
      <c r="K344" s="544"/>
      <c r="L344" s="544"/>
      <c r="M344" s="544"/>
    </row>
    <row r="345" spans="2:13" x14ac:dyDescent="0.35">
      <c r="B345" s="544"/>
      <c r="C345" s="544"/>
      <c r="E345" s="544"/>
      <c r="F345" s="544"/>
      <c r="G345" s="544"/>
      <c r="H345" s="544"/>
      <c r="I345" s="544"/>
      <c r="J345" s="544"/>
      <c r="K345" s="544"/>
      <c r="L345" s="544"/>
      <c r="M345" s="544"/>
    </row>
    <row r="346" spans="2:13" x14ac:dyDescent="0.35">
      <c r="B346" s="544"/>
      <c r="C346" s="544"/>
      <c r="E346" s="544"/>
      <c r="F346" s="544"/>
      <c r="G346" s="544"/>
      <c r="H346" s="544"/>
      <c r="I346" s="544"/>
      <c r="J346" s="544"/>
      <c r="K346" s="544"/>
      <c r="L346" s="544"/>
      <c r="M346" s="544"/>
    </row>
    <row r="347" spans="2:13" x14ac:dyDescent="0.35">
      <c r="B347" s="544"/>
      <c r="C347" s="544"/>
      <c r="E347" s="544"/>
      <c r="F347" s="544"/>
      <c r="G347" s="544"/>
      <c r="H347" s="544"/>
      <c r="I347" s="544"/>
      <c r="J347" s="544"/>
      <c r="K347" s="544"/>
      <c r="L347" s="544"/>
      <c r="M347" s="544"/>
    </row>
    <row r="348" spans="2:13" x14ac:dyDescent="0.35">
      <c r="B348" s="544"/>
      <c r="C348" s="544"/>
      <c r="E348" s="544"/>
      <c r="F348" s="544"/>
      <c r="G348" s="544"/>
      <c r="H348" s="544"/>
      <c r="I348" s="544"/>
      <c r="J348" s="544"/>
      <c r="K348" s="544"/>
      <c r="L348" s="544"/>
      <c r="M348" s="544"/>
    </row>
    <row r="349" spans="2:13" x14ac:dyDescent="0.35">
      <c r="B349" s="544"/>
      <c r="C349" s="544"/>
      <c r="E349" s="544"/>
      <c r="F349" s="544"/>
      <c r="G349" s="544"/>
      <c r="H349" s="544"/>
      <c r="I349" s="544"/>
      <c r="J349" s="544"/>
      <c r="K349" s="544"/>
      <c r="L349" s="544"/>
      <c r="M349" s="544"/>
    </row>
    <row r="350" spans="2:13" x14ac:dyDescent="0.35">
      <c r="B350" s="544"/>
      <c r="C350" s="544"/>
      <c r="E350" s="544"/>
      <c r="F350" s="544"/>
      <c r="G350" s="544"/>
      <c r="H350" s="544"/>
      <c r="I350" s="544"/>
      <c r="J350" s="544"/>
      <c r="K350" s="544"/>
      <c r="L350" s="544"/>
      <c r="M350" s="544"/>
    </row>
    <row r="351" spans="2:13" x14ac:dyDescent="0.35">
      <c r="B351" s="544"/>
      <c r="C351" s="544"/>
      <c r="E351" s="544"/>
      <c r="F351" s="544"/>
      <c r="G351" s="544"/>
      <c r="H351" s="544"/>
      <c r="I351" s="544"/>
      <c r="J351" s="544"/>
      <c r="K351" s="544"/>
      <c r="L351" s="544"/>
      <c r="M351" s="544"/>
    </row>
    <row r="352" spans="2:13" x14ac:dyDescent="0.35">
      <c r="B352" s="544"/>
      <c r="C352" s="544"/>
      <c r="E352" s="544"/>
      <c r="F352" s="544"/>
      <c r="G352" s="544"/>
      <c r="H352" s="544"/>
      <c r="I352" s="544"/>
      <c r="J352" s="544"/>
      <c r="K352" s="544"/>
      <c r="L352" s="544"/>
      <c r="M352" s="544"/>
    </row>
    <row r="353" spans="2:13" x14ac:dyDescent="0.35">
      <c r="B353" s="544"/>
      <c r="C353" s="544"/>
      <c r="E353" s="544"/>
      <c r="F353" s="544"/>
      <c r="G353" s="544"/>
      <c r="H353" s="544"/>
      <c r="I353" s="544"/>
      <c r="J353" s="544"/>
      <c r="K353" s="544"/>
      <c r="L353" s="544"/>
      <c r="M353" s="544"/>
    </row>
    <row r="354" spans="2:13" x14ac:dyDescent="0.35">
      <c r="B354" s="544"/>
      <c r="C354" s="544"/>
      <c r="E354" s="544"/>
      <c r="F354" s="544"/>
      <c r="G354" s="544"/>
      <c r="H354" s="544"/>
      <c r="I354" s="544"/>
      <c r="J354" s="544"/>
      <c r="K354" s="544"/>
      <c r="L354" s="544"/>
      <c r="M354" s="544"/>
    </row>
    <row r="355" spans="2:13" x14ac:dyDescent="0.35">
      <c r="B355" s="544"/>
      <c r="C355" s="544"/>
      <c r="E355" s="544"/>
      <c r="F355" s="544"/>
      <c r="G355" s="544"/>
      <c r="H355" s="544"/>
      <c r="I355" s="544"/>
      <c r="J355" s="544"/>
      <c r="K355" s="544"/>
      <c r="L355" s="544"/>
      <c r="M355" s="544"/>
    </row>
    <row r="356" spans="2:13" x14ac:dyDescent="0.35">
      <c r="B356" s="544"/>
      <c r="C356" s="544"/>
      <c r="E356" s="544"/>
      <c r="F356" s="544"/>
      <c r="G356" s="544"/>
      <c r="H356" s="544"/>
      <c r="I356" s="544"/>
      <c r="J356" s="544"/>
      <c r="K356" s="544"/>
      <c r="L356" s="544"/>
      <c r="M356" s="544"/>
    </row>
    <row r="357" spans="2:13" x14ac:dyDescent="0.35">
      <c r="B357" s="544"/>
      <c r="C357" s="544"/>
      <c r="E357" s="544"/>
      <c r="F357" s="544"/>
      <c r="G357" s="544"/>
      <c r="H357" s="544"/>
      <c r="I357" s="544"/>
      <c r="J357" s="544"/>
      <c r="K357" s="544"/>
      <c r="L357" s="544"/>
      <c r="M357" s="544"/>
    </row>
    <row r="358" spans="2:13" x14ac:dyDescent="0.35">
      <c r="B358" s="544"/>
      <c r="C358" s="544"/>
      <c r="E358" s="544"/>
      <c r="F358" s="544"/>
      <c r="G358" s="544"/>
      <c r="H358" s="544"/>
      <c r="I358" s="544"/>
      <c r="J358" s="544"/>
      <c r="K358" s="544"/>
      <c r="L358" s="544"/>
      <c r="M358" s="544"/>
    </row>
    <row r="359" spans="2:13" x14ac:dyDescent="0.35">
      <c r="B359" s="544"/>
      <c r="C359" s="544"/>
      <c r="E359" s="544"/>
      <c r="F359" s="544"/>
      <c r="G359" s="544"/>
      <c r="H359" s="544"/>
      <c r="I359" s="544"/>
      <c r="J359" s="544"/>
      <c r="K359" s="544"/>
      <c r="L359" s="544"/>
      <c r="M359" s="544"/>
    </row>
    <row r="360" spans="2:13" x14ac:dyDescent="0.35">
      <c r="B360" s="544"/>
      <c r="C360" s="544"/>
      <c r="E360" s="544"/>
      <c r="F360" s="544"/>
      <c r="G360" s="544"/>
      <c r="H360" s="544"/>
      <c r="I360" s="544"/>
      <c r="J360" s="544"/>
      <c r="K360" s="544"/>
      <c r="L360" s="544"/>
      <c r="M360" s="544"/>
    </row>
    <row r="361" spans="2:13" x14ac:dyDescent="0.35">
      <c r="B361" s="544"/>
      <c r="C361" s="544"/>
      <c r="E361" s="544"/>
      <c r="F361" s="544"/>
      <c r="G361" s="544"/>
      <c r="H361" s="544"/>
      <c r="I361" s="544"/>
      <c r="J361" s="544"/>
      <c r="K361" s="544"/>
      <c r="L361" s="544"/>
      <c r="M361" s="544"/>
    </row>
    <row r="362" spans="2:13" x14ac:dyDescent="0.35">
      <c r="B362" s="544"/>
      <c r="C362" s="544"/>
      <c r="E362" s="544"/>
      <c r="F362" s="544"/>
      <c r="G362" s="544"/>
      <c r="H362" s="544"/>
      <c r="I362" s="544"/>
      <c r="J362" s="544"/>
      <c r="K362" s="544"/>
      <c r="L362" s="544"/>
      <c r="M362" s="544"/>
    </row>
    <row r="363" spans="2:13" x14ac:dyDescent="0.35">
      <c r="B363" s="544"/>
      <c r="C363" s="544"/>
      <c r="E363" s="544"/>
      <c r="F363" s="544"/>
      <c r="G363" s="544"/>
      <c r="H363" s="544"/>
      <c r="I363" s="544"/>
      <c r="J363" s="544"/>
      <c r="K363" s="544"/>
      <c r="L363" s="544"/>
      <c r="M363" s="544"/>
    </row>
    <row r="364" spans="2:13" x14ac:dyDescent="0.35">
      <c r="B364" s="544"/>
      <c r="C364" s="544"/>
      <c r="E364" s="544"/>
      <c r="F364" s="544"/>
      <c r="G364" s="544"/>
      <c r="H364" s="544"/>
      <c r="I364" s="544"/>
      <c r="J364" s="544"/>
      <c r="K364" s="544"/>
      <c r="L364" s="544"/>
      <c r="M364" s="544"/>
    </row>
    <row r="365" spans="2:13" x14ac:dyDescent="0.35">
      <c r="B365" s="544"/>
      <c r="C365" s="544"/>
      <c r="E365" s="544"/>
      <c r="F365" s="544"/>
      <c r="G365" s="544"/>
      <c r="H365" s="544"/>
      <c r="I365" s="544"/>
      <c r="J365" s="544"/>
      <c r="K365" s="544"/>
      <c r="L365" s="544"/>
      <c r="M365" s="544"/>
    </row>
    <row r="366" spans="2:13" x14ac:dyDescent="0.35">
      <c r="B366" s="544"/>
      <c r="C366" s="544"/>
      <c r="E366" s="544"/>
      <c r="F366" s="544"/>
      <c r="G366" s="544"/>
      <c r="H366" s="544"/>
      <c r="I366" s="544"/>
      <c r="J366" s="544"/>
      <c r="K366" s="544"/>
      <c r="L366" s="544"/>
      <c r="M366" s="544"/>
    </row>
    <row r="367" spans="2:13" x14ac:dyDescent="0.35">
      <c r="B367" s="544"/>
      <c r="C367" s="544"/>
      <c r="E367" s="544"/>
      <c r="F367" s="544"/>
      <c r="G367" s="544"/>
      <c r="H367" s="544"/>
      <c r="I367" s="544"/>
      <c r="J367" s="544"/>
      <c r="K367" s="544"/>
      <c r="L367" s="544"/>
      <c r="M367" s="544"/>
    </row>
    <row r="368" spans="2:13" x14ac:dyDescent="0.35">
      <c r="B368" s="544"/>
      <c r="C368" s="544"/>
      <c r="E368" s="544"/>
      <c r="F368" s="544"/>
      <c r="G368" s="544"/>
      <c r="H368" s="544"/>
      <c r="I368" s="544"/>
      <c r="J368" s="544"/>
      <c r="K368" s="544"/>
      <c r="L368" s="544"/>
      <c r="M368" s="544"/>
    </row>
    <row r="369" spans="2:13" x14ac:dyDescent="0.35">
      <c r="B369" s="544"/>
      <c r="C369" s="544"/>
      <c r="E369" s="544"/>
      <c r="F369" s="544"/>
      <c r="G369" s="544"/>
      <c r="H369" s="544"/>
      <c r="I369" s="544"/>
      <c r="J369" s="544"/>
      <c r="K369" s="544"/>
      <c r="L369" s="544"/>
      <c r="M369" s="544"/>
    </row>
    <row r="370" spans="2:13" x14ac:dyDescent="0.35">
      <c r="B370" s="544"/>
      <c r="C370" s="544"/>
      <c r="E370" s="544"/>
      <c r="F370" s="544"/>
      <c r="G370" s="544"/>
      <c r="H370" s="544"/>
      <c r="I370" s="544"/>
      <c r="J370" s="544"/>
      <c r="K370" s="544"/>
      <c r="L370" s="544"/>
      <c r="M370" s="544"/>
    </row>
    <row r="371" spans="2:13" x14ac:dyDescent="0.35">
      <c r="B371" s="544"/>
      <c r="C371" s="544"/>
      <c r="E371" s="544"/>
      <c r="F371" s="544"/>
      <c r="G371" s="544"/>
      <c r="H371" s="544"/>
      <c r="I371" s="544"/>
      <c r="J371" s="544"/>
      <c r="K371" s="544"/>
      <c r="L371" s="544"/>
      <c r="M371" s="544"/>
    </row>
    <row r="372" spans="2:13" x14ac:dyDescent="0.35">
      <c r="B372" s="544"/>
      <c r="C372" s="544"/>
      <c r="E372" s="544"/>
      <c r="F372" s="544"/>
      <c r="G372" s="544"/>
      <c r="H372" s="544"/>
      <c r="I372" s="544"/>
      <c r="J372" s="544"/>
      <c r="K372" s="544"/>
      <c r="L372" s="544"/>
      <c r="M372" s="544"/>
    </row>
    <row r="373" spans="2:13" x14ac:dyDescent="0.35">
      <c r="B373" s="544"/>
      <c r="C373" s="544"/>
      <c r="E373" s="544"/>
      <c r="F373" s="544"/>
      <c r="G373" s="544"/>
      <c r="H373" s="544"/>
      <c r="I373" s="544"/>
      <c r="J373" s="544"/>
      <c r="K373" s="544"/>
      <c r="L373" s="544"/>
      <c r="M373" s="544"/>
    </row>
    <row r="374" spans="2:13" x14ac:dyDescent="0.35">
      <c r="B374" s="544"/>
      <c r="C374" s="544"/>
      <c r="E374" s="544"/>
      <c r="F374" s="544"/>
      <c r="G374" s="544"/>
      <c r="H374" s="544"/>
      <c r="I374" s="544"/>
      <c r="J374" s="544"/>
      <c r="K374" s="544"/>
      <c r="L374" s="544"/>
      <c r="M374" s="544"/>
    </row>
    <row r="375" spans="2:13" x14ac:dyDescent="0.35">
      <c r="B375" s="544"/>
      <c r="C375" s="544"/>
      <c r="E375" s="544"/>
      <c r="F375" s="544"/>
      <c r="G375" s="544"/>
      <c r="H375" s="544"/>
      <c r="I375" s="544"/>
      <c r="J375" s="544"/>
      <c r="K375" s="544"/>
      <c r="L375" s="544"/>
      <c r="M375" s="544"/>
    </row>
    <row r="376" spans="2:13" x14ac:dyDescent="0.35">
      <c r="B376" s="544"/>
      <c r="C376" s="544"/>
      <c r="E376" s="544"/>
      <c r="F376" s="544"/>
      <c r="G376" s="544"/>
      <c r="H376" s="544"/>
      <c r="I376" s="544"/>
      <c r="J376" s="544"/>
      <c r="K376" s="544"/>
      <c r="L376" s="544"/>
      <c r="M376" s="544"/>
    </row>
    <row r="377" spans="2:13" x14ac:dyDescent="0.35">
      <c r="B377" s="544"/>
      <c r="C377" s="544"/>
      <c r="E377" s="544"/>
      <c r="F377" s="544"/>
      <c r="G377" s="544"/>
      <c r="H377" s="544"/>
      <c r="I377" s="544"/>
      <c r="J377" s="544"/>
      <c r="K377" s="544"/>
      <c r="L377" s="544"/>
      <c r="M377" s="544"/>
    </row>
    <row r="378" spans="2:13" x14ac:dyDescent="0.35">
      <c r="B378" s="544"/>
      <c r="C378" s="544"/>
      <c r="E378" s="544"/>
      <c r="F378" s="544"/>
      <c r="G378" s="544"/>
      <c r="H378" s="544"/>
      <c r="I378" s="544"/>
      <c r="J378" s="544"/>
      <c r="K378" s="544"/>
      <c r="L378" s="544"/>
      <c r="M378" s="544"/>
    </row>
    <row r="379" spans="2:13" x14ac:dyDescent="0.35">
      <c r="B379" s="544"/>
      <c r="C379" s="544"/>
      <c r="E379" s="544"/>
      <c r="F379" s="544"/>
      <c r="G379" s="544"/>
      <c r="H379" s="544"/>
      <c r="I379" s="544"/>
      <c r="J379" s="544"/>
      <c r="K379" s="544"/>
      <c r="L379" s="544"/>
      <c r="M379" s="544"/>
    </row>
    <row r="380" spans="2:13" x14ac:dyDescent="0.35">
      <c r="B380" s="544"/>
      <c r="C380" s="544"/>
      <c r="E380" s="544"/>
      <c r="F380" s="544"/>
      <c r="G380" s="544"/>
      <c r="H380" s="544"/>
      <c r="I380" s="544"/>
      <c r="J380" s="544"/>
      <c r="K380" s="544"/>
      <c r="L380" s="544"/>
      <c r="M380" s="544"/>
    </row>
    <row r="381" spans="2:13" x14ac:dyDescent="0.35">
      <c r="B381" s="544"/>
      <c r="C381" s="544"/>
      <c r="E381" s="544"/>
      <c r="F381" s="544"/>
      <c r="G381" s="544"/>
      <c r="H381" s="544"/>
      <c r="I381" s="544"/>
      <c r="J381" s="544"/>
      <c r="K381" s="544"/>
      <c r="L381" s="544"/>
      <c r="M381" s="544"/>
    </row>
    <row r="382" spans="2:13" x14ac:dyDescent="0.35">
      <c r="B382" s="544"/>
      <c r="C382" s="544"/>
      <c r="E382" s="544"/>
      <c r="F382" s="544"/>
      <c r="G382" s="544"/>
      <c r="H382" s="544"/>
      <c r="I382" s="544"/>
      <c r="J382" s="544"/>
      <c r="K382" s="544"/>
      <c r="L382" s="544"/>
      <c r="M382" s="544"/>
    </row>
    <row r="383" spans="2:13" x14ac:dyDescent="0.35">
      <c r="B383" s="544"/>
      <c r="C383" s="544"/>
      <c r="E383" s="544"/>
      <c r="F383" s="544"/>
      <c r="G383" s="544"/>
      <c r="H383" s="544"/>
      <c r="I383" s="544"/>
      <c r="J383" s="544"/>
      <c r="K383" s="544"/>
      <c r="L383" s="544"/>
      <c r="M383" s="544"/>
    </row>
    <row r="384" spans="2:13" x14ac:dyDescent="0.35">
      <c r="B384" s="544"/>
      <c r="C384" s="544"/>
      <c r="E384" s="544"/>
      <c r="F384" s="544"/>
      <c r="G384" s="544"/>
      <c r="H384" s="544"/>
      <c r="I384" s="544"/>
      <c r="J384" s="544"/>
      <c r="K384" s="544"/>
      <c r="L384" s="544"/>
      <c r="M384" s="544"/>
    </row>
    <row r="385" spans="2:13" x14ac:dyDescent="0.35">
      <c r="B385" s="544"/>
      <c r="C385" s="544"/>
      <c r="E385" s="544"/>
      <c r="F385" s="544"/>
      <c r="G385" s="544"/>
      <c r="H385" s="544"/>
      <c r="I385" s="544"/>
      <c r="J385" s="544"/>
      <c r="K385" s="544"/>
      <c r="L385" s="544"/>
      <c r="M385" s="544"/>
    </row>
    <row r="386" spans="2:13" x14ac:dyDescent="0.35">
      <c r="B386" s="544"/>
      <c r="C386" s="544"/>
      <c r="E386" s="544"/>
      <c r="F386" s="544"/>
      <c r="G386" s="544"/>
      <c r="H386" s="544"/>
      <c r="I386" s="544"/>
      <c r="J386" s="544"/>
      <c r="K386" s="544"/>
      <c r="L386" s="544"/>
      <c r="M386" s="544"/>
    </row>
    <row r="387" spans="2:13" x14ac:dyDescent="0.35">
      <c r="B387" s="544"/>
      <c r="C387" s="544"/>
      <c r="E387" s="544"/>
      <c r="F387" s="544"/>
      <c r="G387" s="544"/>
      <c r="H387" s="544"/>
      <c r="I387" s="544"/>
      <c r="J387" s="544"/>
      <c r="K387" s="544"/>
      <c r="L387" s="544"/>
      <c r="M387" s="544"/>
    </row>
    <row r="388" spans="2:13" x14ac:dyDescent="0.35">
      <c r="B388" s="544"/>
      <c r="C388" s="544"/>
      <c r="E388" s="544"/>
      <c r="F388" s="544"/>
      <c r="G388" s="544"/>
      <c r="H388" s="544"/>
      <c r="I388" s="544"/>
      <c r="J388" s="544"/>
      <c r="K388" s="544"/>
      <c r="L388" s="544"/>
      <c r="M388" s="544"/>
    </row>
    <row r="389" spans="2:13" x14ac:dyDescent="0.35">
      <c r="B389" s="544"/>
      <c r="C389" s="544"/>
      <c r="E389" s="544"/>
      <c r="F389" s="544"/>
      <c r="G389" s="544"/>
      <c r="H389" s="544"/>
      <c r="I389" s="544"/>
      <c r="J389" s="544"/>
      <c r="K389" s="544"/>
      <c r="L389" s="544"/>
      <c r="M389" s="544"/>
    </row>
    <row r="390" spans="2:13" x14ac:dyDescent="0.35">
      <c r="B390" s="544"/>
      <c r="C390" s="544"/>
      <c r="E390" s="544"/>
      <c r="F390" s="544"/>
      <c r="G390" s="544"/>
      <c r="H390" s="544"/>
      <c r="I390" s="544"/>
      <c r="J390" s="544"/>
      <c r="K390" s="544"/>
      <c r="L390" s="544"/>
      <c r="M390" s="544"/>
    </row>
    <row r="391" spans="2:13" x14ac:dyDescent="0.35">
      <c r="B391" s="544"/>
      <c r="C391" s="544"/>
      <c r="E391" s="544"/>
      <c r="F391" s="544"/>
      <c r="G391" s="544"/>
      <c r="H391" s="544"/>
      <c r="I391" s="544"/>
      <c r="J391" s="544"/>
      <c r="K391" s="544"/>
      <c r="L391" s="544"/>
      <c r="M391" s="544"/>
    </row>
    <row r="392" spans="2:13" x14ac:dyDescent="0.35">
      <c r="B392" s="544"/>
      <c r="C392" s="544"/>
      <c r="E392" s="544"/>
      <c r="F392" s="544"/>
      <c r="G392" s="544"/>
      <c r="H392" s="544"/>
      <c r="I392" s="544"/>
      <c r="J392" s="544"/>
      <c r="K392" s="544"/>
      <c r="L392" s="544"/>
      <c r="M392" s="544"/>
    </row>
    <row r="393" spans="2:13" x14ac:dyDescent="0.35">
      <c r="B393" s="544"/>
      <c r="C393" s="544"/>
      <c r="E393" s="544"/>
      <c r="F393" s="544"/>
      <c r="G393" s="544"/>
      <c r="H393" s="544"/>
      <c r="I393" s="544"/>
      <c r="J393" s="544"/>
      <c r="K393" s="544"/>
      <c r="L393" s="544"/>
      <c r="M393" s="544"/>
    </row>
    <row r="394" spans="2:13" x14ac:dyDescent="0.35">
      <c r="B394" s="544"/>
      <c r="C394" s="544"/>
      <c r="E394" s="544"/>
      <c r="F394" s="544"/>
      <c r="G394" s="544"/>
      <c r="H394" s="544"/>
      <c r="I394" s="544"/>
      <c r="J394" s="544"/>
      <c r="K394" s="544"/>
      <c r="L394" s="544"/>
      <c r="M394" s="544"/>
    </row>
    <row r="395" spans="2:13" x14ac:dyDescent="0.35">
      <c r="B395" s="544"/>
      <c r="C395" s="544"/>
      <c r="E395" s="544"/>
      <c r="F395" s="544"/>
      <c r="G395" s="544"/>
      <c r="H395" s="544"/>
      <c r="I395" s="544"/>
      <c r="J395" s="544"/>
      <c r="K395" s="544"/>
      <c r="L395" s="544"/>
      <c r="M395" s="544"/>
    </row>
    <row r="396" spans="2:13" x14ac:dyDescent="0.35">
      <c r="B396" s="544"/>
      <c r="C396" s="544"/>
      <c r="E396" s="544"/>
      <c r="F396" s="544"/>
      <c r="G396" s="544"/>
      <c r="H396" s="544"/>
      <c r="I396" s="544"/>
      <c r="J396" s="544"/>
      <c r="K396" s="544"/>
      <c r="L396" s="544"/>
      <c r="M396" s="544"/>
    </row>
    <row r="397" spans="2:13" x14ac:dyDescent="0.35">
      <c r="B397" s="544"/>
      <c r="C397" s="544"/>
      <c r="E397" s="544"/>
      <c r="F397" s="544"/>
      <c r="G397" s="544"/>
      <c r="H397" s="544"/>
      <c r="I397" s="544"/>
      <c r="J397" s="544"/>
      <c r="K397" s="544"/>
      <c r="L397" s="544"/>
      <c r="M397" s="544"/>
    </row>
    <row r="398" spans="2:13" x14ac:dyDescent="0.35">
      <c r="B398" s="544"/>
      <c r="C398" s="544"/>
      <c r="E398" s="544"/>
      <c r="F398" s="544"/>
      <c r="G398" s="544"/>
      <c r="H398" s="544"/>
      <c r="I398" s="544"/>
      <c r="J398" s="544"/>
      <c r="K398" s="544"/>
      <c r="L398" s="544"/>
      <c r="M398" s="544"/>
    </row>
    <row r="399" spans="2:13" x14ac:dyDescent="0.35">
      <c r="B399" s="544"/>
      <c r="C399" s="544"/>
      <c r="E399" s="544"/>
      <c r="F399" s="544"/>
      <c r="G399" s="544"/>
      <c r="H399" s="544"/>
      <c r="I399" s="544"/>
      <c r="J399" s="544"/>
      <c r="K399" s="544"/>
      <c r="L399" s="544"/>
      <c r="M399" s="544"/>
    </row>
    <row r="400" spans="2:13" x14ac:dyDescent="0.35">
      <c r="B400" s="544"/>
      <c r="C400" s="544"/>
      <c r="E400" s="544"/>
      <c r="F400" s="544"/>
      <c r="G400" s="544"/>
      <c r="H400" s="544"/>
      <c r="I400" s="544"/>
      <c r="J400" s="544"/>
      <c r="K400" s="544"/>
      <c r="L400" s="544"/>
      <c r="M400" s="544"/>
    </row>
    <row r="401" spans="2:13" x14ac:dyDescent="0.35">
      <c r="B401" s="544"/>
      <c r="C401" s="544"/>
      <c r="E401" s="544"/>
      <c r="F401" s="544"/>
      <c r="G401" s="544"/>
      <c r="H401" s="544"/>
      <c r="I401" s="544"/>
      <c r="J401" s="544"/>
      <c r="K401" s="544"/>
      <c r="L401" s="544"/>
      <c r="M401" s="544"/>
    </row>
    <row r="402" spans="2:13" x14ac:dyDescent="0.35">
      <c r="B402" s="544"/>
      <c r="C402" s="544"/>
      <c r="E402" s="544"/>
      <c r="F402" s="544"/>
      <c r="G402" s="544"/>
      <c r="H402" s="544"/>
      <c r="I402" s="544"/>
      <c r="J402" s="544"/>
      <c r="K402" s="544"/>
      <c r="L402" s="544"/>
      <c r="M402" s="544"/>
    </row>
    <row r="403" spans="2:13" x14ac:dyDescent="0.35">
      <c r="B403" s="544"/>
      <c r="C403" s="544"/>
      <c r="E403" s="544"/>
      <c r="F403" s="544"/>
      <c r="G403" s="544"/>
      <c r="H403" s="544"/>
      <c r="I403" s="544"/>
      <c r="J403" s="544"/>
      <c r="K403" s="544"/>
      <c r="L403" s="544"/>
      <c r="M403" s="544"/>
    </row>
    <row r="404" spans="2:13" x14ac:dyDescent="0.35">
      <c r="B404" s="544"/>
      <c r="C404" s="544"/>
      <c r="E404" s="544"/>
      <c r="F404" s="544"/>
      <c r="G404" s="544"/>
      <c r="H404" s="544"/>
      <c r="I404" s="544"/>
      <c r="J404" s="544"/>
      <c r="K404" s="544"/>
      <c r="L404" s="544"/>
      <c r="M404" s="544"/>
    </row>
    <row r="405" spans="2:13" x14ac:dyDescent="0.35">
      <c r="B405" s="544"/>
      <c r="C405" s="544"/>
      <c r="E405" s="544"/>
      <c r="F405" s="544"/>
      <c r="G405" s="544"/>
      <c r="H405" s="544"/>
      <c r="I405" s="544"/>
      <c r="J405" s="544"/>
      <c r="K405" s="544"/>
      <c r="L405" s="544"/>
      <c r="M405" s="544"/>
    </row>
    <row r="406" spans="2:13" x14ac:dyDescent="0.35">
      <c r="B406" s="544"/>
      <c r="C406" s="544"/>
      <c r="E406" s="544"/>
      <c r="F406" s="544"/>
      <c r="G406" s="544"/>
      <c r="H406" s="544"/>
      <c r="I406" s="544"/>
      <c r="J406" s="544"/>
      <c r="K406" s="544"/>
      <c r="L406" s="544"/>
      <c r="M406" s="544"/>
    </row>
    <row r="407" spans="2:13" x14ac:dyDescent="0.35">
      <c r="B407" s="544"/>
      <c r="C407" s="544"/>
      <c r="E407" s="544"/>
      <c r="F407" s="544"/>
      <c r="G407" s="544"/>
      <c r="H407" s="544"/>
      <c r="I407" s="544"/>
      <c r="J407" s="544"/>
      <c r="K407" s="544"/>
      <c r="L407" s="544"/>
      <c r="M407" s="544"/>
    </row>
    <row r="408" spans="2:13" x14ac:dyDescent="0.35">
      <c r="B408" s="544"/>
      <c r="C408" s="544"/>
      <c r="E408" s="544"/>
      <c r="F408" s="544"/>
      <c r="G408" s="544"/>
      <c r="H408" s="544"/>
      <c r="I408" s="544"/>
      <c r="J408" s="544"/>
      <c r="K408" s="544"/>
      <c r="L408" s="544"/>
      <c r="M408" s="544"/>
    </row>
    <row r="409" spans="2:13" x14ac:dyDescent="0.35">
      <c r="B409" s="544"/>
      <c r="C409" s="544"/>
      <c r="E409" s="544"/>
      <c r="F409" s="544"/>
      <c r="G409" s="544"/>
      <c r="H409" s="544"/>
      <c r="I409" s="544"/>
      <c r="J409" s="544"/>
      <c r="K409" s="544"/>
      <c r="L409" s="544"/>
      <c r="M409" s="544"/>
    </row>
    <row r="410" spans="2:13" x14ac:dyDescent="0.35">
      <c r="B410" s="544"/>
      <c r="C410" s="544"/>
      <c r="E410" s="544"/>
      <c r="F410" s="544"/>
      <c r="G410" s="544"/>
      <c r="H410" s="544"/>
      <c r="I410" s="544"/>
      <c r="J410" s="544"/>
      <c r="K410" s="544"/>
      <c r="L410" s="544"/>
      <c r="M410" s="544"/>
    </row>
    <row r="411" spans="2:13" x14ac:dyDescent="0.35">
      <c r="B411" s="544"/>
      <c r="C411" s="544"/>
      <c r="E411" s="544"/>
      <c r="F411" s="544"/>
      <c r="G411" s="544"/>
      <c r="H411" s="544"/>
      <c r="I411" s="544"/>
      <c r="J411" s="544"/>
      <c r="K411" s="544"/>
      <c r="L411" s="544"/>
      <c r="M411" s="544"/>
    </row>
    <row r="412" spans="2:13" x14ac:dyDescent="0.35">
      <c r="B412" s="544"/>
      <c r="C412" s="544"/>
      <c r="E412" s="544"/>
      <c r="F412" s="544"/>
      <c r="G412" s="544"/>
      <c r="H412" s="544"/>
      <c r="I412" s="544"/>
      <c r="J412" s="544"/>
      <c r="K412" s="544"/>
      <c r="L412" s="544"/>
      <c r="M412" s="544"/>
    </row>
    <row r="413" spans="2:13" x14ac:dyDescent="0.35">
      <c r="B413" s="544"/>
      <c r="C413" s="544"/>
      <c r="E413" s="544"/>
      <c r="F413" s="544"/>
      <c r="G413" s="544"/>
      <c r="H413" s="544"/>
      <c r="I413" s="544"/>
      <c r="J413" s="544"/>
      <c r="K413" s="544"/>
      <c r="L413" s="544"/>
      <c r="M413" s="544"/>
    </row>
    <row r="414" spans="2:13" x14ac:dyDescent="0.35">
      <c r="B414" s="544"/>
      <c r="C414" s="544"/>
      <c r="E414" s="544"/>
      <c r="F414" s="544"/>
      <c r="G414" s="544"/>
      <c r="H414" s="544"/>
      <c r="I414" s="544"/>
      <c r="J414" s="544"/>
      <c r="K414" s="544"/>
      <c r="L414" s="544"/>
      <c r="M414" s="544"/>
    </row>
    <row r="415" spans="2:13" x14ac:dyDescent="0.35">
      <c r="B415" s="544"/>
      <c r="C415" s="544"/>
      <c r="E415" s="544"/>
      <c r="F415" s="544"/>
      <c r="G415" s="544"/>
      <c r="H415" s="544"/>
      <c r="I415" s="544"/>
      <c r="J415" s="544"/>
      <c r="K415" s="544"/>
      <c r="L415" s="544"/>
      <c r="M415" s="544"/>
    </row>
    <row r="416" spans="2:13" x14ac:dyDescent="0.35">
      <c r="B416" s="544"/>
      <c r="C416" s="544"/>
      <c r="E416" s="544"/>
      <c r="F416" s="544"/>
      <c r="G416" s="544"/>
      <c r="H416" s="544"/>
      <c r="I416" s="544"/>
      <c r="J416" s="544"/>
      <c r="K416" s="544"/>
      <c r="L416" s="544"/>
      <c r="M416" s="544"/>
    </row>
    <row r="417" spans="2:13" x14ac:dyDescent="0.35">
      <c r="B417" s="544"/>
      <c r="C417" s="544"/>
      <c r="E417" s="544"/>
      <c r="F417" s="544"/>
      <c r="G417" s="544"/>
      <c r="H417" s="544"/>
      <c r="I417" s="544"/>
      <c r="J417" s="544"/>
      <c r="K417" s="544"/>
      <c r="L417" s="544"/>
      <c r="M417" s="544"/>
    </row>
    <row r="418" spans="2:13" x14ac:dyDescent="0.35">
      <c r="B418" s="544"/>
      <c r="C418" s="544"/>
      <c r="E418" s="544"/>
      <c r="F418" s="544"/>
      <c r="G418" s="544"/>
      <c r="H418" s="544"/>
      <c r="I418" s="544"/>
      <c r="J418" s="544"/>
      <c r="K418" s="544"/>
      <c r="L418" s="544"/>
      <c r="M418" s="544"/>
    </row>
    <row r="419" spans="2:13" x14ac:dyDescent="0.35">
      <c r="B419" s="544"/>
      <c r="C419" s="544"/>
      <c r="E419" s="544"/>
      <c r="F419" s="544"/>
      <c r="G419" s="544"/>
      <c r="H419" s="544"/>
      <c r="I419" s="544"/>
      <c r="J419" s="544"/>
      <c r="K419" s="544"/>
      <c r="L419" s="544"/>
      <c r="M419" s="544"/>
    </row>
    <row r="420" spans="2:13" x14ac:dyDescent="0.35">
      <c r="B420" s="544"/>
      <c r="C420" s="544"/>
      <c r="E420" s="544"/>
      <c r="F420" s="544"/>
      <c r="G420" s="544"/>
      <c r="H420" s="544"/>
      <c r="I420" s="544"/>
      <c r="J420" s="544"/>
      <c r="K420" s="544"/>
      <c r="L420" s="544"/>
      <c r="M420" s="544"/>
    </row>
    <row r="421" spans="2:13" x14ac:dyDescent="0.35">
      <c r="B421" s="544"/>
      <c r="C421" s="544"/>
      <c r="E421" s="544"/>
      <c r="F421" s="544"/>
      <c r="G421" s="544"/>
      <c r="H421" s="544"/>
      <c r="I421" s="544"/>
      <c r="J421" s="544"/>
      <c r="K421" s="544"/>
      <c r="L421" s="544"/>
      <c r="M421" s="544"/>
    </row>
    <row r="422" spans="2:13" x14ac:dyDescent="0.35">
      <c r="B422" s="544"/>
      <c r="C422" s="544"/>
      <c r="E422" s="544"/>
      <c r="F422" s="544"/>
      <c r="G422" s="544"/>
      <c r="H422" s="544"/>
      <c r="I422" s="544"/>
      <c r="J422" s="544"/>
      <c r="K422" s="544"/>
      <c r="L422" s="544"/>
      <c r="M422" s="544"/>
    </row>
    <row r="423" spans="2:13" x14ac:dyDescent="0.35">
      <c r="B423" s="544"/>
      <c r="C423" s="544"/>
      <c r="E423" s="544"/>
      <c r="F423" s="544"/>
      <c r="G423" s="544"/>
      <c r="H423" s="544"/>
      <c r="I423" s="544"/>
      <c r="J423" s="544"/>
      <c r="K423" s="544"/>
      <c r="L423" s="544"/>
      <c r="M423" s="544"/>
    </row>
    <row r="424" spans="2:13" x14ac:dyDescent="0.35">
      <c r="B424" s="544"/>
      <c r="C424" s="544"/>
      <c r="E424" s="544"/>
      <c r="F424" s="544"/>
      <c r="G424" s="544"/>
      <c r="H424" s="544"/>
      <c r="I424" s="544"/>
      <c r="J424" s="544"/>
      <c r="K424" s="544"/>
      <c r="L424" s="544"/>
      <c r="M424" s="544"/>
    </row>
    <row r="425" spans="2:13" x14ac:dyDescent="0.35">
      <c r="B425" s="544"/>
      <c r="C425" s="544"/>
      <c r="E425" s="544"/>
      <c r="F425" s="544"/>
      <c r="G425" s="544"/>
      <c r="H425" s="544"/>
      <c r="I425" s="544"/>
      <c r="J425" s="544"/>
      <c r="K425" s="544"/>
      <c r="L425" s="544"/>
      <c r="M425" s="544"/>
    </row>
    <row r="426" spans="2:13" x14ac:dyDescent="0.35">
      <c r="B426" s="544"/>
      <c r="C426" s="544"/>
      <c r="E426" s="544"/>
      <c r="F426" s="544"/>
      <c r="G426" s="544"/>
      <c r="H426" s="544"/>
      <c r="I426" s="544"/>
      <c r="J426" s="544"/>
      <c r="K426" s="544"/>
      <c r="L426" s="544"/>
      <c r="M426" s="544"/>
    </row>
    <row r="427" spans="2:13" x14ac:dyDescent="0.35">
      <c r="B427" s="544"/>
      <c r="C427" s="544"/>
      <c r="E427" s="544"/>
      <c r="F427" s="544"/>
      <c r="G427" s="544"/>
      <c r="H427" s="544"/>
      <c r="I427" s="544"/>
      <c r="J427" s="544"/>
      <c r="K427" s="544"/>
      <c r="L427" s="544"/>
      <c r="M427" s="544"/>
    </row>
    <row r="428" spans="2:13" x14ac:dyDescent="0.35">
      <c r="B428" s="544"/>
      <c r="C428" s="544"/>
      <c r="E428" s="544"/>
      <c r="F428" s="544"/>
      <c r="G428" s="544"/>
      <c r="H428" s="544"/>
      <c r="I428" s="544"/>
      <c r="J428" s="544"/>
      <c r="K428" s="544"/>
      <c r="L428" s="544"/>
      <c r="M428" s="544"/>
    </row>
    <row r="429" spans="2:13" x14ac:dyDescent="0.35">
      <c r="B429" s="544"/>
      <c r="C429" s="544"/>
      <c r="E429" s="544"/>
      <c r="F429" s="544"/>
      <c r="G429" s="544"/>
      <c r="H429" s="544"/>
      <c r="I429" s="544"/>
      <c r="J429" s="544"/>
      <c r="K429" s="544"/>
      <c r="L429" s="544"/>
      <c r="M429" s="544"/>
    </row>
    <row r="430" spans="2:13" x14ac:dyDescent="0.35">
      <c r="B430" s="544"/>
      <c r="C430" s="544"/>
      <c r="E430" s="544"/>
      <c r="F430" s="544"/>
      <c r="G430" s="544"/>
      <c r="H430" s="544"/>
      <c r="I430" s="544"/>
      <c r="J430" s="544"/>
      <c r="K430" s="544"/>
      <c r="L430" s="544"/>
      <c r="M430" s="544"/>
    </row>
    <row r="431" spans="2:13" x14ac:dyDescent="0.35">
      <c r="B431" s="544"/>
      <c r="C431" s="544"/>
      <c r="E431" s="544"/>
      <c r="F431" s="544"/>
      <c r="G431" s="544"/>
      <c r="H431" s="544"/>
      <c r="I431" s="544"/>
      <c r="J431" s="544"/>
      <c r="K431" s="544"/>
      <c r="L431" s="544"/>
      <c r="M431" s="544"/>
    </row>
    <row r="432" spans="2:13" x14ac:dyDescent="0.35">
      <c r="B432" s="544"/>
      <c r="C432" s="544"/>
      <c r="E432" s="544"/>
      <c r="F432" s="544"/>
      <c r="G432" s="544"/>
      <c r="H432" s="544"/>
      <c r="I432" s="544"/>
      <c r="J432" s="544"/>
      <c r="K432" s="544"/>
      <c r="L432" s="544"/>
      <c r="M432" s="544"/>
    </row>
    <row r="433" spans="2:13" x14ac:dyDescent="0.35">
      <c r="B433" s="544"/>
      <c r="C433" s="544"/>
      <c r="E433" s="544"/>
      <c r="F433" s="544"/>
      <c r="G433" s="544"/>
      <c r="H433" s="544"/>
      <c r="I433" s="544"/>
      <c r="J433" s="544"/>
      <c r="K433" s="544"/>
      <c r="L433" s="544"/>
      <c r="M433" s="544"/>
    </row>
    <row r="434" spans="2:13" x14ac:dyDescent="0.35">
      <c r="B434" s="544"/>
      <c r="C434" s="544"/>
      <c r="E434" s="544"/>
      <c r="F434" s="544"/>
      <c r="G434" s="544"/>
      <c r="H434" s="544"/>
      <c r="I434" s="544"/>
      <c r="J434" s="544"/>
      <c r="K434" s="544"/>
      <c r="L434" s="544"/>
      <c r="M434" s="544"/>
    </row>
    <row r="435" spans="2:13" x14ac:dyDescent="0.35">
      <c r="B435" s="544"/>
      <c r="C435" s="544"/>
      <c r="E435" s="544"/>
      <c r="F435" s="544"/>
      <c r="G435" s="544"/>
      <c r="H435" s="544"/>
      <c r="I435" s="544"/>
      <c r="J435" s="544"/>
      <c r="K435" s="544"/>
      <c r="L435" s="544"/>
      <c r="M435" s="544"/>
    </row>
    <row r="436" spans="2:13" x14ac:dyDescent="0.35">
      <c r="B436" s="544"/>
      <c r="C436" s="544"/>
      <c r="E436" s="544"/>
      <c r="F436" s="544"/>
      <c r="G436" s="544"/>
      <c r="H436" s="544"/>
      <c r="I436" s="544"/>
      <c r="J436" s="544"/>
      <c r="K436" s="544"/>
      <c r="L436" s="544"/>
      <c r="M436" s="544"/>
    </row>
    <row r="437" spans="2:13" x14ac:dyDescent="0.35">
      <c r="B437" s="544"/>
      <c r="C437" s="544"/>
      <c r="E437" s="544"/>
      <c r="F437" s="544"/>
      <c r="G437" s="544"/>
      <c r="H437" s="544"/>
      <c r="I437" s="544"/>
      <c r="J437" s="544"/>
      <c r="K437" s="544"/>
      <c r="L437" s="544"/>
      <c r="M437" s="544"/>
    </row>
    <row r="438" spans="2:13" x14ac:dyDescent="0.35">
      <c r="B438" s="544"/>
      <c r="C438" s="544"/>
      <c r="E438" s="544"/>
      <c r="F438" s="544"/>
      <c r="G438" s="544"/>
      <c r="H438" s="544"/>
      <c r="I438" s="544"/>
      <c r="J438" s="544"/>
      <c r="K438" s="544"/>
      <c r="L438" s="544"/>
      <c r="M438" s="544"/>
    </row>
    <row r="439" spans="2:13" x14ac:dyDescent="0.35">
      <c r="B439" s="544"/>
      <c r="C439" s="544"/>
      <c r="E439" s="544"/>
      <c r="F439" s="544"/>
      <c r="G439" s="544"/>
      <c r="H439" s="544"/>
      <c r="I439" s="544"/>
      <c r="J439" s="544"/>
      <c r="K439" s="544"/>
      <c r="L439" s="544"/>
      <c r="M439" s="544"/>
    </row>
    <row r="440" spans="2:13" x14ac:dyDescent="0.35">
      <c r="B440" s="544"/>
      <c r="C440" s="544"/>
      <c r="E440" s="544"/>
      <c r="F440" s="544"/>
      <c r="G440" s="544"/>
      <c r="H440" s="544"/>
      <c r="I440" s="544"/>
      <c r="J440" s="544"/>
      <c r="K440" s="544"/>
      <c r="L440" s="544"/>
      <c r="M440" s="544"/>
    </row>
    <row r="441" spans="2:13" x14ac:dyDescent="0.35">
      <c r="B441" s="544"/>
      <c r="C441" s="544"/>
      <c r="E441" s="544"/>
      <c r="F441" s="544"/>
      <c r="G441" s="544"/>
      <c r="H441" s="544"/>
      <c r="I441" s="544"/>
      <c r="J441" s="544"/>
      <c r="K441" s="544"/>
      <c r="L441" s="544"/>
      <c r="M441" s="544"/>
    </row>
    <row r="442" spans="2:13" x14ac:dyDescent="0.35">
      <c r="B442" s="544"/>
      <c r="C442" s="544"/>
      <c r="E442" s="544"/>
      <c r="F442" s="544"/>
      <c r="G442" s="544"/>
      <c r="H442" s="544"/>
      <c r="I442" s="544"/>
      <c r="J442" s="544"/>
      <c r="K442" s="544"/>
      <c r="L442" s="544"/>
      <c r="M442" s="544"/>
    </row>
    <row r="443" spans="2:13" x14ac:dyDescent="0.35">
      <c r="B443" s="544"/>
      <c r="C443" s="544"/>
      <c r="E443" s="544"/>
      <c r="F443" s="544"/>
      <c r="G443" s="544"/>
      <c r="H443" s="544"/>
      <c r="I443" s="544"/>
      <c r="J443" s="544"/>
      <c r="K443" s="544"/>
      <c r="L443" s="544"/>
      <c r="M443" s="544"/>
    </row>
    <row r="444" spans="2:13" x14ac:dyDescent="0.35">
      <c r="B444" s="544"/>
      <c r="C444" s="544"/>
      <c r="E444" s="544"/>
      <c r="F444" s="544"/>
      <c r="G444" s="544"/>
      <c r="H444" s="544"/>
      <c r="I444" s="544"/>
      <c r="J444" s="544"/>
      <c r="K444" s="544"/>
      <c r="L444" s="544"/>
      <c r="M444" s="544"/>
    </row>
    <row r="445" spans="2:13" x14ac:dyDescent="0.35">
      <c r="B445" s="544"/>
      <c r="C445" s="544"/>
      <c r="E445" s="544"/>
      <c r="F445" s="544"/>
      <c r="G445" s="544"/>
      <c r="H445" s="544"/>
      <c r="I445" s="544"/>
      <c r="J445" s="544"/>
      <c r="K445" s="544"/>
      <c r="L445" s="544"/>
      <c r="M445" s="544"/>
    </row>
    <row r="446" spans="2:13" x14ac:dyDescent="0.35">
      <c r="B446" s="544"/>
      <c r="C446" s="544"/>
      <c r="E446" s="544"/>
      <c r="F446" s="544"/>
      <c r="G446" s="544"/>
      <c r="H446" s="544"/>
      <c r="I446" s="544"/>
      <c r="J446" s="544"/>
      <c r="K446" s="544"/>
      <c r="L446" s="544"/>
      <c r="M446" s="544"/>
    </row>
    <row r="447" spans="2:13" x14ac:dyDescent="0.35">
      <c r="B447" s="544"/>
      <c r="C447" s="544"/>
      <c r="E447" s="544"/>
      <c r="F447" s="544"/>
      <c r="G447" s="544"/>
      <c r="H447" s="544"/>
      <c r="I447" s="544"/>
      <c r="J447" s="544"/>
      <c r="K447" s="544"/>
      <c r="L447" s="544"/>
      <c r="M447" s="544"/>
    </row>
    <row r="448" spans="2:13" x14ac:dyDescent="0.35">
      <c r="B448" s="544"/>
      <c r="C448" s="544"/>
      <c r="E448" s="544"/>
      <c r="F448" s="544"/>
      <c r="G448" s="544"/>
      <c r="H448" s="544"/>
      <c r="I448" s="544"/>
      <c r="J448" s="544"/>
      <c r="K448" s="544"/>
      <c r="L448" s="544"/>
      <c r="M448" s="544"/>
    </row>
    <row r="449" spans="2:13" x14ac:dyDescent="0.35">
      <c r="B449" s="544"/>
      <c r="C449" s="544"/>
      <c r="E449" s="544"/>
      <c r="F449" s="544"/>
      <c r="G449" s="544"/>
      <c r="H449" s="544"/>
      <c r="I449" s="544"/>
      <c r="J449" s="544"/>
      <c r="K449" s="544"/>
      <c r="L449" s="544"/>
      <c r="M449" s="544"/>
    </row>
    <row r="450" spans="2:13" x14ac:dyDescent="0.35">
      <c r="B450" s="544"/>
      <c r="C450" s="544"/>
      <c r="E450" s="544"/>
      <c r="F450" s="544"/>
      <c r="G450" s="544"/>
      <c r="H450" s="544"/>
      <c r="I450" s="544"/>
      <c r="J450" s="544"/>
      <c r="K450" s="544"/>
      <c r="L450" s="544"/>
      <c r="M450" s="544"/>
    </row>
    <row r="451" spans="2:13" x14ac:dyDescent="0.35">
      <c r="B451" s="544"/>
      <c r="C451" s="544"/>
      <c r="E451" s="544"/>
      <c r="F451" s="544"/>
      <c r="G451" s="544"/>
      <c r="H451" s="544"/>
      <c r="I451" s="544"/>
      <c r="J451" s="544"/>
      <c r="K451" s="544"/>
      <c r="L451" s="544"/>
      <c r="M451" s="544"/>
    </row>
    <row r="452" spans="2:13" x14ac:dyDescent="0.35">
      <c r="B452" s="544"/>
      <c r="C452" s="544"/>
      <c r="E452" s="544"/>
      <c r="F452" s="544"/>
      <c r="G452" s="544"/>
      <c r="H452" s="544"/>
      <c r="I452" s="544"/>
      <c r="J452" s="544"/>
      <c r="K452" s="544"/>
      <c r="L452" s="544"/>
      <c r="M452" s="544"/>
    </row>
    <row r="453" spans="2:13" x14ac:dyDescent="0.35">
      <c r="B453" s="544"/>
      <c r="C453" s="544"/>
      <c r="E453" s="544"/>
      <c r="F453" s="544"/>
      <c r="G453" s="544"/>
      <c r="H453" s="544"/>
      <c r="I453" s="544"/>
      <c r="J453" s="544"/>
      <c r="K453" s="544"/>
      <c r="L453" s="544"/>
      <c r="M453" s="544"/>
    </row>
    <row r="454" spans="2:13" x14ac:dyDescent="0.35">
      <c r="B454" s="544"/>
      <c r="C454" s="544"/>
      <c r="E454" s="544"/>
      <c r="F454" s="544"/>
      <c r="G454" s="544"/>
      <c r="H454" s="544"/>
      <c r="I454" s="544"/>
      <c r="J454" s="544"/>
      <c r="K454" s="544"/>
      <c r="L454" s="544"/>
      <c r="M454" s="544"/>
    </row>
    <row r="455" spans="2:13" x14ac:dyDescent="0.35">
      <c r="B455" s="544"/>
      <c r="C455" s="544"/>
      <c r="E455" s="544"/>
      <c r="F455" s="544"/>
      <c r="G455" s="544"/>
      <c r="H455" s="544"/>
      <c r="I455" s="544"/>
      <c r="J455" s="544"/>
      <c r="K455" s="544"/>
      <c r="L455" s="544"/>
      <c r="M455" s="544"/>
    </row>
    <row r="456" spans="2:13" x14ac:dyDescent="0.35">
      <c r="B456" s="544"/>
      <c r="C456" s="544"/>
      <c r="E456" s="544"/>
      <c r="F456" s="544"/>
      <c r="G456" s="544"/>
      <c r="H456" s="544"/>
      <c r="I456" s="544"/>
      <c r="J456" s="544"/>
      <c r="K456" s="544"/>
      <c r="L456" s="544"/>
      <c r="M456" s="544"/>
    </row>
    <row r="457" spans="2:13" x14ac:dyDescent="0.35">
      <c r="B457" s="544"/>
      <c r="C457" s="544"/>
      <c r="E457" s="544"/>
      <c r="F457" s="544"/>
      <c r="G457" s="544"/>
      <c r="H457" s="544"/>
      <c r="I457" s="544"/>
      <c r="J457" s="544"/>
      <c r="K457" s="544"/>
      <c r="L457" s="544"/>
      <c r="M457" s="544"/>
    </row>
    <row r="458" spans="2:13" x14ac:dyDescent="0.35">
      <c r="B458" s="544"/>
      <c r="C458" s="544"/>
      <c r="E458" s="544"/>
      <c r="F458" s="544"/>
      <c r="G458" s="544"/>
      <c r="H458" s="544"/>
      <c r="I458" s="544"/>
      <c r="J458" s="544"/>
      <c r="K458" s="544"/>
      <c r="L458" s="544"/>
      <c r="M458" s="544"/>
    </row>
    <row r="459" spans="2:13" x14ac:dyDescent="0.35">
      <c r="B459" s="544"/>
      <c r="C459" s="544"/>
      <c r="E459" s="544"/>
      <c r="F459" s="544"/>
      <c r="G459" s="544"/>
      <c r="H459" s="544"/>
      <c r="I459" s="544"/>
      <c r="J459" s="544"/>
      <c r="K459" s="544"/>
      <c r="L459" s="544"/>
      <c r="M459" s="544"/>
    </row>
    <row r="460" spans="2:13" x14ac:dyDescent="0.35">
      <c r="B460" s="544"/>
      <c r="C460" s="544"/>
      <c r="E460" s="544"/>
      <c r="F460" s="544"/>
      <c r="G460" s="544"/>
      <c r="H460" s="544"/>
      <c r="I460" s="544"/>
      <c r="J460" s="544"/>
      <c r="K460" s="544"/>
      <c r="L460" s="544"/>
      <c r="M460" s="544"/>
    </row>
    <row r="461" spans="2:13" x14ac:dyDescent="0.35">
      <c r="B461" s="544"/>
      <c r="C461" s="544"/>
      <c r="E461" s="544"/>
      <c r="F461" s="544"/>
      <c r="G461" s="544"/>
      <c r="H461" s="544"/>
      <c r="I461" s="544"/>
      <c r="J461" s="544"/>
      <c r="K461" s="544"/>
      <c r="L461" s="544"/>
      <c r="M461" s="544"/>
    </row>
    <row r="462" spans="2:13" x14ac:dyDescent="0.35">
      <c r="B462" s="544"/>
      <c r="C462" s="544"/>
      <c r="E462" s="544"/>
      <c r="F462" s="544"/>
      <c r="G462" s="544"/>
      <c r="H462" s="544"/>
      <c r="I462" s="544"/>
      <c r="J462" s="544"/>
      <c r="K462" s="544"/>
      <c r="L462" s="544"/>
      <c r="M462" s="544"/>
    </row>
    <row r="463" spans="2:13" x14ac:dyDescent="0.35">
      <c r="B463" s="544"/>
      <c r="C463" s="544"/>
      <c r="E463" s="544"/>
      <c r="F463" s="544"/>
      <c r="G463" s="544"/>
      <c r="H463" s="544"/>
      <c r="I463" s="544"/>
      <c r="J463" s="544"/>
      <c r="K463" s="544"/>
      <c r="L463" s="544"/>
      <c r="M463" s="544"/>
    </row>
    <row r="464" spans="2:13" x14ac:dyDescent="0.35">
      <c r="B464" s="544"/>
      <c r="C464" s="544"/>
      <c r="E464" s="544"/>
      <c r="F464" s="544"/>
      <c r="G464" s="544"/>
      <c r="H464" s="544"/>
      <c r="I464" s="544"/>
      <c r="J464" s="544"/>
      <c r="K464" s="544"/>
      <c r="L464" s="544"/>
      <c r="M464" s="544"/>
    </row>
    <row r="465" spans="2:13" x14ac:dyDescent="0.35">
      <c r="B465" s="544"/>
      <c r="C465" s="544"/>
      <c r="E465" s="544"/>
      <c r="F465" s="544"/>
      <c r="G465" s="544"/>
      <c r="H465" s="544"/>
      <c r="I465" s="544"/>
      <c r="J465" s="544"/>
      <c r="K465" s="544"/>
      <c r="L465" s="544"/>
      <c r="M465" s="544"/>
    </row>
    <row r="466" spans="2:13" x14ac:dyDescent="0.35">
      <c r="B466" s="544"/>
      <c r="C466" s="544"/>
      <c r="E466" s="544"/>
      <c r="F466" s="544"/>
      <c r="G466" s="544"/>
      <c r="H466" s="544"/>
      <c r="I466" s="544"/>
      <c r="J466" s="544"/>
      <c r="K466" s="544"/>
      <c r="L466" s="544"/>
      <c r="M466" s="544"/>
    </row>
    <row r="467" spans="2:13" x14ac:dyDescent="0.35">
      <c r="B467" s="544"/>
      <c r="C467" s="544"/>
      <c r="E467" s="544"/>
      <c r="F467" s="544"/>
      <c r="G467" s="544"/>
      <c r="H467" s="544"/>
      <c r="I467" s="544"/>
      <c r="J467" s="544"/>
      <c r="K467" s="544"/>
      <c r="L467" s="544"/>
      <c r="M467" s="544"/>
    </row>
    <row r="468" spans="2:13" x14ac:dyDescent="0.35">
      <c r="B468" s="544"/>
      <c r="C468" s="544"/>
      <c r="E468" s="544"/>
      <c r="F468" s="544"/>
      <c r="G468" s="544"/>
      <c r="H468" s="544"/>
      <c r="I468" s="544"/>
      <c r="J468" s="544"/>
      <c r="K468" s="544"/>
      <c r="L468" s="544"/>
      <c r="M468" s="544"/>
    </row>
    <row r="469" spans="2:13" x14ac:dyDescent="0.35">
      <c r="B469" s="544"/>
      <c r="C469" s="544"/>
      <c r="E469" s="544"/>
      <c r="F469" s="544"/>
      <c r="G469" s="544"/>
      <c r="H469" s="544"/>
      <c r="I469" s="544"/>
      <c r="J469" s="544"/>
      <c r="K469" s="544"/>
      <c r="L469" s="544"/>
      <c r="M469" s="544"/>
    </row>
    <row r="470" spans="2:13" x14ac:dyDescent="0.35">
      <c r="B470" s="544"/>
      <c r="C470" s="544"/>
      <c r="E470" s="544"/>
      <c r="F470" s="544"/>
      <c r="G470" s="544"/>
      <c r="H470" s="544"/>
      <c r="I470" s="544"/>
      <c r="J470" s="544"/>
      <c r="K470" s="544"/>
      <c r="L470" s="544"/>
      <c r="M470" s="544"/>
    </row>
    <row r="471" spans="2:13" x14ac:dyDescent="0.35">
      <c r="B471" s="544"/>
      <c r="C471" s="544"/>
      <c r="E471" s="544"/>
      <c r="F471" s="544"/>
      <c r="G471" s="544"/>
      <c r="H471" s="544"/>
      <c r="I471" s="544"/>
      <c r="J471" s="544"/>
      <c r="K471" s="544"/>
      <c r="L471" s="544"/>
      <c r="M471" s="544"/>
    </row>
    <row r="472" spans="2:13" x14ac:dyDescent="0.35">
      <c r="B472" s="544"/>
      <c r="C472" s="544"/>
      <c r="E472" s="544"/>
      <c r="F472" s="544"/>
      <c r="G472" s="544"/>
      <c r="H472" s="544"/>
      <c r="I472" s="544"/>
      <c r="J472" s="544"/>
      <c r="K472" s="544"/>
      <c r="L472" s="544"/>
      <c r="M472" s="544"/>
    </row>
    <row r="473" spans="2:13" x14ac:dyDescent="0.35">
      <c r="B473" s="544"/>
      <c r="C473" s="544"/>
      <c r="E473" s="544"/>
      <c r="F473" s="544"/>
      <c r="G473" s="544"/>
      <c r="H473" s="544"/>
      <c r="I473" s="544"/>
      <c r="J473" s="544"/>
      <c r="K473" s="544"/>
      <c r="L473" s="544"/>
      <c r="M473" s="544"/>
    </row>
    <row r="474" spans="2:13" x14ac:dyDescent="0.35">
      <c r="B474" s="544"/>
      <c r="C474" s="544"/>
      <c r="E474" s="544"/>
      <c r="F474" s="544"/>
      <c r="G474" s="544"/>
      <c r="H474" s="544"/>
      <c r="I474" s="544"/>
      <c r="J474" s="544"/>
      <c r="K474" s="544"/>
      <c r="L474" s="544"/>
      <c r="M474" s="544"/>
    </row>
    <row r="475" spans="2:13" x14ac:dyDescent="0.35">
      <c r="B475" s="544"/>
      <c r="C475" s="544"/>
      <c r="E475" s="544"/>
      <c r="F475" s="544"/>
      <c r="G475" s="544"/>
      <c r="H475" s="544"/>
      <c r="I475" s="544"/>
      <c r="J475" s="544"/>
      <c r="K475" s="544"/>
      <c r="L475" s="544"/>
      <c r="M475" s="544"/>
    </row>
    <row r="476" spans="2:13" x14ac:dyDescent="0.35">
      <c r="B476" s="544"/>
      <c r="C476" s="544"/>
      <c r="E476" s="544"/>
      <c r="F476" s="544"/>
      <c r="G476" s="544"/>
      <c r="H476" s="544"/>
      <c r="I476" s="544"/>
      <c r="J476" s="544"/>
      <c r="K476" s="544"/>
      <c r="L476" s="544"/>
      <c r="M476" s="544"/>
    </row>
    <row r="477" spans="2:13" x14ac:dyDescent="0.35">
      <c r="B477" s="544"/>
      <c r="C477" s="544"/>
      <c r="E477" s="544"/>
      <c r="F477" s="544"/>
      <c r="G477" s="544"/>
      <c r="H477" s="544"/>
      <c r="I477" s="544"/>
      <c r="J477" s="544"/>
      <c r="K477" s="544"/>
      <c r="L477" s="544"/>
      <c r="M477" s="544"/>
    </row>
    <row r="478" spans="2:13" x14ac:dyDescent="0.35">
      <c r="B478" s="544"/>
      <c r="C478" s="544"/>
      <c r="E478" s="544"/>
      <c r="F478" s="544"/>
      <c r="G478" s="544"/>
      <c r="H478" s="544"/>
      <c r="I478" s="544"/>
      <c r="J478" s="544"/>
      <c r="K478" s="544"/>
      <c r="L478" s="544"/>
      <c r="M478" s="544"/>
    </row>
    <row r="479" spans="2:13" x14ac:dyDescent="0.35">
      <c r="B479" s="544"/>
      <c r="C479" s="544"/>
      <c r="E479" s="544"/>
      <c r="F479" s="544"/>
      <c r="G479" s="544"/>
      <c r="H479" s="544"/>
      <c r="I479" s="544"/>
      <c r="J479" s="544"/>
      <c r="K479" s="544"/>
      <c r="L479" s="544"/>
      <c r="M479" s="544"/>
    </row>
    <row r="480" spans="2:13" x14ac:dyDescent="0.35">
      <c r="B480" s="544"/>
      <c r="C480" s="544"/>
      <c r="E480" s="544"/>
      <c r="F480" s="544"/>
      <c r="G480" s="544"/>
      <c r="H480" s="544"/>
      <c r="I480" s="544"/>
      <c r="J480" s="544"/>
      <c r="K480" s="544"/>
      <c r="L480" s="544"/>
      <c r="M480" s="544"/>
    </row>
    <row r="481" spans="2:13" x14ac:dyDescent="0.35">
      <c r="B481" s="544"/>
      <c r="C481" s="544"/>
      <c r="E481" s="544"/>
      <c r="F481" s="544"/>
      <c r="G481" s="544"/>
      <c r="H481" s="544"/>
      <c r="I481" s="544"/>
      <c r="J481" s="544"/>
      <c r="K481" s="544"/>
      <c r="L481" s="544"/>
      <c r="M481" s="544"/>
    </row>
    <row r="482" spans="2:13" x14ac:dyDescent="0.35">
      <c r="B482" s="544"/>
      <c r="C482" s="544"/>
      <c r="E482" s="544"/>
      <c r="F482" s="544"/>
      <c r="G482" s="544"/>
      <c r="H482" s="544"/>
      <c r="I482" s="544"/>
      <c r="J482" s="544"/>
      <c r="K482" s="544"/>
      <c r="L482" s="544"/>
      <c r="M482" s="544"/>
    </row>
    <row r="483" spans="2:13" x14ac:dyDescent="0.35">
      <c r="B483" s="544"/>
      <c r="C483" s="544"/>
      <c r="E483" s="544"/>
      <c r="F483" s="544"/>
      <c r="G483" s="544"/>
      <c r="H483" s="544"/>
      <c r="I483" s="544"/>
      <c r="J483" s="544"/>
      <c r="K483" s="544"/>
      <c r="L483" s="544"/>
      <c r="M483" s="544"/>
    </row>
    <row r="484" spans="2:13" x14ac:dyDescent="0.35">
      <c r="B484" s="544"/>
      <c r="C484" s="544"/>
      <c r="E484" s="544"/>
      <c r="F484" s="544"/>
      <c r="G484" s="544"/>
      <c r="H484" s="544"/>
      <c r="I484" s="544"/>
      <c r="J484" s="544"/>
      <c r="K484" s="544"/>
      <c r="L484" s="544"/>
      <c r="M484" s="544"/>
    </row>
    <row r="485" spans="2:13" x14ac:dyDescent="0.35">
      <c r="B485" s="544"/>
      <c r="C485" s="544"/>
      <c r="E485" s="544"/>
      <c r="F485" s="544"/>
      <c r="G485" s="544"/>
      <c r="H485" s="544"/>
      <c r="I485" s="544"/>
      <c r="J485" s="544"/>
      <c r="K485" s="544"/>
      <c r="L485" s="544"/>
      <c r="M485" s="544"/>
    </row>
    <row r="486" spans="2:13" x14ac:dyDescent="0.35">
      <c r="B486" s="544"/>
      <c r="C486" s="544"/>
      <c r="E486" s="544"/>
      <c r="F486" s="544"/>
      <c r="G486" s="544"/>
      <c r="H486" s="544"/>
      <c r="I486" s="544"/>
      <c r="J486" s="544"/>
      <c r="K486" s="544"/>
      <c r="L486" s="544"/>
      <c r="M486" s="544"/>
    </row>
    <row r="487" spans="2:13" x14ac:dyDescent="0.35">
      <c r="B487" s="544"/>
      <c r="C487" s="544"/>
      <c r="E487" s="544"/>
      <c r="F487" s="544"/>
      <c r="G487" s="544"/>
      <c r="H487" s="544"/>
      <c r="I487" s="544"/>
      <c r="J487" s="544"/>
      <c r="K487" s="544"/>
      <c r="L487" s="544"/>
      <c r="M487" s="544"/>
    </row>
    <row r="488" spans="2:13" x14ac:dyDescent="0.35">
      <c r="B488" s="544"/>
      <c r="C488" s="544"/>
      <c r="E488" s="544"/>
      <c r="F488" s="544"/>
      <c r="G488" s="544"/>
      <c r="H488" s="544"/>
      <c r="I488" s="544"/>
      <c r="J488" s="544"/>
      <c r="K488" s="544"/>
      <c r="L488" s="544"/>
      <c r="M488" s="544"/>
    </row>
    <row r="489" spans="2:13" x14ac:dyDescent="0.35">
      <c r="B489" s="544"/>
      <c r="C489" s="544"/>
      <c r="E489" s="544"/>
      <c r="F489" s="544"/>
      <c r="G489" s="544"/>
      <c r="H489" s="544"/>
      <c r="I489" s="544"/>
      <c r="J489" s="544"/>
      <c r="K489" s="544"/>
      <c r="L489" s="544"/>
      <c r="M489" s="544"/>
    </row>
    <row r="490" spans="2:13" x14ac:dyDescent="0.35">
      <c r="B490" s="544"/>
      <c r="C490" s="544"/>
      <c r="E490" s="544"/>
      <c r="F490" s="544"/>
      <c r="G490" s="544"/>
      <c r="H490" s="544"/>
      <c r="I490" s="544"/>
      <c r="J490" s="544"/>
      <c r="K490" s="544"/>
      <c r="L490" s="544"/>
      <c r="M490" s="544"/>
    </row>
    <row r="491" spans="2:13" x14ac:dyDescent="0.35">
      <c r="B491" s="544"/>
      <c r="C491" s="544"/>
      <c r="E491" s="544"/>
      <c r="F491" s="544"/>
      <c r="G491" s="544"/>
      <c r="H491" s="544"/>
      <c r="I491" s="544"/>
      <c r="J491" s="544"/>
      <c r="K491" s="544"/>
      <c r="L491" s="544"/>
      <c r="M491" s="544"/>
    </row>
    <row r="492" spans="2:13" x14ac:dyDescent="0.35">
      <c r="B492" s="544"/>
      <c r="C492" s="544"/>
      <c r="E492" s="544"/>
      <c r="F492" s="544"/>
      <c r="G492" s="544"/>
      <c r="H492" s="544"/>
      <c r="I492" s="544"/>
      <c r="J492" s="544"/>
      <c r="K492" s="544"/>
      <c r="L492" s="544"/>
      <c r="M492" s="544"/>
    </row>
    <row r="493" spans="2:13" x14ac:dyDescent="0.35">
      <c r="B493" s="544"/>
      <c r="C493" s="544"/>
      <c r="E493" s="544"/>
      <c r="F493" s="544"/>
      <c r="G493" s="544"/>
      <c r="H493" s="544"/>
      <c r="I493" s="544"/>
      <c r="J493" s="544"/>
      <c r="K493" s="544"/>
      <c r="L493" s="544"/>
      <c r="M493" s="544"/>
    </row>
    <row r="494" spans="2:13" x14ac:dyDescent="0.35">
      <c r="B494" s="544"/>
      <c r="C494" s="544"/>
      <c r="E494" s="544"/>
      <c r="F494" s="544"/>
      <c r="G494" s="544"/>
      <c r="H494" s="544"/>
      <c r="I494" s="544"/>
      <c r="J494" s="544"/>
      <c r="K494" s="544"/>
      <c r="L494" s="544"/>
      <c r="M494" s="544"/>
    </row>
    <row r="495" spans="2:13" x14ac:dyDescent="0.35">
      <c r="B495" s="544"/>
      <c r="C495" s="544"/>
      <c r="E495" s="544"/>
      <c r="F495" s="544"/>
      <c r="G495" s="544"/>
      <c r="H495" s="544"/>
      <c r="I495" s="544"/>
      <c r="J495" s="544"/>
      <c r="K495" s="544"/>
      <c r="L495" s="544"/>
      <c r="M495" s="544"/>
    </row>
    <row r="496" spans="2:13" x14ac:dyDescent="0.35">
      <c r="B496" s="544"/>
      <c r="C496" s="544"/>
      <c r="E496" s="544"/>
      <c r="F496" s="544"/>
      <c r="G496" s="544"/>
      <c r="H496" s="544"/>
      <c r="I496" s="544"/>
      <c r="J496" s="544"/>
      <c r="K496" s="544"/>
      <c r="L496" s="544"/>
      <c r="M496" s="544"/>
    </row>
    <row r="497" spans="2:13" x14ac:dyDescent="0.35">
      <c r="B497" s="544"/>
      <c r="C497" s="544"/>
      <c r="E497" s="544"/>
      <c r="F497" s="544"/>
      <c r="G497" s="544"/>
      <c r="H497" s="544"/>
      <c r="I497" s="544"/>
      <c r="J497" s="544"/>
      <c r="K497" s="544"/>
      <c r="L497" s="544"/>
      <c r="M497" s="544"/>
    </row>
    <row r="498" spans="2:13" x14ac:dyDescent="0.35">
      <c r="B498" s="544"/>
      <c r="C498" s="544"/>
      <c r="E498" s="544"/>
      <c r="F498" s="544"/>
      <c r="G498" s="544"/>
      <c r="H498" s="544"/>
      <c r="I498" s="544"/>
      <c r="J498" s="544"/>
      <c r="K498" s="544"/>
      <c r="L498" s="544"/>
      <c r="M498" s="544"/>
    </row>
    <row r="499" spans="2:13" x14ac:dyDescent="0.35">
      <c r="B499" s="544"/>
      <c r="C499" s="544"/>
      <c r="E499" s="544"/>
      <c r="F499" s="544"/>
      <c r="G499" s="544"/>
      <c r="H499" s="544"/>
      <c r="I499" s="544"/>
      <c r="J499" s="544"/>
      <c r="K499" s="544"/>
      <c r="L499" s="544"/>
      <c r="M499" s="544"/>
    </row>
    <row r="500" spans="2:13" x14ac:dyDescent="0.35">
      <c r="B500" s="544"/>
      <c r="C500" s="544"/>
      <c r="E500" s="544"/>
      <c r="F500" s="544"/>
      <c r="G500" s="544"/>
      <c r="H500" s="544"/>
      <c r="I500" s="544"/>
      <c r="J500" s="544"/>
      <c r="K500" s="544"/>
      <c r="L500" s="544"/>
      <c r="M500" s="544"/>
    </row>
    <row r="501" spans="2:13" x14ac:dyDescent="0.35">
      <c r="B501" s="544"/>
      <c r="C501" s="544"/>
      <c r="E501" s="544"/>
      <c r="F501" s="544"/>
      <c r="G501" s="544"/>
      <c r="H501" s="544"/>
      <c r="I501" s="544"/>
      <c r="J501" s="544"/>
      <c r="K501" s="544"/>
      <c r="L501" s="544"/>
      <c r="M501" s="544"/>
    </row>
    <row r="502" spans="2:13" x14ac:dyDescent="0.35">
      <c r="B502" s="544"/>
      <c r="C502" s="544"/>
      <c r="E502" s="544"/>
      <c r="F502" s="544"/>
      <c r="G502" s="544"/>
      <c r="H502" s="544"/>
      <c r="I502" s="544"/>
      <c r="J502" s="544"/>
      <c r="K502" s="544"/>
      <c r="L502" s="544"/>
      <c r="M502" s="544"/>
    </row>
    <row r="503" spans="2:13" x14ac:dyDescent="0.35">
      <c r="B503" s="544"/>
      <c r="C503" s="544"/>
      <c r="E503" s="544"/>
      <c r="F503" s="544"/>
      <c r="G503" s="544"/>
      <c r="H503" s="544"/>
      <c r="I503" s="544"/>
      <c r="J503" s="544"/>
      <c r="K503" s="544"/>
      <c r="L503" s="544"/>
      <c r="M503" s="544"/>
    </row>
    <row r="504" spans="2:13" x14ac:dyDescent="0.35">
      <c r="B504" s="544"/>
      <c r="C504" s="544"/>
      <c r="E504" s="544"/>
      <c r="F504" s="544"/>
      <c r="G504" s="544"/>
      <c r="H504" s="544"/>
      <c r="I504" s="544"/>
      <c r="J504" s="544"/>
      <c r="K504" s="544"/>
      <c r="L504" s="544"/>
      <c r="M504" s="544"/>
    </row>
    <row r="505" spans="2:13" x14ac:dyDescent="0.35">
      <c r="B505" s="544"/>
      <c r="C505" s="544"/>
      <c r="E505" s="544"/>
      <c r="F505" s="544"/>
      <c r="G505" s="544"/>
      <c r="H505" s="544"/>
      <c r="I505" s="544"/>
      <c r="J505" s="544"/>
      <c r="K505" s="544"/>
      <c r="L505" s="544"/>
      <c r="M505" s="544"/>
    </row>
    <row r="506" spans="2:13" x14ac:dyDescent="0.35">
      <c r="B506" s="544"/>
      <c r="C506" s="544"/>
      <c r="E506" s="544"/>
      <c r="F506" s="544"/>
      <c r="G506" s="544"/>
      <c r="H506" s="544"/>
      <c r="I506" s="544"/>
      <c r="J506" s="544"/>
      <c r="K506" s="544"/>
      <c r="L506" s="544"/>
      <c r="M506" s="544"/>
    </row>
    <row r="507" spans="2:13" x14ac:dyDescent="0.35">
      <c r="B507" s="544"/>
      <c r="C507" s="544"/>
      <c r="E507" s="544"/>
      <c r="F507" s="544"/>
      <c r="G507" s="544"/>
      <c r="H507" s="544"/>
      <c r="I507" s="544"/>
      <c r="J507" s="544"/>
      <c r="K507" s="544"/>
      <c r="L507" s="544"/>
      <c r="M507" s="544"/>
    </row>
    <row r="508" spans="2:13" x14ac:dyDescent="0.35">
      <c r="B508" s="544"/>
      <c r="C508" s="544"/>
      <c r="E508" s="544"/>
      <c r="F508" s="544"/>
      <c r="G508" s="544"/>
      <c r="H508" s="544"/>
      <c r="I508" s="544"/>
      <c r="J508" s="544"/>
      <c r="K508" s="544"/>
      <c r="L508" s="544"/>
      <c r="M508" s="544"/>
    </row>
    <row r="509" spans="2:13" x14ac:dyDescent="0.35">
      <c r="B509" s="544"/>
      <c r="C509" s="544"/>
      <c r="E509" s="544"/>
      <c r="F509" s="544"/>
      <c r="G509" s="544"/>
      <c r="H509" s="544"/>
      <c r="I509" s="544"/>
      <c r="J509" s="544"/>
      <c r="K509" s="544"/>
      <c r="L509" s="544"/>
      <c r="M509" s="544"/>
    </row>
    <row r="510" spans="2:13" x14ac:dyDescent="0.35">
      <c r="B510" s="544"/>
      <c r="C510" s="544"/>
      <c r="E510" s="544"/>
      <c r="F510" s="544"/>
      <c r="G510" s="544"/>
      <c r="H510" s="544"/>
      <c r="I510" s="544"/>
      <c r="J510" s="544"/>
      <c r="K510" s="544"/>
      <c r="L510" s="544"/>
      <c r="M510" s="544"/>
    </row>
    <row r="511" spans="2:13" x14ac:dyDescent="0.35">
      <c r="B511" s="544"/>
      <c r="C511" s="544"/>
      <c r="E511" s="544"/>
      <c r="F511" s="544"/>
      <c r="G511" s="544"/>
      <c r="H511" s="544"/>
      <c r="I511" s="544"/>
      <c r="J511" s="544"/>
      <c r="K511" s="544"/>
      <c r="L511" s="544"/>
      <c r="M511" s="544"/>
    </row>
    <row r="512" spans="2:13" x14ac:dyDescent="0.35">
      <c r="B512" s="544"/>
      <c r="C512" s="544"/>
      <c r="E512" s="544"/>
      <c r="F512" s="544"/>
      <c r="G512" s="544"/>
      <c r="H512" s="544"/>
      <c r="I512" s="544"/>
      <c r="J512" s="544"/>
      <c r="K512" s="544"/>
      <c r="L512" s="544"/>
      <c r="M512" s="544"/>
    </row>
    <row r="513" spans="2:13" x14ac:dyDescent="0.35">
      <c r="B513" s="544"/>
      <c r="C513" s="544"/>
      <c r="E513" s="544"/>
      <c r="F513" s="544"/>
      <c r="G513" s="544"/>
      <c r="H513" s="544"/>
      <c r="I513" s="544"/>
      <c r="J513" s="544"/>
      <c r="K513" s="544"/>
      <c r="L513" s="544"/>
      <c r="M513" s="544"/>
    </row>
    <row r="514" spans="2:13" x14ac:dyDescent="0.35">
      <c r="B514" s="544"/>
      <c r="C514" s="544"/>
      <c r="E514" s="544"/>
      <c r="F514" s="544"/>
      <c r="G514" s="544"/>
      <c r="H514" s="544"/>
      <c r="I514" s="544"/>
      <c r="J514" s="544"/>
      <c r="K514" s="544"/>
      <c r="L514" s="544"/>
      <c r="M514" s="544"/>
    </row>
    <row r="515" spans="2:13" x14ac:dyDescent="0.35">
      <c r="B515" s="544"/>
      <c r="C515" s="544"/>
      <c r="E515" s="544"/>
      <c r="F515" s="544"/>
      <c r="G515" s="544"/>
      <c r="H515" s="544"/>
      <c r="I515" s="544"/>
      <c r="J515" s="544"/>
      <c r="K515" s="544"/>
      <c r="L515" s="544"/>
      <c r="M515" s="544"/>
    </row>
    <row r="516" spans="2:13" x14ac:dyDescent="0.35">
      <c r="B516" s="544"/>
      <c r="C516" s="544"/>
      <c r="E516" s="544"/>
      <c r="F516" s="544"/>
      <c r="G516" s="544"/>
      <c r="H516" s="544"/>
      <c r="I516" s="544"/>
      <c r="J516" s="544"/>
      <c r="K516" s="544"/>
      <c r="L516" s="544"/>
      <c r="M516" s="544"/>
    </row>
    <row r="517" spans="2:13" x14ac:dyDescent="0.35">
      <c r="B517" s="544"/>
      <c r="C517" s="544"/>
      <c r="E517" s="544"/>
      <c r="F517" s="544"/>
      <c r="G517" s="544"/>
      <c r="H517" s="544"/>
      <c r="I517" s="544"/>
      <c r="J517" s="544"/>
      <c r="K517" s="544"/>
      <c r="L517" s="544"/>
      <c r="M517" s="544"/>
    </row>
    <row r="518" spans="2:13" x14ac:dyDescent="0.35">
      <c r="B518" s="544"/>
      <c r="C518" s="544"/>
      <c r="E518" s="544"/>
      <c r="F518" s="544"/>
      <c r="G518" s="544"/>
      <c r="H518" s="544"/>
      <c r="I518" s="544"/>
      <c r="J518" s="544"/>
      <c r="K518" s="544"/>
      <c r="L518" s="544"/>
      <c r="M518" s="544"/>
    </row>
    <row r="519" spans="2:13" x14ac:dyDescent="0.35">
      <c r="B519" s="544"/>
      <c r="C519" s="544"/>
      <c r="E519" s="544"/>
      <c r="F519" s="544"/>
      <c r="G519" s="544"/>
      <c r="H519" s="544"/>
      <c r="I519" s="544"/>
      <c r="J519" s="544"/>
      <c r="K519" s="544"/>
      <c r="L519" s="544"/>
      <c r="M519" s="544"/>
    </row>
    <row r="520" spans="2:13" x14ac:dyDescent="0.35">
      <c r="B520" s="544"/>
      <c r="C520" s="544"/>
      <c r="E520" s="544"/>
      <c r="F520" s="544"/>
      <c r="G520" s="544"/>
      <c r="H520" s="544"/>
      <c r="I520" s="544"/>
      <c r="J520" s="544"/>
      <c r="K520" s="544"/>
      <c r="L520" s="544"/>
      <c r="M520" s="544"/>
    </row>
    <row r="521" spans="2:13" x14ac:dyDescent="0.35">
      <c r="B521" s="544"/>
      <c r="C521" s="544"/>
      <c r="E521" s="544"/>
      <c r="F521" s="544"/>
      <c r="G521" s="544"/>
      <c r="H521" s="544"/>
      <c r="I521" s="544"/>
      <c r="J521" s="544"/>
      <c r="K521" s="544"/>
      <c r="L521" s="544"/>
      <c r="M521" s="544"/>
    </row>
    <row r="522" spans="2:13" x14ac:dyDescent="0.35">
      <c r="B522" s="544"/>
      <c r="C522" s="544"/>
      <c r="E522" s="544"/>
      <c r="F522" s="544"/>
      <c r="G522" s="544"/>
      <c r="H522" s="544"/>
      <c r="I522" s="544"/>
      <c r="J522" s="544"/>
      <c r="K522" s="544"/>
      <c r="L522" s="544"/>
      <c r="M522" s="544"/>
    </row>
    <row r="523" spans="2:13" x14ac:dyDescent="0.35">
      <c r="B523" s="544"/>
      <c r="C523" s="544"/>
      <c r="E523" s="544"/>
      <c r="F523" s="544"/>
      <c r="G523" s="544"/>
      <c r="H523" s="544"/>
      <c r="I523" s="544"/>
      <c r="J523" s="544"/>
      <c r="K523" s="544"/>
      <c r="L523" s="544"/>
      <c r="M523" s="544"/>
    </row>
    <row r="524" spans="2:13" x14ac:dyDescent="0.35">
      <c r="B524" s="544"/>
      <c r="C524" s="544"/>
      <c r="E524" s="544"/>
      <c r="F524" s="544"/>
      <c r="G524" s="544"/>
      <c r="H524" s="544"/>
      <c r="I524" s="544"/>
      <c r="J524" s="544"/>
      <c r="K524" s="544"/>
      <c r="L524" s="544"/>
      <c r="M524" s="544"/>
    </row>
    <row r="525" spans="2:13" x14ac:dyDescent="0.35">
      <c r="B525" s="544"/>
      <c r="C525" s="544"/>
      <c r="E525" s="544"/>
      <c r="F525" s="544"/>
      <c r="G525" s="544"/>
      <c r="H525" s="544"/>
      <c r="I525" s="544"/>
      <c r="J525" s="544"/>
      <c r="K525" s="544"/>
      <c r="L525" s="544"/>
      <c r="M525" s="544"/>
    </row>
    <row r="526" spans="2:13" x14ac:dyDescent="0.35">
      <c r="B526" s="544"/>
      <c r="C526" s="544"/>
      <c r="E526" s="544"/>
      <c r="F526" s="544"/>
      <c r="G526" s="544"/>
      <c r="H526" s="544"/>
      <c r="I526" s="544"/>
      <c r="J526" s="544"/>
      <c r="K526" s="544"/>
      <c r="L526" s="544"/>
      <c r="M526" s="544"/>
    </row>
    <row r="527" spans="2:13" x14ac:dyDescent="0.35">
      <c r="B527" s="544"/>
      <c r="C527" s="544"/>
      <c r="E527" s="544"/>
      <c r="F527" s="544"/>
      <c r="G527" s="544"/>
      <c r="H527" s="544"/>
      <c r="I527" s="544"/>
      <c r="J527" s="544"/>
      <c r="K527" s="544"/>
      <c r="L527" s="544"/>
      <c r="M527" s="544"/>
    </row>
    <row r="528" spans="2:13" x14ac:dyDescent="0.35">
      <c r="B528" s="544"/>
      <c r="C528" s="544"/>
      <c r="E528" s="544"/>
      <c r="F528" s="544"/>
      <c r="G528" s="544"/>
      <c r="H528" s="544"/>
      <c r="I528" s="544"/>
      <c r="J528" s="544"/>
      <c r="K528" s="544"/>
      <c r="L528" s="544"/>
      <c r="M528" s="544"/>
    </row>
    <row r="529" spans="2:13" x14ac:dyDescent="0.35">
      <c r="B529" s="544"/>
      <c r="C529" s="544"/>
      <c r="E529" s="544"/>
      <c r="F529" s="544"/>
      <c r="G529" s="544"/>
      <c r="H529" s="544"/>
      <c r="I529" s="544"/>
      <c r="J529" s="544"/>
      <c r="K529" s="544"/>
      <c r="L529" s="544"/>
      <c r="M529" s="544"/>
    </row>
    <row r="530" spans="2:13" x14ac:dyDescent="0.35">
      <c r="B530" s="544"/>
      <c r="C530" s="544"/>
      <c r="E530" s="544"/>
      <c r="F530" s="544"/>
      <c r="G530" s="544"/>
      <c r="H530" s="544"/>
      <c r="I530" s="544"/>
      <c r="J530" s="544"/>
      <c r="K530" s="544"/>
      <c r="L530" s="544"/>
      <c r="M530" s="544"/>
    </row>
    <row r="531" spans="2:13" x14ac:dyDescent="0.35">
      <c r="B531" s="544"/>
      <c r="C531" s="544"/>
      <c r="E531" s="544"/>
      <c r="F531" s="544"/>
      <c r="G531" s="544"/>
      <c r="H531" s="544"/>
      <c r="I531" s="544"/>
      <c r="J531" s="544"/>
      <c r="K531" s="544"/>
      <c r="L531" s="544"/>
      <c r="M531" s="544"/>
    </row>
    <row r="532" spans="2:13" x14ac:dyDescent="0.35">
      <c r="B532" s="544"/>
      <c r="C532" s="544"/>
      <c r="E532" s="544"/>
      <c r="F532" s="544"/>
      <c r="G532" s="544"/>
      <c r="H532" s="544"/>
      <c r="I532" s="544"/>
      <c r="J532" s="544"/>
      <c r="K532" s="544"/>
      <c r="L532" s="544"/>
      <c r="M532" s="544"/>
    </row>
    <row r="533" spans="2:13" x14ac:dyDescent="0.35">
      <c r="B533" s="544"/>
      <c r="C533" s="544"/>
      <c r="E533" s="544"/>
      <c r="F533" s="544"/>
      <c r="G533" s="544"/>
      <c r="H533" s="544"/>
      <c r="I533" s="544"/>
      <c r="J533" s="544"/>
      <c r="K533" s="544"/>
      <c r="L533" s="544"/>
      <c r="M533" s="544"/>
    </row>
    <row r="534" spans="2:13" x14ac:dyDescent="0.35">
      <c r="B534" s="544"/>
      <c r="C534" s="544"/>
      <c r="E534" s="544"/>
      <c r="F534" s="544"/>
      <c r="G534" s="544"/>
      <c r="H534" s="544"/>
      <c r="I534" s="544"/>
      <c r="J534" s="544"/>
      <c r="K534" s="544"/>
      <c r="L534" s="544"/>
      <c r="M534" s="544"/>
    </row>
    <row r="535" spans="2:13" x14ac:dyDescent="0.35">
      <c r="B535" s="544"/>
      <c r="C535" s="544"/>
      <c r="E535" s="544"/>
      <c r="F535" s="544"/>
      <c r="G535" s="544"/>
      <c r="H535" s="544"/>
      <c r="I535" s="544"/>
      <c r="J535" s="544"/>
      <c r="K535" s="544"/>
      <c r="L535" s="544"/>
      <c r="M535" s="544"/>
    </row>
    <row r="536" spans="2:13" x14ac:dyDescent="0.35">
      <c r="B536" s="544"/>
      <c r="C536" s="544"/>
      <c r="E536" s="544"/>
      <c r="F536" s="544"/>
      <c r="G536" s="544"/>
      <c r="H536" s="544"/>
      <c r="I536" s="544"/>
      <c r="J536" s="544"/>
      <c r="K536" s="544"/>
      <c r="L536" s="544"/>
      <c r="M536" s="544"/>
    </row>
    <row r="537" spans="2:13" x14ac:dyDescent="0.35">
      <c r="B537" s="544"/>
      <c r="C537" s="544"/>
      <c r="E537" s="544"/>
      <c r="F537" s="544"/>
      <c r="G537" s="544"/>
      <c r="H537" s="544"/>
      <c r="I537" s="544"/>
      <c r="J537" s="544"/>
      <c r="K537" s="544"/>
      <c r="L537" s="544"/>
      <c r="M537" s="544"/>
    </row>
    <row r="538" spans="2:13" x14ac:dyDescent="0.35">
      <c r="B538" s="544"/>
      <c r="C538" s="544"/>
      <c r="E538" s="544"/>
      <c r="F538" s="544"/>
      <c r="G538" s="544"/>
      <c r="H538" s="544"/>
      <c r="I538" s="544"/>
      <c r="J538" s="544"/>
      <c r="K538" s="544"/>
      <c r="L538" s="544"/>
      <c r="M538" s="544"/>
    </row>
    <row r="539" spans="2:13" x14ac:dyDescent="0.35">
      <c r="B539" s="544"/>
      <c r="C539" s="544"/>
      <c r="E539" s="544"/>
      <c r="F539" s="544"/>
      <c r="G539" s="544"/>
      <c r="H539" s="544"/>
      <c r="I539" s="544"/>
      <c r="J539" s="544"/>
      <c r="K539" s="544"/>
      <c r="L539" s="544"/>
      <c r="M539" s="544"/>
    </row>
    <row r="540" spans="2:13" x14ac:dyDescent="0.35">
      <c r="B540" s="544"/>
      <c r="C540" s="544"/>
      <c r="E540" s="544"/>
      <c r="F540" s="544"/>
      <c r="G540" s="544"/>
      <c r="H540" s="544"/>
      <c r="I540" s="544"/>
      <c r="J540" s="544"/>
      <c r="K540" s="544"/>
      <c r="L540" s="544"/>
      <c r="M540" s="544"/>
    </row>
    <row r="541" spans="2:13" x14ac:dyDescent="0.35">
      <c r="B541" s="544"/>
      <c r="C541" s="544"/>
      <c r="E541" s="544"/>
      <c r="F541" s="544"/>
      <c r="G541" s="544"/>
      <c r="H541" s="544"/>
      <c r="I541" s="544"/>
      <c r="J541" s="544"/>
      <c r="K541" s="544"/>
      <c r="L541" s="544"/>
      <c r="M541" s="544"/>
    </row>
    <row r="542" spans="2:13" x14ac:dyDescent="0.35">
      <c r="B542" s="544"/>
      <c r="C542" s="544"/>
      <c r="E542" s="544"/>
      <c r="F542" s="544"/>
      <c r="G542" s="544"/>
      <c r="H542" s="544"/>
      <c r="I542" s="544"/>
      <c r="J542" s="544"/>
      <c r="K542" s="544"/>
      <c r="L542" s="544"/>
      <c r="M542" s="544"/>
    </row>
    <row r="543" spans="2:13" x14ac:dyDescent="0.35">
      <c r="B543" s="544"/>
      <c r="C543" s="544"/>
      <c r="E543" s="544"/>
      <c r="F543" s="544"/>
      <c r="G543" s="544"/>
      <c r="H543" s="544"/>
      <c r="I543" s="544"/>
      <c r="J543" s="544"/>
      <c r="K543" s="544"/>
      <c r="L543" s="544"/>
      <c r="M543" s="544"/>
    </row>
    <row r="544" spans="2:13" x14ac:dyDescent="0.35">
      <c r="B544" s="544"/>
      <c r="C544" s="544"/>
      <c r="E544" s="544"/>
      <c r="F544" s="544"/>
      <c r="G544" s="544"/>
      <c r="H544" s="544"/>
      <c r="I544" s="544"/>
      <c r="J544" s="544"/>
      <c r="K544" s="544"/>
      <c r="L544" s="544"/>
      <c r="M544" s="544"/>
    </row>
    <row r="545" spans="2:13" x14ac:dyDescent="0.35">
      <c r="B545" s="544"/>
      <c r="C545" s="544"/>
      <c r="E545" s="544"/>
      <c r="F545" s="544"/>
      <c r="G545" s="544"/>
      <c r="H545" s="544"/>
      <c r="I545" s="544"/>
      <c r="J545" s="544"/>
      <c r="K545" s="544"/>
      <c r="L545" s="544"/>
      <c r="M545" s="544"/>
    </row>
    <row r="546" spans="2:13" x14ac:dyDescent="0.35">
      <c r="B546" s="544"/>
      <c r="C546" s="544"/>
      <c r="E546" s="544"/>
      <c r="F546" s="544"/>
      <c r="G546" s="544"/>
      <c r="H546" s="544"/>
      <c r="I546" s="544"/>
      <c r="J546" s="544"/>
      <c r="K546" s="544"/>
      <c r="L546" s="544"/>
      <c r="M546" s="544"/>
    </row>
    <row r="547" spans="2:13" x14ac:dyDescent="0.35">
      <c r="B547" s="544"/>
      <c r="C547" s="544"/>
      <c r="E547" s="544"/>
      <c r="F547" s="544"/>
      <c r="G547" s="544"/>
      <c r="H547" s="544"/>
      <c r="I547" s="544"/>
      <c r="J547" s="544"/>
      <c r="K547" s="544"/>
      <c r="L547" s="544"/>
      <c r="M547" s="544"/>
    </row>
    <row r="548" spans="2:13" x14ac:dyDescent="0.35">
      <c r="B548" s="544"/>
      <c r="C548" s="544"/>
      <c r="E548" s="544"/>
      <c r="F548" s="544"/>
      <c r="G548" s="544"/>
      <c r="H548" s="544"/>
      <c r="I548" s="544"/>
      <c r="J548" s="544"/>
      <c r="K548" s="544"/>
      <c r="L548" s="544"/>
      <c r="M548" s="544"/>
    </row>
    <row r="549" spans="2:13" x14ac:dyDescent="0.35">
      <c r="B549" s="544"/>
      <c r="C549" s="544"/>
      <c r="E549" s="544"/>
      <c r="F549" s="544"/>
      <c r="G549" s="544"/>
      <c r="H549" s="544"/>
      <c r="I549" s="544"/>
      <c r="J549" s="544"/>
      <c r="K549" s="544"/>
      <c r="L549" s="544"/>
      <c r="M549" s="544"/>
    </row>
    <row r="550" spans="2:13" x14ac:dyDescent="0.35">
      <c r="B550" s="544"/>
      <c r="C550" s="544"/>
      <c r="E550" s="544"/>
      <c r="F550" s="544"/>
      <c r="G550" s="544"/>
      <c r="H550" s="544"/>
      <c r="I550" s="544"/>
      <c r="J550" s="544"/>
      <c r="K550" s="544"/>
      <c r="L550" s="544"/>
      <c r="M550" s="544"/>
    </row>
    <row r="551" spans="2:13" x14ac:dyDescent="0.35">
      <c r="B551" s="544"/>
      <c r="C551" s="544"/>
      <c r="E551" s="544"/>
      <c r="F551" s="544"/>
      <c r="G551" s="544"/>
      <c r="H551" s="544"/>
      <c r="I551" s="544"/>
      <c r="J551" s="544"/>
      <c r="K551" s="544"/>
      <c r="L551" s="544"/>
      <c r="M551" s="544"/>
    </row>
    <row r="552" spans="2:13" x14ac:dyDescent="0.35">
      <c r="B552" s="544"/>
      <c r="C552" s="544"/>
      <c r="E552" s="544"/>
      <c r="F552" s="544"/>
      <c r="G552" s="544"/>
      <c r="H552" s="544"/>
      <c r="I552" s="544"/>
      <c r="J552" s="544"/>
      <c r="K552" s="544"/>
      <c r="L552" s="544"/>
      <c r="M552" s="544"/>
    </row>
    <row r="553" spans="2:13" x14ac:dyDescent="0.35">
      <c r="B553" s="544"/>
      <c r="C553" s="544"/>
      <c r="E553" s="544"/>
      <c r="F553" s="544"/>
      <c r="G553" s="544"/>
      <c r="H553" s="544"/>
      <c r="I553" s="544"/>
      <c r="J553" s="544"/>
      <c r="K553" s="544"/>
      <c r="L553" s="544"/>
      <c r="M553" s="544"/>
    </row>
    <row r="554" spans="2:13" x14ac:dyDescent="0.35">
      <c r="B554" s="544"/>
      <c r="C554" s="544"/>
      <c r="E554" s="544"/>
      <c r="F554" s="544"/>
      <c r="G554" s="544"/>
      <c r="H554" s="544"/>
      <c r="I554" s="544"/>
      <c r="J554" s="544"/>
      <c r="K554" s="544"/>
      <c r="L554" s="544"/>
      <c r="M554" s="544"/>
    </row>
    <row r="555" spans="2:13" x14ac:dyDescent="0.35">
      <c r="B555" s="544"/>
      <c r="C555" s="544"/>
      <c r="E555" s="544"/>
      <c r="F555" s="544"/>
      <c r="G555" s="544"/>
      <c r="H555" s="544"/>
      <c r="I555" s="544"/>
      <c r="J555" s="544"/>
      <c r="K555" s="544"/>
      <c r="L555" s="544"/>
      <c r="M555" s="544"/>
    </row>
    <row r="556" spans="2:13" x14ac:dyDescent="0.35">
      <c r="B556" s="544"/>
      <c r="C556" s="544"/>
      <c r="E556" s="544"/>
      <c r="F556" s="544"/>
      <c r="G556" s="544"/>
      <c r="H556" s="544"/>
      <c r="I556" s="544"/>
      <c r="J556" s="544"/>
      <c r="K556" s="544"/>
      <c r="L556" s="544"/>
      <c r="M556" s="544"/>
    </row>
    <row r="557" spans="2:13" x14ac:dyDescent="0.35">
      <c r="B557" s="544"/>
      <c r="C557" s="544"/>
      <c r="E557" s="544"/>
      <c r="F557" s="544"/>
      <c r="G557" s="544"/>
      <c r="H557" s="544"/>
      <c r="I557" s="544"/>
      <c r="J557" s="544"/>
      <c r="K557" s="544"/>
      <c r="L557" s="544"/>
      <c r="M557" s="544"/>
    </row>
    <row r="558" spans="2:13" x14ac:dyDescent="0.35">
      <c r="B558" s="544"/>
      <c r="C558" s="544"/>
      <c r="E558" s="544"/>
      <c r="F558" s="544"/>
      <c r="G558" s="544"/>
      <c r="H558" s="544"/>
      <c r="I558" s="544"/>
      <c r="J558" s="544"/>
      <c r="K558" s="544"/>
      <c r="L558" s="544"/>
      <c r="M558" s="544"/>
    </row>
    <row r="559" spans="2:13" x14ac:dyDescent="0.35">
      <c r="B559" s="544"/>
      <c r="C559" s="544"/>
      <c r="E559" s="544"/>
      <c r="F559" s="544"/>
      <c r="G559" s="544"/>
      <c r="H559" s="544"/>
      <c r="I559" s="544"/>
      <c r="J559" s="544"/>
      <c r="K559" s="544"/>
      <c r="L559" s="544"/>
      <c r="M559" s="544"/>
    </row>
    <row r="560" spans="2:13" x14ac:dyDescent="0.35">
      <c r="B560" s="544"/>
      <c r="C560" s="544"/>
      <c r="E560" s="544"/>
      <c r="F560" s="544"/>
      <c r="G560" s="544"/>
      <c r="H560" s="544"/>
      <c r="I560" s="544"/>
      <c r="J560" s="544"/>
      <c r="K560" s="544"/>
      <c r="L560" s="544"/>
      <c r="M560" s="544"/>
    </row>
    <row r="561" spans="2:13" x14ac:dyDescent="0.35">
      <c r="B561" s="544"/>
      <c r="C561" s="544"/>
      <c r="E561" s="544"/>
      <c r="F561" s="544"/>
      <c r="G561" s="544"/>
      <c r="H561" s="544"/>
      <c r="I561" s="544"/>
      <c r="J561" s="544"/>
      <c r="K561" s="544"/>
      <c r="L561" s="544"/>
      <c r="M561" s="544"/>
    </row>
    <row r="562" spans="2:13" x14ac:dyDescent="0.35">
      <c r="B562" s="544"/>
      <c r="C562" s="544"/>
      <c r="E562" s="544"/>
      <c r="F562" s="544"/>
      <c r="G562" s="544"/>
      <c r="H562" s="544"/>
      <c r="I562" s="544"/>
      <c r="J562" s="544"/>
      <c r="K562" s="544"/>
      <c r="L562" s="544"/>
      <c r="M562" s="544"/>
    </row>
    <row r="563" spans="2:13" x14ac:dyDescent="0.35">
      <c r="B563" s="544"/>
      <c r="C563" s="544"/>
      <c r="E563" s="544"/>
      <c r="F563" s="544"/>
      <c r="G563" s="544"/>
      <c r="H563" s="544"/>
      <c r="I563" s="544"/>
      <c r="J563" s="544"/>
      <c r="K563" s="544"/>
      <c r="L563" s="544"/>
      <c r="M563" s="544"/>
    </row>
    <row r="564" spans="2:13" x14ac:dyDescent="0.35">
      <c r="B564" s="544"/>
      <c r="C564" s="544"/>
      <c r="E564" s="544"/>
      <c r="F564" s="544"/>
      <c r="G564" s="544"/>
      <c r="H564" s="544"/>
      <c r="I564" s="544"/>
      <c r="J564" s="544"/>
      <c r="K564" s="544"/>
      <c r="L564" s="544"/>
      <c r="M564" s="544"/>
    </row>
    <row r="565" spans="2:13" x14ac:dyDescent="0.35">
      <c r="B565" s="544"/>
      <c r="C565" s="544"/>
      <c r="E565" s="544"/>
      <c r="F565" s="544"/>
      <c r="G565" s="544"/>
      <c r="H565" s="544"/>
      <c r="I565" s="544"/>
      <c r="J565" s="544"/>
      <c r="K565" s="544"/>
      <c r="L565" s="544"/>
      <c r="M565" s="544"/>
    </row>
    <row r="566" spans="2:13" x14ac:dyDescent="0.35">
      <c r="B566" s="544"/>
      <c r="C566" s="544"/>
      <c r="E566" s="544"/>
      <c r="F566" s="544"/>
      <c r="G566" s="544"/>
      <c r="H566" s="544"/>
      <c r="I566" s="544"/>
      <c r="J566" s="544"/>
      <c r="K566" s="544"/>
      <c r="L566" s="544"/>
      <c r="M566" s="544"/>
    </row>
    <row r="567" spans="2:13" x14ac:dyDescent="0.35">
      <c r="B567" s="544"/>
      <c r="C567" s="544"/>
      <c r="E567" s="544"/>
      <c r="F567" s="544"/>
      <c r="G567" s="544"/>
      <c r="H567" s="544"/>
      <c r="I567" s="544"/>
      <c r="J567" s="544"/>
      <c r="K567" s="544"/>
      <c r="L567" s="544"/>
      <c r="M567" s="544"/>
    </row>
    <row r="568" spans="2:13" x14ac:dyDescent="0.35">
      <c r="B568" s="544"/>
      <c r="C568" s="544"/>
      <c r="E568" s="544"/>
      <c r="F568" s="544"/>
      <c r="G568" s="544"/>
      <c r="H568" s="544"/>
      <c r="I568" s="544"/>
      <c r="J568" s="544"/>
      <c r="K568" s="544"/>
      <c r="L568" s="544"/>
      <c r="M568" s="544"/>
    </row>
    <row r="569" spans="2:13" x14ac:dyDescent="0.35">
      <c r="B569" s="544"/>
      <c r="C569" s="544"/>
      <c r="E569" s="544"/>
      <c r="F569" s="544"/>
      <c r="G569" s="544"/>
      <c r="H569" s="544"/>
      <c r="I569" s="544"/>
      <c r="J569" s="544"/>
      <c r="K569" s="544"/>
      <c r="L569" s="544"/>
      <c r="M569" s="544"/>
    </row>
    <row r="570" spans="2:13" x14ac:dyDescent="0.35">
      <c r="B570" s="544"/>
      <c r="C570" s="544"/>
      <c r="E570" s="544"/>
      <c r="F570" s="544"/>
      <c r="G570" s="544"/>
      <c r="H570" s="544"/>
      <c r="I570" s="544"/>
      <c r="J570" s="544"/>
      <c r="K570" s="544"/>
      <c r="L570" s="544"/>
      <c r="M570" s="544"/>
    </row>
    <row r="571" spans="2:13" x14ac:dyDescent="0.35">
      <c r="B571" s="544"/>
      <c r="C571" s="544"/>
      <c r="E571" s="544"/>
      <c r="F571" s="544"/>
      <c r="G571" s="544"/>
      <c r="H571" s="544"/>
      <c r="I571" s="544"/>
      <c r="J571" s="544"/>
      <c r="K571" s="544"/>
      <c r="L571" s="544"/>
      <c r="M571" s="544"/>
    </row>
    <row r="572" spans="2:13" x14ac:dyDescent="0.35">
      <c r="B572" s="544"/>
      <c r="C572" s="544"/>
      <c r="E572" s="544"/>
      <c r="F572" s="544"/>
      <c r="G572" s="544"/>
      <c r="H572" s="544"/>
      <c r="I572" s="544"/>
      <c r="J572" s="544"/>
      <c r="K572" s="544"/>
      <c r="L572" s="544"/>
      <c r="M572" s="544"/>
    </row>
    <row r="573" spans="2:13" x14ac:dyDescent="0.35">
      <c r="B573" s="544"/>
      <c r="C573" s="544"/>
      <c r="E573" s="544"/>
      <c r="F573" s="544"/>
      <c r="G573" s="544"/>
      <c r="H573" s="544"/>
      <c r="I573" s="544"/>
      <c r="J573" s="544"/>
      <c r="K573" s="544"/>
      <c r="L573" s="544"/>
      <c r="M573" s="544"/>
    </row>
    <row r="574" spans="2:13" x14ac:dyDescent="0.35">
      <c r="B574" s="544"/>
      <c r="C574" s="544"/>
      <c r="E574" s="544"/>
      <c r="F574" s="544"/>
      <c r="G574" s="544"/>
      <c r="H574" s="544"/>
      <c r="I574" s="544"/>
      <c r="J574" s="544"/>
      <c r="K574" s="544"/>
      <c r="L574" s="544"/>
      <c r="M574" s="544"/>
    </row>
    <row r="575" spans="2:13" x14ac:dyDescent="0.35">
      <c r="B575" s="544"/>
      <c r="C575" s="544"/>
      <c r="E575" s="544"/>
      <c r="F575" s="544"/>
      <c r="G575" s="544"/>
      <c r="H575" s="544"/>
      <c r="I575" s="544"/>
      <c r="J575" s="544"/>
      <c r="K575" s="544"/>
      <c r="L575" s="544"/>
      <c r="M575" s="544"/>
    </row>
    <row r="576" spans="2:13" x14ac:dyDescent="0.35">
      <c r="B576" s="544"/>
      <c r="C576" s="544"/>
      <c r="E576" s="544"/>
      <c r="F576" s="544"/>
      <c r="G576" s="544"/>
      <c r="H576" s="544"/>
      <c r="I576" s="544"/>
      <c r="J576" s="544"/>
      <c r="K576" s="544"/>
      <c r="L576" s="544"/>
      <c r="M576" s="544"/>
    </row>
    <row r="577" spans="2:13" x14ac:dyDescent="0.35">
      <c r="B577" s="544"/>
      <c r="C577" s="544"/>
      <c r="E577" s="544"/>
      <c r="F577" s="544"/>
      <c r="G577" s="544"/>
      <c r="H577" s="544"/>
      <c r="I577" s="544"/>
      <c r="J577" s="544"/>
      <c r="K577" s="544"/>
      <c r="L577" s="544"/>
      <c r="M577" s="544"/>
    </row>
    <row r="578" spans="2:13" x14ac:dyDescent="0.35">
      <c r="B578" s="544"/>
      <c r="C578" s="544"/>
      <c r="E578" s="544"/>
      <c r="F578" s="544"/>
      <c r="G578" s="544"/>
      <c r="H578" s="544"/>
      <c r="I578" s="544"/>
      <c r="J578" s="544"/>
      <c r="K578" s="544"/>
      <c r="L578" s="544"/>
      <c r="M578" s="544"/>
    </row>
    <row r="579" spans="2:13" x14ac:dyDescent="0.35">
      <c r="B579" s="544"/>
      <c r="C579" s="544"/>
      <c r="E579" s="544"/>
      <c r="F579" s="544"/>
      <c r="G579" s="544"/>
      <c r="H579" s="544"/>
      <c r="I579" s="544"/>
      <c r="J579" s="544"/>
      <c r="K579" s="544"/>
      <c r="L579" s="544"/>
      <c r="M579" s="544"/>
    </row>
    <row r="580" spans="2:13" x14ac:dyDescent="0.35">
      <c r="B580" s="544"/>
      <c r="C580" s="544"/>
      <c r="E580" s="544"/>
      <c r="F580" s="544"/>
      <c r="G580" s="544"/>
      <c r="H580" s="544"/>
      <c r="I580" s="544"/>
      <c r="J580" s="544"/>
      <c r="K580" s="544"/>
      <c r="L580" s="544"/>
      <c r="M580" s="544"/>
    </row>
    <row r="581" spans="2:13" x14ac:dyDescent="0.35">
      <c r="B581" s="544"/>
      <c r="C581" s="544"/>
      <c r="E581" s="544"/>
      <c r="F581" s="544"/>
      <c r="G581" s="544"/>
      <c r="H581" s="544"/>
      <c r="I581" s="544"/>
      <c r="J581" s="544"/>
      <c r="K581" s="544"/>
      <c r="L581" s="544"/>
      <c r="M581" s="544"/>
    </row>
    <row r="582" spans="2:13" x14ac:dyDescent="0.35">
      <c r="B582" s="544"/>
      <c r="C582" s="544"/>
      <c r="E582" s="544"/>
      <c r="F582" s="544"/>
      <c r="G582" s="544"/>
      <c r="H582" s="544"/>
      <c r="I582" s="544"/>
      <c r="J582" s="544"/>
      <c r="K582" s="544"/>
      <c r="L582" s="544"/>
      <c r="M582" s="544"/>
    </row>
    <row r="583" spans="2:13" x14ac:dyDescent="0.35">
      <c r="B583" s="544"/>
      <c r="C583" s="544"/>
      <c r="E583" s="544"/>
      <c r="F583" s="544"/>
      <c r="G583" s="544"/>
      <c r="H583" s="544"/>
      <c r="I583" s="544"/>
      <c r="J583" s="544"/>
      <c r="K583" s="544"/>
      <c r="L583" s="544"/>
      <c r="M583" s="544"/>
    </row>
    <row r="584" spans="2:13" x14ac:dyDescent="0.35">
      <c r="B584" s="544"/>
      <c r="C584" s="544"/>
      <c r="E584" s="544"/>
      <c r="F584" s="544"/>
      <c r="G584" s="544"/>
      <c r="H584" s="544"/>
      <c r="I584" s="544"/>
      <c r="J584" s="544"/>
      <c r="K584" s="544"/>
      <c r="L584" s="544"/>
      <c r="M584" s="544"/>
    </row>
    <row r="585" spans="2:13" x14ac:dyDescent="0.35">
      <c r="B585" s="544"/>
      <c r="C585" s="544"/>
      <c r="E585" s="544"/>
      <c r="F585" s="544"/>
      <c r="G585" s="544"/>
      <c r="H585" s="544"/>
      <c r="I585" s="544"/>
      <c r="J585" s="544"/>
      <c r="K585" s="544"/>
      <c r="L585" s="544"/>
      <c r="M585" s="544"/>
    </row>
    <row r="586" spans="2:13" x14ac:dyDescent="0.35">
      <c r="B586" s="544"/>
      <c r="C586" s="544"/>
      <c r="E586" s="544"/>
      <c r="F586" s="544"/>
      <c r="G586" s="544"/>
      <c r="H586" s="544"/>
      <c r="I586" s="544"/>
      <c r="J586" s="544"/>
      <c r="K586" s="544"/>
      <c r="L586" s="544"/>
      <c r="M586" s="544"/>
    </row>
    <row r="587" spans="2:13" x14ac:dyDescent="0.35">
      <c r="B587" s="544"/>
      <c r="C587" s="544"/>
      <c r="E587" s="544"/>
      <c r="F587" s="544"/>
      <c r="G587" s="544"/>
      <c r="H587" s="544"/>
      <c r="I587" s="544"/>
      <c r="J587" s="544"/>
      <c r="K587" s="544"/>
      <c r="L587" s="544"/>
      <c r="M587" s="544"/>
    </row>
    <row r="588" spans="2:13" x14ac:dyDescent="0.35">
      <c r="B588" s="544"/>
      <c r="C588" s="544"/>
      <c r="E588" s="544"/>
      <c r="F588" s="544"/>
      <c r="G588" s="544"/>
      <c r="H588" s="544"/>
      <c r="I588" s="544"/>
      <c r="J588" s="544"/>
      <c r="K588" s="544"/>
      <c r="L588" s="544"/>
      <c r="M588" s="544"/>
    </row>
    <row r="589" spans="2:13" x14ac:dyDescent="0.35">
      <c r="B589" s="544"/>
      <c r="C589" s="544"/>
      <c r="E589" s="544"/>
      <c r="F589" s="544"/>
      <c r="G589" s="544"/>
      <c r="H589" s="544"/>
      <c r="I589" s="544"/>
      <c r="J589" s="544"/>
      <c r="K589" s="544"/>
      <c r="L589" s="544"/>
      <c r="M589" s="544"/>
    </row>
    <row r="590" spans="2:13" x14ac:dyDescent="0.35">
      <c r="B590" s="544"/>
      <c r="C590" s="544"/>
      <c r="E590" s="544"/>
      <c r="F590" s="544"/>
      <c r="G590" s="544"/>
      <c r="H590" s="544"/>
      <c r="I590" s="544"/>
      <c r="J590" s="544"/>
      <c r="K590" s="544"/>
      <c r="L590" s="544"/>
      <c r="M590" s="544"/>
    </row>
    <row r="591" spans="2:13" x14ac:dyDescent="0.35">
      <c r="B591" s="544"/>
      <c r="C591" s="544"/>
      <c r="E591" s="544"/>
      <c r="F591" s="544"/>
      <c r="G591" s="544"/>
      <c r="H591" s="544"/>
      <c r="I591" s="544"/>
      <c r="J591" s="544"/>
      <c r="K591" s="544"/>
      <c r="L591" s="544"/>
      <c r="M591" s="544"/>
    </row>
    <row r="592" spans="2:13" x14ac:dyDescent="0.35">
      <c r="B592" s="544"/>
      <c r="C592" s="544"/>
      <c r="E592" s="544"/>
      <c r="F592" s="544"/>
      <c r="G592" s="544"/>
      <c r="H592" s="544"/>
      <c r="I592" s="544"/>
      <c r="J592" s="544"/>
      <c r="K592" s="544"/>
      <c r="L592" s="544"/>
      <c r="M592" s="544"/>
    </row>
    <row r="593" spans="2:13" x14ac:dyDescent="0.35">
      <c r="B593" s="544"/>
      <c r="C593" s="544"/>
      <c r="E593" s="544"/>
      <c r="F593" s="544"/>
      <c r="G593" s="544"/>
      <c r="H593" s="544"/>
      <c r="I593" s="544"/>
      <c r="J593" s="544"/>
      <c r="K593" s="544"/>
      <c r="L593" s="544"/>
      <c r="M593" s="544"/>
    </row>
    <row r="594" spans="2:13" x14ac:dyDescent="0.35">
      <c r="B594" s="544"/>
      <c r="C594" s="544"/>
      <c r="E594" s="544"/>
      <c r="F594" s="544"/>
      <c r="G594" s="544"/>
      <c r="H594" s="544"/>
      <c r="I594" s="544"/>
      <c r="J594" s="544"/>
      <c r="K594" s="544"/>
      <c r="L594" s="544"/>
      <c r="M594" s="544"/>
    </row>
    <row r="595" spans="2:13" x14ac:dyDescent="0.35">
      <c r="B595" s="544"/>
      <c r="C595" s="544"/>
      <c r="E595" s="544"/>
      <c r="F595" s="544"/>
      <c r="G595" s="544"/>
      <c r="H595" s="544"/>
      <c r="I595" s="544"/>
      <c r="J595" s="544"/>
      <c r="K595" s="544"/>
      <c r="L595" s="544"/>
      <c r="M595" s="544"/>
    </row>
    <row r="596" spans="2:13" x14ac:dyDescent="0.35">
      <c r="B596" s="544"/>
      <c r="C596" s="544"/>
      <c r="E596" s="544"/>
      <c r="F596" s="544"/>
      <c r="G596" s="544"/>
      <c r="H596" s="544"/>
      <c r="I596" s="544"/>
      <c r="J596" s="544"/>
      <c r="K596" s="544"/>
      <c r="L596" s="544"/>
      <c r="M596" s="544"/>
    </row>
    <row r="597" spans="2:13" x14ac:dyDescent="0.35">
      <c r="B597" s="544"/>
      <c r="C597" s="544"/>
      <c r="E597" s="544"/>
      <c r="F597" s="544"/>
      <c r="G597" s="544"/>
      <c r="H597" s="544"/>
      <c r="I597" s="544"/>
      <c r="J597" s="544"/>
      <c r="K597" s="544"/>
      <c r="L597" s="544"/>
      <c r="M597" s="544"/>
    </row>
    <row r="598" spans="2:13" x14ac:dyDescent="0.35">
      <c r="B598" s="544"/>
      <c r="C598" s="544"/>
      <c r="E598" s="544"/>
      <c r="F598" s="544"/>
      <c r="G598" s="544"/>
      <c r="H598" s="544"/>
      <c r="I598" s="544"/>
      <c r="J598" s="544"/>
      <c r="K598" s="544"/>
      <c r="L598" s="544"/>
      <c r="M598" s="544"/>
    </row>
    <row r="599" spans="2:13" x14ac:dyDescent="0.35">
      <c r="B599" s="544"/>
      <c r="C599" s="544"/>
      <c r="E599" s="544"/>
      <c r="F599" s="544"/>
      <c r="G599" s="544"/>
      <c r="H599" s="544"/>
      <c r="I599" s="544"/>
      <c r="J599" s="544"/>
      <c r="K599" s="544"/>
      <c r="L599" s="544"/>
      <c r="M599" s="544"/>
    </row>
    <row r="600" spans="2:13" x14ac:dyDescent="0.35">
      <c r="B600" s="544"/>
      <c r="C600" s="544"/>
      <c r="E600" s="544"/>
      <c r="F600" s="544"/>
      <c r="G600" s="544"/>
      <c r="H600" s="544"/>
      <c r="I600" s="544"/>
      <c r="J600" s="544"/>
      <c r="K600" s="544"/>
      <c r="L600" s="544"/>
      <c r="M600" s="544"/>
    </row>
    <row r="601" spans="2:13" x14ac:dyDescent="0.35">
      <c r="B601" s="544"/>
      <c r="C601" s="544"/>
      <c r="E601" s="544"/>
      <c r="F601" s="544"/>
      <c r="G601" s="544"/>
      <c r="H601" s="544"/>
      <c r="I601" s="544"/>
      <c r="J601" s="544"/>
      <c r="K601" s="544"/>
      <c r="L601" s="544"/>
      <c r="M601" s="544"/>
    </row>
    <row r="602" spans="2:13" x14ac:dyDescent="0.35">
      <c r="B602" s="544"/>
      <c r="C602" s="544"/>
      <c r="E602" s="544"/>
      <c r="F602" s="544"/>
      <c r="G602" s="544"/>
      <c r="H602" s="544"/>
      <c r="I602" s="544"/>
      <c r="J602" s="544"/>
      <c r="K602" s="544"/>
      <c r="L602" s="544"/>
      <c r="M602" s="544"/>
    </row>
    <row r="603" spans="2:13" x14ac:dyDescent="0.35">
      <c r="B603" s="544"/>
      <c r="C603" s="544"/>
      <c r="E603" s="544"/>
      <c r="F603" s="544"/>
      <c r="G603" s="544"/>
      <c r="H603" s="544"/>
      <c r="I603" s="544"/>
      <c r="J603" s="544"/>
      <c r="K603" s="544"/>
      <c r="L603" s="544"/>
      <c r="M603" s="544"/>
    </row>
    <row r="604" spans="2:13" x14ac:dyDescent="0.35">
      <c r="B604" s="544"/>
      <c r="C604" s="544"/>
      <c r="E604" s="544"/>
      <c r="F604" s="544"/>
      <c r="G604" s="544"/>
      <c r="H604" s="544"/>
      <c r="I604" s="544"/>
      <c r="J604" s="544"/>
      <c r="K604" s="544"/>
      <c r="L604" s="544"/>
      <c r="M604" s="544"/>
    </row>
    <row r="605" spans="2:13" x14ac:dyDescent="0.35">
      <c r="B605" s="544"/>
      <c r="C605" s="544"/>
      <c r="E605" s="544"/>
      <c r="F605" s="544"/>
      <c r="G605" s="544"/>
      <c r="H605" s="544"/>
      <c r="I605" s="544"/>
      <c r="J605" s="544"/>
      <c r="K605" s="544"/>
      <c r="L605" s="544"/>
      <c r="M605" s="544"/>
    </row>
    <row r="606" spans="2:13" x14ac:dyDescent="0.35">
      <c r="B606" s="544"/>
      <c r="C606" s="544"/>
      <c r="E606" s="544"/>
      <c r="F606" s="544"/>
      <c r="G606" s="544"/>
      <c r="H606" s="544"/>
      <c r="I606" s="544"/>
      <c r="J606" s="544"/>
      <c r="K606" s="544"/>
      <c r="L606" s="544"/>
      <c r="M606" s="544"/>
    </row>
    <row r="607" spans="2:13" x14ac:dyDescent="0.35">
      <c r="B607" s="544"/>
      <c r="C607" s="544"/>
      <c r="E607" s="544"/>
      <c r="F607" s="544"/>
      <c r="G607" s="544"/>
      <c r="H607" s="544"/>
      <c r="I607" s="544"/>
      <c r="J607" s="544"/>
      <c r="K607" s="544"/>
      <c r="L607" s="544"/>
      <c r="M607" s="544"/>
    </row>
    <row r="608" spans="2:13" x14ac:dyDescent="0.35">
      <c r="B608" s="544"/>
      <c r="C608" s="544"/>
      <c r="E608" s="544"/>
      <c r="F608" s="544"/>
      <c r="G608" s="544"/>
      <c r="H608" s="544"/>
      <c r="I608" s="544"/>
      <c r="J608" s="544"/>
      <c r="K608" s="544"/>
      <c r="L608" s="544"/>
      <c r="M608" s="544"/>
    </row>
    <row r="609" spans="2:13" x14ac:dyDescent="0.35">
      <c r="B609" s="544"/>
      <c r="C609" s="544"/>
      <c r="E609" s="544"/>
      <c r="F609" s="544"/>
      <c r="G609" s="544"/>
      <c r="H609" s="544"/>
      <c r="I609" s="544"/>
      <c r="J609" s="544"/>
      <c r="K609" s="544"/>
      <c r="L609" s="544"/>
      <c r="M609" s="544"/>
    </row>
    <row r="610" spans="2:13" x14ac:dyDescent="0.35">
      <c r="B610" s="544"/>
      <c r="C610" s="544"/>
      <c r="E610" s="544"/>
      <c r="F610" s="544"/>
      <c r="G610" s="544"/>
      <c r="H610" s="544"/>
      <c r="I610" s="544"/>
      <c r="J610" s="544"/>
      <c r="K610" s="544"/>
      <c r="L610" s="544"/>
      <c r="M610" s="544"/>
    </row>
    <row r="611" spans="2:13" x14ac:dyDescent="0.35">
      <c r="B611" s="544"/>
      <c r="C611" s="544"/>
      <c r="E611" s="544"/>
      <c r="F611" s="544"/>
      <c r="G611" s="544"/>
      <c r="H611" s="544"/>
      <c r="I611" s="544"/>
      <c r="J611" s="544"/>
      <c r="K611" s="544"/>
      <c r="L611" s="544"/>
      <c r="M611" s="544"/>
    </row>
    <row r="612" spans="2:13" x14ac:dyDescent="0.35">
      <c r="B612" s="544"/>
      <c r="C612" s="544"/>
      <c r="E612" s="544"/>
      <c r="F612" s="544"/>
      <c r="G612" s="544"/>
      <c r="H612" s="544"/>
      <c r="I612" s="544"/>
      <c r="J612" s="544"/>
      <c r="K612" s="544"/>
      <c r="L612" s="544"/>
      <c r="M612" s="544"/>
    </row>
    <row r="613" spans="2:13" x14ac:dyDescent="0.35">
      <c r="B613" s="544"/>
      <c r="C613" s="544"/>
      <c r="E613" s="544"/>
      <c r="F613" s="544"/>
      <c r="G613" s="544"/>
      <c r="H613" s="544"/>
      <c r="I613" s="544"/>
      <c r="J613" s="544"/>
      <c r="K613" s="544"/>
      <c r="L613" s="544"/>
      <c r="M613" s="544"/>
    </row>
    <row r="614" spans="2:13" x14ac:dyDescent="0.35">
      <c r="B614" s="544"/>
      <c r="C614" s="544"/>
      <c r="E614" s="544"/>
      <c r="F614" s="544"/>
      <c r="G614" s="544"/>
      <c r="H614" s="544"/>
      <c r="I614" s="544"/>
      <c r="J614" s="544"/>
      <c r="K614" s="544"/>
      <c r="L614" s="544"/>
      <c r="M614" s="544"/>
    </row>
    <row r="615" spans="2:13" x14ac:dyDescent="0.35">
      <c r="B615" s="544"/>
      <c r="C615" s="544"/>
      <c r="E615" s="544"/>
      <c r="F615" s="544"/>
      <c r="G615" s="544"/>
      <c r="H615" s="544"/>
      <c r="I615" s="544"/>
      <c r="J615" s="544"/>
      <c r="K615" s="544"/>
      <c r="L615" s="544"/>
      <c r="M615" s="544"/>
    </row>
    <row r="616" spans="2:13" x14ac:dyDescent="0.35">
      <c r="B616" s="544"/>
      <c r="C616" s="544"/>
      <c r="E616" s="544"/>
      <c r="F616" s="544"/>
      <c r="G616" s="544"/>
      <c r="H616" s="544"/>
      <c r="I616" s="544"/>
      <c r="J616" s="544"/>
      <c r="K616" s="544"/>
      <c r="L616" s="544"/>
      <c r="M616" s="544"/>
    </row>
    <row r="617" spans="2:13" x14ac:dyDescent="0.35">
      <c r="B617" s="544"/>
      <c r="C617" s="544"/>
      <c r="E617" s="544"/>
      <c r="F617" s="544"/>
      <c r="G617" s="544"/>
      <c r="H617" s="544"/>
      <c r="I617" s="544"/>
      <c r="J617" s="544"/>
      <c r="K617" s="544"/>
      <c r="L617" s="544"/>
      <c r="M617" s="544"/>
    </row>
    <row r="618" spans="2:13" x14ac:dyDescent="0.35">
      <c r="B618" s="544"/>
      <c r="C618" s="544"/>
      <c r="E618" s="544"/>
      <c r="F618" s="544"/>
      <c r="G618" s="544"/>
      <c r="H618" s="544"/>
      <c r="I618" s="544"/>
      <c r="J618" s="544"/>
      <c r="K618" s="544"/>
      <c r="L618" s="544"/>
      <c r="M618" s="544"/>
    </row>
    <row r="619" spans="2:13" x14ac:dyDescent="0.35">
      <c r="B619" s="544"/>
      <c r="C619" s="544"/>
      <c r="E619" s="544"/>
      <c r="F619" s="544"/>
      <c r="G619" s="544"/>
      <c r="H619" s="544"/>
      <c r="I619" s="544"/>
      <c r="J619" s="544"/>
      <c r="K619" s="544"/>
      <c r="L619" s="544"/>
      <c r="M619" s="544"/>
    </row>
    <row r="620" spans="2:13" x14ac:dyDescent="0.35">
      <c r="B620" s="544"/>
      <c r="C620" s="544"/>
      <c r="E620" s="544"/>
      <c r="F620" s="544"/>
      <c r="G620" s="544"/>
      <c r="H620" s="544"/>
      <c r="I620" s="544"/>
      <c r="J620" s="544"/>
      <c r="K620" s="544"/>
      <c r="L620" s="544"/>
      <c r="M620" s="544"/>
    </row>
    <row r="621" spans="2:13" x14ac:dyDescent="0.35">
      <c r="B621" s="544"/>
      <c r="C621" s="544"/>
      <c r="E621" s="544"/>
      <c r="F621" s="544"/>
      <c r="G621" s="544"/>
      <c r="H621" s="544"/>
      <c r="I621" s="544"/>
      <c r="J621" s="544"/>
      <c r="K621" s="544"/>
      <c r="L621" s="544"/>
      <c r="M621" s="544"/>
    </row>
    <row r="622" spans="2:13" x14ac:dyDescent="0.35">
      <c r="B622" s="544"/>
      <c r="C622" s="544"/>
      <c r="E622" s="544"/>
      <c r="F622" s="544"/>
      <c r="G622" s="544"/>
      <c r="H622" s="544"/>
      <c r="I622" s="544"/>
      <c r="J622" s="544"/>
      <c r="K622" s="544"/>
      <c r="L622" s="544"/>
      <c r="M622" s="544"/>
    </row>
    <row r="623" spans="2:13" x14ac:dyDescent="0.35">
      <c r="B623" s="544"/>
      <c r="C623" s="544"/>
      <c r="E623" s="544"/>
      <c r="F623" s="544"/>
      <c r="G623" s="544"/>
      <c r="H623" s="544"/>
      <c r="I623" s="544"/>
      <c r="J623" s="544"/>
      <c r="K623" s="544"/>
      <c r="L623" s="544"/>
      <c r="M623" s="544"/>
    </row>
    <row r="624" spans="2:13" x14ac:dyDescent="0.35">
      <c r="B624" s="544"/>
      <c r="C624" s="544"/>
      <c r="E624" s="544"/>
      <c r="F624" s="544"/>
      <c r="G624" s="544"/>
      <c r="H624" s="544"/>
      <c r="I624" s="544"/>
      <c r="J624" s="544"/>
      <c r="K624" s="544"/>
      <c r="L624" s="544"/>
      <c r="M624" s="544"/>
    </row>
    <row r="625" spans="2:13" x14ac:dyDescent="0.35">
      <c r="B625" s="544"/>
      <c r="C625" s="544"/>
      <c r="E625" s="544"/>
      <c r="F625" s="544"/>
      <c r="G625" s="544"/>
      <c r="H625" s="544"/>
      <c r="I625" s="544"/>
      <c r="J625" s="544"/>
      <c r="K625" s="544"/>
      <c r="L625" s="544"/>
      <c r="M625" s="544"/>
    </row>
    <row r="626" spans="2:13" x14ac:dyDescent="0.35">
      <c r="B626" s="544"/>
      <c r="C626" s="544"/>
      <c r="E626" s="544"/>
      <c r="F626" s="544"/>
      <c r="G626" s="544"/>
      <c r="H626" s="544"/>
      <c r="I626" s="544"/>
      <c r="J626" s="544"/>
      <c r="K626" s="544"/>
      <c r="L626" s="544"/>
      <c r="M626" s="544"/>
    </row>
    <row r="627" spans="2:13" x14ac:dyDescent="0.35">
      <c r="B627" s="544"/>
      <c r="C627" s="544"/>
      <c r="E627" s="544"/>
      <c r="F627" s="544"/>
      <c r="G627" s="544"/>
      <c r="H627" s="544"/>
      <c r="I627" s="544"/>
      <c r="J627" s="544"/>
      <c r="K627" s="544"/>
      <c r="L627" s="544"/>
      <c r="M627" s="544"/>
    </row>
    <row r="628" spans="2:13" x14ac:dyDescent="0.35">
      <c r="B628" s="544"/>
      <c r="C628" s="544"/>
      <c r="E628" s="544"/>
      <c r="F628" s="544"/>
      <c r="G628" s="544"/>
      <c r="H628" s="544"/>
      <c r="I628" s="544"/>
      <c r="J628" s="544"/>
      <c r="K628" s="544"/>
      <c r="L628" s="544"/>
      <c r="M628" s="544"/>
    </row>
    <row r="629" spans="2:13" x14ac:dyDescent="0.35">
      <c r="B629" s="544"/>
      <c r="C629" s="544"/>
      <c r="E629" s="544"/>
      <c r="F629" s="544"/>
      <c r="G629" s="544"/>
      <c r="H629" s="544"/>
      <c r="I629" s="544"/>
      <c r="J629" s="544"/>
      <c r="K629" s="544"/>
      <c r="L629" s="544"/>
      <c r="M629" s="544"/>
    </row>
    <row r="630" spans="2:13" x14ac:dyDescent="0.35">
      <c r="B630" s="544"/>
      <c r="C630" s="544"/>
      <c r="E630" s="544"/>
      <c r="F630" s="544"/>
      <c r="G630" s="544"/>
      <c r="H630" s="544"/>
      <c r="I630" s="544"/>
      <c r="J630" s="544"/>
      <c r="K630" s="544"/>
      <c r="L630" s="544"/>
      <c r="M630" s="544"/>
    </row>
    <row r="631" spans="2:13" x14ac:dyDescent="0.35">
      <c r="B631" s="544"/>
      <c r="C631" s="544"/>
      <c r="E631" s="544"/>
      <c r="F631" s="544"/>
      <c r="G631" s="544"/>
      <c r="H631" s="544"/>
      <c r="I631" s="544"/>
      <c r="J631" s="544"/>
      <c r="K631" s="544"/>
      <c r="L631" s="544"/>
      <c r="M631" s="544"/>
    </row>
    <row r="632" spans="2:13" x14ac:dyDescent="0.35">
      <c r="B632" s="544"/>
      <c r="C632" s="544"/>
      <c r="E632" s="544"/>
      <c r="F632" s="544"/>
      <c r="G632" s="544"/>
      <c r="H632" s="544"/>
      <c r="I632" s="544"/>
      <c r="J632" s="544"/>
      <c r="K632" s="544"/>
      <c r="L632" s="544"/>
      <c r="M632" s="544"/>
    </row>
    <row r="633" spans="2:13" x14ac:dyDescent="0.35">
      <c r="B633" s="544"/>
      <c r="C633" s="544"/>
      <c r="E633" s="544"/>
      <c r="F633" s="544"/>
      <c r="G633" s="544"/>
      <c r="H633" s="544"/>
      <c r="I633" s="544"/>
      <c r="J633" s="544"/>
      <c r="K633" s="544"/>
      <c r="L633" s="544"/>
      <c r="M633" s="544"/>
    </row>
    <row r="634" spans="2:13" x14ac:dyDescent="0.35">
      <c r="B634" s="544"/>
      <c r="C634" s="544"/>
      <c r="E634" s="544"/>
      <c r="F634" s="544"/>
      <c r="G634" s="544"/>
      <c r="H634" s="544"/>
      <c r="I634" s="544"/>
      <c r="J634" s="544"/>
      <c r="K634" s="544"/>
      <c r="L634" s="544"/>
      <c r="M634" s="544"/>
    </row>
    <row r="635" spans="2:13" x14ac:dyDescent="0.35">
      <c r="B635" s="544"/>
      <c r="C635" s="544"/>
      <c r="E635" s="544"/>
      <c r="F635" s="544"/>
      <c r="G635" s="544"/>
      <c r="H635" s="544"/>
      <c r="I635" s="544"/>
      <c r="J635" s="544"/>
      <c r="K635" s="544"/>
      <c r="L635" s="544"/>
      <c r="M635" s="544"/>
    </row>
    <row r="636" spans="2:13" x14ac:dyDescent="0.35">
      <c r="B636" s="544"/>
      <c r="C636" s="544"/>
      <c r="E636" s="544"/>
      <c r="F636" s="544"/>
      <c r="G636" s="544"/>
      <c r="H636" s="544"/>
      <c r="I636" s="544"/>
      <c r="J636" s="544"/>
      <c r="K636" s="544"/>
      <c r="L636" s="544"/>
      <c r="M636" s="544"/>
    </row>
    <row r="637" spans="2:13" x14ac:dyDescent="0.35">
      <c r="B637" s="544"/>
      <c r="C637" s="544"/>
      <c r="E637" s="544"/>
      <c r="F637" s="544"/>
      <c r="G637" s="544"/>
      <c r="H637" s="544"/>
      <c r="I637" s="544"/>
      <c r="J637" s="544"/>
      <c r="K637" s="544"/>
      <c r="L637" s="544"/>
      <c r="M637" s="544"/>
    </row>
    <row r="638" spans="2:13" x14ac:dyDescent="0.35">
      <c r="B638" s="544"/>
      <c r="C638" s="544"/>
      <c r="E638" s="544"/>
      <c r="F638" s="544"/>
      <c r="G638" s="544"/>
      <c r="H638" s="544"/>
      <c r="I638" s="544"/>
      <c r="J638" s="544"/>
      <c r="K638" s="544"/>
      <c r="L638" s="544"/>
      <c r="M638" s="544"/>
    </row>
    <row r="639" spans="2:13" x14ac:dyDescent="0.35">
      <c r="B639" s="544"/>
      <c r="C639" s="544"/>
      <c r="E639" s="544"/>
      <c r="F639" s="544"/>
      <c r="G639" s="544"/>
      <c r="H639" s="544"/>
      <c r="I639" s="544"/>
      <c r="J639" s="544"/>
      <c r="K639" s="544"/>
      <c r="L639" s="544"/>
      <c r="M639" s="544"/>
    </row>
    <row r="640" spans="2:13" x14ac:dyDescent="0.35">
      <c r="B640" s="544"/>
      <c r="C640" s="544"/>
      <c r="E640" s="544"/>
      <c r="F640" s="544"/>
      <c r="G640" s="544"/>
      <c r="H640" s="544"/>
      <c r="I640" s="544"/>
      <c r="J640" s="544"/>
      <c r="K640" s="544"/>
      <c r="L640" s="544"/>
      <c r="M640" s="544"/>
    </row>
    <row r="641" spans="2:13" x14ac:dyDescent="0.35">
      <c r="B641" s="544"/>
      <c r="C641" s="544"/>
      <c r="E641" s="544"/>
      <c r="F641" s="544"/>
      <c r="G641" s="544"/>
      <c r="H641" s="544"/>
      <c r="I641" s="544"/>
      <c r="J641" s="544"/>
      <c r="K641" s="544"/>
      <c r="L641" s="544"/>
      <c r="M641" s="544"/>
    </row>
    <row r="642" spans="2:13" x14ac:dyDescent="0.35">
      <c r="B642" s="544"/>
      <c r="C642" s="544"/>
      <c r="E642" s="544"/>
      <c r="F642" s="544"/>
      <c r="G642" s="544"/>
      <c r="H642" s="544"/>
      <c r="I642" s="544"/>
      <c r="J642" s="544"/>
      <c r="K642" s="544"/>
      <c r="L642" s="544"/>
      <c r="M642" s="544"/>
    </row>
    <row r="643" spans="2:13" x14ac:dyDescent="0.35">
      <c r="B643" s="544"/>
      <c r="C643" s="544"/>
      <c r="E643" s="544"/>
      <c r="F643" s="544"/>
      <c r="G643" s="544"/>
      <c r="H643" s="544"/>
      <c r="I643" s="544"/>
      <c r="J643" s="544"/>
      <c r="K643" s="544"/>
      <c r="L643" s="544"/>
      <c r="M643" s="544"/>
    </row>
    <row r="644" spans="2:13" x14ac:dyDescent="0.35">
      <c r="B644" s="544"/>
      <c r="C644" s="544"/>
      <c r="E644" s="544"/>
      <c r="F644" s="544"/>
      <c r="G644" s="544"/>
      <c r="H644" s="544"/>
      <c r="I644" s="544"/>
      <c r="J644" s="544"/>
      <c r="K644" s="544"/>
      <c r="L644" s="544"/>
      <c r="M644" s="544"/>
    </row>
    <row r="645" spans="2:13" x14ac:dyDescent="0.35">
      <c r="B645" s="544"/>
      <c r="C645" s="544"/>
      <c r="E645" s="544"/>
      <c r="F645" s="544"/>
      <c r="G645" s="544"/>
      <c r="H645" s="544"/>
      <c r="I645" s="544"/>
      <c r="J645" s="544"/>
      <c r="K645" s="544"/>
      <c r="L645" s="544"/>
      <c r="M645" s="544"/>
    </row>
    <row r="646" spans="2:13" x14ac:dyDescent="0.35">
      <c r="B646" s="544"/>
      <c r="C646" s="544"/>
      <c r="E646" s="544"/>
      <c r="F646" s="544"/>
      <c r="G646" s="544"/>
      <c r="H646" s="544"/>
      <c r="I646" s="544"/>
      <c r="J646" s="544"/>
      <c r="K646" s="544"/>
      <c r="L646" s="544"/>
      <c r="M646" s="544"/>
    </row>
    <row r="647" spans="2:13" x14ac:dyDescent="0.35">
      <c r="B647" s="544"/>
      <c r="C647" s="544"/>
      <c r="E647" s="544"/>
      <c r="F647" s="544"/>
      <c r="G647" s="544"/>
      <c r="H647" s="544"/>
      <c r="I647" s="544"/>
      <c r="J647" s="544"/>
      <c r="K647" s="544"/>
      <c r="L647" s="544"/>
      <c r="M647" s="544"/>
    </row>
    <row r="648" spans="2:13" x14ac:dyDescent="0.35">
      <c r="B648" s="544"/>
      <c r="C648" s="544"/>
      <c r="E648" s="544"/>
      <c r="F648" s="544"/>
      <c r="G648" s="544"/>
      <c r="H648" s="544"/>
      <c r="I648" s="544"/>
      <c r="J648" s="544"/>
      <c r="K648" s="544"/>
      <c r="L648" s="544"/>
      <c r="M648" s="544"/>
    </row>
    <row r="649" spans="2:13" x14ac:dyDescent="0.35">
      <c r="B649" s="544"/>
      <c r="C649" s="544"/>
      <c r="E649" s="544"/>
      <c r="F649" s="544"/>
      <c r="G649" s="544"/>
      <c r="H649" s="544"/>
      <c r="I649" s="544"/>
      <c r="J649" s="544"/>
      <c r="K649" s="544"/>
      <c r="L649" s="544"/>
      <c r="M649" s="544"/>
    </row>
    <row r="650" spans="2:13" x14ac:dyDescent="0.35">
      <c r="B650" s="544"/>
      <c r="C650" s="544"/>
      <c r="E650" s="544"/>
      <c r="F650" s="544"/>
      <c r="G650" s="544"/>
      <c r="H650" s="544"/>
      <c r="I650" s="544"/>
      <c r="J650" s="544"/>
      <c r="K650" s="544"/>
      <c r="L650" s="544"/>
      <c r="M650" s="544"/>
    </row>
    <row r="651" spans="2:13" x14ac:dyDescent="0.35">
      <c r="B651" s="544"/>
      <c r="C651" s="544"/>
      <c r="E651" s="544"/>
      <c r="F651" s="544"/>
      <c r="G651" s="544"/>
      <c r="H651" s="544"/>
      <c r="I651" s="544"/>
      <c r="J651" s="544"/>
      <c r="K651" s="544"/>
      <c r="L651" s="544"/>
      <c r="M651" s="544"/>
    </row>
    <row r="652" spans="2:13" x14ac:dyDescent="0.35">
      <c r="B652" s="544"/>
      <c r="C652" s="544"/>
      <c r="E652" s="544"/>
      <c r="F652" s="544"/>
      <c r="G652" s="544"/>
      <c r="H652" s="544"/>
      <c r="I652" s="544"/>
      <c r="J652" s="544"/>
      <c r="K652" s="544"/>
      <c r="L652" s="544"/>
      <c r="M652" s="544"/>
    </row>
    <row r="653" spans="2:13" x14ac:dyDescent="0.35">
      <c r="B653" s="544"/>
      <c r="C653" s="544"/>
      <c r="E653" s="544"/>
      <c r="F653" s="544"/>
      <c r="G653" s="544"/>
      <c r="H653" s="544"/>
      <c r="I653" s="544"/>
      <c r="J653" s="544"/>
      <c r="K653" s="544"/>
      <c r="L653" s="544"/>
      <c r="M653" s="544"/>
    </row>
    <row r="654" spans="2:13" x14ac:dyDescent="0.35">
      <c r="B654" s="544"/>
      <c r="C654" s="544"/>
      <c r="E654" s="544"/>
      <c r="F654" s="544"/>
      <c r="G654" s="544"/>
      <c r="H654" s="544"/>
      <c r="I654" s="544"/>
      <c r="J654" s="544"/>
      <c r="K654" s="544"/>
      <c r="L654" s="544"/>
      <c r="M654" s="544"/>
    </row>
    <row r="655" spans="2:13" x14ac:dyDescent="0.35">
      <c r="B655" s="544"/>
      <c r="C655" s="544"/>
      <c r="E655" s="544"/>
      <c r="F655" s="544"/>
      <c r="G655" s="544"/>
      <c r="H655" s="544"/>
      <c r="I655" s="544"/>
      <c r="J655" s="544"/>
      <c r="K655" s="544"/>
      <c r="L655" s="544"/>
      <c r="M655" s="544"/>
    </row>
    <row r="656" spans="2:13" x14ac:dyDescent="0.35">
      <c r="B656" s="544"/>
      <c r="C656" s="544"/>
      <c r="E656" s="544"/>
      <c r="F656" s="544"/>
      <c r="G656" s="544"/>
      <c r="H656" s="544"/>
      <c r="I656" s="544"/>
      <c r="J656" s="544"/>
      <c r="K656" s="544"/>
      <c r="L656" s="544"/>
      <c r="M656" s="544"/>
    </row>
    <row r="657" spans="2:13" x14ac:dyDescent="0.35">
      <c r="B657" s="544"/>
      <c r="C657" s="544"/>
      <c r="E657" s="544"/>
      <c r="F657" s="544"/>
      <c r="G657" s="544"/>
      <c r="H657" s="544"/>
      <c r="I657" s="544"/>
      <c r="J657" s="544"/>
      <c r="K657" s="544"/>
      <c r="L657" s="544"/>
      <c r="M657" s="544"/>
    </row>
    <row r="658" spans="2:13" x14ac:dyDescent="0.35">
      <c r="B658" s="544"/>
      <c r="C658" s="544"/>
      <c r="E658" s="544"/>
      <c r="F658" s="544"/>
      <c r="G658" s="544"/>
      <c r="H658" s="544"/>
      <c r="I658" s="544"/>
      <c r="J658" s="544"/>
      <c r="K658" s="544"/>
      <c r="L658" s="544"/>
      <c r="M658" s="544"/>
    </row>
    <row r="659" spans="2:13" x14ac:dyDescent="0.35">
      <c r="B659" s="544"/>
      <c r="C659" s="544"/>
      <c r="E659" s="544"/>
      <c r="F659" s="544"/>
      <c r="G659" s="544"/>
      <c r="H659" s="544"/>
      <c r="I659" s="544"/>
      <c r="J659" s="544"/>
      <c r="K659" s="544"/>
      <c r="L659" s="544"/>
      <c r="M659" s="544"/>
    </row>
    <row r="660" spans="2:13" x14ac:dyDescent="0.35">
      <c r="B660" s="544"/>
      <c r="C660" s="544"/>
      <c r="E660" s="544"/>
      <c r="F660" s="544"/>
      <c r="G660" s="544"/>
      <c r="H660" s="544"/>
      <c r="I660" s="544"/>
      <c r="J660" s="544"/>
      <c r="K660" s="544"/>
      <c r="L660" s="544"/>
      <c r="M660" s="544"/>
    </row>
    <row r="661" spans="2:13" x14ac:dyDescent="0.35">
      <c r="B661" s="544"/>
      <c r="C661" s="544"/>
      <c r="E661" s="544"/>
      <c r="F661" s="544"/>
      <c r="G661" s="544"/>
      <c r="H661" s="544"/>
      <c r="I661" s="544"/>
      <c r="J661" s="544"/>
      <c r="K661" s="544"/>
      <c r="L661" s="544"/>
      <c r="M661" s="544"/>
    </row>
    <row r="662" spans="2:13" x14ac:dyDescent="0.35">
      <c r="B662" s="544"/>
      <c r="C662" s="544"/>
      <c r="E662" s="544"/>
      <c r="F662" s="544"/>
      <c r="G662" s="544"/>
      <c r="H662" s="544"/>
      <c r="I662" s="544"/>
      <c r="J662" s="544"/>
      <c r="K662" s="544"/>
      <c r="L662" s="544"/>
      <c r="M662" s="544"/>
    </row>
    <row r="663" spans="2:13" x14ac:dyDescent="0.35">
      <c r="B663" s="544"/>
      <c r="C663" s="544"/>
      <c r="E663" s="544"/>
      <c r="F663" s="544"/>
      <c r="G663" s="544"/>
      <c r="H663" s="544"/>
      <c r="I663" s="544"/>
      <c r="J663" s="544"/>
      <c r="K663" s="544"/>
      <c r="L663" s="544"/>
      <c r="M663" s="544"/>
    </row>
    <row r="664" spans="2:13" x14ac:dyDescent="0.35">
      <c r="B664" s="544"/>
      <c r="C664" s="544"/>
      <c r="E664" s="544"/>
      <c r="F664" s="544"/>
      <c r="G664" s="544"/>
      <c r="H664" s="544"/>
      <c r="I664" s="544"/>
      <c r="J664" s="544"/>
      <c r="K664" s="544"/>
      <c r="L664" s="544"/>
      <c r="M664" s="544"/>
    </row>
    <row r="665" spans="2:13" x14ac:dyDescent="0.35">
      <c r="B665" s="544"/>
      <c r="C665" s="544"/>
      <c r="E665" s="544"/>
      <c r="F665" s="544"/>
      <c r="G665" s="544"/>
      <c r="H665" s="544"/>
      <c r="I665" s="544"/>
      <c r="J665" s="544"/>
      <c r="K665" s="544"/>
      <c r="L665" s="544"/>
      <c r="M665" s="544"/>
    </row>
    <row r="666" spans="2:13" x14ac:dyDescent="0.35">
      <c r="B666" s="544"/>
      <c r="C666" s="544"/>
      <c r="E666" s="544"/>
      <c r="F666" s="544"/>
      <c r="G666" s="544"/>
      <c r="H666" s="544"/>
      <c r="I666" s="544"/>
      <c r="J666" s="544"/>
      <c r="K666" s="544"/>
      <c r="L666" s="544"/>
      <c r="M666" s="544"/>
    </row>
    <row r="667" spans="2:13" x14ac:dyDescent="0.35">
      <c r="B667" s="544"/>
      <c r="C667" s="544"/>
      <c r="E667" s="544"/>
      <c r="F667" s="544"/>
      <c r="G667" s="544"/>
      <c r="H667" s="544"/>
      <c r="I667" s="544"/>
      <c r="J667" s="544"/>
      <c r="K667" s="544"/>
      <c r="L667" s="544"/>
      <c r="M667" s="544"/>
    </row>
    <row r="668" spans="2:13" x14ac:dyDescent="0.35">
      <c r="B668" s="544"/>
      <c r="C668" s="544"/>
      <c r="E668" s="544"/>
      <c r="F668" s="544"/>
      <c r="G668" s="544"/>
      <c r="H668" s="544"/>
      <c r="I668" s="544"/>
      <c r="J668" s="544"/>
      <c r="K668" s="544"/>
      <c r="L668" s="544"/>
      <c r="M668" s="544"/>
    </row>
    <row r="669" spans="2:13" x14ac:dyDescent="0.35">
      <c r="B669" s="544"/>
      <c r="C669" s="544"/>
      <c r="E669" s="544"/>
      <c r="F669" s="544"/>
      <c r="G669" s="544"/>
      <c r="H669" s="544"/>
      <c r="I669" s="544"/>
      <c r="J669" s="544"/>
      <c r="K669" s="544"/>
      <c r="L669" s="544"/>
      <c r="M669" s="544"/>
    </row>
    <row r="670" spans="2:13" x14ac:dyDescent="0.35">
      <c r="B670" s="544"/>
      <c r="C670" s="544"/>
      <c r="E670" s="544"/>
      <c r="F670" s="544"/>
      <c r="G670" s="544"/>
      <c r="H670" s="544"/>
      <c r="I670" s="544"/>
      <c r="J670" s="544"/>
      <c r="K670" s="544"/>
      <c r="L670" s="544"/>
      <c r="M670" s="544"/>
    </row>
    <row r="671" spans="2:13" x14ac:dyDescent="0.35">
      <c r="B671" s="544"/>
      <c r="C671" s="544"/>
      <c r="E671" s="544"/>
      <c r="F671" s="544"/>
      <c r="G671" s="544"/>
      <c r="H671" s="544"/>
      <c r="I671" s="544"/>
      <c r="J671" s="544"/>
      <c r="K671" s="544"/>
      <c r="L671" s="544"/>
      <c r="M671" s="544"/>
    </row>
    <row r="672" spans="2:13" x14ac:dyDescent="0.35">
      <c r="B672" s="544"/>
      <c r="C672" s="544"/>
      <c r="E672" s="544"/>
      <c r="F672" s="544"/>
      <c r="G672" s="544"/>
      <c r="H672" s="544"/>
      <c r="I672" s="544"/>
      <c r="J672" s="544"/>
      <c r="K672" s="544"/>
      <c r="L672" s="544"/>
      <c r="M672" s="544"/>
    </row>
    <row r="673" spans="2:13" x14ac:dyDescent="0.35">
      <c r="B673" s="544"/>
      <c r="C673" s="544"/>
      <c r="E673" s="544"/>
      <c r="F673" s="544"/>
      <c r="G673" s="544"/>
      <c r="H673" s="544"/>
      <c r="I673" s="544"/>
      <c r="J673" s="544"/>
      <c r="K673" s="544"/>
      <c r="L673" s="544"/>
      <c r="M673" s="544"/>
    </row>
    <row r="674" spans="2:13" x14ac:dyDescent="0.35">
      <c r="B674" s="544"/>
      <c r="C674" s="544"/>
      <c r="E674" s="544"/>
      <c r="F674" s="544"/>
      <c r="G674" s="544"/>
      <c r="H674" s="544"/>
      <c r="I674" s="544"/>
      <c r="J674" s="544"/>
      <c r="K674" s="544"/>
      <c r="L674" s="544"/>
      <c r="M674" s="544"/>
    </row>
    <row r="675" spans="2:13" x14ac:dyDescent="0.35">
      <c r="B675" s="544"/>
      <c r="C675" s="544"/>
      <c r="E675" s="544"/>
      <c r="F675" s="544"/>
      <c r="G675" s="544"/>
      <c r="H675" s="544"/>
      <c r="I675" s="544"/>
      <c r="J675" s="544"/>
      <c r="K675" s="544"/>
      <c r="L675" s="544"/>
      <c r="M675" s="544"/>
    </row>
    <row r="676" spans="2:13" x14ac:dyDescent="0.35">
      <c r="B676" s="544"/>
      <c r="C676" s="544"/>
      <c r="E676" s="544"/>
      <c r="F676" s="544"/>
      <c r="G676" s="544"/>
      <c r="H676" s="544"/>
      <c r="I676" s="544"/>
      <c r="J676" s="544"/>
      <c r="K676" s="544"/>
      <c r="L676" s="544"/>
      <c r="M676" s="544"/>
    </row>
    <row r="677" spans="2:13" x14ac:dyDescent="0.35">
      <c r="B677" s="544"/>
      <c r="C677" s="544"/>
      <c r="E677" s="544"/>
      <c r="F677" s="544"/>
      <c r="G677" s="544"/>
      <c r="H677" s="544"/>
      <c r="I677" s="544"/>
      <c r="J677" s="544"/>
      <c r="K677" s="544"/>
      <c r="L677" s="544"/>
      <c r="M677" s="544"/>
    </row>
    <row r="678" spans="2:13" x14ac:dyDescent="0.35">
      <c r="B678" s="544"/>
      <c r="C678" s="544"/>
      <c r="E678" s="544"/>
      <c r="F678" s="544"/>
      <c r="G678" s="544"/>
      <c r="H678" s="544"/>
      <c r="I678" s="544"/>
      <c r="J678" s="544"/>
      <c r="K678" s="544"/>
      <c r="L678" s="544"/>
      <c r="M678" s="544"/>
    </row>
    <row r="679" spans="2:13" x14ac:dyDescent="0.35">
      <c r="B679" s="544"/>
      <c r="C679" s="544"/>
      <c r="E679" s="544"/>
      <c r="F679" s="544"/>
      <c r="G679" s="544"/>
      <c r="H679" s="544"/>
      <c r="I679" s="544"/>
      <c r="J679" s="544"/>
      <c r="K679" s="544"/>
      <c r="L679" s="544"/>
      <c r="M679" s="544"/>
    </row>
    <row r="680" spans="2:13" x14ac:dyDescent="0.35">
      <c r="B680" s="544"/>
      <c r="C680" s="544"/>
      <c r="E680" s="544"/>
      <c r="F680" s="544"/>
      <c r="G680" s="544"/>
      <c r="H680" s="544"/>
      <c r="I680" s="544"/>
      <c r="J680" s="544"/>
      <c r="K680" s="544"/>
      <c r="L680" s="544"/>
      <c r="M680" s="544"/>
    </row>
    <row r="681" spans="2:13" x14ac:dyDescent="0.35">
      <c r="B681" s="544"/>
      <c r="C681" s="544"/>
      <c r="E681" s="544"/>
      <c r="F681" s="544"/>
      <c r="G681" s="544"/>
      <c r="H681" s="544"/>
      <c r="I681" s="544"/>
      <c r="J681" s="544"/>
      <c r="K681" s="544"/>
      <c r="L681" s="544"/>
      <c r="M681" s="544"/>
    </row>
    <row r="682" spans="2:13" x14ac:dyDescent="0.35">
      <c r="B682" s="544"/>
      <c r="C682" s="544"/>
      <c r="E682" s="544"/>
      <c r="F682" s="544"/>
      <c r="G682" s="544"/>
      <c r="H682" s="544"/>
      <c r="I682" s="544"/>
      <c r="J682" s="544"/>
      <c r="K682" s="544"/>
      <c r="L682" s="544"/>
      <c r="M682" s="544"/>
    </row>
    <row r="683" spans="2:13" x14ac:dyDescent="0.35">
      <c r="B683" s="544"/>
      <c r="C683" s="544"/>
      <c r="E683" s="544"/>
      <c r="F683" s="544"/>
      <c r="G683" s="544"/>
      <c r="H683" s="544"/>
      <c r="I683" s="544"/>
      <c r="J683" s="544"/>
      <c r="K683" s="544"/>
      <c r="L683" s="544"/>
      <c r="M683" s="544"/>
    </row>
    <row r="684" spans="2:13" x14ac:dyDescent="0.35">
      <c r="B684" s="544"/>
      <c r="C684" s="544"/>
      <c r="E684" s="544"/>
      <c r="F684" s="544"/>
      <c r="G684" s="544"/>
      <c r="H684" s="544"/>
      <c r="I684" s="544"/>
      <c r="J684" s="544"/>
      <c r="K684" s="544"/>
      <c r="L684" s="544"/>
      <c r="M684" s="544"/>
    </row>
    <row r="685" spans="2:13" x14ac:dyDescent="0.35">
      <c r="B685" s="544"/>
      <c r="C685" s="544"/>
      <c r="E685" s="544"/>
      <c r="F685" s="544"/>
      <c r="G685" s="544"/>
      <c r="H685" s="544"/>
      <c r="I685" s="544"/>
      <c r="J685" s="544"/>
      <c r="K685" s="544"/>
      <c r="L685" s="544"/>
      <c r="M685" s="544"/>
    </row>
    <row r="686" spans="2:13" x14ac:dyDescent="0.35">
      <c r="B686" s="544"/>
      <c r="C686" s="544"/>
      <c r="E686" s="544"/>
      <c r="F686" s="544"/>
      <c r="G686" s="544"/>
      <c r="H686" s="544"/>
      <c r="I686" s="544"/>
      <c r="J686" s="544"/>
      <c r="K686" s="544"/>
      <c r="L686" s="544"/>
      <c r="M686" s="544"/>
    </row>
    <row r="687" spans="2:13" x14ac:dyDescent="0.35">
      <c r="B687" s="544"/>
      <c r="C687" s="544"/>
      <c r="E687" s="544"/>
      <c r="F687" s="544"/>
      <c r="G687" s="544"/>
      <c r="H687" s="544"/>
      <c r="I687" s="544"/>
      <c r="J687" s="544"/>
      <c r="K687" s="544"/>
      <c r="L687" s="544"/>
      <c r="M687" s="544"/>
    </row>
    <row r="688" spans="2:13" x14ac:dyDescent="0.35">
      <c r="B688" s="544"/>
      <c r="C688" s="544"/>
      <c r="E688" s="544"/>
      <c r="F688" s="544"/>
      <c r="G688" s="544"/>
      <c r="H688" s="544"/>
      <c r="I688" s="544"/>
      <c r="J688" s="544"/>
      <c r="K688" s="544"/>
      <c r="L688" s="544"/>
      <c r="M688" s="544"/>
    </row>
    <row r="689" spans="2:13" x14ac:dyDescent="0.35">
      <c r="B689" s="544"/>
      <c r="C689" s="544"/>
      <c r="E689" s="544"/>
      <c r="F689" s="544"/>
      <c r="G689" s="544"/>
      <c r="H689" s="544"/>
      <c r="I689" s="544"/>
      <c r="J689" s="544"/>
      <c r="K689" s="544"/>
      <c r="L689" s="544"/>
      <c r="M689" s="544"/>
    </row>
    <row r="690" spans="2:13" x14ac:dyDescent="0.35">
      <c r="B690" s="544"/>
      <c r="C690" s="544"/>
      <c r="E690" s="544"/>
      <c r="F690" s="544"/>
      <c r="G690" s="544"/>
      <c r="H690" s="544"/>
      <c r="I690" s="544"/>
      <c r="J690" s="544"/>
      <c r="K690" s="544"/>
      <c r="L690" s="544"/>
      <c r="M690" s="544"/>
    </row>
    <row r="691" spans="2:13" x14ac:dyDescent="0.35">
      <c r="B691" s="544"/>
      <c r="C691" s="544"/>
      <c r="E691" s="544"/>
      <c r="F691" s="544"/>
      <c r="G691" s="544"/>
      <c r="H691" s="544"/>
      <c r="I691" s="544"/>
      <c r="J691" s="544"/>
      <c r="K691" s="544"/>
      <c r="L691" s="544"/>
      <c r="M691" s="544"/>
    </row>
    <row r="692" spans="2:13" x14ac:dyDescent="0.35">
      <c r="B692" s="544"/>
      <c r="C692" s="544"/>
      <c r="E692" s="544"/>
      <c r="F692" s="544"/>
      <c r="G692" s="544"/>
      <c r="H692" s="544"/>
      <c r="I692" s="544"/>
      <c r="J692" s="544"/>
      <c r="K692" s="544"/>
      <c r="L692" s="544"/>
      <c r="M692" s="544"/>
    </row>
    <row r="693" spans="2:13" x14ac:dyDescent="0.35">
      <c r="B693" s="544"/>
      <c r="C693" s="544"/>
      <c r="E693" s="544"/>
      <c r="F693" s="544"/>
      <c r="G693" s="544"/>
      <c r="H693" s="544"/>
      <c r="I693" s="544"/>
      <c r="J693" s="544"/>
      <c r="K693" s="544"/>
      <c r="L693" s="544"/>
      <c r="M693" s="544"/>
    </row>
    <row r="694" spans="2:13" x14ac:dyDescent="0.35">
      <c r="B694" s="544"/>
      <c r="C694" s="544"/>
      <c r="E694" s="544"/>
      <c r="F694" s="544"/>
      <c r="G694" s="544"/>
      <c r="H694" s="544"/>
      <c r="I694" s="544"/>
      <c r="J694" s="544"/>
      <c r="K694" s="544"/>
      <c r="L694" s="544"/>
      <c r="M694" s="544"/>
    </row>
    <row r="695" spans="2:13" x14ac:dyDescent="0.35">
      <c r="B695" s="544"/>
      <c r="C695" s="544"/>
      <c r="E695" s="544"/>
      <c r="F695" s="544"/>
      <c r="G695" s="544"/>
      <c r="H695" s="544"/>
      <c r="I695" s="544"/>
      <c r="J695" s="544"/>
      <c r="K695" s="544"/>
      <c r="L695" s="544"/>
      <c r="M695" s="544"/>
    </row>
    <row r="696" spans="2:13" x14ac:dyDescent="0.35">
      <c r="B696" s="544"/>
      <c r="C696" s="544"/>
      <c r="E696" s="544"/>
      <c r="F696" s="544"/>
      <c r="G696" s="544"/>
      <c r="H696" s="544"/>
      <c r="I696" s="544"/>
      <c r="J696" s="544"/>
      <c r="K696" s="544"/>
      <c r="L696" s="544"/>
      <c r="M696" s="544"/>
    </row>
    <row r="697" spans="2:13" x14ac:dyDescent="0.35">
      <c r="B697" s="544"/>
      <c r="C697" s="544"/>
      <c r="E697" s="544"/>
      <c r="F697" s="544"/>
      <c r="G697" s="544"/>
      <c r="H697" s="544"/>
      <c r="I697" s="544"/>
      <c r="J697" s="544"/>
      <c r="K697" s="544"/>
      <c r="L697" s="544"/>
      <c r="M697" s="544"/>
    </row>
    <row r="698" spans="2:13" x14ac:dyDescent="0.35">
      <c r="B698" s="544"/>
      <c r="C698" s="544"/>
      <c r="E698" s="544"/>
      <c r="F698" s="544"/>
      <c r="G698" s="544"/>
      <c r="H698" s="544"/>
      <c r="I698" s="544"/>
      <c r="J698" s="544"/>
      <c r="K698" s="544"/>
      <c r="L698" s="544"/>
      <c r="M698" s="544"/>
    </row>
    <row r="699" spans="2:13" x14ac:dyDescent="0.35">
      <c r="B699" s="544"/>
      <c r="C699" s="544"/>
      <c r="E699" s="544"/>
      <c r="F699" s="544"/>
      <c r="G699" s="544"/>
      <c r="H699" s="544"/>
      <c r="I699" s="544"/>
      <c r="J699" s="544"/>
      <c r="K699" s="544"/>
      <c r="L699" s="544"/>
      <c r="M699" s="544"/>
    </row>
    <row r="700" spans="2:13" x14ac:dyDescent="0.35">
      <c r="B700" s="544"/>
      <c r="C700" s="544"/>
      <c r="E700" s="544"/>
      <c r="F700" s="544"/>
      <c r="G700" s="544"/>
      <c r="H700" s="544"/>
      <c r="I700" s="544"/>
      <c r="J700" s="544"/>
      <c r="K700" s="544"/>
      <c r="L700" s="544"/>
      <c r="M700" s="544"/>
    </row>
    <row r="701" spans="2:13" x14ac:dyDescent="0.35">
      <c r="B701" s="544"/>
      <c r="C701" s="544"/>
      <c r="E701" s="544"/>
      <c r="F701" s="544"/>
      <c r="G701" s="544"/>
      <c r="H701" s="544"/>
      <c r="I701" s="544"/>
      <c r="J701" s="544"/>
      <c r="K701" s="544"/>
      <c r="L701" s="544"/>
      <c r="M701" s="544"/>
    </row>
    <row r="702" spans="2:13" x14ac:dyDescent="0.35">
      <c r="B702" s="544"/>
      <c r="C702" s="544"/>
      <c r="E702" s="544"/>
      <c r="F702" s="544"/>
      <c r="G702" s="544"/>
      <c r="H702" s="544"/>
      <c r="I702" s="544"/>
      <c r="J702" s="544"/>
      <c r="K702" s="544"/>
      <c r="L702" s="544"/>
      <c r="M702" s="544"/>
    </row>
    <row r="703" spans="2:13" x14ac:dyDescent="0.35">
      <c r="B703" s="544"/>
      <c r="C703" s="544"/>
      <c r="E703" s="544"/>
      <c r="F703" s="544"/>
      <c r="G703" s="544"/>
      <c r="H703" s="544"/>
      <c r="I703" s="544"/>
      <c r="J703" s="544"/>
      <c r="K703" s="544"/>
      <c r="L703" s="544"/>
      <c r="M703" s="544"/>
    </row>
    <row r="704" spans="2:13" x14ac:dyDescent="0.35">
      <c r="B704" s="544"/>
      <c r="C704" s="544"/>
      <c r="E704" s="544"/>
      <c r="F704" s="544"/>
      <c r="G704" s="544"/>
      <c r="H704" s="544"/>
      <c r="I704" s="544"/>
      <c r="J704" s="544"/>
      <c r="K704" s="544"/>
      <c r="L704" s="544"/>
      <c r="M704" s="544"/>
    </row>
    <row r="705" spans="2:13" x14ac:dyDescent="0.35">
      <c r="B705" s="544"/>
      <c r="C705" s="544"/>
      <c r="E705" s="544"/>
      <c r="F705" s="544"/>
      <c r="G705" s="544"/>
      <c r="H705" s="544"/>
      <c r="I705" s="544"/>
      <c r="J705" s="544"/>
      <c r="K705" s="544"/>
      <c r="L705" s="544"/>
      <c r="M705" s="544"/>
    </row>
    <row r="706" spans="2:13" x14ac:dyDescent="0.35">
      <c r="B706" s="544"/>
      <c r="C706" s="544"/>
      <c r="E706" s="544"/>
      <c r="F706" s="544"/>
      <c r="G706" s="544"/>
      <c r="H706" s="544"/>
      <c r="I706" s="544"/>
      <c r="J706" s="544"/>
      <c r="K706" s="544"/>
      <c r="L706" s="544"/>
      <c r="M706" s="544"/>
    </row>
    <row r="707" spans="2:13" x14ac:dyDescent="0.35">
      <c r="B707" s="544"/>
      <c r="C707" s="544"/>
      <c r="E707" s="544"/>
      <c r="F707" s="544"/>
      <c r="G707" s="544"/>
      <c r="H707" s="544"/>
      <c r="I707" s="544"/>
      <c r="J707" s="544"/>
      <c r="K707" s="544"/>
      <c r="L707" s="544"/>
      <c r="M707" s="544"/>
    </row>
    <row r="708" spans="2:13" x14ac:dyDescent="0.35">
      <c r="B708" s="544"/>
      <c r="C708" s="544"/>
      <c r="E708" s="544"/>
      <c r="F708" s="544"/>
      <c r="G708" s="544"/>
      <c r="H708" s="544"/>
      <c r="I708" s="544"/>
      <c r="J708" s="544"/>
      <c r="K708" s="544"/>
      <c r="L708" s="544"/>
      <c r="M708" s="544"/>
    </row>
    <row r="709" spans="2:13" x14ac:dyDescent="0.35">
      <c r="B709" s="544"/>
      <c r="C709" s="544"/>
      <c r="E709" s="544"/>
      <c r="F709" s="544"/>
      <c r="G709" s="544"/>
      <c r="H709" s="544"/>
      <c r="I709" s="544"/>
      <c r="J709" s="544"/>
      <c r="K709" s="544"/>
      <c r="L709" s="544"/>
      <c r="M709" s="544"/>
    </row>
    <row r="710" spans="2:13" x14ac:dyDescent="0.35">
      <c r="B710" s="544"/>
      <c r="C710" s="544"/>
      <c r="E710" s="544"/>
      <c r="F710" s="544"/>
      <c r="G710" s="544"/>
      <c r="H710" s="544"/>
      <c r="I710" s="544"/>
      <c r="J710" s="544"/>
      <c r="K710" s="544"/>
      <c r="L710" s="544"/>
      <c r="M710" s="544"/>
    </row>
    <row r="711" spans="2:13" x14ac:dyDescent="0.35">
      <c r="B711" s="544"/>
      <c r="C711" s="544"/>
      <c r="E711" s="544"/>
      <c r="F711" s="544"/>
      <c r="G711" s="544"/>
      <c r="H711" s="544"/>
      <c r="I711" s="544"/>
      <c r="J711" s="544"/>
      <c r="K711" s="544"/>
      <c r="L711" s="544"/>
      <c r="M711" s="544"/>
    </row>
    <row r="712" spans="2:13" x14ac:dyDescent="0.35">
      <c r="B712" s="544"/>
      <c r="C712" s="544"/>
      <c r="E712" s="544"/>
      <c r="F712" s="544"/>
      <c r="G712" s="544"/>
      <c r="H712" s="544"/>
      <c r="I712" s="544"/>
      <c r="J712" s="544"/>
      <c r="K712" s="544"/>
      <c r="L712" s="544"/>
      <c r="M712" s="544"/>
    </row>
    <row r="713" spans="2:13" x14ac:dyDescent="0.35">
      <c r="B713" s="544"/>
      <c r="C713" s="544"/>
      <c r="E713" s="544"/>
      <c r="F713" s="544"/>
      <c r="G713" s="544"/>
      <c r="H713" s="544"/>
      <c r="I713" s="544"/>
      <c r="J713" s="544"/>
      <c r="K713" s="544"/>
      <c r="L713" s="544"/>
      <c r="M713" s="544"/>
    </row>
    <row r="714" spans="2:13" x14ac:dyDescent="0.35">
      <c r="B714" s="544"/>
      <c r="C714" s="544"/>
      <c r="E714" s="544"/>
      <c r="F714" s="544"/>
      <c r="G714" s="544"/>
      <c r="H714" s="544"/>
      <c r="I714" s="544"/>
      <c r="J714" s="544"/>
      <c r="K714" s="544"/>
      <c r="L714" s="544"/>
      <c r="M714" s="544"/>
    </row>
    <row r="715" spans="2:13" x14ac:dyDescent="0.35">
      <c r="B715" s="544"/>
      <c r="C715" s="544"/>
      <c r="E715" s="544"/>
      <c r="F715" s="544"/>
      <c r="G715" s="544"/>
      <c r="H715" s="544"/>
      <c r="I715" s="544"/>
      <c r="J715" s="544"/>
      <c r="K715" s="544"/>
      <c r="L715" s="544"/>
      <c r="M715" s="544"/>
    </row>
    <row r="716" spans="2:13" x14ac:dyDescent="0.35">
      <c r="B716" s="544"/>
      <c r="C716" s="544"/>
      <c r="E716" s="544"/>
      <c r="F716" s="544"/>
      <c r="G716" s="544"/>
      <c r="H716" s="544"/>
      <c r="I716" s="544"/>
      <c r="J716" s="544"/>
      <c r="K716" s="544"/>
      <c r="L716" s="544"/>
      <c r="M716" s="544"/>
    </row>
    <row r="717" spans="2:13" x14ac:dyDescent="0.35">
      <c r="B717" s="544"/>
      <c r="C717" s="544"/>
      <c r="E717" s="544"/>
      <c r="F717" s="544"/>
      <c r="G717" s="544"/>
      <c r="H717" s="544"/>
      <c r="I717" s="544"/>
      <c r="J717" s="544"/>
      <c r="K717" s="544"/>
      <c r="L717" s="544"/>
      <c r="M717" s="544"/>
    </row>
    <row r="718" spans="2:13" x14ac:dyDescent="0.35">
      <c r="B718" s="544"/>
      <c r="C718" s="544"/>
      <c r="E718" s="544"/>
      <c r="F718" s="544"/>
      <c r="G718" s="544"/>
      <c r="H718" s="544"/>
      <c r="I718" s="544"/>
      <c r="J718" s="544"/>
      <c r="K718" s="544"/>
      <c r="L718" s="544"/>
      <c r="M718" s="544"/>
    </row>
    <row r="719" spans="2:13" x14ac:dyDescent="0.35">
      <c r="B719" s="544"/>
      <c r="C719" s="544"/>
      <c r="E719" s="544"/>
      <c r="F719" s="544"/>
      <c r="G719" s="544"/>
      <c r="H719" s="544"/>
      <c r="I719" s="544"/>
      <c r="J719" s="544"/>
      <c r="K719" s="544"/>
      <c r="L719" s="544"/>
      <c r="M719" s="544"/>
    </row>
    <row r="720" spans="2:13" x14ac:dyDescent="0.35">
      <c r="B720" s="544"/>
      <c r="C720" s="544"/>
      <c r="E720" s="544"/>
      <c r="F720" s="544"/>
      <c r="G720" s="544"/>
      <c r="H720" s="544"/>
      <c r="I720" s="544"/>
      <c r="J720" s="544"/>
      <c r="K720" s="544"/>
      <c r="L720" s="544"/>
      <c r="M720" s="544"/>
    </row>
    <row r="721" spans="2:13" x14ac:dyDescent="0.35">
      <c r="B721" s="544"/>
      <c r="C721" s="544"/>
      <c r="E721" s="544"/>
      <c r="F721" s="544"/>
      <c r="G721" s="544"/>
      <c r="H721" s="544"/>
      <c r="I721" s="544"/>
      <c r="J721" s="544"/>
      <c r="K721" s="544"/>
      <c r="L721" s="544"/>
      <c r="M721" s="544"/>
    </row>
    <row r="722" spans="2:13" x14ac:dyDescent="0.35">
      <c r="B722" s="544"/>
      <c r="C722" s="544"/>
      <c r="E722" s="544"/>
      <c r="F722" s="544"/>
      <c r="G722" s="544"/>
      <c r="H722" s="544"/>
      <c r="I722" s="544"/>
      <c r="J722" s="544"/>
      <c r="K722" s="544"/>
      <c r="L722" s="544"/>
      <c r="M722" s="544"/>
    </row>
    <row r="723" spans="2:13" x14ac:dyDescent="0.35">
      <c r="B723" s="544"/>
      <c r="C723" s="544"/>
      <c r="E723" s="544"/>
      <c r="F723" s="544"/>
      <c r="G723" s="544"/>
      <c r="H723" s="544"/>
      <c r="I723" s="544"/>
      <c r="J723" s="544"/>
      <c r="K723" s="544"/>
      <c r="L723" s="544"/>
      <c r="M723" s="544"/>
    </row>
    <row r="724" spans="2:13" x14ac:dyDescent="0.35">
      <c r="B724" s="544"/>
      <c r="C724" s="544"/>
      <c r="E724" s="544"/>
      <c r="F724" s="544"/>
      <c r="G724" s="544"/>
      <c r="H724" s="544"/>
      <c r="I724" s="544"/>
      <c r="J724" s="544"/>
      <c r="K724" s="544"/>
      <c r="L724" s="544"/>
      <c r="M724" s="544"/>
    </row>
    <row r="725" spans="2:13" x14ac:dyDescent="0.35">
      <c r="B725" s="544"/>
      <c r="C725" s="544"/>
      <c r="E725" s="544"/>
      <c r="F725" s="544"/>
      <c r="G725" s="544"/>
      <c r="H725" s="544"/>
      <c r="I725" s="544"/>
      <c r="J725" s="544"/>
      <c r="K725" s="544"/>
      <c r="L725" s="544"/>
      <c r="M725" s="544"/>
    </row>
    <row r="726" spans="2:13" x14ac:dyDescent="0.35">
      <c r="B726" s="544"/>
      <c r="C726" s="544"/>
      <c r="E726" s="544"/>
      <c r="F726" s="544"/>
      <c r="G726" s="544"/>
      <c r="H726" s="544"/>
      <c r="I726" s="544"/>
      <c r="J726" s="544"/>
      <c r="K726" s="544"/>
      <c r="L726" s="544"/>
      <c r="M726" s="544"/>
    </row>
    <row r="727" spans="2:13" x14ac:dyDescent="0.35">
      <c r="B727" s="544"/>
      <c r="C727" s="544"/>
      <c r="E727" s="544"/>
      <c r="F727" s="544"/>
      <c r="G727" s="544"/>
      <c r="H727" s="544"/>
      <c r="I727" s="544"/>
      <c r="J727" s="544"/>
      <c r="K727" s="544"/>
      <c r="L727" s="544"/>
      <c r="M727" s="544"/>
    </row>
    <row r="728" spans="2:13" x14ac:dyDescent="0.35">
      <c r="B728" s="544"/>
      <c r="C728" s="544"/>
      <c r="E728" s="544"/>
      <c r="F728" s="544"/>
      <c r="G728" s="544"/>
      <c r="H728" s="544"/>
      <c r="I728" s="544"/>
      <c r="J728" s="544"/>
      <c r="K728" s="544"/>
      <c r="L728" s="544"/>
      <c r="M728" s="544"/>
    </row>
    <row r="729" spans="2:13" x14ac:dyDescent="0.35">
      <c r="B729" s="544"/>
      <c r="C729" s="544"/>
      <c r="E729" s="544"/>
      <c r="F729" s="544"/>
      <c r="G729" s="544"/>
      <c r="H729" s="544"/>
      <c r="I729" s="544"/>
      <c r="J729" s="544"/>
      <c r="K729" s="544"/>
      <c r="L729" s="544"/>
      <c r="M729" s="544"/>
    </row>
    <row r="730" spans="2:13" x14ac:dyDescent="0.35">
      <c r="B730" s="544"/>
      <c r="C730" s="544"/>
      <c r="E730" s="544"/>
      <c r="F730" s="544"/>
      <c r="G730" s="544"/>
      <c r="H730" s="544"/>
      <c r="I730" s="544"/>
      <c r="J730" s="544"/>
      <c r="K730" s="544"/>
      <c r="L730" s="544"/>
      <c r="M730" s="544"/>
    </row>
    <row r="731" spans="2:13" x14ac:dyDescent="0.35">
      <c r="B731" s="544"/>
      <c r="C731" s="544"/>
      <c r="E731" s="544"/>
      <c r="F731" s="544"/>
      <c r="G731" s="544"/>
      <c r="H731" s="544"/>
      <c r="I731" s="544"/>
      <c r="J731" s="544"/>
      <c r="K731" s="544"/>
      <c r="L731" s="544"/>
      <c r="M731" s="544"/>
    </row>
    <row r="732" spans="2:13" x14ac:dyDescent="0.35">
      <c r="B732" s="544"/>
      <c r="C732" s="544"/>
      <c r="E732" s="544"/>
      <c r="F732" s="544"/>
      <c r="G732" s="544"/>
      <c r="H732" s="544"/>
      <c r="I732" s="544"/>
      <c r="J732" s="544"/>
      <c r="K732" s="544"/>
      <c r="L732" s="544"/>
      <c r="M732" s="544"/>
    </row>
    <row r="733" spans="2:13" x14ac:dyDescent="0.35">
      <c r="B733" s="544"/>
      <c r="C733" s="544"/>
      <c r="E733" s="544"/>
      <c r="F733" s="544"/>
      <c r="G733" s="544"/>
      <c r="H733" s="544"/>
      <c r="I733" s="544"/>
      <c r="J733" s="544"/>
      <c r="K733" s="544"/>
      <c r="L733" s="544"/>
      <c r="M733" s="544"/>
    </row>
    <row r="734" spans="2:13" x14ac:dyDescent="0.35">
      <c r="B734" s="544"/>
      <c r="C734" s="544"/>
      <c r="E734" s="544"/>
      <c r="F734" s="544"/>
      <c r="G734" s="544"/>
      <c r="H734" s="544"/>
      <c r="I734" s="544"/>
      <c r="J734" s="544"/>
      <c r="K734" s="544"/>
      <c r="L734" s="544"/>
      <c r="M734" s="544"/>
    </row>
    <row r="735" spans="2:13" x14ac:dyDescent="0.35">
      <c r="B735" s="544"/>
      <c r="C735" s="544"/>
      <c r="E735" s="544"/>
      <c r="F735" s="544"/>
      <c r="G735" s="544"/>
      <c r="H735" s="544"/>
      <c r="I735" s="544"/>
      <c r="J735" s="544"/>
      <c r="K735" s="544"/>
      <c r="L735" s="544"/>
      <c r="M735" s="544"/>
    </row>
    <row r="736" spans="2:13" x14ac:dyDescent="0.35">
      <c r="B736" s="544"/>
      <c r="C736" s="544"/>
      <c r="E736" s="544"/>
      <c r="F736" s="544"/>
      <c r="G736" s="544"/>
      <c r="H736" s="544"/>
      <c r="I736" s="544"/>
      <c r="J736" s="544"/>
      <c r="K736" s="544"/>
      <c r="L736" s="544"/>
      <c r="M736" s="544"/>
    </row>
    <row r="737" spans="2:13" x14ac:dyDescent="0.35">
      <c r="B737" s="544"/>
      <c r="C737" s="544"/>
      <c r="E737" s="544"/>
      <c r="F737" s="544"/>
      <c r="G737" s="544"/>
      <c r="H737" s="544"/>
      <c r="I737" s="544"/>
      <c r="J737" s="544"/>
      <c r="K737" s="544"/>
      <c r="L737" s="544"/>
      <c r="M737" s="544"/>
    </row>
    <row r="738" spans="2:13" x14ac:dyDescent="0.35">
      <c r="B738" s="544"/>
      <c r="C738" s="544"/>
      <c r="E738" s="544"/>
      <c r="F738" s="544"/>
      <c r="G738" s="544"/>
      <c r="H738" s="544"/>
      <c r="I738" s="544"/>
      <c r="J738" s="544"/>
      <c r="K738" s="544"/>
      <c r="L738" s="544"/>
      <c r="M738" s="544"/>
    </row>
    <row r="739" spans="2:13" x14ac:dyDescent="0.35">
      <c r="B739" s="544"/>
      <c r="C739" s="544"/>
      <c r="E739" s="544"/>
      <c r="F739" s="544"/>
      <c r="G739" s="544"/>
      <c r="H739" s="544"/>
      <c r="I739" s="544"/>
      <c r="J739" s="544"/>
      <c r="K739" s="544"/>
      <c r="L739" s="544"/>
      <c r="M739" s="544"/>
    </row>
    <row r="740" spans="2:13" x14ac:dyDescent="0.35">
      <c r="B740" s="544"/>
      <c r="C740" s="544"/>
      <c r="E740" s="544"/>
      <c r="F740" s="544"/>
      <c r="G740" s="544"/>
      <c r="H740" s="544"/>
      <c r="I740" s="544"/>
      <c r="J740" s="544"/>
      <c r="K740" s="544"/>
      <c r="L740" s="544"/>
      <c r="M740" s="544"/>
    </row>
    <row r="741" spans="2:13" x14ac:dyDescent="0.35">
      <c r="B741" s="544"/>
      <c r="C741" s="544"/>
      <c r="E741" s="544"/>
      <c r="F741" s="544"/>
      <c r="G741" s="544"/>
      <c r="H741" s="544"/>
      <c r="I741" s="544"/>
      <c r="J741" s="544"/>
      <c r="K741" s="544"/>
      <c r="L741" s="544"/>
      <c r="M741" s="544"/>
    </row>
    <row r="742" spans="2:13" x14ac:dyDescent="0.35">
      <c r="B742" s="544"/>
      <c r="C742" s="544"/>
      <c r="E742" s="544"/>
      <c r="F742" s="544"/>
      <c r="G742" s="544"/>
      <c r="H742" s="544"/>
      <c r="I742" s="544"/>
      <c r="J742" s="544"/>
      <c r="K742" s="544"/>
      <c r="L742" s="544"/>
      <c r="M742" s="544"/>
    </row>
    <row r="743" spans="2:13" x14ac:dyDescent="0.35">
      <c r="B743" s="544"/>
      <c r="C743" s="544"/>
      <c r="E743" s="544"/>
      <c r="F743" s="544"/>
      <c r="G743" s="544"/>
      <c r="H743" s="544"/>
      <c r="I743" s="544"/>
      <c r="J743" s="544"/>
      <c r="K743" s="544"/>
      <c r="L743" s="544"/>
      <c r="M743" s="544"/>
    </row>
    <row r="744" spans="2:13" x14ac:dyDescent="0.35">
      <c r="B744" s="544"/>
      <c r="C744" s="544"/>
      <c r="E744" s="544"/>
      <c r="F744" s="544"/>
      <c r="G744" s="544"/>
      <c r="H744" s="544"/>
      <c r="I744" s="544"/>
      <c r="J744" s="544"/>
      <c r="K744" s="544"/>
      <c r="L744" s="544"/>
      <c r="M744" s="544"/>
    </row>
    <row r="745" spans="2:13" x14ac:dyDescent="0.35">
      <c r="B745" s="544"/>
      <c r="C745" s="544"/>
      <c r="E745" s="544"/>
      <c r="F745" s="544"/>
      <c r="G745" s="544"/>
      <c r="H745" s="544"/>
      <c r="I745" s="544"/>
      <c r="J745" s="544"/>
      <c r="K745" s="544"/>
      <c r="L745" s="544"/>
      <c r="M745" s="544"/>
    </row>
    <row r="746" spans="2:13" x14ac:dyDescent="0.35">
      <c r="B746" s="544"/>
      <c r="C746" s="544"/>
      <c r="E746" s="544"/>
      <c r="F746" s="544"/>
      <c r="G746" s="544"/>
      <c r="H746" s="544"/>
      <c r="I746" s="544"/>
      <c r="J746" s="544"/>
      <c r="K746" s="544"/>
      <c r="L746" s="544"/>
      <c r="M746" s="544"/>
    </row>
    <row r="747" spans="2:13" x14ac:dyDescent="0.35">
      <c r="B747" s="544"/>
      <c r="C747" s="544"/>
      <c r="E747" s="544"/>
      <c r="F747" s="544"/>
      <c r="G747" s="544"/>
      <c r="H747" s="544"/>
      <c r="I747" s="544"/>
      <c r="J747" s="544"/>
      <c r="K747" s="544"/>
      <c r="L747" s="544"/>
      <c r="M747" s="544"/>
    </row>
    <row r="748" spans="2:13" x14ac:dyDescent="0.35">
      <c r="B748" s="544"/>
      <c r="C748" s="544"/>
      <c r="E748" s="544"/>
      <c r="F748" s="544"/>
      <c r="G748" s="544"/>
      <c r="H748" s="544"/>
      <c r="I748" s="544"/>
      <c r="J748" s="544"/>
      <c r="K748" s="544"/>
      <c r="L748" s="544"/>
      <c r="M748" s="544"/>
    </row>
    <row r="749" spans="2:13" x14ac:dyDescent="0.35">
      <c r="B749" s="544"/>
      <c r="C749" s="544"/>
      <c r="E749" s="544"/>
      <c r="F749" s="544"/>
      <c r="G749" s="544"/>
      <c r="H749" s="544"/>
      <c r="I749" s="544"/>
      <c r="J749" s="544"/>
      <c r="K749" s="544"/>
      <c r="L749" s="544"/>
      <c r="M749" s="544"/>
    </row>
    <row r="750" spans="2:13" x14ac:dyDescent="0.35">
      <c r="B750" s="544"/>
      <c r="C750" s="544"/>
      <c r="E750" s="544"/>
      <c r="F750" s="544"/>
      <c r="G750" s="544"/>
      <c r="H750" s="544"/>
      <c r="I750" s="544"/>
      <c r="J750" s="544"/>
      <c r="K750" s="544"/>
      <c r="L750" s="544"/>
      <c r="M750" s="544"/>
    </row>
    <row r="751" spans="2:13" x14ac:dyDescent="0.35">
      <c r="B751" s="544"/>
      <c r="C751" s="544"/>
      <c r="E751" s="544"/>
      <c r="F751" s="544"/>
      <c r="G751" s="544"/>
      <c r="H751" s="544"/>
      <c r="I751" s="544"/>
      <c r="J751" s="544"/>
      <c r="K751" s="544"/>
      <c r="L751" s="544"/>
      <c r="M751" s="544"/>
    </row>
    <row r="752" spans="2:13" x14ac:dyDescent="0.35">
      <c r="B752" s="544"/>
      <c r="C752" s="544"/>
      <c r="E752" s="544"/>
      <c r="F752" s="544"/>
      <c r="G752" s="544"/>
      <c r="H752" s="544"/>
      <c r="I752" s="544"/>
      <c r="J752" s="544"/>
      <c r="K752" s="544"/>
      <c r="L752" s="544"/>
      <c r="M752" s="544"/>
    </row>
    <row r="753" spans="2:13" x14ac:dyDescent="0.35">
      <c r="B753" s="544"/>
      <c r="C753" s="544"/>
      <c r="E753" s="544"/>
      <c r="F753" s="544"/>
      <c r="G753" s="544"/>
      <c r="H753" s="544"/>
      <c r="I753" s="544"/>
      <c r="J753" s="544"/>
      <c r="K753" s="544"/>
      <c r="L753" s="544"/>
      <c r="M753" s="544"/>
    </row>
    <row r="754" spans="2:13" x14ac:dyDescent="0.35">
      <c r="B754" s="544"/>
      <c r="C754" s="544"/>
      <c r="E754" s="544"/>
      <c r="F754" s="544"/>
      <c r="G754" s="544"/>
      <c r="H754" s="544"/>
      <c r="I754" s="544"/>
      <c r="J754" s="544"/>
      <c r="K754" s="544"/>
      <c r="L754" s="544"/>
      <c r="M754" s="544"/>
    </row>
    <row r="755" spans="2:13" x14ac:dyDescent="0.35">
      <c r="B755" s="544"/>
      <c r="C755" s="544"/>
      <c r="E755" s="544"/>
      <c r="F755" s="544"/>
      <c r="G755" s="544"/>
      <c r="H755" s="544"/>
      <c r="I755" s="544"/>
      <c r="J755" s="544"/>
      <c r="K755" s="544"/>
      <c r="L755" s="544"/>
      <c r="M755" s="544"/>
    </row>
    <row r="756" spans="2:13" x14ac:dyDescent="0.35">
      <c r="B756" s="544"/>
      <c r="C756" s="544"/>
      <c r="E756" s="544"/>
      <c r="F756" s="544"/>
      <c r="G756" s="544"/>
      <c r="H756" s="544"/>
      <c r="I756" s="544"/>
      <c r="J756" s="544"/>
      <c r="K756" s="544"/>
      <c r="L756" s="544"/>
      <c r="M756" s="544"/>
    </row>
    <row r="757" spans="2:13" x14ac:dyDescent="0.35">
      <c r="B757" s="544"/>
      <c r="C757" s="544"/>
      <c r="E757" s="544"/>
      <c r="F757" s="544"/>
      <c r="G757" s="544"/>
      <c r="H757" s="544"/>
      <c r="I757" s="544"/>
      <c r="J757" s="544"/>
      <c r="K757" s="544"/>
      <c r="L757" s="544"/>
      <c r="M757" s="544"/>
    </row>
    <row r="758" spans="2:13" x14ac:dyDescent="0.35">
      <c r="B758" s="544"/>
      <c r="C758" s="544"/>
      <c r="E758" s="544"/>
      <c r="F758" s="544"/>
      <c r="G758" s="544"/>
      <c r="H758" s="544"/>
      <c r="I758" s="544"/>
      <c r="J758" s="544"/>
      <c r="K758" s="544"/>
      <c r="L758" s="544"/>
      <c r="M758" s="544"/>
    </row>
    <row r="759" spans="2:13" x14ac:dyDescent="0.35">
      <c r="B759" s="544"/>
      <c r="C759" s="544"/>
      <c r="E759" s="544"/>
      <c r="F759" s="544"/>
      <c r="G759" s="544"/>
      <c r="H759" s="544"/>
      <c r="I759" s="544"/>
      <c r="J759" s="544"/>
      <c r="K759" s="544"/>
      <c r="L759" s="544"/>
      <c r="M759" s="544"/>
    </row>
    <row r="760" spans="2:13" x14ac:dyDescent="0.35">
      <c r="B760" s="544"/>
      <c r="C760" s="544"/>
      <c r="E760" s="544"/>
      <c r="F760" s="544"/>
      <c r="G760" s="544"/>
      <c r="H760" s="544"/>
      <c r="I760" s="544"/>
      <c r="J760" s="544"/>
      <c r="K760" s="544"/>
      <c r="L760" s="544"/>
      <c r="M760" s="544"/>
    </row>
    <row r="761" spans="2:13" x14ac:dyDescent="0.35">
      <c r="B761" s="544"/>
      <c r="C761" s="544"/>
      <c r="E761" s="544"/>
      <c r="F761" s="544"/>
      <c r="G761" s="544"/>
      <c r="H761" s="544"/>
      <c r="I761" s="544"/>
      <c r="J761" s="544"/>
      <c r="K761" s="544"/>
      <c r="L761" s="544"/>
      <c r="M761" s="544"/>
    </row>
    <row r="762" spans="2:13" x14ac:dyDescent="0.35">
      <c r="B762" s="544"/>
      <c r="C762" s="544"/>
      <c r="E762" s="544"/>
      <c r="F762" s="544"/>
      <c r="G762" s="544"/>
      <c r="H762" s="544"/>
      <c r="I762" s="544"/>
      <c r="J762" s="544"/>
      <c r="K762" s="544"/>
      <c r="L762" s="544"/>
      <c r="M762" s="544"/>
    </row>
    <row r="763" spans="2:13" x14ac:dyDescent="0.35">
      <c r="B763" s="544"/>
      <c r="C763" s="544"/>
      <c r="E763" s="544"/>
      <c r="F763" s="544"/>
      <c r="G763" s="544"/>
      <c r="H763" s="544"/>
      <c r="I763" s="544"/>
      <c r="J763" s="544"/>
      <c r="K763" s="544"/>
      <c r="L763" s="544"/>
      <c r="M763" s="544"/>
    </row>
    <row r="764" spans="2:13" x14ac:dyDescent="0.35">
      <c r="B764" s="544"/>
      <c r="C764" s="544"/>
      <c r="E764" s="544"/>
      <c r="F764" s="544"/>
      <c r="G764" s="544"/>
      <c r="H764" s="544"/>
      <c r="I764" s="544"/>
      <c r="J764" s="544"/>
      <c r="K764" s="544"/>
      <c r="L764" s="544"/>
      <c r="M764" s="544"/>
    </row>
    <row r="765" spans="2:13" x14ac:dyDescent="0.35">
      <c r="B765" s="544"/>
      <c r="C765" s="544"/>
      <c r="E765" s="544"/>
      <c r="F765" s="544"/>
      <c r="G765" s="544"/>
      <c r="H765" s="544"/>
      <c r="I765" s="544"/>
      <c r="J765" s="544"/>
      <c r="K765" s="544"/>
      <c r="L765" s="544"/>
      <c r="M765" s="544"/>
    </row>
    <row r="766" spans="2:13" x14ac:dyDescent="0.35">
      <c r="B766" s="544"/>
      <c r="C766" s="544"/>
      <c r="E766" s="544"/>
      <c r="F766" s="544"/>
      <c r="G766" s="544"/>
      <c r="H766" s="544"/>
      <c r="I766" s="544"/>
      <c r="J766" s="544"/>
      <c r="K766" s="544"/>
      <c r="L766" s="544"/>
      <c r="M766" s="544"/>
    </row>
    <row r="767" spans="2:13" x14ac:dyDescent="0.35">
      <c r="B767" s="544"/>
      <c r="C767" s="544"/>
      <c r="E767" s="544"/>
      <c r="F767" s="544"/>
      <c r="G767" s="544"/>
      <c r="H767" s="544"/>
      <c r="I767" s="544"/>
      <c r="J767" s="544"/>
      <c r="K767" s="544"/>
      <c r="L767" s="544"/>
      <c r="M767" s="544"/>
    </row>
    <row r="768" spans="2:13" x14ac:dyDescent="0.35">
      <c r="B768" s="544"/>
      <c r="C768" s="544"/>
      <c r="E768" s="544"/>
      <c r="F768" s="544"/>
      <c r="G768" s="544"/>
      <c r="H768" s="544"/>
      <c r="I768" s="544"/>
      <c r="J768" s="544"/>
      <c r="K768" s="544"/>
      <c r="L768" s="544"/>
      <c r="M768" s="544"/>
    </row>
    <row r="769" spans="2:13" x14ac:dyDescent="0.35">
      <c r="B769" s="544"/>
      <c r="C769" s="544"/>
      <c r="E769" s="544"/>
      <c r="F769" s="544"/>
      <c r="G769" s="544"/>
      <c r="H769" s="544"/>
      <c r="I769" s="544"/>
      <c r="J769" s="544"/>
      <c r="K769" s="544"/>
      <c r="L769" s="544"/>
      <c r="M769" s="544"/>
    </row>
    <row r="770" spans="2:13" x14ac:dyDescent="0.35">
      <c r="B770" s="544"/>
      <c r="C770" s="544"/>
      <c r="E770" s="544"/>
      <c r="F770" s="544"/>
      <c r="G770" s="544"/>
      <c r="H770" s="544"/>
      <c r="I770" s="544"/>
      <c r="J770" s="544"/>
      <c r="K770" s="544"/>
      <c r="L770" s="544"/>
      <c r="M770" s="544"/>
    </row>
    <row r="771" spans="2:13" x14ac:dyDescent="0.35">
      <c r="B771" s="544"/>
      <c r="C771" s="544"/>
      <c r="E771" s="544"/>
      <c r="F771" s="544"/>
      <c r="G771" s="544"/>
      <c r="H771" s="544"/>
      <c r="I771" s="544"/>
      <c r="J771" s="544"/>
      <c r="K771" s="544"/>
      <c r="L771" s="544"/>
      <c r="M771" s="544"/>
    </row>
    <row r="772" spans="2:13" x14ac:dyDescent="0.35">
      <c r="B772" s="544"/>
      <c r="C772" s="544"/>
      <c r="E772" s="544"/>
      <c r="F772" s="544"/>
      <c r="G772" s="544"/>
      <c r="H772" s="544"/>
      <c r="I772" s="544"/>
      <c r="J772" s="544"/>
      <c r="K772" s="544"/>
      <c r="L772" s="544"/>
      <c r="M772" s="544"/>
    </row>
    <row r="773" spans="2:13" x14ac:dyDescent="0.35">
      <c r="B773" s="544"/>
      <c r="C773" s="544"/>
      <c r="E773" s="544"/>
      <c r="F773" s="544"/>
      <c r="G773" s="544"/>
      <c r="H773" s="544"/>
      <c r="I773" s="544"/>
      <c r="J773" s="544"/>
      <c r="K773" s="544"/>
      <c r="L773" s="544"/>
      <c r="M773" s="544"/>
    </row>
    <row r="774" spans="2:13" x14ac:dyDescent="0.35">
      <c r="B774" s="544"/>
      <c r="C774" s="544"/>
      <c r="E774" s="544"/>
      <c r="F774" s="544"/>
      <c r="G774" s="544"/>
      <c r="H774" s="544"/>
      <c r="I774" s="544"/>
      <c r="J774" s="544"/>
      <c r="K774" s="544"/>
      <c r="L774" s="544"/>
      <c r="M774" s="544"/>
    </row>
    <row r="775" spans="2:13" x14ac:dyDescent="0.35">
      <c r="B775" s="544"/>
      <c r="C775" s="544"/>
      <c r="E775" s="544"/>
      <c r="F775" s="544"/>
      <c r="G775" s="544"/>
      <c r="H775" s="544"/>
      <c r="I775" s="544"/>
      <c r="J775" s="544"/>
      <c r="K775" s="544"/>
      <c r="L775" s="544"/>
      <c r="M775" s="544"/>
    </row>
    <row r="776" spans="2:13" x14ac:dyDescent="0.35">
      <c r="B776" s="544"/>
      <c r="C776" s="544"/>
      <c r="E776" s="544"/>
      <c r="F776" s="544"/>
      <c r="G776" s="544"/>
      <c r="H776" s="544"/>
      <c r="I776" s="544"/>
      <c r="J776" s="544"/>
      <c r="K776" s="544"/>
      <c r="L776" s="544"/>
      <c r="M776" s="544"/>
    </row>
    <row r="777" spans="2:13" x14ac:dyDescent="0.35">
      <c r="B777" s="544"/>
      <c r="C777" s="544"/>
      <c r="E777" s="544"/>
      <c r="F777" s="544"/>
      <c r="G777" s="544"/>
      <c r="H777" s="544"/>
      <c r="I777" s="544"/>
      <c r="J777" s="544"/>
      <c r="K777" s="544"/>
      <c r="L777" s="544"/>
      <c r="M777" s="544"/>
    </row>
    <row r="778" spans="2:13" x14ac:dyDescent="0.35">
      <c r="B778" s="544"/>
      <c r="C778" s="544"/>
      <c r="E778" s="544"/>
      <c r="F778" s="544"/>
      <c r="G778" s="544"/>
      <c r="H778" s="544"/>
      <c r="I778" s="544"/>
      <c r="J778" s="544"/>
      <c r="K778" s="544"/>
      <c r="L778" s="544"/>
      <c r="M778" s="544"/>
    </row>
    <row r="779" spans="2:13" x14ac:dyDescent="0.35">
      <c r="B779" s="544"/>
      <c r="C779" s="544"/>
      <c r="E779" s="544"/>
      <c r="F779" s="544"/>
      <c r="G779" s="544"/>
      <c r="H779" s="544"/>
      <c r="I779" s="544"/>
      <c r="J779" s="544"/>
      <c r="K779" s="544"/>
      <c r="L779" s="544"/>
      <c r="M779" s="544"/>
    </row>
    <row r="780" spans="2:13" x14ac:dyDescent="0.35">
      <c r="B780" s="544"/>
      <c r="C780" s="544"/>
      <c r="E780" s="544"/>
      <c r="F780" s="544"/>
      <c r="G780" s="544"/>
      <c r="H780" s="544"/>
      <c r="I780" s="544"/>
      <c r="J780" s="544"/>
      <c r="K780" s="544"/>
      <c r="L780" s="544"/>
      <c r="M780" s="544"/>
    </row>
    <row r="781" spans="2:13" x14ac:dyDescent="0.35">
      <c r="B781" s="544"/>
      <c r="C781" s="544"/>
      <c r="E781" s="544"/>
      <c r="F781" s="544"/>
      <c r="G781" s="544"/>
      <c r="H781" s="544"/>
      <c r="I781" s="544"/>
      <c r="J781" s="544"/>
      <c r="K781" s="544"/>
      <c r="L781" s="544"/>
      <c r="M781" s="544"/>
    </row>
    <row r="782" spans="2:13" x14ac:dyDescent="0.35">
      <c r="B782" s="544"/>
      <c r="C782" s="544"/>
      <c r="E782" s="544"/>
      <c r="F782" s="544"/>
      <c r="G782" s="544"/>
      <c r="H782" s="544"/>
      <c r="I782" s="544"/>
      <c r="J782" s="544"/>
      <c r="K782" s="544"/>
      <c r="L782" s="544"/>
      <c r="M782" s="544"/>
    </row>
    <row r="783" spans="2:13" x14ac:dyDescent="0.35">
      <c r="B783" s="544"/>
      <c r="C783" s="544"/>
      <c r="E783" s="544"/>
      <c r="F783" s="544"/>
      <c r="G783" s="544"/>
      <c r="H783" s="544"/>
      <c r="I783" s="544"/>
      <c r="J783" s="544"/>
      <c r="K783" s="544"/>
      <c r="L783" s="544"/>
      <c r="M783" s="544"/>
    </row>
    <row r="784" spans="2:13" x14ac:dyDescent="0.35">
      <c r="B784" s="544"/>
      <c r="C784" s="544"/>
      <c r="E784" s="544"/>
      <c r="F784" s="544"/>
      <c r="G784" s="544"/>
      <c r="H784" s="544"/>
      <c r="I784" s="544"/>
      <c r="J784" s="544"/>
      <c r="K784" s="544"/>
      <c r="L784" s="544"/>
      <c r="M784" s="544"/>
    </row>
    <row r="785" spans="2:13" x14ac:dyDescent="0.35">
      <c r="B785" s="544"/>
      <c r="C785" s="544"/>
      <c r="E785" s="544"/>
      <c r="F785" s="544"/>
      <c r="G785" s="544"/>
      <c r="H785" s="544"/>
      <c r="I785" s="544"/>
      <c r="J785" s="544"/>
      <c r="K785" s="544"/>
      <c r="L785" s="544"/>
      <c r="M785" s="544"/>
    </row>
    <row r="786" spans="2:13" x14ac:dyDescent="0.35">
      <c r="B786" s="544"/>
      <c r="C786" s="544"/>
      <c r="E786" s="544"/>
      <c r="F786" s="544"/>
      <c r="G786" s="544"/>
      <c r="H786" s="544"/>
      <c r="I786" s="544"/>
      <c r="J786" s="544"/>
      <c r="K786" s="544"/>
      <c r="L786" s="544"/>
      <c r="M786" s="544"/>
    </row>
    <row r="787" spans="2:13" x14ac:dyDescent="0.35">
      <c r="B787" s="544"/>
      <c r="C787" s="544"/>
      <c r="E787" s="544"/>
      <c r="F787" s="544"/>
      <c r="G787" s="544"/>
      <c r="H787" s="544"/>
      <c r="I787" s="544"/>
      <c r="J787" s="544"/>
      <c r="K787" s="544"/>
      <c r="L787" s="544"/>
      <c r="M787" s="544"/>
    </row>
    <row r="788" spans="2:13" x14ac:dyDescent="0.35">
      <c r="B788" s="544"/>
      <c r="C788" s="544"/>
      <c r="E788" s="544"/>
      <c r="F788" s="544"/>
      <c r="G788" s="544"/>
      <c r="H788" s="544"/>
      <c r="I788" s="544"/>
      <c r="J788" s="544"/>
      <c r="K788" s="544"/>
      <c r="L788" s="544"/>
      <c r="M788" s="544"/>
    </row>
    <row r="789" spans="2:13" x14ac:dyDescent="0.35">
      <c r="B789" s="544"/>
      <c r="C789" s="544"/>
      <c r="E789" s="544"/>
      <c r="F789" s="544"/>
      <c r="G789" s="544"/>
      <c r="H789" s="544"/>
      <c r="I789" s="544"/>
      <c r="J789" s="544"/>
      <c r="K789" s="544"/>
      <c r="L789" s="544"/>
      <c r="M789" s="544"/>
    </row>
    <row r="790" spans="2:13" x14ac:dyDescent="0.35">
      <c r="B790" s="544"/>
      <c r="C790" s="544"/>
      <c r="E790" s="544"/>
      <c r="F790" s="544"/>
      <c r="G790" s="544"/>
      <c r="H790" s="544"/>
      <c r="I790" s="544"/>
      <c r="J790" s="544"/>
      <c r="K790" s="544"/>
      <c r="L790" s="544"/>
      <c r="M790" s="544"/>
    </row>
    <row r="791" spans="2:13" x14ac:dyDescent="0.35">
      <c r="B791" s="544"/>
      <c r="C791" s="544"/>
      <c r="E791" s="544"/>
      <c r="F791" s="544"/>
      <c r="G791" s="544"/>
      <c r="H791" s="544"/>
      <c r="I791" s="544"/>
      <c r="J791" s="544"/>
      <c r="K791" s="544"/>
      <c r="L791" s="544"/>
      <c r="M791" s="544"/>
    </row>
    <row r="792" spans="2:13" x14ac:dyDescent="0.35">
      <c r="B792" s="544"/>
      <c r="C792" s="544"/>
      <c r="E792" s="544"/>
      <c r="F792" s="544"/>
      <c r="G792" s="544"/>
      <c r="H792" s="544"/>
      <c r="I792" s="544"/>
      <c r="J792" s="544"/>
      <c r="K792" s="544"/>
      <c r="L792" s="544"/>
      <c r="M792" s="544"/>
    </row>
    <row r="793" spans="2:13" x14ac:dyDescent="0.35">
      <c r="B793" s="544"/>
      <c r="C793" s="544"/>
      <c r="E793" s="544"/>
      <c r="F793" s="544"/>
      <c r="G793" s="544"/>
      <c r="H793" s="544"/>
      <c r="I793" s="544"/>
      <c r="J793" s="544"/>
      <c r="K793" s="544"/>
      <c r="L793" s="544"/>
      <c r="M793" s="544"/>
    </row>
    <row r="794" spans="2:13" x14ac:dyDescent="0.35">
      <c r="B794" s="544"/>
      <c r="C794" s="544"/>
      <c r="E794" s="544"/>
      <c r="F794" s="544"/>
      <c r="G794" s="544"/>
      <c r="H794" s="544"/>
      <c r="I794" s="544"/>
      <c r="J794" s="544"/>
      <c r="K794" s="544"/>
      <c r="L794" s="544"/>
      <c r="M794" s="544"/>
    </row>
    <row r="795" spans="2:13" x14ac:dyDescent="0.35">
      <c r="B795" s="544"/>
      <c r="C795" s="544"/>
      <c r="E795" s="544"/>
      <c r="F795" s="544"/>
      <c r="G795" s="544"/>
      <c r="H795" s="544"/>
      <c r="I795" s="544"/>
      <c r="J795" s="544"/>
      <c r="K795" s="544"/>
      <c r="L795" s="544"/>
      <c r="M795" s="544"/>
    </row>
    <row r="796" spans="2:13" x14ac:dyDescent="0.35">
      <c r="B796" s="544"/>
      <c r="C796" s="544"/>
      <c r="E796" s="544"/>
      <c r="F796" s="544"/>
      <c r="G796" s="544"/>
      <c r="H796" s="544"/>
      <c r="I796" s="544"/>
      <c r="J796" s="544"/>
      <c r="K796" s="544"/>
      <c r="L796" s="544"/>
      <c r="M796" s="544"/>
    </row>
    <row r="797" spans="2:13" x14ac:dyDescent="0.35">
      <c r="B797" s="544"/>
      <c r="C797" s="544"/>
      <c r="E797" s="544"/>
      <c r="F797" s="544"/>
      <c r="G797" s="544"/>
      <c r="H797" s="544"/>
      <c r="I797" s="544"/>
      <c r="J797" s="544"/>
      <c r="K797" s="544"/>
      <c r="L797" s="544"/>
      <c r="M797" s="544"/>
    </row>
    <row r="798" spans="2:13" x14ac:dyDescent="0.35">
      <c r="B798" s="544"/>
      <c r="C798" s="544"/>
      <c r="E798" s="544"/>
      <c r="F798" s="544"/>
      <c r="G798" s="544"/>
      <c r="H798" s="544"/>
      <c r="I798" s="544"/>
      <c r="J798" s="544"/>
      <c r="K798" s="544"/>
      <c r="L798" s="544"/>
      <c r="M798" s="544"/>
    </row>
    <row r="799" spans="2:13" x14ac:dyDescent="0.35">
      <c r="B799" s="544"/>
      <c r="C799" s="544"/>
      <c r="E799" s="544"/>
      <c r="F799" s="544"/>
      <c r="G799" s="544"/>
      <c r="H799" s="544"/>
      <c r="I799" s="544"/>
      <c r="J799" s="544"/>
      <c r="K799" s="544"/>
      <c r="L799" s="544"/>
      <c r="M799" s="544"/>
    </row>
    <row r="800" spans="2:13" x14ac:dyDescent="0.35">
      <c r="B800" s="544"/>
      <c r="C800" s="544"/>
      <c r="E800" s="544"/>
      <c r="F800" s="544"/>
      <c r="G800" s="544"/>
      <c r="H800" s="544"/>
      <c r="I800" s="544"/>
      <c r="J800" s="544"/>
      <c r="K800" s="544"/>
      <c r="L800" s="544"/>
      <c r="M800" s="544"/>
    </row>
    <row r="801" spans="2:13" x14ac:dyDescent="0.35">
      <c r="B801" s="544"/>
      <c r="C801" s="544"/>
      <c r="E801" s="544"/>
      <c r="F801" s="544"/>
      <c r="G801" s="544"/>
      <c r="H801" s="544"/>
      <c r="I801" s="544"/>
      <c r="J801" s="544"/>
      <c r="K801" s="544"/>
      <c r="L801" s="544"/>
      <c r="M801" s="544"/>
    </row>
    <row r="802" spans="2:13" x14ac:dyDescent="0.35">
      <c r="B802" s="544"/>
      <c r="C802" s="544"/>
      <c r="E802" s="544"/>
      <c r="F802" s="544"/>
      <c r="G802" s="544"/>
      <c r="H802" s="544"/>
      <c r="I802" s="544"/>
      <c r="J802" s="544"/>
      <c r="K802" s="544"/>
      <c r="L802" s="544"/>
      <c r="M802" s="544"/>
    </row>
    <row r="803" spans="2:13" x14ac:dyDescent="0.35">
      <c r="B803" s="544"/>
      <c r="C803" s="544"/>
      <c r="E803" s="544"/>
      <c r="F803" s="544"/>
      <c r="G803" s="544"/>
      <c r="H803" s="544"/>
      <c r="I803" s="544"/>
      <c r="J803" s="544"/>
      <c r="K803" s="544"/>
      <c r="L803" s="544"/>
      <c r="M803" s="544"/>
    </row>
    <row r="804" spans="2:13" x14ac:dyDescent="0.35">
      <c r="B804" s="544"/>
      <c r="C804" s="544"/>
      <c r="E804" s="544"/>
      <c r="F804" s="544"/>
      <c r="G804" s="544"/>
      <c r="H804" s="544"/>
      <c r="I804" s="544"/>
      <c r="J804" s="544"/>
      <c r="K804" s="544"/>
      <c r="L804" s="544"/>
      <c r="M804" s="544"/>
    </row>
    <row r="805" spans="2:13" x14ac:dyDescent="0.35">
      <c r="B805" s="544"/>
      <c r="C805" s="544"/>
      <c r="E805" s="544"/>
      <c r="F805" s="544"/>
      <c r="G805" s="544"/>
      <c r="H805" s="544"/>
      <c r="I805" s="544"/>
      <c r="J805" s="544"/>
      <c r="K805" s="544"/>
      <c r="L805" s="544"/>
      <c r="M805" s="544"/>
    </row>
    <row r="806" spans="2:13" x14ac:dyDescent="0.35">
      <c r="B806" s="544"/>
      <c r="C806" s="544"/>
      <c r="E806" s="544"/>
      <c r="F806" s="544"/>
      <c r="G806" s="544"/>
      <c r="H806" s="544"/>
      <c r="I806" s="544"/>
      <c r="J806" s="544"/>
      <c r="K806" s="544"/>
      <c r="L806" s="544"/>
      <c r="M806" s="544"/>
    </row>
    <row r="807" spans="2:13" x14ac:dyDescent="0.35">
      <c r="B807" s="544"/>
      <c r="C807" s="544"/>
      <c r="E807" s="544"/>
      <c r="F807" s="544"/>
      <c r="G807" s="544"/>
      <c r="H807" s="544"/>
      <c r="I807" s="544"/>
      <c r="J807" s="544"/>
      <c r="K807" s="544"/>
      <c r="L807" s="544"/>
      <c r="M807" s="544"/>
    </row>
    <row r="808" spans="2:13" x14ac:dyDescent="0.35">
      <c r="B808" s="544"/>
      <c r="C808" s="544"/>
      <c r="E808" s="544"/>
      <c r="F808" s="544"/>
      <c r="G808" s="544"/>
      <c r="H808" s="544"/>
      <c r="I808" s="544"/>
      <c r="J808" s="544"/>
      <c r="K808" s="544"/>
      <c r="L808" s="544"/>
      <c r="M808" s="544"/>
    </row>
    <row r="809" spans="2:13" x14ac:dyDescent="0.35">
      <c r="B809" s="544"/>
      <c r="C809" s="544"/>
      <c r="E809" s="544"/>
      <c r="F809" s="544"/>
      <c r="G809" s="544"/>
      <c r="H809" s="544"/>
      <c r="I809" s="544"/>
      <c r="J809" s="544"/>
      <c r="K809" s="544"/>
      <c r="L809" s="544"/>
      <c r="M809" s="544"/>
    </row>
    <row r="810" spans="2:13" x14ac:dyDescent="0.35">
      <c r="B810" s="544"/>
      <c r="C810" s="544"/>
      <c r="E810" s="544"/>
      <c r="F810" s="544"/>
      <c r="G810" s="544"/>
      <c r="H810" s="544"/>
      <c r="I810" s="544"/>
      <c r="J810" s="544"/>
      <c r="K810" s="544"/>
      <c r="L810" s="544"/>
      <c r="M810" s="544"/>
    </row>
    <row r="811" spans="2:13" x14ac:dyDescent="0.35">
      <c r="B811" s="544"/>
      <c r="C811" s="544"/>
      <c r="E811" s="544"/>
      <c r="F811" s="544"/>
      <c r="G811" s="544"/>
      <c r="H811" s="544"/>
      <c r="I811" s="544"/>
      <c r="J811" s="544"/>
      <c r="K811" s="544"/>
      <c r="L811" s="544"/>
      <c r="M811" s="544"/>
    </row>
    <row r="812" spans="2:13" x14ac:dyDescent="0.35">
      <c r="B812" s="544"/>
      <c r="C812" s="544"/>
      <c r="E812" s="544"/>
      <c r="F812" s="544"/>
      <c r="G812" s="544"/>
      <c r="H812" s="544"/>
      <c r="I812" s="544"/>
      <c r="J812" s="544"/>
      <c r="K812" s="544"/>
      <c r="L812" s="544"/>
      <c r="M812" s="544"/>
    </row>
    <row r="813" spans="2:13" x14ac:dyDescent="0.35">
      <c r="B813" s="544"/>
      <c r="C813" s="544"/>
      <c r="E813" s="544"/>
      <c r="F813" s="544"/>
      <c r="G813" s="544"/>
      <c r="H813" s="544"/>
      <c r="I813" s="544"/>
      <c r="J813" s="544"/>
      <c r="K813" s="544"/>
      <c r="L813" s="544"/>
      <c r="M813" s="544"/>
    </row>
    <row r="814" spans="2:13" x14ac:dyDescent="0.35">
      <c r="B814" s="544"/>
      <c r="C814" s="544"/>
      <c r="E814" s="544"/>
      <c r="F814" s="544"/>
      <c r="G814" s="544"/>
      <c r="H814" s="544"/>
      <c r="I814" s="544"/>
      <c r="J814" s="544"/>
      <c r="K814" s="544"/>
      <c r="L814" s="544"/>
      <c r="M814" s="544"/>
    </row>
    <row r="815" spans="2:13" x14ac:dyDescent="0.35">
      <c r="B815" s="544"/>
      <c r="C815" s="544"/>
      <c r="E815" s="544"/>
      <c r="F815" s="544"/>
      <c r="G815" s="544"/>
      <c r="H815" s="544"/>
      <c r="I815" s="544"/>
      <c r="J815" s="544"/>
      <c r="K815" s="544"/>
      <c r="L815" s="544"/>
      <c r="M815" s="544"/>
    </row>
    <row r="816" spans="2:13" x14ac:dyDescent="0.35">
      <c r="B816" s="544"/>
      <c r="C816" s="544"/>
      <c r="E816" s="544"/>
      <c r="F816" s="544"/>
      <c r="G816" s="544"/>
      <c r="H816" s="544"/>
      <c r="I816" s="544"/>
      <c r="J816" s="544"/>
      <c r="K816" s="544"/>
      <c r="L816" s="544"/>
      <c r="M816" s="544"/>
    </row>
    <row r="817" spans="2:13" x14ac:dyDescent="0.35">
      <c r="B817" s="544"/>
      <c r="C817" s="544"/>
      <c r="E817" s="544"/>
      <c r="F817" s="544"/>
      <c r="G817" s="544"/>
      <c r="H817" s="544"/>
      <c r="I817" s="544"/>
      <c r="J817" s="544"/>
      <c r="K817" s="544"/>
      <c r="L817" s="544"/>
      <c r="M817" s="544"/>
    </row>
    <row r="818" spans="2:13" x14ac:dyDescent="0.35">
      <c r="B818" s="544"/>
      <c r="C818" s="544"/>
      <c r="E818" s="544"/>
      <c r="F818" s="544"/>
      <c r="G818" s="544"/>
      <c r="H818" s="544"/>
      <c r="I818" s="544"/>
      <c r="J818" s="544"/>
      <c r="K818" s="544"/>
      <c r="L818" s="544"/>
      <c r="M818" s="544"/>
    </row>
    <row r="819" spans="2:13" x14ac:dyDescent="0.35">
      <c r="B819" s="544"/>
      <c r="C819" s="544"/>
      <c r="E819" s="544"/>
      <c r="F819" s="544"/>
      <c r="G819" s="544"/>
      <c r="H819" s="544"/>
      <c r="I819" s="544"/>
      <c r="J819" s="544"/>
      <c r="K819" s="544"/>
      <c r="L819" s="544"/>
      <c r="M819" s="544"/>
    </row>
    <row r="820" spans="2:13" x14ac:dyDescent="0.35">
      <c r="B820" s="544"/>
      <c r="C820" s="544"/>
      <c r="E820" s="544"/>
      <c r="F820" s="544"/>
      <c r="G820" s="544"/>
      <c r="H820" s="544"/>
      <c r="I820" s="544"/>
      <c r="J820" s="544"/>
      <c r="K820" s="544"/>
      <c r="L820" s="544"/>
      <c r="M820" s="544"/>
    </row>
    <row r="821" spans="2:13" x14ac:dyDescent="0.35">
      <c r="B821" s="544"/>
      <c r="C821" s="544"/>
      <c r="E821" s="544"/>
      <c r="F821" s="544"/>
      <c r="G821" s="544"/>
      <c r="H821" s="544"/>
      <c r="I821" s="544"/>
      <c r="J821" s="544"/>
      <c r="K821" s="544"/>
      <c r="L821" s="544"/>
      <c r="M821" s="544"/>
    </row>
    <row r="822" spans="2:13" x14ac:dyDescent="0.35">
      <c r="B822" s="544"/>
      <c r="C822" s="544"/>
      <c r="E822" s="544"/>
      <c r="F822" s="544"/>
      <c r="G822" s="544"/>
      <c r="H822" s="544"/>
      <c r="I822" s="544"/>
      <c r="J822" s="544"/>
      <c r="K822" s="544"/>
      <c r="L822" s="544"/>
      <c r="M822" s="544"/>
    </row>
    <row r="823" spans="2:13" x14ac:dyDescent="0.35">
      <c r="B823" s="544"/>
      <c r="C823" s="544"/>
      <c r="E823" s="544"/>
      <c r="F823" s="544"/>
      <c r="G823" s="544"/>
      <c r="H823" s="544"/>
      <c r="I823" s="544"/>
      <c r="J823" s="544"/>
      <c r="K823" s="544"/>
      <c r="L823" s="544"/>
      <c r="M823" s="544"/>
    </row>
    <row r="824" spans="2:13" x14ac:dyDescent="0.35">
      <c r="B824" s="544"/>
      <c r="C824" s="544"/>
      <c r="E824" s="544"/>
      <c r="F824" s="544"/>
      <c r="G824" s="544"/>
      <c r="H824" s="544"/>
      <c r="I824" s="544"/>
      <c r="J824" s="544"/>
      <c r="K824" s="544"/>
      <c r="L824" s="544"/>
      <c r="M824" s="544"/>
    </row>
    <row r="825" spans="2:13" x14ac:dyDescent="0.35">
      <c r="B825" s="544"/>
      <c r="C825" s="544"/>
      <c r="E825" s="544"/>
      <c r="F825" s="544"/>
      <c r="G825" s="544"/>
      <c r="H825" s="544"/>
      <c r="I825" s="544"/>
      <c r="J825" s="544"/>
      <c r="K825" s="544"/>
      <c r="L825" s="544"/>
      <c r="M825" s="544"/>
    </row>
    <row r="826" spans="2:13" x14ac:dyDescent="0.35">
      <c r="B826" s="544"/>
      <c r="C826" s="544"/>
      <c r="E826" s="544"/>
      <c r="F826" s="544"/>
      <c r="G826" s="544"/>
      <c r="H826" s="544"/>
      <c r="I826" s="544"/>
      <c r="J826" s="544"/>
      <c r="K826" s="544"/>
      <c r="L826" s="544"/>
      <c r="M826" s="544"/>
    </row>
    <row r="827" spans="2:13" x14ac:dyDescent="0.35">
      <c r="B827" s="544"/>
      <c r="C827" s="544"/>
      <c r="E827" s="544"/>
      <c r="F827" s="544"/>
      <c r="G827" s="544"/>
      <c r="H827" s="544"/>
      <c r="I827" s="544"/>
      <c r="J827" s="544"/>
      <c r="K827" s="544"/>
      <c r="L827" s="544"/>
      <c r="M827" s="544"/>
    </row>
    <row r="828" spans="2:13" x14ac:dyDescent="0.35">
      <c r="B828" s="544"/>
      <c r="C828" s="544"/>
      <c r="E828" s="544"/>
      <c r="F828" s="544"/>
      <c r="G828" s="544"/>
      <c r="H828" s="544"/>
      <c r="I828" s="544"/>
      <c r="J828" s="544"/>
      <c r="K828" s="544"/>
      <c r="L828" s="544"/>
      <c r="M828" s="544"/>
    </row>
    <row r="829" spans="2:13" x14ac:dyDescent="0.35">
      <c r="B829" s="544"/>
      <c r="C829" s="544"/>
      <c r="E829" s="544"/>
      <c r="F829" s="544"/>
      <c r="G829" s="544"/>
      <c r="H829" s="544"/>
      <c r="I829" s="544"/>
      <c r="J829" s="544"/>
      <c r="K829" s="544"/>
      <c r="L829" s="544"/>
      <c r="M829" s="544"/>
    </row>
    <row r="830" spans="2:13" x14ac:dyDescent="0.35">
      <c r="B830" s="544"/>
      <c r="C830" s="544"/>
      <c r="E830" s="544"/>
      <c r="F830" s="544"/>
      <c r="G830" s="544"/>
      <c r="H830" s="544"/>
      <c r="I830" s="544"/>
      <c r="J830" s="544"/>
      <c r="K830" s="544"/>
      <c r="L830" s="544"/>
      <c r="M830" s="544"/>
    </row>
    <row r="831" spans="2:13" x14ac:dyDescent="0.35">
      <c r="B831" s="544"/>
      <c r="C831" s="544"/>
      <c r="E831" s="544"/>
      <c r="F831" s="544"/>
      <c r="G831" s="544"/>
      <c r="H831" s="544"/>
      <c r="I831" s="544"/>
      <c r="J831" s="544"/>
      <c r="K831" s="544"/>
      <c r="L831" s="544"/>
      <c r="M831" s="544"/>
    </row>
    <row r="832" spans="2:13" x14ac:dyDescent="0.35">
      <c r="B832" s="544"/>
      <c r="C832" s="544"/>
      <c r="E832" s="544"/>
      <c r="F832" s="544"/>
      <c r="G832" s="544"/>
      <c r="H832" s="544"/>
      <c r="I832" s="544"/>
      <c r="J832" s="544"/>
      <c r="K832" s="544"/>
      <c r="L832" s="544"/>
      <c r="M832" s="544"/>
    </row>
    <row r="833" spans="2:13" x14ac:dyDescent="0.35">
      <c r="B833" s="544"/>
      <c r="C833" s="544"/>
      <c r="E833" s="544"/>
      <c r="F833" s="544"/>
      <c r="G833" s="544"/>
      <c r="H833" s="544"/>
      <c r="I833" s="544"/>
      <c r="J833" s="544"/>
      <c r="K833" s="544"/>
      <c r="L833" s="544"/>
      <c r="M833" s="544"/>
    </row>
    <row r="834" spans="2:13" x14ac:dyDescent="0.35">
      <c r="B834" s="544"/>
      <c r="C834" s="544"/>
      <c r="E834" s="544"/>
      <c r="F834" s="544"/>
      <c r="G834" s="544"/>
      <c r="H834" s="544"/>
      <c r="I834" s="544"/>
      <c r="J834" s="544"/>
      <c r="K834" s="544"/>
      <c r="L834" s="544"/>
      <c r="M834" s="544"/>
    </row>
    <row r="835" spans="2:13" x14ac:dyDescent="0.35">
      <c r="B835" s="544"/>
      <c r="C835" s="544"/>
      <c r="E835" s="544"/>
      <c r="F835" s="544"/>
      <c r="G835" s="544"/>
      <c r="H835" s="544"/>
      <c r="I835" s="544"/>
      <c r="J835" s="544"/>
      <c r="K835" s="544"/>
      <c r="L835" s="544"/>
      <c r="M835" s="544"/>
    </row>
    <row r="836" spans="2:13" x14ac:dyDescent="0.35">
      <c r="B836" s="544"/>
      <c r="C836" s="544"/>
      <c r="E836" s="544"/>
      <c r="F836" s="544"/>
      <c r="G836" s="544"/>
      <c r="H836" s="544"/>
      <c r="I836" s="544"/>
      <c r="J836" s="544"/>
      <c r="K836" s="544"/>
      <c r="L836" s="544"/>
      <c r="M836" s="544"/>
    </row>
    <row r="837" spans="2:13" x14ac:dyDescent="0.35">
      <c r="B837" s="544"/>
      <c r="C837" s="544"/>
      <c r="E837" s="544"/>
      <c r="F837" s="544"/>
      <c r="G837" s="544"/>
      <c r="H837" s="544"/>
      <c r="I837" s="544"/>
      <c r="J837" s="544"/>
      <c r="K837" s="544"/>
      <c r="L837" s="544"/>
      <c r="M837" s="544"/>
    </row>
    <row r="838" spans="2:13" x14ac:dyDescent="0.35">
      <c r="B838" s="544"/>
      <c r="C838" s="544"/>
      <c r="E838" s="544"/>
      <c r="F838" s="544"/>
      <c r="G838" s="544"/>
      <c r="H838" s="544"/>
      <c r="I838" s="544"/>
      <c r="J838" s="544"/>
      <c r="K838" s="544"/>
      <c r="L838" s="544"/>
      <c r="M838" s="544"/>
    </row>
    <row r="839" spans="2:13" x14ac:dyDescent="0.35">
      <c r="B839" s="544"/>
      <c r="C839" s="544"/>
      <c r="E839" s="544"/>
      <c r="F839" s="544"/>
      <c r="G839" s="544"/>
      <c r="H839" s="544"/>
      <c r="I839" s="544"/>
      <c r="J839" s="544"/>
      <c r="K839" s="544"/>
      <c r="L839" s="544"/>
      <c r="M839" s="544"/>
    </row>
    <row r="840" spans="2:13" x14ac:dyDescent="0.35">
      <c r="B840" s="544"/>
      <c r="C840" s="544"/>
      <c r="E840" s="544"/>
      <c r="F840" s="544"/>
      <c r="G840" s="544"/>
      <c r="H840" s="544"/>
      <c r="I840" s="544"/>
      <c r="J840" s="544"/>
      <c r="K840" s="544"/>
      <c r="L840" s="544"/>
      <c r="M840" s="544"/>
    </row>
    <row r="841" spans="2:13" x14ac:dyDescent="0.35">
      <c r="B841" s="544"/>
      <c r="C841" s="544"/>
      <c r="E841" s="544"/>
      <c r="F841" s="544"/>
      <c r="G841" s="544"/>
      <c r="H841" s="544"/>
      <c r="I841" s="544"/>
      <c r="J841" s="544"/>
      <c r="K841" s="544"/>
      <c r="L841" s="544"/>
      <c r="M841" s="544"/>
    </row>
    <row r="842" spans="2:13" x14ac:dyDescent="0.35">
      <c r="B842" s="544"/>
      <c r="C842" s="544"/>
      <c r="E842" s="544"/>
      <c r="F842" s="544"/>
      <c r="G842" s="544"/>
      <c r="H842" s="544"/>
      <c r="I842" s="544"/>
      <c r="J842" s="544"/>
      <c r="K842" s="544"/>
      <c r="L842" s="544"/>
      <c r="M842" s="544"/>
    </row>
    <row r="843" spans="2:13" x14ac:dyDescent="0.35">
      <c r="B843" s="544"/>
      <c r="C843" s="544"/>
      <c r="E843" s="544"/>
      <c r="F843" s="544"/>
      <c r="G843" s="544"/>
      <c r="H843" s="544"/>
      <c r="I843" s="544"/>
      <c r="J843" s="544"/>
      <c r="K843" s="544"/>
      <c r="L843" s="544"/>
      <c r="M843" s="544"/>
    </row>
    <row r="844" spans="2:13" x14ac:dyDescent="0.35">
      <c r="B844" s="544"/>
      <c r="C844" s="544"/>
      <c r="E844" s="544"/>
      <c r="F844" s="544"/>
      <c r="G844" s="544"/>
      <c r="H844" s="544"/>
      <c r="I844" s="544"/>
      <c r="J844" s="544"/>
      <c r="K844" s="544"/>
      <c r="L844" s="544"/>
      <c r="M844" s="544"/>
    </row>
    <row r="845" spans="2:13" x14ac:dyDescent="0.35">
      <c r="B845" s="544"/>
      <c r="C845" s="544"/>
      <c r="E845" s="544"/>
      <c r="F845" s="544"/>
      <c r="G845" s="544"/>
      <c r="H845" s="544"/>
      <c r="I845" s="544"/>
      <c r="J845" s="544"/>
      <c r="K845" s="544"/>
      <c r="L845" s="544"/>
      <c r="M845" s="544"/>
    </row>
    <row r="846" spans="2:13" x14ac:dyDescent="0.35">
      <c r="B846" s="544"/>
      <c r="C846" s="544"/>
      <c r="E846" s="544"/>
      <c r="F846" s="544"/>
      <c r="G846" s="544"/>
      <c r="H846" s="544"/>
      <c r="I846" s="544"/>
      <c r="J846" s="544"/>
      <c r="K846" s="544"/>
      <c r="L846" s="544"/>
      <c r="M846" s="544"/>
    </row>
    <row r="847" spans="2:13" x14ac:dyDescent="0.35">
      <c r="B847" s="544"/>
      <c r="C847" s="544"/>
      <c r="E847" s="544"/>
      <c r="F847" s="544"/>
      <c r="G847" s="544"/>
      <c r="H847" s="544"/>
      <c r="I847" s="544"/>
      <c r="J847" s="544"/>
      <c r="K847" s="544"/>
      <c r="L847" s="544"/>
      <c r="M847" s="544"/>
    </row>
    <row r="848" spans="2:13" x14ac:dyDescent="0.35">
      <c r="B848" s="544"/>
      <c r="C848" s="544"/>
      <c r="E848" s="544"/>
      <c r="F848" s="544"/>
      <c r="G848" s="544"/>
      <c r="H848" s="544"/>
      <c r="I848" s="544"/>
      <c r="J848" s="544"/>
      <c r="K848" s="544"/>
      <c r="L848" s="544"/>
      <c r="M848" s="544"/>
    </row>
    <row r="849" spans="2:13" x14ac:dyDescent="0.35">
      <c r="B849" s="544"/>
      <c r="C849" s="544"/>
      <c r="E849" s="544"/>
      <c r="F849" s="544"/>
      <c r="G849" s="544"/>
      <c r="H849" s="544"/>
      <c r="I849" s="544"/>
      <c r="J849" s="544"/>
      <c r="K849" s="544"/>
      <c r="L849" s="544"/>
      <c r="M849" s="544"/>
    </row>
    <row r="850" spans="2:13" x14ac:dyDescent="0.35">
      <c r="B850" s="544"/>
      <c r="C850" s="544"/>
      <c r="E850" s="544"/>
      <c r="F850" s="544"/>
      <c r="G850" s="544"/>
      <c r="H850" s="544"/>
      <c r="I850" s="544"/>
      <c r="J850" s="544"/>
      <c r="K850" s="544"/>
      <c r="L850" s="544"/>
      <c r="M850" s="544"/>
    </row>
    <row r="851" spans="2:13" x14ac:dyDescent="0.35">
      <c r="B851" s="544"/>
      <c r="C851" s="544"/>
      <c r="E851" s="544"/>
      <c r="F851" s="544"/>
      <c r="G851" s="544"/>
      <c r="H851" s="544"/>
      <c r="I851" s="544"/>
      <c r="J851" s="544"/>
      <c r="K851" s="544"/>
      <c r="L851" s="544"/>
      <c r="M851" s="544"/>
    </row>
    <row r="852" spans="2:13" x14ac:dyDescent="0.35">
      <c r="B852" s="544"/>
      <c r="C852" s="544"/>
      <c r="E852" s="544"/>
      <c r="F852" s="544"/>
      <c r="G852" s="544"/>
      <c r="H852" s="544"/>
      <c r="I852" s="544"/>
      <c r="J852" s="544"/>
      <c r="K852" s="544"/>
      <c r="L852" s="544"/>
      <c r="M852" s="544"/>
    </row>
    <row r="853" spans="2:13" x14ac:dyDescent="0.35">
      <c r="B853" s="544"/>
      <c r="C853" s="544"/>
      <c r="E853" s="544"/>
      <c r="F853" s="544"/>
      <c r="G853" s="544"/>
      <c r="H853" s="544"/>
      <c r="I853" s="544"/>
      <c r="J853" s="544"/>
      <c r="K853" s="544"/>
      <c r="L853" s="544"/>
      <c r="M853" s="544"/>
    </row>
    <row r="854" spans="2:13" x14ac:dyDescent="0.35">
      <c r="B854" s="544"/>
      <c r="C854" s="544"/>
      <c r="E854" s="544"/>
      <c r="F854" s="544"/>
      <c r="G854" s="544"/>
      <c r="H854" s="544"/>
      <c r="I854" s="544"/>
      <c r="J854" s="544"/>
      <c r="K854" s="544"/>
      <c r="L854" s="544"/>
      <c r="M854" s="544"/>
    </row>
    <row r="855" spans="2:13" x14ac:dyDescent="0.35">
      <c r="B855" s="544"/>
      <c r="C855" s="544"/>
      <c r="E855" s="544"/>
      <c r="F855" s="544"/>
      <c r="G855" s="544"/>
      <c r="H855" s="544"/>
      <c r="I855" s="544"/>
      <c r="J855" s="544"/>
      <c r="K855" s="544"/>
      <c r="L855" s="544"/>
      <c r="M855" s="544"/>
    </row>
    <row r="856" spans="2:13" x14ac:dyDescent="0.35">
      <c r="B856" s="544"/>
      <c r="C856" s="544"/>
      <c r="E856" s="544"/>
      <c r="F856" s="544"/>
      <c r="G856" s="544"/>
      <c r="H856" s="544"/>
      <c r="I856" s="544"/>
      <c r="J856" s="544"/>
      <c r="K856" s="544"/>
      <c r="L856" s="544"/>
      <c r="M856" s="544"/>
    </row>
    <row r="857" spans="2:13" x14ac:dyDescent="0.35">
      <c r="B857" s="544"/>
      <c r="C857" s="544"/>
      <c r="E857" s="544"/>
      <c r="F857" s="544"/>
      <c r="G857" s="544"/>
      <c r="H857" s="544"/>
      <c r="I857" s="544"/>
      <c r="J857" s="544"/>
      <c r="K857" s="544"/>
      <c r="L857" s="544"/>
      <c r="M857" s="544"/>
    </row>
    <row r="858" spans="2:13" x14ac:dyDescent="0.35">
      <c r="B858" s="544"/>
      <c r="C858" s="544"/>
      <c r="E858" s="544"/>
      <c r="F858" s="544"/>
      <c r="G858" s="544"/>
      <c r="H858" s="544"/>
      <c r="I858" s="544"/>
      <c r="J858" s="544"/>
      <c r="K858" s="544"/>
      <c r="L858" s="544"/>
      <c r="M858" s="544"/>
    </row>
    <row r="859" spans="2:13" x14ac:dyDescent="0.35">
      <c r="B859" s="544"/>
      <c r="C859" s="544"/>
      <c r="E859" s="544"/>
      <c r="F859" s="544"/>
      <c r="G859" s="544"/>
      <c r="H859" s="544"/>
      <c r="I859" s="544"/>
      <c r="J859" s="544"/>
      <c r="K859" s="544"/>
      <c r="L859" s="544"/>
      <c r="M859" s="544"/>
    </row>
    <row r="860" spans="2:13" x14ac:dyDescent="0.35">
      <c r="B860" s="544"/>
      <c r="C860" s="544"/>
      <c r="E860" s="544"/>
      <c r="F860" s="544"/>
      <c r="G860" s="544"/>
      <c r="H860" s="544"/>
      <c r="I860" s="544"/>
      <c r="J860" s="544"/>
      <c r="K860" s="544"/>
      <c r="L860" s="544"/>
      <c r="M860" s="544"/>
    </row>
    <row r="861" spans="2:13" x14ac:dyDescent="0.35">
      <c r="B861" s="544"/>
      <c r="C861" s="544"/>
      <c r="E861" s="544"/>
      <c r="F861" s="544"/>
      <c r="G861" s="544"/>
      <c r="H861" s="544"/>
      <c r="I861" s="544"/>
      <c r="J861" s="544"/>
      <c r="K861" s="544"/>
      <c r="L861" s="544"/>
      <c r="M861" s="544"/>
    </row>
    <row r="862" spans="2:13" x14ac:dyDescent="0.35">
      <c r="B862" s="544"/>
      <c r="C862" s="544"/>
      <c r="E862" s="544"/>
      <c r="F862" s="544"/>
      <c r="G862" s="544"/>
      <c r="H862" s="544"/>
      <c r="I862" s="544"/>
      <c r="J862" s="544"/>
      <c r="K862" s="544"/>
      <c r="L862" s="544"/>
      <c r="M862" s="544"/>
    </row>
    <row r="863" spans="2:13" x14ac:dyDescent="0.35">
      <c r="B863" s="544"/>
      <c r="C863" s="544"/>
      <c r="E863" s="544"/>
      <c r="F863" s="544"/>
      <c r="G863" s="544"/>
      <c r="H863" s="544"/>
      <c r="I863" s="544"/>
      <c r="J863" s="544"/>
      <c r="K863" s="544"/>
      <c r="L863" s="544"/>
      <c r="M863" s="544"/>
    </row>
    <row r="864" spans="2:13" x14ac:dyDescent="0.35">
      <c r="B864" s="544"/>
      <c r="C864" s="544"/>
      <c r="E864" s="544"/>
      <c r="F864" s="544"/>
      <c r="G864" s="544"/>
      <c r="H864" s="544"/>
      <c r="I864" s="544"/>
      <c r="J864" s="544"/>
      <c r="K864" s="544"/>
      <c r="L864" s="544"/>
      <c r="M864" s="544"/>
    </row>
    <row r="865" spans="2:13" x14ac:dyDescent="0.35">
      <c r="B865" s="544"/>
      <c r="C865" s="544"/>
      <c r="E865" s="544"/>
      <c r="F865" s="544"/>
      <c r="G865" s="544"/>
      <c r="H865" s="544"/>
      <c r="I865" s="544"/>
      <c r="J865" s="544"/>
      <c r="K865" s="544"/>
      <c r="L865" s="544"/>
      <c r="M865" s="544"/>
    </row>
    <row r="866" spans="2:13" x14ac:dyDescent="0.35">
      <c r="B866" s="544"/>
      <c r="C866" s="544"/>
      <c r="E866" s="544"/>
      <c r="F866" s="544"/>
      <c r="G866" s="544"/>
      <c r="H866" s="544"/>
      <c r="I866" s="544"/>
      <c r="J866" s="544"/>
      <c r="K866" s="544"/>
      <c r="L866" s="544"/>
      <c r="M866" s="544"/>
    </row>
    <row r="867" spans="2:13" x14ac:dyDescent="0.35">
      <c r="B867" s="544"/>
      <c r="C867" s="544"/>
      <c r="E867" s="544"/>
      <c r="F867" s="544"/>
      <c r="G867" s="544"/>
      <c r="H867" s="544"/>
      <c r="I867" s="544"/>
      <c r="J867" s="544"/>
      <c r="K867" s="544"/>
      <c r="L867" s="544"/>
      <c r="M867" s="544"/>
    </row>
    <row r="868" spans="2:13" x14ac:dyDescent="0.35">
      <c r="B868" s="544"/>
      <c r="C868" s="544"/>
      <c r="E868" s="544"/>
      <c r="F868" s="544"/>
      <c r="G868" s="544"/>
      <c r="H868" s="544"/>
      <c r="I868" s="544"/>
      <c r="J868" s="544"/>
      <c r="K868" s="544"/>
      <c r="L868" s="544"/>
      <c r="M868" s="544"/>
    </row>
    <row r="869" spans="2:13" x14ac:dyDescent="0.35">
      <c r="B869" s="544"/>
      <c r="C869" s="544"/>
      <c r="E869" s="544"/>
      <c r="F869" s="544"/>
      <c r="G869" s="544"/>
      <c r="H869" s="544"/>
      <c r="I869" s="544"/>
      <c r="J869" s="544"/>
      <c r="K869" s="544"/>
      <c r="L869" s="544"/>
      <c r="M869" s="544"/>
    </row>
    <row r="870" spans="2:13" x14ac:dyDescent="0.35">
      <c r="B870" s="544"/>
      <c r="C870" s="544"/>
      <c r="E870" s="544"/>
      <c r="F870" s="544"/>
      <c r="G870" s="544"/>
      <c r="H870" s="544"/>
      <c r="I870" s="544"/>
      <c r="J870" s="544"/>
      <c r="K870" s="544"/>
      <c r="L870" s="544"/>
      <c r="M870" s="544"/>
    </row>
    <row r="871" spans="2:13" x14ac:dyDescent="0.35">
      <c r="B871" s="544"/>
      <c r="C871" s="544"/>
      <c r="E871" s="544"/>
      <c r="F871" s="544"/>
      <c r="G871" s="544"/>
      <c r="H871" s="544"/>
      <c r="I871" s="544"/>
      <c r="J871" s="544"/>
      <c r="K871" s="544"/>
      <c r="L871" s="544"/>
      <c r="M871" s="544"/>
    </row>
    <row r="872" spans="2:13" x14ac:dyDescent="0.35">
      <c r="B872" s="544"/>
      <c r="C872" s="544"/>
      <c r="E872" s="544"/>
      <c r="F872" s="544"/>
      <c r="G872" s="544"/>
      <c r="H872" s="544"/>
      <c r="I872" s="544"/>
      <c r="J872" s="544"/>
      <c r="K872" s="544"/>
      <c r="L872" s="544"/>
      <c r="M872" s="544"/>
    </row>
    <row r="873" spans="2:13" x14ac:dyDescent="0.35">
      <c r="B873" s="544"/>
      <c r="C873" s="544"/>
      <c r="E873" s="544"/>
      <c r="F873" s="544"/>
      <c r="G873" s="544"/>
      <c r="H873" s="544"/>
      <c r="I873" s="544"/>
      <c r="J873" s="544"/>
      <c r="K873" s="544"/>
      <c r="L873" s="544"/>
      <c r="M873" s="544"/>
    </row>
    <row r="874" spans="2:13" x14ac:dyDescent="0.35">
      <c r="B874" s="544"/>
      <c r="C874" s="544"/>
      <c r="E874" s="544"/>
      <c r="F874" s="544"/>
      <c r="G874" s="544"/>
      <c r="H874" s="544"/>
      <c r="I874" s="544"/>
      <c r="J874" s="544"/>
      <c r="K874" s="544"/>
      <c r="L874" s="544"/>
      <c r="M874" s="544"/>
    </row>
    <row r="875" spans="2:13" x14ac:dyDescent="0.35">
      <c r="B875" s="544"/>
      <c r="C875" s="544"/>
      <c r="E875" s="544"/>
      <c r="F875" s="544"/>
      <c r="G875" s="544"/>
      <c r="H875" s="544"/>
      <c r="I875" s="544"/>
      <c r="J875" s="544"/>
      <c r="K875" s="544"/>
      <c r="L875" s="544"/>
      <c r="M875" s="544"/>
    </row>
    <row r="876" spans="2:13" x14ac:dyDescent="0.35">
      <c r="B876" s="544"/>
      <c r="C876" s="544"/>
      <c r="E876" s="544"/>
      <c r="F876" s="544"/>
      <c r="G876" s="544"/>
      <c r="H876" s="544"/>
      <c r="I876" s="544"/>
      <c r="J876" s="544"/>
      <c r="K876" s="544"/>
      <c r="L876" s="544"/>
      <c r="M876" s="544"/>
    </row>
    <row r="877" spans="2:13" x14ac:dyDescent="0.35">
      <c r="B877" s="544"/>
      <c r="C877" s="544"/>
      <c r="E877" s="544"/>
      <c r="F877" s="544"/>
      <c r="G877" s="544"/>
      <c r="H877" s="544"/>
      <c r="I877" s="544"/>
      <c r="J877" s="544"/>
      <c r="K877" s="544"/>
      <c r="L877" s="544"/>
      <c r="M877" s="544"/>
    </row>
    <row r="878" spans="2:13" x14ac:dyDescent="0.35">
      <c r="B878" s="544"/>
      <c r="C878" s="544"/>
      <c r="E878" s="544"/>
      <c r="F878" s="544"/>
      <c r="G878" s="544"/>
      <c r="H878" s="544"/>
      <c r="I878" s="544"/>
      <c r="J878" s="544"/>
      <c r="K878" s="544"/>
      <c r="L878" s="544"/>
      <c r="M878" s="544"/>
    </row>
    <row r="879" spans="2:13" x14ac:dyDescent="0.35">
      <c r="B879" s="544"/>
      <c r="C879" s="544"/>
      <c r="E879" s="544"/>
      <c r="F879" s="544"/>
      <c r="G879" s="544"/>
      <c r="H879" s="544"/>
      <c r="I879" s="544"/>
      <c r="J879" s="544"/>
      <c r="K879" s="544"/>
      <c r="L879" s="544"/>
      <c r="M879" s="544"/>
    </row>
    <row r="880" spans="2:13" x14ac:dyDescent="0.35">
      <c r="B880" s="544"/>
      <c r="C880" s="544"/>
      <c r="E880" s="544"/>
      <c r="F880" s="544"/>
      <c r="G880" s="544"/>
      <c r="H880" s="544"/>
      <c r="I880" s="544"/>
      <c r="J880" s="544"/>
      <c r="K880" s="544"/>
      <c r="L880" s="544"/>
      <c r="M880" s="544"/>
    </row>
    <row r="881" spans="2:13" x14ac:dyDescent="0.35">
      <c r="B881" s="544"/>
      <c r="C881" s="544"/>
      <c r="E881" s="544"/>
      <c r="F881" s="544"/>
      <c r="G881" s="544"/>
      <c r="H881" s="544"/>
      <c r="I881" s="544"/>
      <c r="J881" s="544"/>
      <c r="K881" s="544"/>
      <c r="L881" s="544"/>
      <c r="M881" s="544"/>
    </row>
    <row r="882" spans="2:13" x14ac:dyDescent="0.35">
      <c r="B882" s="544"/>
      <c r="C882" s="544"/>
      <c r="E882" s="544"/>
      <c r="F882" s="544"/>
      <c r="G882" s="544"/>
      <c r="H882" s="544"/>
      <c r="I882" s="544"/>
      <c r="J882" s="544"/>
      <c r="K882" s="544"/>
      <c r="L882" s="544"/>
      <c r="M882" s="544"/>
    </row>
    <row r="883" spans="2:13" x14ac:dyDescent="0.35">
      <c r="B883" s="544"/>
      <c r="C883" s="544"/>
      <c r="E883" s="544"/>
      <c r="F883" s="544"/>
      <c r="G883" s="544"/>
      <c r="H883" s="544"/>
      <c r="I883" s="544"/>
      <c r="J883" s="544"/>
      <c r="K883" s="544"/>
      <c r="L883" s="544"/>
      <c r="M883" s="544"/>
    </row>
    <row r="884" spans="2:13" x14ac:dyDescent="0.35">
      <c r="B884" s="544"/>
      <c r="C884" s="544"/>
      <c r="E884" s="544"/>
      <c r="F884" s="544"/>
      <c r="G884" s="544"/>
      <c r="H884" s="544"/>
      <c r="I884" s="544"/>
      <c r="J884" s="544"/>
      <c r="K884" s="544"/>
      <c r="L884" s="544"/>
      <c r="M884" s="544"/>
    </row>
    <row r="885" spans="2:13" x14ac:dyDescent="0.35">
      <c r="B885" s="544"/>
      <c r="C885" s="544"/>
      <c r="E885" s="544"/>
      <c r="F885" s="544"/>
      <c r="G885" s="544"/>
      <c r="H885" s="544"/>
      <c r="I885" s="544"/>
      <c r="J885" s="544"/>
      <c r="K885" s="544"/>
      <c r="L885" s="544"/>
      <c r="M885" s="544"/>
    </row>
    <row r="886" spans="2:13" x14ac:dyDescent="0.35">
      <c r="B886" s="544"/>
      <c r="C886" s="544"/>
      <c r="E886" s="544"/>
      <c r="F886" s="544"/>
      <c r="G886" s="544"/>
      <c r="H886" s="544"/>
      <c r="I886" s="544"/>
      <c r="J886" s="544"/>
      <c r="K886" s="544"/>
      <c r="L886" s="544"/>
      <c r="M886" s="544"/>
    </row>
    <row r="887" spans="2:13" x14ac:dyDescent="0.35">
      <c r="B887" s="544"/>
      <c r="C887" s="544"/>
      <c r="E887" s="544"/>
      <c r="F887" s="544"/>
      <c r="G887" s="544"/>
      <c r="H887" s="544"/>
      <c r="I887" s="544"/>
      <c r="J887" s="544"/>
      <c r="K887" s="544"/>
      <c r="L887" s="544"/>
      <c r="M887" s="544"/>
    </row>
    <row r="888" spans="2:13" x14ac:dyDescent="0.35">
      <c r="B888" s="544"/>
      <c r="C888" s="544"/>
      <c r="E888" s="544"/>
      <c r="F888" s="544"/>
      <c r="G888" s="544"/>
      <c r="H888" s="544"/>
      <c r="I888" s="544"/>
      <c r="J888" s="544"/>
      <c r="K888" s="544"/>
      <c r="L888" s="544"/>
      <c r="M888" s="544"/>
    </row>
    <row r="889" spans="2:13" x14ac:dyDescent="0.35">
      <c r="B889" s="544"/>
      <c r="C889" s="544"/>
      <c r="E889" s="544"/>
      <c r="F889" s="544"/>
      <c r="G889" s="544"/>
      <c r="H889" s="544"/>
      <c r="I889" s="544"/>
      <c r="J889" s="544"/>
      <c r="K889" s="544"/>
      <c r="L889" s="544"/>
      <c r="M889" s="544"/>
    </row>
    <row r="890" spans="2:13" x14ac:dyDescent="0.35">
      <c r="B890" s="544"/>
      <c r="C890" s="544"/>
      <c r="E890" s="544"/>
      <c r="F890" s="544"/>
      <c r="G890" s="544"/>
      <c r="H890" s="544"/>
      <c r="I890" s="544"/>
      <c r="J890" s="544"/>
      <c r="K890" s="544"/>
      <c r="L890" s="544"/>
      <c r="M890" s="544"/>
    </row>
    <row r="891" spans="2:13" x14ac:dyDescent="0.35">
      <c r="B891" s="544"/>
      <c r="C891" s="544"/>
      <c r="E891" s="544"/>
      <c r="F891" s="544"/>
      <c r="G891" s="544"/>
      <c r="H891" s="544"/>
      <c r="I891" s="544"/>
      <c r="J891" s="544"/>
      <c r="K891" s="544"/>
      <c r="L891" s="544"/>
      <c r="M891" s="544"/>
    </row>
    <row r="892" spans="2:13" x14ac:dyDescent="0.35">
      <c r="B892" s="544"/>
      <c r="C892" s="544"/>
      <c r="E892" s="544"/>
      <c r="F892" s="544"/>
      <c r="G892" s="544"/>
      <c r="H892" s="544"/>
      <c r="I892" s="544"/>
      <c r="J892" s="544"/>
      <c r="K892" s="544"/>
      <c r="L892" s="544"/>
      <c r="M892" s="544"/>
    </row>
    <row r="893" spans="2:13" x14ac:dyDescent="0.35">
      <c r="B893" s="544"/>
      <c r="C893" s="544"/>
      <c r="E893" s="544"/>
      <c r="F893" s="544"/>
      <c r="G893" s="544"/>
      <c r="H893" s="544"/>
      <c r="I893" s="544"/>
      <c r="J893" s="544"/>
      <c r="K893" s="544"/>
      <c r="L893" s="544"/>
      <c r="M893" s="544"/>
    </row>
    <row r="894" spans="2:13" x14ac:dyDescent="0.35">
      <c r="B894" s="544"/>
      <c r="C894" s="544"/>
      <c r="E894" s="544"/>
      <c r="F894" s="544"/>
      <c r="G894" s="544"/>
      <c r="H894" s="544"/>
      <c r="I894" s="544"/>
      <c r="J894" s="544"/>
      <c r="K894" s="544"/>
      <c r="L894" s="544"/>
      <c r="M894" s="544"/>
    </row>
    <row r="895" spans="2:13" x14ac:dyDescent="0.35">
      <c r="B895" s="544"/>
      <c r="C895" s="544"/>
      <c r="E895" s="544"/>
      <c r="F895" s="544"/>
      <c r="G895" s="544"/>
      <c r="H895" s="544"/>
      <c r="I895" s="544"/>
      <c r="J895" s="544"/>
      <c r="K895" s="544"/>
      <c r="L895" s="544"/>
      <c r="M895" s="544"/>
    </row>
    <row r="896" spans="2:13" x14ac:dyDescent="0.35">
      <c r="B896" s="544"/>
      <c r="C896" s="544"/>
      <c r="E896" s="544"/>
      <c r="F896" s="544"/>
      <c r="G896" s="544"/>
      <c r="H896" s="544"/>
      <c r="I896" s="544"/>
      <c r="J896" s="544"/>
      <c r="K896" s="544"/>
      <c r="L896" s="544"/>
      <c r="M896" s="544"/>
    </row>
    <row r="897" spans="2:13" x14ac:dyDescent="0.35">
      <c r="B897" s="544"/>
      <c r="C897" s="544"/>
      <c r="E897" s="544"/>
      <c r="F897" s="544"/>
      <c r="G897" s="544"/>
      <c r="H897" s="544"/>
      <c r="I897" s="544"/>
      <c r="J897" s="544"/>
      <c r="K897" s="544"/>
      <c r="L897" s="544"/>
      <c r="M897" s="544"/>
    </row>
    <row r="898" spans="2:13" x14ac:dyDescent="0.35">
      <c r="B898" s="544"/>
      <c r="C898" s="544"/>
      <c r="E898" s="544"/>
      <c r="F898" s="544"/>
      <c r="G898" s="544"/>
      <c r="H898" s="544"/>
      <c r="I898" s="544"/>
      <c r="J898" s="544"/>
      <c r="K898" s="544"/>
      <c r="L898" s="544"/>
      <c r="M898" s="544"/>
    </row>
    <row r="899" spans="2:13" x14ac:dyDescent="0.35">
      <c r="B899" s="544"/>
      <c r="C899" s="544"/>
      <c r="E899" s="544"/>
      <c r="F899" s="544"/>
      <c r="G899" s="544"/>
      <c r="H899" s="544"/>
      <c r="I899" s="544"/>
      <c r="J899" s="544"/>
      <c r="K899" s="544"/>
      <c r="L899" s="544"/>
      <c r="M899" s="544"/>
    </row>
    <row r="900" spans="2:13" x14ac:dyDescent="0.35">
      <c r="B900" s="544"/>
      <c r="C900" s="544"/>
      <c r="E900" s="544"/>
      <c r="F900" s="544"/>
      <c r="G900" s="544"/>
      <c r="H900" s="544"/>
      <c r="I900" s="544"/>
      <c r="J900" s="544"/>
      <c r="K900" s="544"/>
      <c r="L900" s="544"/>
      <c r="M900" s="544"/>
    </row>
    <row r="901" spans="2:13" x14ac:dyDescent="0.35">
      <c r="B901" s="544"/>
      <c r="C901" s="544"/>
      <c r="E901" s="544"/>
      <c r="F901" s="544"/>
      <c r="G901" s="544"/>
      <c r="H901" s="544"/>
      <c r="I901" s="544"/>
      <c r="J901" s="544"/>
      <c r="K901" s="544"/>
      <c r="L901" s="544"/>
      <c r="M901" s="544"/>
    </row>
    <row r="902" spans="2:13" x14ac:dyDescent="0.35">
      <c r="B902" s="544"/>
      <c r="C902" s="544"/>
      <c r="E902" s="544"/>
      <c r="F902" s="544"/>
      <c r="G902" s="544"/>
      <c r="H902" s="544"/>
      <c r="I902" s="544"/>
      <c r="J902" s="544"/>
      <c r="K902" s="544"/>
      <c r="L902" s="544"/>
      <c r="M902" s="544"/>
    </row>
    <row r="903" spans="2:13" x14ac:dyDescent="0.35">
      <c r="B903" s="544"/>
      <c r="C903" s="544"/>
      <c r="E903" s="544"/>
      <c r="F903" s="544"/>
      <c r="G903" s="544"/>
      <c r="H903" s="544"/>
      <c r="I903" s="544"/>
      <c r="J903" s="544"/>
      <c r="K903" s="544"/>
      <c r="L903" s="544"/>
      <c r="M903" s="544"/>
    </row>
    <row r="904" spans="2:13" x14ac:dyDescent="0.35">
      <c r="B904" s="544"/>
      <c r="C904" s="544"/>
      <c r="E904" s="544"/>
      <c r="F904" s="544"/>
      <c r="G904" s="544"/>
      <c r="H904" s="544"/>
      <c r="I904" s="544"/>
      <c r="J904" s="544"/>
      <c r="K904" s="544"/>
      <c r="L904" s="544"/>
      <c r="M904" s="544"/>
    </row>
    <row r="905" spans="2:13" x14ac:dyDescent="0.35">
      <c r="B905" s="544"/>
      <c r="C905" s="544"/>
      <c r="E905" s="544"/>
      <c r="F905" s="544"/>
      <c r="G905" s="544"/>
      <c r="H905" s="544"/>
      <c r="I905" s="544"/>
      <c r="J905" s="544"/>
      <c r="K905" s="544"/>
      <c r="L905" s="544"/>
      <c r="M905" s="544"/>
    </row>
    <row r="906" spans="2:13" x14ac:dyDescent="0.35">
      <c r="B906" s="544"/>
      <c r="C906" s="544"/>
      <c r="E906" s="544"/>
      <c r="F906" s="544"/>
      <c r="G906" s="544"/>
      <c r="H906" s="544"/>
      <c r="I906" s="544"/>
      <c r="J906" s="544"/>
      <c r="K906" s="544"/>
      <c r="L906" s="544"/>
      <c r="M906" s="544"/>
    </row>
    <row r="907" spans="2:13" x14ac:dyDescent="0.35">
      <c r="B907" s="544"/>
      <c r="C907" s="544"/>
      <c r="E907" s="544"/>
      <c r="F907" s="544"/>
      <c r="G907" s="544"/>
      <c r="H907" s="544"/>
      <c r="I907" s="544"/>
      <c r="J907" s="544"/>
      <c r="K907" s="544"/>
      <c r="L907" s="544"/>
      <c r="M907" s="544"/>
    </row>
    <row r="908" spans="2:13" x14ac:dyDescent="0.35">
      <c r="B908" s="544"/>
      <c r="C908" s="544"/>
      <c r="E908" s="544"/>
      <c r="F908" s="544"/>
      <c r="G908" s="544"/>
      <c r="H908" s="544"/>
      <c r="I908" s="544"/>
      <c r="J908" s="544"/>
      <c r="K908" s="544"/>
      <c r="L908" s="544"/>
      <c r="M908" s="544"/>
    </row>
    <row r="909" spans="2:13" x14ac:dyDescent="0.35">
      <c r="B909" s="544"/>
      <c r="C909" s="544"/>
      <c r="E909" s="544"/>
      <c r="F909" s="544"/>
      <c r="G909" s="544"/>
      <c r="H909" s="544"/>
      <c r="I909" s="544"/>
      <c r="J909" s="544"/>
      <c r="K909" s="544"/>
      <c r="L909" s="544"/>
      <c r="M909" s="544"/>
    </row>
    <row r="910" spans="2:13" x14ac:dyDescent="0.35">
      <c r="B910" s="544"/>
      <c r="C910" s="544"/>
      <c r="E910" s="544"/>
      <c r="F910" s="544"/>
      <c r="G910" s="544"/>
      <c r="H910" s="544"/>
      <c r="I910" s="544"/>
      <c r="J910" s="544"/>
      <c r="K910" s="544"/>
      <c r="L910" s="544"/>
      <c r="M910" s="544"/>
    </row>
    <row r="911" spans="2:13" x14ac:dyDescent="0.35">
      <c r="B911" s="544"/>
      <c r="C911" s="544"/>
      <c r="E911" s="544"/>
      <c r="F911" s="544"/>
      <c r="G911" s="544"/>
      <c r="H911" s="544"/>
      <c r="I911" s="544"/>
      <c r="J911" s="544"/>
      <c r="K911" s="544"/>
      <c r="L911" s="544"/>
      <c r="M911" s="544"/>
    </row>
    <row r="912" spans="2:13" x14ac:dyDescent="0.35">
      <c r="B912" s="544"/>
      <c r="C912" s="544"/>
      <c r="E912" s="544"/>
      <c r="F912" s="544"/>
      <c r="G912" s="544"/>
      <c r="H912" s="544"/>
      <c r="I912" s="544"/>
      <c r="J912" s="544"/>
      <c r="K912" s="544"/>
      <c r="L912" s="544"/>
      <c r="M912" s="544"/>
    </row>
    <row r="913" spans="2:13" x14ac:dyDescent="0.35">
      <c r="B913" s="544"/>
      <c r="C913" s="544"/>
      <c r="E913" s="544"/>
      <c r="F913" s="544"/>
      <c r="G913" s="544"/>
      <c r="H913" s="544"/>
      <c r="I913" s="544"/>
      <c r="J913" s="544"/>
      <c r="K913" s="544"/>
      <c r="L913" s="544"/>
      <c r="M913" s="544"/>
    </row>
    <row r="914" spans="2:13" x14ac:dyDescent="0.35">
      <c r="B914" s="544"/>
      <c r="C914" s="544"/>
      <c r="E914" s="544"/>
      <c r="F914" s="544"/>
      <c r="G914" s="544"/>
      <c r="H914" s="544"/>
      <c r="I914" s="544"/>
      <c r="J914" s="544"/>
      <c r="K914" s="544"/>
      <c r="L914" s="544"/>
      <c r="M914" s="544"/>
    </row>
    <row r="915" spans="2:13" x14ac:dyDescent="0.35">
      <c r="B915" s="544"/>
      <c r="C915" s="544"/>
      <c r="E915" s="544"/>
      <c r="F915" s="544"/>
      <c r="G915" s="544"/>
      <c r="H915" s="544"/>
      <c r="I915" s="544"/>
      <c r="J915" s="544"/>
      <c r="K915" s="544"/>
      <c r="L915" s="544"/>
      <c r="M915" s="544"/>
    </row>
    <row r="916" spans="2:13" x14ac:dyDescent="0.35">
      <c r="B916" s="544"/>
      <c r="C916" s="544"/>
      <c r="E916" s="544"/>
      <c r="F916" s="544"/>
      <c r="G916" s="544"/>
      <c r="H916" s="544"/>
      <c r="I916" s="544"/>
      <c r="J916" s="544"/>
      <c r="K916" s="544"/>
      <c r="L916" s="544"/>
      <c r="M916" s="544"/>
    </row>
    <row r="917" spans="2:13" x14ac:dyDescent="0.35">
      <c r="B917" s="544"/>
      <c r="C917" s="544"/>
      <c r="E917" s="544"/>
      <c r="F917" s="544"/>
      <c r="G917" s="544"/>
      <c r="H917" s="544"/>
      <c r="I917" s="544"/>
      <c r="J917" s="544"/>
      <c r="K917" s="544"/>
      <c r="L917" s="544"/>
      <c r="M917" s="544"/>
    </row>
    <row r="918" spans="2:13" x14ac:dyDescent="0.35">
      <c r="B918" s="544"/>
      <c r="C918" s="544"/>
      <c r="E918" s="544"/>
      <c r="F918" s="544"/>
      <c r="G918" s="544"/>
      <c r="H918" s="544"/>
      <c r="I918" s="544"/>
      <c r="J918" s="544"/>
      <c r="K918" s="544"/>
      <c r="L918" s="544"/>
      <c r="M918" s="544"/>
    </row>
    <row r="919" spans="2:13" x14ac:dyDescent="0.35">
      <c r="B919" s="544"/>
      <c r="C919" s="544"/>
      <c r="E919" s="544"/>
      <c r="F919" s="544"/>
      <c r="G919" s="544"/>
      <c r="H919" s="544"/>
      <c r="I919" s="544"/>
      <c r="J919" s="544"/>
      <c r="K919" s="544"/>
      <c r="L919" s="544"/>
      <c r="M919" s="544"/>
    </row>
    <row r="920" spans="2:13" x14ac:dyDescent="0.35">
      <c r="B920" s="544"/>
      <c r="C920" s="544"/>
      <c r="E920" s="544"/>
      <c r="F920" s="544"/>
      <c r="G920" s="544"/>
      <c r="H920" s="544"/>
      <c r="I920" s="544"/>
      <c r="J920" s="544"/>
      <c r="K920" s="544"/>
      <c r="L920" s="544"/>
      <c r="M920" s="544"/>
    </row>
    <row r="921" spans="2:13" x14ac:dyDescent="0.35">
      <c r="B921" s="544"/>
      <c r="C921" s="544"/>
      <c r="E921" s="544"/>
      <c r="F921" s="544"/>
      <c r="G921" s="544"/>
      <c r="H921" s="544"/>
      <c r="I921" s="544"/>
      <c r="J921" s="544"/>
      <c r="K921" s="544"/>
      <c r="L921" s="544"/>
      <c r="M921" s="544"/>
    </row>
    <row r="922" spans="2:13" x14ac:dyDescent="0.35">
      <c r="B922" s="544"/>
      <c r="C922" s="544"/>
      <c r="E922" s="544"/>
      <c r="F922" s="544"/>
      <c r="G922" s="544"/>
      <c r="H922" s="544"/>
      <c r="I922" s="544"/>
      <c r="J922" s="544"/>
      <c r="K922" s="544"/>
      <c r="L922" s="544"/>
      <c r="M922" s="544"/>
    </row>
    <row r="923" spans="2:13" x14ac:dyDescent="0.35">
      <c r="B923" s="544"/>
      <c r="C923" s="544"/>
      <c r="E923" s="544"/>
      <c r="F923" s="544"/>
      <c r="G923" s="544"/>
      <c r="H923" s="544"/>
      <c r="I923" s="544"/>
      <c r="J923" s="544"/>
      <c r="K923" s="544"/>
      <c r="L923" s="544"/>
      <c r="M923" s="544"/>
    </row>
    <row r="924" spans="2:13" x14ac:dyDescent="0.35">
      <c r="B924" s="544"/>
      <c r="C924" s="544"/>
      <c r="E924" s="544"/>
      <c r="F924" s="544"/>
      <c r="G924" s="544"/>
      <c r="H924" s="544"/>
      <c r="I924" s="544"/>
      <c r="J924" s="544"/>
      <c r="K924" s="544"/>
      <c r="L924" s="544"/>
      <c r="M924" s="544"/>
    </row>
    <row r="925" spans="2:13" x14ac:dyDescent="0.35">
      <c r="B925" s="544"/>
      <c r="C925" s="544"/>
      <c r="E925" s="544"/>
      <c r="F925" s="544"/>
      <c r="G925" s="544"/>
      <c r="H925" s="544"/>
      <c r="I925" s="544"/>
      <c r="J925" s="544"/>
      <c r="K925" s="544"/>
      <c r="L925" s="544"/>
      <c r="M925" s="544"/>
    </row>
    <row r="926" spans="2:13" x14ac:dyDescent="0.35">
      <c r="B926" s="544"/>
      <c r="C926" s="544"/>
      <c r="E926" s="544"/>
      <c r="F926" s="544"/>
      <c r="G926" s="544"/>
      <c r="H926" s="544"/>
      <c r="I926" s="544"/>
      <c r="J926" s="544"/>
      <c r="K926" s="544"/>
      <c r="L926" s="544"/>
      <c r="M926" s="544"/>
    </row>
    <row r="927" spans="2:13" x14ac:dyDescent="0.35">
      <c r="B927" s="544"/>
      <c r="C927" s="544"/>
      <c r="E927" s="544"/>
      <c r="F927" s="544"/>
      <c r="G927" s="544"/>
      <c r="H927" s="544"/>
      <c r="I927" s="544"/>
      <c r="J927" s="544"/>
      <c r="K927" s="544"/>
      <c r="L927" s="544"/>
      <c r="M927" s="544"/>
    </row>
    <row r="928" spans="2:13" x14ac:dyDescent="0.35">
      <c r="B928" s="544"/>
      <c r="C928" s="544"/>
      <c r="E928" s="544"/>
      <c r="F928" s="544"/>
      <c r="G928" s="544"/>
      <c r="H928" s="544"/>
      <c r="I928" s="544"/>
      <c r="J928" s="544"/>
      <c r="K928" s="544"/>
      <c r="L928" s="544"/>
      <c r="M928" s="544"/>
    </row>
    <row r="929" spans="2:13" x14ac:dyDescent="0.35">
      <c r="B929" s="544"/>
      <c r="C929" s="544"/>
      <c r="E929" s="544"/>
      <c r="F929" s="544"/>
      <c r="G929" s="544"/>
      <c r="H929" s="544"/>
      <c r="I929" s="544"/>
      <c r="J929" s="544"/>
      <c r="K929" s="544"/>
      <c r="L929" s="544"/>
      <c r="M929" s="544"/>
    </row>
    <row r="930" spans="2:13" x14ac:dyDescent="0.35">
      <c r="B930" s="544"/>
      <c r="C930" s="544"/>
      <c r="E930" s="544"/>
      <c r="F930" s="544"/>
      <c r="G930" s="544"/>
      <c r="H930" s="544"/>
      <c r="I930" s="544"/>
      <c r="J930" s="544"/>
      <c r="K930" s="544"/>
      <c r="L930" s="544"/>
      <c r="M930" s="544"/>
    </row>
    <row r="931" spans="2:13" x14ac:dyDescent="0.35">
      <c r="B931" s="544"/>
      <c r="C931" s="544"/>
      <c r="E931" s="544"/>
      <c r="F931" s="544"/>
      <c r="G931" s="544"/>
      <c r="H931" s="544"/>
      <c r="I931" s="544"/>
      <c r="J931" s="544"/>
      <c r="K931" s="544"/>
      <c r="L931" s="544"/>
      <c r="M931" s="544"/>
    </row>
    <row r="932" spans="2:13" x14ac:dyDescent="0.35">
      <c r="B932" s="544"/>
      <c r="C932" s="544"/>
      <c r="E932" s="544"/>
      <c r="F932" s="544"/>
      <c r="G932" s="544"/>
      <c r="H932" s="544"/>
      <c r="I932" s="544"/>
      <c r="J932" s="544"/>
      <c r="K932" s="544"/>
      <c r="L932" s="544"/>
      <c r="M932" s="544"/>
    </row>
    <row r="933" spans="2:13" x14ac:dyDescent="0.35">
      <c r="B933" s="544"/>
      <c r="C933" s="544"/>
      <c r="E933" s="544"/>
      <c r="F933" s="544"/>
      <c r="G933" s="544"/>
      <c r="H933" s="544"/>
      <c r="I933" s="544"/>
      <c r="J933" s="544"/>
      <c r="K933" s="544"/>
      <c r="L933" s="544"/>
      <c r="M933" s="544"/>
    </row>
    <row r="934" spans="2:13" x14ac:dyDescent="0.35">
      <c r="B934" s="544"/>
      <c r="C934" s="544"/>
      <c r="E934" s="544"/>
      <c r="F934" s="544"/>
      <c r="G934" s="544"/>
      <c r="H934" s="544"/>
      <c r="I934" s="544"/>
      <c r="J934" s="544"/>
      <c r="K934" s="544"/>
      <c r="L934" s="544"/>
      <c r="M934" s="544"/>
    </row>
    <row r="935" spans="2:13" x14ac:dyDescent="0.35">
      <c r="B935" s="544"/>
      <c r="C935" s="544"/>
      <c r="E935" s="544"/>
      <c r="F935" s="544"/>
      <c r="G935" s="544"/>
      <c r="H935" s="544"/>
      <c r="I935" s="544"/>
      <c r="J935" s="544"/>
      <c r="K935" s="544"/>
      <c r="L935" s="544"/>
      <c r="M935" s="544"/>
    </row>
    <row r="936" spans="2:13" x14ac:dyDescent="0.35">
      <c r="B936" s="544"/>
      <c r="C936" s="544"/>
      <c r="E936" s="544"/>
      <c r="F936" s="544"/>
      <c r="G936" s="544"/>
      <c r="H936" s="544"/>
      <c r="I936" s="544"/>
      <c r="J936" s="544"/>
      <c r="K936" s="544"/>
      <c r="L936" s="544"/>
      <c r="M936" s="544"/>
    </row>
    <row r="937" spans="2:13" x14ac:dyDescent="0.35">
      <c r="B937" s="544"/>
      <c r="C937" s="544"/>
      <c r="E937" s="544"/>
      <c r="F937" s="544"/>
      <c r="G937" s="544"/>
      <c r="H937" s="544"/>
      <c r="I937" s="544"/>
      <c r="J937" s="544"/>
      <c r="K937" s="544"/>
      <c r="L937" s="544"/>
      <c r="M937" s="544"/>
    </row>
    <row r="938" spans="2:13" x14ac:dyDescent="0.35">
      <c r="B938" s="544"/>
      <c r="C938" s="544"/>
      <c r="E938" s="544"/>
      <c r="F938" s="544"/>
      <c r="G938" s="544"/>
      <c r="H938" s="544"/>
      <c r="I938" s="544"/>
      <c r="J938" s="544"/>
      <c r="K938" s="544"/>
      <c r="L938" s="544"/>
      <c r="M938" s="544"/>
    </row>
    <row r="939" spans="2:13" x14ac:dyDescent="0.35">
      <c r="B939" s="544"/>
      <c r="C939" s="544"/>
      <c r="E939" s="544"/>
      <c r="F939" s="544"/>
      <c r="G939" s="544"/>
      <c r="H939" s="544"/>
      <c r="I939" s="544"/>
      <c r="J939" s="544"/>
      <c r="K939" s="544"/>
      <c r="L939" s="544"/>
      <c r="M939" s="544"/>
    </row>
    <row r="940" spans="2:13" x14ac:dyDescent="0.35">
      <c r="B940" s="544"/>
      <c r="C940" s="544"/>
      <c r="E940" s="544"/>
      <c r="F940" s="544"/>
      <c r="G940" s="544"/>
      <c r="H940" s="544"/>
      <c r="I940" s="544"/>
      <c r="J940" s="544"/>
      <c r="K940" s="544"/>
      <c r="L940" s="544"/>
      <c r="M940" s="544"/>
    </row>
    <row r="941" spans="2:13" x14ac:dyDescent="0.35">
      <c r="B941" s="544"/>
      <c r="C941" s="544"/>
      <c r="E941" s="544"/>
      <c r="F941" s="544"/>
      <c r="G941" s="544"/>
      <c r="H941" s="544"/>
      <c r="I941" s="544"/>
      <c r="J941" s="544"/>
      <c r="K941" s="544"/>
      <c r="L941" s="544"/>
      <c r="M941" s="544"/>
    </row>
    <row r="942" spans="2:13" x14ac:dyDescent="0.35">
      <c r="B942" s="544"/>
      <c r="C942" s="544"/>
      <c r="E942" s="544"/>
      <c r="F942" s="544"/>
      <c r="G942" s="544"/>
      <c r="H942" s="544"/>
      <c r="I942" s="544"/>
      <c r="J942" s="544"/>
      <c r="K942" s="544"/>
      <c r="L942" s="544"/>
      <c r="M942" s="544"/>
    </row>
    <row r="943" spans="2:13" x14ac:dyDescent="0.35">
      <c r="B943" s="544"/>
      <c r="C943" s="544"/>
      <c r="E943" s="544"/>
      <c r="F943" s="544"/>
      <c r="G943" s="544"/>
      <c r="H943" s="544"/>
      <c r="I943" s="544"/>
      <c r="J943" s="544"/>
      <c r="K943" s="544"/>
      <c r="L943" s="544"/>
      <c r="M943" s="544"/>
    </row>
    <row r="944" spans="2:13" x14ac:dyDescent="0.35">
      <c r="B944" s="544"/>
      <c r="C944" s="544"/>
      <c r="E944" s="544"/>
      <c r="F944" s="544"/>
      <c r="G944" s="544"/>
      <c r="H944" s="544"/>
      <c r="I944" s="544"/>
      <c r="J944" s="544"/>
      <c r="K944" s="544"/>
      <c r="L944" s="544"/>
      <c r="M944" s="544"/>
    </row>
    <row r="945" spans="2:13" x14ac:dyDescent="0.35">
      <c r="B945" s="544"/>
      <c r="C945" s="544"/>
      <c r="E945" s="544"/>
      <c r="F945" s="544"/>
      <c r="G945" s="544"/>
      <c r="H945" s="544"/>
      <c r="I945" s="544"/>
      <c r="J945" s="544"/>
      <c r="K945" s="544"/>
      <c r="L945" s="544"/>
      <c r="M945" s="544"/>
    </row>
    <row r="946" spans="2:13" x14ac:dyDescent="0.35">
      <c r="B946" s="544"/>
      <c r="C946" s="544"/>
      <c r="E946" s="544"/>
      <c r="F946" s="544"/>
      <c r="G946" s="544"/>
      <c r="H946" s="544"/>
      <c r="I946" s="544"/>
      <c r="J946" s="544"/>
      <c r="K946" s="544"/>
      <c r="L946" s="544"/>
      <c r="M946" s="544"/>
    </row>
    <row r="947" spans="2:13" x14ac:dyDescent="0.35">
      <c r="B947" s="544"/>
      <c r="C947" s="544"/>
      <c r="E947" s="544"/>
      <c r="F947" s="544"/>
      <c r="G947" s="544"/>
      <c r="H947" s="544"/>
      <c r="I947" s="544"/>
      <c r="J947" s="544"/>
      <c r="K947" s="544"/>
      <c r="L947" s="544"/>
      <c r="M947" s="544"/>
    </row>
    <row r="948" spans="2:13" x14ac:dyDescent="0.35">
      <c r="B948" s="544"/>
      <c r="C948" s="544"/>
      <c r="E948" s="544"/>
      <c r="F948" s="544"/>
      <c r="G948" s="544"/>
      <c r="H948" s="544"/>
      <c r="I948" s="544"/>
      <c r="J948" s="544"/>
      <c r="K948" s="544"/>
      <c r="L948" s="544"/>
      <c r="M948" s="544"/>
    </row>
    <row r="949" spans="2:13" x14ac:dyDescent="0.35">
      <c r="B949" s="544"/>
      <c r="C949" s="544"/>
      <c r="E949" s="544"/>
      <c r="F949" s="544"/>
      <c r="G949" s="544"/>
      <c r="H949" s="544"/>
      <c r="I949" s="544"/>
      <c r="J949" s="544"/>
      <c r="K949" s="544"/>
      <c r="L949" s="544"/>
      <c r="M949" s="544"/>
    </row>
    <row r="950" spans="2:13" x14ac:dyDescent="0.35">
      <c r="B950" s="544"/>
      <c r="C950" s="544"/>
      <c r="E950" s="544"/>
      <c r="F950" s="544"/>
      <c r="G950" s="544"/>
      <c r="H950" s="544"/>
      <c r="I950" s="544"/>
      <c r="J950" s="544"/>
      <c r="K950" s="544"/>
      <c r="L950" s="544"/>
      <c r="M950" s="544"/>
    </row>
    <row r="951" spans="2:13" x14ac:dyDescent="0.35">
      <c r="B951" s="544"/>
      <c r="C951" s="544"/>
      <c r="E951" s="544"/>
      <c r="F951" s="544"/>
      <c r="G951" s="544"/>
      <c r="H951" s="544"/>
      <c r="I951" s="544"/>
      <c r="J951" s="544"/>
      <c r="K951" s="544"/>
      <c r="L951" s="544"/>
      <c r="M951" s="544"/>
    </row>
    <row r="952" spans="2:13" x14ac:dyDescent="0.35">
      <c r="B952" s="544"/>
      <c r="C952" s="544"/>
      <c r="E952" s="544"/>
      <c r="F952" s="544"/>
      <c r="G952" s="544"/>
      <c r="H952" s="544"/>
      <c r="I952" s="544"/>
      <c r="J952" s="544"/>
      <c r="K952" s="544"/>
      <c r="L952" s="544"/>
      <c r="M952" s="544"/>
    </row>
    <row r="953" spans="2:13" x14ac:dyDescent="0.35">
      <c r="B953" s="544"/>
      <c r="C953" s="544"/>
      <c r="E953" s="544"/>
      <c r="F953" s="544"/>
      <c r="G953" s="544"/>
      <c r="H953" s="544"/>
      <c r="I953" s="544"/>
      <c r="J953" s="544"/>
      <c r="K953" s="544"/>
      <c r="L953" s="544"/>
      <c r="M953" s="544"/>
    </row>
    <row r="954" spans="2:13" x14ac:dyDescent="0.35">
      <c r="B954" s="544"/>
      <c r="C954" s="544"/>
      <c r="E954" s="544"/>
      <c r="F954" s="544"/>
      <c r="G954" s="544"/>
      <c r="H954" s="544"/>
      <c r="I954" s="544"/>
      <c r="J954" s="544"/>
      <c r="K954" s="544"/>
      <c r="L954" s="544"/>
      <c r="M954" s="544"/>
    </row>
    <row r="955" spans="2:13" x14ac:dyDescent="0.35">
      <c r="B955" s="544"/>
      <c r="C955" s="544"/>
      <c r="E955" s="544"/>
      <c r="F955" s="544"/>
      <c r="G955" s="544"/>
      <c r="H955" s="544"/>
      <c r="I955" s="544"/>
      <c r="J955" s="544"/>
      <c r="K955" s="544"/>
      <c r="L955" s="544"/>
      <c r="M955" s="544"/>
    </row>
    <row r="956" spans="2:13" x14ac:dyDescent="0.35">
      <c r="B956" s="544"/>
      <c r="C956" s="544"/>
      <c r="E956" s="544"/>
      <c r="F956" s="544"/>
      <c r="G956" s="544"/>
      <c r="H956" s="544"/>
      <c r="I956" s="544"/>
      <c r="J956" s="544"/>
      <c r="K956" s="544"/>
      <c r="L956" s="544"/>
      <c r="M956" s="544"/>
    </row>
    <row r="957" spans="2:13" x14ac:dyDescent="0.35">
      <c r="B957" s="544"/>
      <c r="C957" s="544"/>
      <c r="E957" s="544"/>
      <c r="F957" s="544"/>
      <c r="G957" s="544"/>
      <c r="H957" s="544"/>
      <c r="I957" s="544"/>
      <c r="J957" s="544"/>
      <c r="K957" s="544"/>
      <c r="L957" s="544"/>
      <c r="M957" s="544"/>
    </row>
    <row r="958" spans="2:13" x14ac:dyDescent="0.35">
      <c r="B958" s="544"/>
      <c r="C958" s="544"/>
      <c r="E958" s="544"/>
      <c r="F958" s="544"/>
      <c r="G958" s="544"/>
      <c r="H958" s="544"/>
      <c r="I958" s="544"/>
      <c r="J958" s="544"/>
      <c r="K958" s="544"/>
      <c r="L958" s="544"/>
      <c r="M958" s="544"/>
    </row>
    <row r="959" spans="2:13" x14ac:dyDescent="0.35">
      <c r="B959" s="544"/>
      <c r="C959" s="544"/>
      <c r="E959" s="544"/>
      <c r="F959" s="544"/>
      <c r="G959" s="544"/>
      <c r="H959" s="544"/>
      <c r="I959" s="544"/>
      <c r="J959" s="544"/>
      <c r="K959" s="544"/>
      <c r="L959" s="544"/>
      <c r="M959" s="544"/>
    </row>
    <row r="960" spans="2:13" x14ac:dyDescent="0.35">
      <c r="B960" s="544"/>
      <c r="C960" s="544"/>
      <c r="E960" s="544"/>
      <c r="F960" s="544"/>
      <c r="G960" s="544"/>
      <c r="H960" s="544"/>
      <c r="I960" s="544"/>
      <c r="J960" s="544"/>
      <c r="K960" s="544"/>
      <c r="L960" s="544"/>
      <c r="M960" s="544"/>
    </row>
    <row r="961" spans="2:13" x14ac:dyDescent="0.35">
      <c r="B961" s="544"/>
      <c r="C961" s="544"/>
      <c r="E961" s="544"/>
      <c r="F961" s="544"/>
      <c r="G961" s="544"/>
      <c r="H961" s="544"/>
      <c r="I961" s="544"/>
      <c r="J961" s="544"/>
      <c r="K961" s="544"/>
      <c r="L961" s="544"/>
      <c r="M961" s="544"/>
    </row>
    <row r="962" spans="2:13" x14ac:dyDescent="0.35">
      <c r="B962" s="544"/>
      <c r="C962" s="544"/>
      <c r="E962" s="544"/>
      <c r="F962" s="544"/>
      <c r="G962" s="544"/>
      <c r="H962" s="544"/>
      <c r="I962" s="544"/>
      <c r="J962" s="544"/>
      <c r="K962" s="544"/>
      <c r="L962" s="544"/>
      <c r="M962" s="544"/>
    </row>
    <row r="963" spans="2:13" x14ac:dyDescent="0.35">
      <c r="B963" s="544"/>
      <c r="C963" s="544"/>
      <c r="E963" s="544"/>
      <c r="F963" s="544"/>
      <c r="G963" s="544"/>
      <c r="H963" s="544"/>
      <c r="I963" s="544"/>
      <c r="J963" s="544"/>
      <c r="K963" s="544"/>
      <c r="L963" s="544"/>
      <c r="M963" s="544"/>
    </row>
    <row r="964" spans="2:13" x14ac:dyDescent="0.35">
      <c r="B964" s="544"/>
      <c r="C964" s="544"/>
      <c r="E964" s="544"/>
      <c r="F964" s="544"/>
      <c r="G964" s="544"/>
      <c r="H964" s="544"/>
      <c r="I964" s="544"/>
      <c r="J964" s="544"/>
      <c r="K964" s="544"/>
      <c r="L964" s="544"/>
      <c r="M964" s="544"/>
    </row>
    <row r="965" spans="2:13" x14ac:dyDescent="0.35">
      <c r="B965" s="544"/>
      <c r="C965" s="544"/>
      <c r="E965" s="544"/>
      <c r="F965" s="544"/>
      <c r="G965" s="544"/>
      <c r="H965" s="544"/>
      <c r="I965" s="544"/>
      <c r="J965" s="544"/>
      <c r="K965" s="544"/>
      <c r="L965" s="544"/>
      <c r="M965" s="544"/>
    </row>
    <row r="966" spans="2:13" x14ac:dyDescent="0.35">
      <c r="B966" s="544"/>
      <c r="C966" s="544"/>
      <c r="E966" s="544"/>
      <c r="F966" s="544"/>
      <c r="G966" s="544"/>
      <c r="H966" s="544"/>
      <c r="I966" s="544"/>
      <c r="J966" s="544"/>
      <c r="K966" s="544"/>
      <c r="L966" s="544"/>
      <c r="M966" s="544"/>
    </row>
    <row r="967" spans="2:13" x14ac:dyDescent="0.35">
      <c r="B967" s="544"/>
      <c r="C967" s="544"/>
      <c r="E967" s="544"/>
      <c r="F967" s="544"/>
      <c r="G967" s="544"/>
      <c r="H967" s="544"/>
      <c r="I967" s="544"/>
      <c r="J967" s="544"/>
      <c r="K967" s="544"/>
      <c r="L967" s="544"/>
      <c r="M967" s="544"/>
    </row>
    <row r="968" spans="2:13" x14ac:dyDescent="0.35">
      <c r="B968" s="544"/>
      <c r="C968" s="544"/>
      <c r="E968" s="544"/>
      <c r="F968" s="544"/>
      <c r="G968" s="544"/>
      <c r="H968" s="544"/>
      <c r="I968" s="544"/>
      <c r="J968" s="544"/>
      <c r="K968" s="544"/>
      <c r="L968" s="544"/>
      <c r="M968" s="544"/>
    </row>
    <row r="969" spans="2:13" x14ac:dyDescent="0.35">
      <c r="B969" s="544"/>
      <c r="C969" s="544"/>
      <c r="E969" s="544"/>
      <c r="F969" s="544"/>
      <c r="G969" s="544"/>
      <c r="H969" s="544"/>
      <c r="I969" s="544"/>
      <c r="J969" s="544"/>
      <c r="K969" s="544"/>
      <c r="L969" s="544"/>
      <c r="M969" s="544"/>
    </row>
    <row r="970" spans="2:13" x14ac:dyDescent="0.35">
      <c r="B970" s="544"/>
      <c r="C970" s="544"/>
      <c r="E970" s="544"/>
      <c r="F970" s="544"/>
      <c r="G970" s="544"/>
      <c r="H970" s="544"/>
      <c r="I970" s="544"/>
      <c r="J970" s="544"/>
      <c r="K970" s="544"/>
      <c r="L970" s="544"/>
      <c r="M970" s="544"/>
    </row>
    <row r="971" spans="2:13" x14ac:dyDescent="0.35">
      <c r="B971" s="544"/>
      <c r="C971" s="544"/>
      <c r="E971" s="544"/>
      <c r="F971" s="544"/>
      <c r="G971" s="544"/>
      <c r="H971" s="544"/>
      <c r="I971" s="544"/>
      <c r="J971" s="544"/>
      <c r="K971" s="544"/>
      <c r="L971" s="544"/>
      <c r="M971" s="544"/>
    </row>
    <row r="972" spans="2:13" x14ac:dyDescent="0.35">
      <c r="B972" s="544"/>
      <c r="C972" s="544"/>
      <c r="E972" s="544"/>
      <c r="F972" s="544"/>
      <c r="G972" s="544"/>
      <c r="H972" s="544"/>
      <c r="I972" s="544"/>
      <c r="J972" s="544"/>
      <c r="K972" s="544"/>
      <c r="L972" s="544"/>
      <c r="M972" s="544"/>
    </row>
    <row r="973" spans="2:13" x14ac:dyDescent="0.35">
      <c r="B973" s="544"/>
      <c r="C973" s="544"/>
      <c r="E973" s="544"/>
      <c r="F973" s="544"/>
      <c r="G973" s="544"/>
      <c r="H973" s="544"/>
      <c r="I973" s="544"/>
      <c r="J973" s="544"/>
      <c r="K973" s="544"/>
      <c r="L973" s="544"/>
      <c r="M973" s="544"/>
    </row>
    <row r="974" spans="2:13" x14ac:dyDescent="0.35">
      <c r="B974" s="544"/>
      <c r="C974" s="544"/>
      <c r="E974" s="544"/>
      <c r="F974" s="544"/>
      <c r="G974" s="544"/>
      <c r="H974" s="544"/>
      <c r="I974" s="544"/>
      <c r="J974" s="544"/>
      <c r="K974" s="544"/>
      <c r="L974" s="544"/>
      <c r="M974" s="544"/>
    </row>
    <row r="975" spans="2:13" x14ac:dyDescent="0.35">
      <c r="B975" s="544"/>
      <c r="C975" s="544"/>
      <c r="E975" s="544"/>
      <c r="F975" s="544"/>
      <c r="G975" s="544"/>
      <c r="H975" s="544"/>
      <c r="I975" s="544"/>
      <c r="J975" s="544"/>
      <c r="K975" s="544"/>
      <c r="L975" s="544"/>
      <c r="M975" s="544"/>
    </row>
    <row r="976" spans="2:13" x14ac:dyDescent="0.35">
      <c r="B976" s="544"/>
      <c r="C976" s="544"/>
      <c r="E976" s="544"/>
      <c r="F976" s="544"/>
      <c r="G976" s="544"/>
      <c r="H976" s="544"/>
      <c r="I976" s="544"/>
      <c r="J976" s="544"/>
      <c r="K976" s="544"/>
      <c r="L976" s="544"/>
      <c r="M976" s="544"/>
    </row>
    <row r="977" spans="2:13" x14ac:dyDescent="0.35">
      <c r="B977" s="544"/>
      <c r="C977" s="544"/>
      <c r="E977" s="544"/>
      <c r="F977" s="544"/>
      <c r="G977" s="544"/>
      <c r="H977" s="544"/>
      <c r="I977" s="544"/>
      <c r="J977" s="544"/>
      <c r="K977" s="544"/>
      <c r="L977" s="544"/>
      <c r="M977" s="544"/>
    </row>
    <row r="978" spans="2:13" x14ac:dyDescent="0.35">
      <c r="B978" s="544"/>
      <c r="C978" s="544"/>
      <c r="E978" s="544"/>
      <c r="F978" s="544"/>
      <c r="G978" s="544"/>
      <c r="H978" s="544"/>
      <c r="I978" s="544"/>
      <c r="J978" s="544"/>
      <c r="K978" s="544"/>
      <c r="L978" s="544"/>
      <c r="M978" s="544"/>
    </row>
    <row r="979" spans="2:13" x14ac:dyDescent="0.35">
      <c r="B979" s="544"/>
      <c r="C979" s="544"/>
      <c r="E979" s="544"/>
      <c r="F979" s="544"/>
      <c r="G979" s="544"/>
      <c r="H979" s="544"/>
      <c r="I979" s="544"/>
      <c r="J979" s="544"/>
      <c r="K979" s="544"/>
      <c r="L979" s="544"/>
      <c r="M979" s="544"/>
    </row>
    <row r="980" spans="2:13" x14ac:dyDescent="0.35">
      <c r="B980" s="544"/>
      <c r="C980" s="544"/>
      <c r="E980" s="544"/>
      <c r="F980" s="544"/>
      <c r="G980" s="544"/>
      <c r="H980" s="544"/>
      <c r="I980" s="544"/>
      <c r="J980" s="544"/>
      <c r="K980" s="544"/>
      <c r="L980" s="544"/>
      <c r="M980" s="544"/>
    </row>
    <row r="981" spans="2:13" x14ac:dyDescent="0.35">
      <c r="B981" s="544"/>
      <c r="C981" s="544"/>
      <c r="E981" s="544"/>
      <c r="F981" s="544"/>
      <c r="G981" s="544"/>
      <c r="H981" s="544"/>
      <c r="I981" s="544"/>
      <c r="J981" s="544"/>
      <c r="K981" s="544"/>
      <c r="L981" s="544"/>
      <c r="M981" s="544"/>
    </row>
    <row r="982" spans="2:13" x14ac:dyDescent="0.35">
      <c r="B982" s="544"/>
      <c r="C982" s="544"/>
      <c r="E982" s="544"/>
      <c r="F982" s="544"/>
      <c r="G982" s="544"/>
      <c r="H982" s="544"/>
      <c r="I982" s="544"/>
      <c r="J982" s="544"/>
      <c r="K982" s="544"/>
      <c r="L982" s="544"/>
      <c r="M982" s="544"/>
    </row>
    <row r="983" spans="2:13" x14ac:dyDescent="0.35">
      <c r="B983" s="544"/>
      <c r="C983" s="544"/>
      <c r="E983" s="544"/>
      <c r="F983" s="544"/>
      <c r="G983" s="544"/>
      <c r="H983" s="544"/>
      <c r="I983" s="544"/>
      <c r="J983" s="544"/>
      <c r="K983" s="544"/>
      <c r="L983" s="544"/>
      <c r="M983" s="544"/>
    </row>
    <row r="984" spans="2:13" x14ac:dyDescent="0.35">
      <c r="B984" s="544"/>
      <c r="C984" s="544"/>
      <c r="E984" s="544"/>
      <c r="F984" s="544"/>
      <c r="G984" s="544"/>
      <c r="H984" s="544"/>
      <c r="I984" s="544"/>
      <c r="J984" s="544"/>
      <c r="K984" s="544"/>
      <c r="L984" s="544"/>
      <c r="M984" s="544"/>
    </row>
    <row r="985" spans="2:13" x14ac:dyDescent="0.35">
      <c r="B985" s="544"/>
      <c r="C985" s="544"/>
      <c r="E985" s="544"/>
      <c r="F985" s="544"/>
      <c r="G985" s="544"/>
      <c r="H985" s="544"/>
      <c r="I985" s="544"/>
      <c r="J985" s="544"/>
      <c r="K985" s="544"/>
      <c r="L985" s="544"/>
      <c r="M985" s="544"/>
    </row>
    <row r="986" spans="2:13" x14ac:dyDescent="0.35">
      <c r="B986" s="544"/>
      <c r="C986" s="544"/>
      <c r="E986" s="544"/>
      <c r="F986" s="544"/>
      <c r="G986" s="544"/>
      <c r="H986" s="544"/>
      <c r="I986" s="544"/>
      <c r="J986" s="544"/>
      <c r="K986" s="544"/>
      <c r="L986" s="544"/>
      <c r="M986" s="544"/>
    </row>
    <row r="987" spans="2:13" x14ac:dyDescent="0.35">
      <c r="B987" s="544"/>
      <c r="C987" s="544"/>
      <c r="E987" s="544"/>
      <c r="F987" s="544"/>
      <c r="G987" s="544"/>
      <c r="H987" s="544"/>
      <c r="I987" s="544"/>
      <c r="J987" s="544"/>
      <c r="K987" s="544"/>
      <c r="L987" s="544"/>
      <c r="M987" s="544"/>
    </row>
    <row r="988" spans="2:13" x14ac:dyDescent="0.35">
      <c r="B988" s="544"/>
      <c r="C988" s="544"/>
      <c r="E988" s="544"/>
      <c r="F988" s="544"/>
      <c r="G988" s="544"/>
      <c r="H988" s="544"/>
      <c r="I988" s="544"/>
      <c r="J988" s="544"/>
      <c r="K988" s="544"/>
      <c r="L988" s="544"/>
      <c r="M988" s="544"/>
    </row>
    <row r="989" spans="2:13" x14ac:dyDescent="0.35">
      <c r="B989" s="544"/>
      <c r="C989" s="544"/>
      <c r="E989" s="544"/>
      <c r="F989" s="544"/>
      <c r="G989" s="544"/>
      <c r="H989" s="544"/>
      <c r="I989" s="544"/>
      <c r="J989" s="544"/>
      <c r="K989" s="544"/>
      <c r="L989" s="544"/>
      <c r="M989" s="544"/>
    </row>
    <row r="990" spans="2:13" x14ac:dyDescent="0.35">
      <c r="B990" s="544"/>
      <c r="C990" s="544"/>
      <c r="E990" s="544"/>
      <c r="F990" s="544"/>
      <c r="G990" s="544"/>
      <c r="H990" s="544"/>
      <c r="I990" s="544"/>
      <c r="J990" s="544"/>
      <c r="K990" s="544"/>
      <c r="L990" s="544"/>
      <c r="M990" s="544"/>
    </row>
    <row r="991" spans="2:13" x14ac:dyDescent="0.35">
      <c r="B991" s="544"/>
      <c r="C991" s="544"/>
      <c r="E991" s="544"/>
      <c r="F991" s="544"/>
      <c r="G991" s="544"/>
      <c r="H991" s="544"/>
      <c r="I991" s="544"/>
      <c r="J991" s="544"/>
      <c r="K991" s="544"/>
      <c r="L991" s="544"/>
      <c r="M991" s="544"/>
    </row>
    <row r="992" spans="2:13" x14ac:dyDescent="0.35">
      <c r="B992" s="544"/>
      <c r="C992" s="544"/>
      <c r="E992" s="544"/>
      <c r="F992" s="544"/>
      <c r="G992" s="544"/>
      <c r="H992" s="544"/>
      <c r="I992" s="544"/>
      <c r="J992" s="544"/>
      <c r="K992" s="544"/>
      <c r="L992" s="544"/>
      <c r="M992" s="544"/>
    </row>
    <row r="993" spans="2:13" x14ac:dyDescent="0.35">
      <c r="B993" s="544"/>
      <c r="C993" s="544"/>
      <c r="E993" s="544"/>
      <c r="F993" s="544"/>
      <c r="G993" s="544"/>
      <c r="H993" s="544"/>
      <c r="I993" s="544"/>
      <c r="J993" s="544"/>
      <c r="K993" s="544"/>
      <c r="L993" s="544"/>
      <c r="M993" s="544"/>
    </row>
    <row r="994" spans="2:13" x14ac:dyDescent="0.35">
      <c r="B994" s="544"/>
      <c r="C994" s="544"/>
      <c r="E994" s="544"/>
      <c r="F994" s="544"/>
      <c r="G994" s="544"/>
      <c r="H994" s="544"/>
      <c r="I994" s="544"/>
      <c r="J994" s="544"/>
      <c r="K994" s="544"/>
      <c r="L994" s="544"/>
      <c r="M994" s="544"/>
    </row>
    <row r="995" spans="2:13" x14ac:dyDescent="0.35">
      <c r="B995" s="544"/>
      <c r="C995" s="544"/>
      <c r="E995" s="544"/>
      <c r="F995" s="544"/>
      <c r="G995" s="544"/>
      <c r="H995" s="544"/>
      <c r="I995" s="544"/>
      <c r="J995" s="544"/>
      <c r="K995" s="544"/>
      <c r="L995" s="544"/>
      <c r="M995" s="544"/>
    </row>
    <row r="996" spans="2:13" x14ac:dyDescent="0.35">
      <c r="B996" s="544"/>
      <c r="C996" s="544"/>
      <c r="E996" s="544"/>
      <c r="F996" s="544"/>
      <c r="G996" s="544"/>
      <c r="H996" s="544"/>
      <c r="I996" s="544"/>
      <c r="J996" s="544"/>
      <c r="K996" s="544"/>
      <c r="L996" s="544"/>
      <c r="M996" s="544"/>
    </row>
    <row r="997" spans="2:13" x14ac:dyDescent="0.35">
      <c r="B997" s="544"/>
      <c r="C997" s="544"/>
      <c r="E997" s="544"/>
      <c r="F997" s="544"/>
      <c r="G997" s="544"/>
      <c r="H997" s="544"/>
      <c r="I997" s="544"/>
      <c r="J997" s="544"/>
      <c r="K997" s="544"/>
      <c r="L997" s="544"/>
      <c r="M997" s="544"/>
    </row>
    <row r="998" spans="2:13" x14ac:dyDescent="0.35">
      <c r="B998" s="544"/>
      <c r="C998" s="544"/>
      <c r="E998" s="544"/>
      <c r="F998" s="544"/>
      <c r="G998" s="544"/>
      <c r="H998" s="544"/>
      <c r="I998" s="544"/>
      <c r="J998" s="544"/>
      <c r="K998" s="544"/>
      <c r="L998" s="544"/>
      <c r="M998" s="544"/>
    </row>
    <row r="999" spans="2:13" x14ac:dyDescent="0.35">
      <c r="B999" s="544"/>
      <c r="C999" s="544"/>
      <c r="E999" s="544"/>
      <c r="F999" s="544"/>
      <c r="G999" s="544"/>
      <c r="H999" s="544"/>
      <c r="I999" s="544"/>
      <c r="J999" s="544"/>
      <c r="K999" s="544"/>
      <c r="L999" s="544"/>
      <c r="M999" s="544"/>
    </row>
    <row r="1000" spans="2:13" x14ac:dyDescent="0.35">
      <c r="B1000" s="544"/>
      <c r="C1000" s="544"/>
      <c r="E1000" s="544"/>
      <c r="F1000" s="544"/>
      <c r="G1000" s="544"/>
      <c r="H1000" s="544"/>
      <c r="I1000" s="544"/>
      <c r="J1000" s="544"/>
      <c r="K1000" s="544"/>
      <c r="L1000" s="544"/>
      <c r="M1000" s="544"/>
    </row>
    <row r="1001" spans="2:13" x14ac:dyDescent="0.35">
      <c r="B1001" s="544"/>
      <c r="C1001" s="544"/>
      <c r="E1001" s="544"/>
      <c r="F1001" s="544"/>
      <c r="G1001" s="544"/>
      <c r="H1001" s="544"/>
      <c r="I1001" s="544"/>
      <c r="J1001" s="544"/>
      <c r="K1001" s="544"/>
      <c r="L1001" s="544"/>
      <c r="M1001" s="544"/>
    </row>
    <row r="1002" spans="2:13" x14ac:dyDescent="0.35">
      <c r="B1002" s="544"/>
      <c r="C1002" s="544"/>
      <c r="E1002" s="544"/>
      <c r="F1002" s="544"/>
      <c r="G1002" s="544"/>
      <c r="H1002" s="544"/>
      <c r="I1002" s="544"/>
      <c r="J1002" s="544"/>
      <c r="K1002" s="544"/>
      <c r="L1002" s="544"/>
      <c r="M1002" s="544"/>
    </row>
    <row r="1003" spans="2:13" x14ac:dyDescent="0.35">
      <c r="B1003" s="544"/>
      <c r="C1003" s="544"/>
      <c r="E1003" s="544"/>
      <c r="F1003" s="544"/>
      <c r="G1003" s="544"/>
      <c r="H1003" s="544"/>
      <c r="I1003" s="544"/>
      <c r="J1003" s="544"/>
      <c r="K1003" s="544"/>
      <c r="L1003" s="544"/>
      <c r="M1003" s="544"/>
    </row>
    <row r="1004" spans="2:13" x14ac:dyDescent="0.35">
      <c r="B1004" s="544"/>
      <c r="C1004" s="544"/>
      <c r="E1004" s="544"/>
      <c r="F1004" s="544"/>
      <c r="G1004" s="544"/>
      <c r="H1004" s="544"/>
      <c r="I1004" s="544"/>
      <c r="J1004" s="544"/>
      <c r="K1004" s="544"/>
      <c r="L1004" s="544"/>
      <c r="M1004" s="544"/>
    </row>
    <row r="1005" spans="2:13" x14ac:dyDescent="0.35">
      <c r="B1005" s="544"/>
      <c r="C1005" s="544"/>
      <c r="E1005" s="544"/>
      <c r="F1005" s="544"/>
      <c r="G1005" s="544"/>
      <c r="H1005" s="544"/>
      <c r="I1005" s="544"/>
      <c r="J1005" s="544"/>
      <c r="K1005" s="544"/>
      <c r="L1005" s="544"/>
      <c r="M1005" s="544"/>
    </row>
    <row r="1006" spans="2:13" x14ac:dyDescent="0.35">
      <c r="B1006" s="544"/>
      <c r="C1006" s="544"/>
      <c r="E1006" s="544"/>
      <c r="F1006" s="544"/>
      <c r="G1006" s="544"/>
      <c r="H1006" s="544"/>
      <c r="I1006" s="544"/>
      <c r="J1006" s="544"/>
      <c r="K1006" s="544"/>
      <c r="L1006" s="544"/>
      <c r="M1006" s="544"/>
    </row>
    <row r="1007" spans="2:13" x14ac:dyDescent="0.35">
      <c r="B1007" s="544"/>
      <c r="C1007" s="544"/>
      <c r="E1007" s="544"/>
      <c r="F1007" s="544"/>
      <c r="G1007" s="544"/>
      <c r="H1007" s="544"/>
      <c r="I1007" s="544"/>
      <c r="J1007" s="544"/>
      <c r="K1007" s="544"/>
      <c r="L1007" s="544"/>
      <c r="M1007" s="544"/>
    </row>
    <row r="1008" spans="2:13" x14ac:dyDescent="0.35">
      <c r="B1008" s="544"/>
      <c r="C1008" s="544"/>
      <c r="E1008" s="544"/>
      <c r="F1008" s="544"/>
      <c r="G1008" s="544"/>
      <c r="H1008" s="544"/>
      <c r="I1008" s="544"/>
      <c r="J1008" s="544"/>
      <c r="K1008" s="544"/>
      <c r="L1008" s="544"/>
      <c r="M1008" s="544"/>
    </row>
    <row r="1009" spans="2:13" x14ac:dyDescent="0.35">
      <c r="B1009" s="544"/>
      <c r="C1009" s="544"/>
      <c r="E1009" s="544"/>
      <c r="F1009" s="544"/>
      <c r="G1009" s="544"/>
      <c r="H1009" s="544"/>
      <c r="I1009" s="544"/>
      <c r="J1009" s="544"/>
      <c r="K1009" s="544"/>
      <c r="L1009" s="544"/>
      <c r="M1009" s="544"/>
    </row>
    <row r="1010" spans="2:13" x14ac:dyDescent="0.35">
      <c r="B1010" s="544"/>
      <c r="C1010" s="544"/>
      <c r="E1010" s="544"/>
      <c r="F1010" s="544"/>
      <c r="G1010" s="544"/>
      <c r="H1010" s="544"/>
      <c r="I1010" s="544"/>
      <c r="J1010" s="544"/>
      <c r="K1010" s="544"/>
      <c r="L1010" s="544"/>
      <c r="M1010" s="544"/>
    </row>
    <row r="1011" spans="2:13" x14ac:dyDescent="0.35">
      <c r="B1011" s="544"/>
      <c r="C1011" s="544"/>
      <c r="E1011" s="544"/>
      <c r="F1011" s="544"/>
      <c r="G1011" s="544"/>
      <c r="H1011" s="544"/>
      <c r="I1011" s="544"/>
      <c r="J1011" s="544"/>
      <c r="K1011" s="544"/>
      <c r="L1011" s="544"/>
      <c r="M1011" s="544"/>
    </row>
    <row r="1012" spans="2:13" x14ac:dyDescent="0.35">
      <c r="B1012" s="544"/>
      <c r="C1012" s="544"/>
      <c r="E1012" s="544"/>
      <c r="F1012" s="544"/>
      <c r="G1012" s="544"/>
      <c r="H1012" s="544"/>
      <c r="I1012" s="544"/>
      <c r="J1012" s="544"/>
      <c r="K1012" s="544"/>
      <c r="L1012" s="544"/>
      <c r="M1012" s="544"/>
    </row>
    <row r="1013" spans="2:13" x14ac:dyDescent="0.35">
      <c r="B1013" s="544"/>
      <c r="C1013" s="544"/>
      <c r="E1013" s="544"/>
      <c r="F1013" s="544"/>
      <c r="G1013" s="544"/>
      <c r="H1013" s="544"/>
      <c r="I1013" s="544"/>
      <c r="J1013" s="544"/>
      <c r="K1013" s="544"/>
      <c r="L1013" s="544"/>
      <c r="M1013" s="544"/>
    </row>
    <row r="1014" spans="2:13" x14ac:dyDescent="0.35">
      <c r="B1014" s="544"/>
      <c r="C1014" s="544"/>
      <c r="E1014" s="544"/>
      <c r="F1014" s="544"/>
      <c r="G1014" s="544"/>
      <c r="H1014" s="544"/>
      <c r="I1014" s="544"/>
      <c r="J1014" s="544"/>
      <c r="K1014" s="544"/>
      <c r="L1014" s="544"/>
      <c r="M1014" s="544"/>
    </row>
    <row r="1015" spans="2:13" x14ac:dyDescent="0.35">
      <c r="B1015" s="544"/>
      <c r="C1015" s="544"/>
      <c r="E1015" s="544"/>
      <c r="F1015" s="544"/>
      <c r="G1015" s="544"/>
      <c r="H1015" s="544"/>
      <c r="I1015" s="544"/>
      <c r="J1015" s="544"/>
      <c r="K1015" s="544"/>
      <c r="L1015" s="544"/>
      <c r="M1015" s="544"/>
    </row>
    <row r="1016" spans="2:13" x14ac:dyDescent="0.35">
      <c r="B1016" s="544"/>
      <c r="C1016" s="544"/>
      <c r="E1016" s="544"/>
      <c r="F1016" s="544"/>
      <c r="G1016" s="544"/>
      <c r="H1016" s="544"/>
      <c r="I1016" s="544"/>
      <c r="J1016" s="544"/>
      <c r="K1016" s="544"/>
      <c r="L1016" s="544"/>
      <c r="M1016" s="544"/>
    </row>
    <row r="1017" spans="2:13" x14ac:dyDescent="0.35">
      <c r="B1017" s="544"/>
      <c r="C1017" s="544"/>
      <c r="E1017" s="544"/>
      <c r="F1017" s="544"/>
      <c r="G1017" s="544"/>
      <c r="H1017" s="544"/>
      <c r="I1017" s="544"/>
      <c r="J1017" s="544"/>
      <c r="K1017" s="544"/>
      <c r="L1017" s="544"/>
      <c r="M1017" s="544"/>
    </row>
    <row r="1018" spans="2:13" x14ac:dyDescent="0.35">
      <c r="B1018" s="544"/>
      <c r="C1018" s="544"/>
      <c r="E1018" s="544"/>
      <c r="F1018" s="544"/>
      <c r="G1018" s="544"/>
      <c r="H1018" s="544"/>
      <c r="I1018" s="544"/>
      <c r="J1018" s="544"/>
      <c r="K1018" s="544"/>
      <c r="L1018" s="544"/>
      <c r="M1018" s="544"/>
    </row>
    <row r="1019" spans="2:13" x14ac:dyDescent="0.35">
      <c r="B1019" s="544"/>
      <c r="C1019" s="544"/>
      <c r="E1019" s="544"/>
      <c r="F1019" s="544"/>
      <c r="G1019" s="544"/>
      <c r="H1019" s="544"/>
      <c r="I1019" s="544"/>
      <c r="J1019" s="544"/>
      <c r="K1019" s="544"/>
      <c r="L1019" s="544"/>
      <c r="M1019" s="544"/>
    </row>
    <row r="1020" spans="2:13" x14ac:dyDescent="0.35">
      <c r="B1020" s="544"/>
      <c r="C1020" s="544"/>
      <c r="E1020" s="544"/>
      <c r="F1020" s="544"/>
      <c r="G1020" s="544"/>
      <c r="H1020" s="544"/>
      <c r="I1020" s="544"/>
      <c r="J1020" s="544"/>
      <c r="K1020" s="544"/>
      <c r="L1020" s="544"/>
      <c r="M1020" s="544"/>
    </row>
    <row r="1021" spans="2:13" x14ac:dyDescent="0.35">
      <c r="B1021" s="544"/>
      <c r="C1021" s="544"/>
      <c r="E1021" s="544"/>
      <c r="F1021" s="544"/>
      <c r="G1021" s="544"/>
      <c r="H1021" s="544"/>
      <c r="I1021" s="544"/>
      <c r="J1021" s="544"/>
      <c r="K1021" s="544"/>
      <c r="L1021" s="544"/>
      <c r="M1021" s="544"/>
    </row>
    <row r="1022" spans="2:13" x14ac:dyDescent="0.35">
      <c r="B1022" s="544"/>
      <c r="C1022" s="544"/>
      <c r="E1022" s="544"/>
      <c r="F1022" s="544"/>
      <c r="G1022" s="544"/>
      <c r="H1022" s="544"/>
      <c r="I1022" s="544"/>
      <c r="J1022" s="544"/>
      <c r="K1022" s="544"/>
      <c r="L1022" s="544"/>
      <c r="M1022" s="544"/>
    </row>
    <row r="1023" spans="2:13" x14ac:dyDescent="0.35">
      <c r="B1023" s="544"/>
      <c r="C1023" s="544"/>
      <c r="E1023" s="544"/>
      <c r="F1023" s="544"/>
      <c r="G1023" s="544"/>
      <c r="H1023" s="544"/>
      <c r="I1023" s="544"/>
      <c r="J1023" s="544"/>
      <c r="K1023" s="544"/>
      <c r="L1023" s="544"/>
      <c r="M1023" s="544"/>
    </row>
    <row r="1024" spans="2:13" x14ac:dyDescent="0.35">
      <c r="B1024" s="544"/>
      <c r="C1024" s="544"/>
      <c r="E1024" s="544"/>
      <c r="F1024" s="544"/>
      <c r="G1024" s="544"/>
      <c r="H1024" s="544"/>
      <c r="I1024" s="544"/>
      <c r="J1024" s="544"/>
      <c r="K1024" s="544"/>
      <c r="L1024" s="544"/>
      <c r="M1024" s="544"/>
    </row>
    <row r="1025" spans="2:13" x14ac:dyDescent="0.35">
      <c r="B1025" s="544"/>
      <c r="C1025" s="544"/>
      <c r="E1025" s="544"/>
      <c r="F1025" s="544"/>
      <c r="G1025" s="544"/>
      <c r="H1025" s="544"/>
      <c r="I1025" s="544"/>
      <c r="J1025" s="544"/>
      <c r="K1025" s="544"/>
      <c r="L1025" s="544"/>
      <c r="M1025" s="544"/>
    </row>
    <row r="1026" spans="2:13" x14ac:dyDescent="0.35">
      <c r="B1026" s="544"/>
      <c r="C1026" s="544"/>
      <c r="E1026" s="544"/>
      <c r="F1026" s="544"/>
      <c r="G1026" s="544"/>
      <c r="H1026" s="544"/>
      <c r="I1026" s="544"/>
      <c r="J1026" s="544"/>
      <c r="K1026" s="544"/>
      <c r="L1026" s="544"/>
      <c r="M1026" s="544"/>
    </row>
    <row r="1027" spans="2:13" x14ac:dyDescent="0.35">
      <c r="B1027" s="544"/>
      <c r="C1027" s="544"/>
      <c r="E1027" s="544"/>
      <c r="F1027" s="544"/>
      <c r="G1027" s="544"/>
      <c r="H1027" s="544"/>
      <c r="I1027" s="544"/>
      <c r="J1027" s="544"/>
      <c r="K1027" s="544"/>
      <c r="L1027" s="544"/>
      <c r="M1027" s="544"/>
    </row>
    <row r="1028" spans="2:13" x14ac:dyDescent="0.35">
      <c r="B1028" s="544"/>
      <c r="C1028" s="544"/>
      <c r="E1028" s="544"/>
      <c r="F1028" s="544"/>
      <c r="G1028" s="544"/>
      <c r="H1028" s="544"/>
      <c r="I1028" s="544"/>
      <c r="J1028" s="544"/>
      <c r="K1028" s="544"/>
      <c r="L1028" s="544"/>
      <c r="M1028" s="544"/>
    </row>
    <row r="1029" spans="2:13" x14ac:dyDescent="0.35">
      <c r="B1029" s="544"/>
      <c r="C1029" s="544"/>
      <c r="E1029" s="544"/>
      <c r="F1029" s="544"/>
      <c r="G1029" s="544"/>
      <c r="H1029" s="544"/>
      <c r="I1029" s="544"/>
      <c r="J1029" s="544"/>
      <c r="K1029" s="544"/>
      <c r="L1029" s="544"/>
      <c r="M1029" s="544"/>
    </row>
    <row r="1030" spans="2:13" x14ac:dyDescent="0.35">
      <c r="B1030" s="544"/>
      <c r="C1030" s="544"/>
      <c r="E1030" s="544"/>
      <c r="F1030" s="544"/>
      <c r="G1030" s="544"/>
      <c r="H1030" s="544"/>
      <c r="I1030" s="544"/>
      <c r="J1030" s="544"/>
      <c r="K1030" s="544"/>
      <c r="L1030" s="544"/>
      <c r="M1030" s="544"/>
    </row>
    <row r="1031" spans="2:13" x14ac:dyDescent="0.35">
      <c r="B1031" s="544"/>
      <c r="C1031" s="544"/>
      <c r="E1031" s="544"/>
      <c r="F1031" s="544"/>
      <c r="G1031" s="544"/>
      <c r="H1031" s="544"/>
      <c r="I1031" s="544"/>
      <c r="J1031" s="544"/>
      <c r="K1031" s="544"/>
      <c r="L1031" s="544"/>
      <c r="M1031" s="544"/>
    </row>
    <row r="1032" spans="2:13" x14ac:dyDescent="0.35">
      <c r="B1032" s="544"/>
      <c r="C1032" s="544"/>
      <c r="E1032" s="544"/>
      <c r="F1032" s="544"/>
      <c r="G1032" s="544"/>
      <c r="H1032" s="544"/>
      <c r="I1032" s="544"/>
      <c r="J1032" s="544"/>
      <c r="K1032" s="544"/>
      <c r="L1032" s="544"/>
      <c r="M1032" s="544"/>
    </row>
    <row r="1033" spans="2:13" x14ac:dyDescent="0.35">
      <c r="B1033" s="544"/>
      <c r="C1033" s="544"/>
      <c r="E1033" s="544"/>
      <c r="F1033" s="544"/>
      <c r="G1033" s="544"/>
      <c r="H1033" s="544"/>
      <c r="I1033" s="544"/>
      <c r="J1033" s="544"/>
      <c r="K1033" s="544"/>
      <c r="L1033" s="544"/>
      <c r="M1033" s="544"/>
    </row>
    <row r="1034" spans="2:13" x14ac:dyDescent="0.35">
      <c r="B1034" s="544"/>
      <c r="C1034" s="544"/>
      <c r="E1034" s="544"/>
      <c r="F1034" s="544"/>
      <c r="G1034" s="544"/>
      <c r="H1034" s="544"/>
      <c r="I1034" s="544"/>
      <c r="J1034" s="544"/>
      <c r="K1034" s="544"/>
      <c r="L1034" s="544"/>
      <c r="M1034" s="544"/>
    </row>
    <row r="1035" spans="2:13" x14ac:dyDescent="0.35">
      <c r="B1035" s="544"/>
      <c r="C1035" s="544"/>
      <c r="E1035" s="544"/>
      <c r="F1035" s="544"/>
      <c r="G1035" s="544"/>
      <c r="H1035" s="544"/>
      <c r="I1035" s="544"/>
      <c r="J1035" s="544"/>
      <c r="K1035" s="544"/>
      <c r="L1035" s="544"/>
      <c r="M1035" s="544"/>
    </row>
    <row r="1036" spans="2:13" x14ac:dyDescent="0.35">
      <c r="B1036" s="544"/>
      <c r="C1036" s="544"/>
      <c r="E1036" s="544"/>
      <c r="F1036" s="544"/>
      <c r="G1036" s="544"/>
      <c r="H1036" s="544"/>
      <c r="I1036" s="544"/>
      <c r="J1036" s="544"/>
      <c r="K1036" s="544"/>
      <c r="L1036" s="544"/>
      <c r="M1036" s="544"/>
    </row>
    <row r="1037" spans="2:13" x14ac:dyDescent="0.35">
      <c r="B1037" s="544"/>
      <c r="C1037" s="544"/>
      <c r="E1037" s="544"/>
      <c r="F1037" s="544"/>
      <c r="G1037" s="544"/>
      <c r="H1037" s="544"/>
      <c r="I1037" s="544"/>
      <c r="J1037" s="544"/>
      <c r="K1037" s="544"/>
      <c r="L1037" s="544"/>
      <c r="M1037" s="544"/>
    </row>
    <row r="1038" spans="2:13" x14ac:dyDescent="0.35">
      <c r="B1038" s="544"/>
      <c r="C1038" s="544"/>
      <c r="E1038" s="544"/>
      <c r="F1038" s="544"/>
      <c r="G1038" s="544"/>
      <c r="H1038" s="544"/>
      <c r="I1038" s="544"/>
      <c r="J1038" s="544"/>
      <c r="K1038" s="544"/>
      <c r="L1038" s="544"/>
      <c r="M1038" s="544"/>
    </row>
    <row r="1039" spans="2:13" x14ac:dyDescent="0.35">
      <c r="B1039" s="544"/>
      <c r="C1039" s="544"/>
      <c r="E1039" s="544"/>
      <c r="F1039" s="544"/>
      <c r="G1039" s="544"/>
      <c r="H1039" s="544"/>
      <c r="I1039" s="544"/>
      <c r="J1039" s="544"/>
      <c r="K1039" s="544"/>
      <c r="L1039" s="544"/>
      <c r="M1039" s="544"/>
    </row>
    <row r="1040" spans="2:13" x14ac:dyDescent="0.35">
      <c r="B1040" s="544"/>
      <c r="C1040" s="544"/>
      <c r="E1040" s="544"/>
      <c r="F1040" s="544"/>
      <c r="G1040" s="544"/>
      <c r="H1040" s="544"/>
      <c r="I1040" s="544"/>
      <c r="J1040" s="544"/>
      <c r="K1040" s="544"/>
      <c r="L1040" s="544"/>
      <c r="M1040" s="544"/>
    </row>
    <row r="1041" spans="2:13" x14ac:dyDescent="0.35">
      <c r="B1041" s="544"/>
      <c r="C1041" s="544"/>
      <c r="E1041" s="544"/>
      <c r="F1041" s="544"/>
      <c r="G1041" s="544"/>
      <c r="H1041" s="544"/>
      <c r="I1041" s="544"/>
      <c r="J1041" s="544"/>
      <c r="K1041" s="544"/>
      <c r="L1041" s="544"/>
      <c r="M1041" s="544"/>
    </row>
    <row r="1042" spans="2:13" x14ac:dyDescent="0.35">
      <c r="B1042" s="544"/>
      <c r="C1042" s="544"/>
      <c r="E1042" s="544"/>
      <c r="F1042" s="544"/>
      <c r="G1042" s="544"/>
      <c r="H1042" s="544"/>
      <c r="I1042" s="544"/>
      <c r="J1042" s="544"/>
      <c r="K1042" s="544"/>
      <c r="L1042" s="544"/>
      <c r="M1042" s="544"/>
    </row>
    <row r="1043" spans="2:13" x14ac:dyDescent="0.35">
      <c r="B1043" s="544"/>
      <c r="C1043" s="544"/>
      <c r="E1043" s="544"/>
      <c r="F1043" s="544"/>
      <c r="G1043" s="544"/>
      <c r="H1043" s="544"/>
      <c r="I1043" s="544"/>
      <c r="J1043" s="544"/>
      <c r="K1043" s="544"/>
      <c r="L1043" s="544"/>
      <c r="M1043" s="544"/>
    </row>
    <row r="1044" spans="2:13" x14ac:dyDescent="0.35">
      <c r="B1044" s="544"/>
      <c r="C1044" s="544"/>
      <c r="E1044" s="544"/>
      <c r="F1044" s="544"/>
      <c r="G1044" s="544"/>
      <c r="H1044" s="544"/>
      <c r="I1044" s="544"/>
      <c r="J1044" s="544"/>
      <c r="K1044" s="544"/>
      <c r="L1044" s="544"/>
      <c r="M1044" s="544"/>
    </row>
    <row r="1045" spans="2:13" x14ac:dyDescent="0.35">
      <c r="B1045" s="544"/>
      <c r="C1045" s="544"/>
      <c r="E1045" s="544"/>
      <c r="F1045" s="544"/>
      <c r="G1045" s="544"/>
      <c r="H1045" s="544"/>
      <c r="I1045" s="544"/>
      <c r="J1045" s="544"/>
      <c r="K1045" s="544"/>
      <c r="L1045" s="544"/>
      <c r="M1045" s="544"/>
    </row>
    <row r="1046" spans="2:13" x14ac:dyDescent="0.35">
      <c r="B1046" s="544"/>
      <c r="C1046" s="544"/>
      <c r="E1046" s="544"/>
      <c r="F1046" s="544"/>
      <c r="G1046" s="544"/>
      <c r="H1046" s="544"/>
      <c r="I1046" s="544"/>
      <c r="J1046" s="544"/>
      <c r="K1046" s="544"/>
      <c r="L1046" s="544"/>
      <c r="M1046" s="544"/>
    </row>
    <row r="1047" spans="2:13" x14ac:dyDescent="0.35">
      <c r="B1047" s="544"/>
      <c r="C1047" s="544"/>
      <c r="E1047" s="544"/>
      <c r="F1047" s="544"/>
      <c r="G1047" s="544"/>
      <c r="H1047" s="544"/>
      <c r="I1047" s="544"/>
      <c r="J1047" s="544"/>
      <c r="K1047" s="544"/>
      <c r="L1047" s="544"/>
      <c r="M1047" s="544"/>
    </row>
    <row r="1048" spans="2:13" x14ac:dyDescent="0.35">
      <c r="B1048" s="544"/>
      <c r="C1048" s="544"/>
      <c r="E1048" s="544"/>
      <c r="F1048" s="544"/>
      <c r="G1048" s="544"/>
      <c r="H1048" s="544"/>
      <c r="I1048" s="544"/>
      <c r="J1048" s="544"/>
      <c r="K1048" s="544"/>
      <c r="L1048" s="544"/>
      <c r="M1048" s="544"/>
    </row>
    <row r="1049" spans="2:13" x14ac:dyDescent="0.35">
      <c r="B1049" s="544"/>
      <c r="C1049" s="544"/>
      <c r="E1049" s="544"/>
      <c r="F1049" s="544"/>
      <c r="G1049" s="544"/>
      <c r="H1049" s="544"/>
      <c r="I1049" s="544"/>
      <c r="J1049" s="544"/>
      <c r="K1049" s="544"/>
      <c r="L1049" s="544"/>
      <c r="M1049" s="544"/>
    </row>
    <row r="1050" spans="2:13" x14ac:dyDescent="0.35">
      <c r="B1050" s="544"/>
      <c r="C1050" s="544"/>
      <c r="E1050" s="544"/>
      <c r="F1050" s="544"/>
      <c r="G1050" s="544"/>
      <c r="H1050" s="544"/>
      <c r="I1050" s="544"/>
      <c r="J1050" s="544"/>
      <c r="K1050" s="544"/>
      <c r="L1050" s="544"/>
      <c r="M1050" s="544"/>
    </row>
    <row r="1051" spans="2:13" x14ac:dyDescent="0.35">
      <c r="B1051" s="544"/>
      <c r="C1051" s="544"/>
      <c r="E1051" s="544"/>
      <c r="F1051" s="544"/>
      <c r="G1051" s="544"/>
      <c r="H1051" s="544"/>
      <c r="I1051" s="544"/>
      <c r="J1051" s="544"/>
      <c r="K1051" s="544"/>
      <c r="L1051" s="544"/>
      <c r="M1051" s="544"/>
    </row>
    <row r="1052" spans="2:13" x14ac:dyDescent="0.35">
      <c r="B1052" s="544"/>
      <c r="C1052" s="544"/>
      <c r="E1052" s="544"/>
      <c r="F1052" s="544"/>
      <c r="G1052" s="544"/>
      <c r="H1052" s="544"/>
      <c r="I1052" s="544"/>
      <c r="J1052" s="544"/>
      <c r="K1052" s="544"/>
      <c r="L1052" s="544"/>
      <c r="M1052" s="544"/>
    </row>
    <row r="1053" spans="2:13" x14ac:dyDescent="0.35">
      <c r="B1053" s="544"/>
      <c r="C1053" s="544"/>
      <c r="E1053" s="544"/>
      <c r="F1053" s="544"/>
      <c r="G1053" s="544"/>
      <c r="H1053" s="544"/>
      <c r="I1053" s="544"/>
      <c r="J1053" s="544"/>
      <c r="K1053" s="544"/>
      <c r="L1053" s="544"/>
      <c r="M1053" s="544"/>
    </row>
    <row r="1054" spans="2:13" x14ac:dyDescent="0.35">
      <c r="B1054" s="544"/>
      <c r="C1054" s="544"/>
      <c r="E1054" s="544"/>
      <c r="F1054" s="544"/>
      <c r="G1054" s="544"/>
      <c r="H1054" s="544"/>
      <c r="I1054" s="544"/>
      <c r="J1054" s="544"/>
      <c r="K1054" s="544"/>
      <c r="L1054" s="544"/>
      <c r="M1054" s="544"/>
    </row>
    <row r="1055" spans="2:13" x14ac:dyDescent="0.35">
      <c r="B1055" s="544"/>
      <c r="C1055" s="544"/>
      <c r="E1055" s="544"/>
      <c r="F1055" s="544"/>
      <c r="G1055" s="544"/>
      <c r="H1055" s="544"/>
      <c r="I1055" s="544"/>
      <c r="J1055" s="544"/>
      <c r="K1055" s="544"/>
      <c r="L1055" s="544"/>
      <c r="M1055" s="544"/>
    </row>
    <row r="1056" spans="2:13" x14ac:dyDescent="0.35">
      <c r="B1056" s="544"/>
      <c r="C1056" s="544"/>
      <c r="E1056" s="544"/>
      <c r="F1056" s="544"/>
      <c r="G1056" s="544"/>
      <c r="H1056" s="544"/>
      <c r="I1056" s="544"/>
      <c r="J1056" s="544"/>
      <c r="K1056" s="544"/>
      <c r="L1056" s="544"/>
      <c r="M1056" s="544"/>
    </row>
    <row r="1057" spans="2:13" x14ac:dyDescent="0.35">
      <c r="B1057" s="544"/>
      <c r="C1057" s="544"/>
      <c r="E1057" s="544"/>
      <c r="F1057" s="544"/>
      <c r="G1057" s="544"/>
      <c r="H1057" s="544"/>
      <c r="I1057" s="544"/>
      <c r="J1057" s="544"/>
      <c r="K1057" s="544"/>
      <c r="L1057" s="544"/>
      <c r="M1057" s="544"/>
    </row>
    <row r="1058" spans="2:13" x14ac:dyDescent="0.35">
      <c r="B1058" s="544"/>
      <c r="C1058" s="544"/>
      <c r="E1058" s="544"/>
      <c r="F1058" s="544"/>
      <c r="G1058" s="544"/>
      <c r="H1058" s="544"/>
      <c r="I1058" s="544"/>
      <c r="J1058" s="544"/>
      <c r="K1058" s="544"/>
      <c r="L1058" s="544"/>
      <c r="M1058" s="544"/>
    </row>
    <row r="1059" spans="2:13" x14ac:dyDescent="0.35">
      <c r="B1059" s="544"/>
      <c r="C1059" s="544"/>
      <c r="E1059" s="544"/>
      <c r="F1059" s="544"/>
      <c r="G1059" s="544"/>
      <c r="H1059" s="544"/>
      <c r="I1059" s="544"/>
      <c r="J1059" s="544"/>
      <c r="K1059" s="544"/>
      <c r="L1059" s="544"/>
      <c r="M1059" s="544"/>
    </row>
    <row r="1060" spans="2:13" x14ac:dyDescent="0.35">
      <c r="B1060" s="544"/>
      <c r="C1060" s="544"/>
      <c r="E1060" s="544"/>
      <c r="F1060" s="544"/>
      <c r="G1060" s="544"/>
      <c r="H1060" s="544"/>
      <c r="I1060" s="544"/>
      <c r="J1060" s="544"/>
      <c r="K1060" s="544"/>
      <c r="L1060" s="544"/>
      <c r="M1060" s="544"/>
    </row>
    <row r="1061" spans="2:13" x14ac:dyDescent="0.35">
      <c r="B1061" s="544"/>
      <c r="C1061" s="544"/>
      <c r="E1061" s="544"/>
      <c r="F1061" s="544"/>
      <c r="G1061" s="544"/>
      <c r="H1061" s="544"/>
      <c r="I1061" s="544"/>
      <c r="J1061" s="544"/>
      <c r="K1061" s="544"/>
      <c r="L1061" s="544"/>
      <c r="M1061" s="544"/>
    </row>
    <row r="1062" spans="2:13" x14ac:dyDescent="0.35">
      <c r="B1062" s="544"/>
      <c r="C1062" s="544"/>
      <c r="E1062" s="544"/>
      <c r="F1062" s="544"/>
      <c r="G1062" s="544"/>
      <c r="H1062" s="544"/>
      <c r="I1062" s="544"/>
      <c r="J1062" s="544"/>
      <c r="K1062" s="544"/>
      <c r="L1062" s="544"/>
      <c r="M1062" s="544"/>
    </row>
    <row r="1063" spans="2:13" x14ac:dyDescent="0.35">
      <c r="B1063" s="544"/>
      <c r="C1063" s="544"/>
      <c r="E1063" s="544"/>
      <c r="F1063" s="544"/>
      <c r="G1063" s="544"/>
      <c r="H1063" s="544"/>
      <c r="I1063" s="544"/>
      <c r="J1063" s="544"/>
      <c r="K1063" s="544"/>
      <c r="L1063" s="544"/>
      <c r="M1063" s="544"/>
    </row>
    <row r="1064" spans="2:13" x14ac:dyDescent="0.35">
      <c r="B1064" s="544"/>
      <c r="C1064" s="544"/>
      <c r="E1064" s="544"/>
      <c r="F1064" s="544"/>
      <c r="G1064" s="544"/>
      <c r="H1064" s="544"/>
      <c r="I1064" s="544"/>
      <c r="J1064" s="544"/>
      <c r="K1064" s="544"/>
      <c r="L1064" s="544"/>
      <c r="M1064" s="544"/>
    </row>
    <row r="1065" spans="2:13" x14ac:dyDescent="0.35">
      <c r="B1065" s="544"/>
      <c r="C1065" s="544"/>
      <c r="E1065" s="544"/>
      <c r="F1065" s="544"/>
      <c r="G1065" s="544"/>
      <c r="H1065" s="544"/>
      <c r="I1065" s="544"/>
      <c r="J1065" s="544"/>
      <c r="K1065" s="544"/>
      <c r="L1065" s="544"/>
      <c r="M1065" s="544"/>
    </row>
    <row r="1066" spans="2:13" x14ac:dyDescent="0.35">
      <c r="B1066" s="544"/>
      <c r="C1066" s="544"/>
      <c r="E1066" s="544"/>
      <c r="F1066" s="544"/>
      <c r="G1066" s="544"/>
      <c r="H1066" s="544"/>
      <c r="I1066" s="544"/>
      <c r="J1066" s="544"/>
      <c r="K1066" s="544"/>
      <c r="L1066" s="544"/>
      <c r="M1066" s="544"/>
    </row>
    <row r="1067" spans="2:13" x14ac:dyDescent="0.35">
      <c r="B1067" s="544"/>
      <c r="C1067" s="544"/>
      <c r="E1067" s="544"/>
      <c r="F1067" s="544"/>
      <c r="G1067" s="544"/>
      <c r="H1067" s="544"/>
      <c r="I1067" s="544"/>
      <c r="J1067" s="544"/>
      <c r="K1067" s="544"/>
      <c r="L1067" s="544"/>
      <c r="M1067" s="544"/>
    </row>
    <row r="1068" spans="2:13" x14ac:dyDescent="0.35">
      <c r="B1068" s="544"/>
      <c r="C1068" s="544"/>
      <c r="E1068" s="544"/>
      <c r="F1068" s="544"/>
      <c r="G1068" s="544"/>
      <c r="H1068" s="544"/>
      <c r="I1068" s="544"/>
      <c r="J1068" s="544"/>
      <c r="K1068" s="544"/>
      <c r="L1068" s="544"/>
      <c r="M1068" s="544"/>
    </row>
    <row r="1069" spans="2:13" x14ac:dyDescent="0.35">
      <c r="B1069" s="544"/>
      <c r="C1069" s="544"/>
      <c r="E1069" s="544"/>
      <c r="F1069" s="544"/>
      <c r="G1069" s="544"/>
      <c r="H1069" s="544"/>
      <c r="I1069" s="544"/>
      <c r="J1069" s="544"/>
      <c r="K1069" s="544"/>
      <c r="L1069" s="544"/>
      <c r="M1069" s="544"/>
    </row>
    <row r="1070" spans="2:13" x14ac:dyDescent="0.35">
      <c r="B1070" s="544"/>
      <c r="C1070" s="544"/>
      <c r="E1070" s="544"/>
      <c r="F1070" s="544"/>
      <c r="G1070" s="544"/>
      <c r="H1070" s="544"/>
      <c r="I1070" s="544"/>
      <c r="J1070" s="544"/>
      <c r="K1070" s="544"/>
      <c r="L1070" s="544"/>
      <c r="M1070" s="544"/>
    </row>
    <row r="1071" spans="2:13" x14ac:dyDescent="0.35">
      <c r="B1071" s="544"/>
      <c r="C1071" s="544"/>
      <c r="E1071" s="544"/>
      <c r="F1071" s="544"/>
      <c r="G1071" s="544"/>
      <c r="H1071" s="544"/>
      <c r="I1071" s="544"/>
      <c r="J1071" s="544"/>
      <c r="K1071" s="544"/>
      <c r="L1071" s="544"/>
      <c r="M1071" s="544"/>
    </row>
    <row r="1072" spans="2:13" x14ac:dyDescent="0.35">
      <c r="B1072" s="544"/>
      <c r="C1072" s="544"/>
      <c r="E1072" s="544"/>
      <c r="F1072" s="544"/>
      <c r="G1072" s="544"/>
      <c r="H1072" s="544"/>
      <c r="I1072" s="544"/>
      <c r="J1072" s="544"/>
      <c r="K1072" s="544"/>
      <c r="L1072" s="544"/>
      <c r="M1072" s="544"/>
    </row>
    <row r="1073" spans="2:13" x14ac:dyDescent="0.35">
      <c r="B1073" s="544"/>
      <c r="C1073" s="544"/>
      <c r="E1073" s="544"/>
      <c r="F1073" s="544"/>
      <c r="G1073" s="544"/>
      <c r="H1073" s="544"/>
      <c r="I1073" s="544"/>
      <c r="J1073" s="544"/>
      <c r="K1073" s="544"/>
      <c r="L1073" s="544"/>
      <c r="M1073" s="544"/>
    </row>
    <row r="1074" spans="2:13" x14ac:dyDescent="0.35">
      <c r="B1074" s="544"/>
      <c r="C1074" s="544"/>
      <c r="E1074" s="544"/>
      <c r="F1074" s="544"/>
      <c r="G1074" s="544"/>
      <c r="H1074" s="544"/>
      <c r="I1074" s="544"/>
      <c r="J1074" s="544"/>
      <c r="K1074" s="544"/>
      <c r="L1074" s="544"/>
      <c r="M1074" s="544"/>
    </row>
    <row r="1075" spans="2:13" x14ac:dyDescent="0.35">
      <c r="B1075" s="544"/>
      <c r="C1075" s="544"/>
      <c r="E1075" s="544"/>
      <c r="F1075" s="544"/>
      <c r="G1075" s="544"/>
      <c r="H1075" s="544"/>
      <c r="I1075" s="544"/>
      <c r="J1075" s="544"/>
      <c r="K1075" s="544"/>
      <c r="L1075" s="544"/>
      <c r="M1075" s="544"/>
    </row>
    <row r="1076" spans="2:13" x14ac:dyDescent="0.35">
      <c r="B1076" s="544"/>
      <c r="C1076" s="544"/>
      <c r="E1076" s="544"/>
      <c r="F1076" s="544"/>
      <c r="G1076" s="544"/>
      <c r="H1076" s="544"/>
      <c r="I1076" s="544"/>
      <c r="J1076" s="544"/>
      <c r="K1076" s="544"/>
      <c r="L1076" s="544"/>
      <c r="M1076" s="544"/>
    </row>
    <row r="1077" spans="2:13" x14ac:dyDescent="0.35">
      <c r="B1077" s="544"/>
      <c r="C1077" s="544"/>
      <c r="E1077" s="544"/>
      <c r="F1077" s="544"/>
      <c r="G1077" s="544"/>
      <c r="H1077" s="544"/>
      <c r="I1077" s="544"/>
      <c r="J1077" s="544"/>
      <c r="K1077" s="544"/>
      <c r="L1077" s="544"/>
      <c r="M1077" s="544"/>
    </row>
    <row r="1078" spans="2:13" x14ac:dyDescent="0.35">
      <c r="B1078" s="544"/>
      <c r="C1078" s="544"/>
      <c r="E1078" s="544"/>
      <c r="F1078" s="544"/>
      <c r="G1078" s="544"/>
      <c r="H1078" s="544"/>
      <c r="I1078" s="544"/>
      <c r="J1078" s="544"/>
      <c r="K1078" s="544"/>
      <c r="L1078" s="544"/>
      <c r="M1078" s="544"/>
    </row>
    <row r="1079" spans="2:13" x14ac:dyDescent="0.35">
      <c r="B1079" s="544"/>
      <c r="C1079" s="544"/>
      <c r="E1079" s="544"/>
      <c r="F1079" s="544"/>
      <c r="G1079" s="544"/>
      <c r="H1079" s="544"/>
      <c r="I1079" s="544"/>
      <c r="J1079" s="544"/>
      <c r="K1079" s="544"/>
      <c r="L1079" s="544"/>
      <c r="M1079" s="544"/>
    </row>
    <row r="1080" spans="2:13" x14ac:dyDescent="0.35">
      <c r="B1080" s="544"/>
      <c r="C1080" s="544"/>
      <c r="E1080" s="544"/>
      <c r="F1080" s="544"/>
      <c r="G1080" s="544"/>
      <c r="H1080" s="544"/>
      <c r="I1080" s="544"/>
      <c r="J1080" s="544"/>
      <c r="K1080" s="544"/>
      <c r="L1080" s="544"/>
      <c r="M1080" s="544"/>
    </row>
    <row r="1081" spans="2:13" x14ac:dyDescent="0.35">
      <c r="B1081" s="544"/>
      <c r="C1081" s="544"/>
      <c r="E1081" s="544"/>
      <c r="F1081" s="544"/>
      <c r="G1081" s="544"/>
      <c r="H1081" s="544"/>
      <c r="I1081" s="544"/>
      <c r="J1081" s="544"/>
      <c r="K1081" s="544"/>
      <c r="L1081" s="544"/>
      <c r="M1081" s="544"/>
    </row>
    <row r="1082" spans="2:13" x14ac:dyDescent="0.35">
      <c r="B1082" s="544"/>
      <c r="C1082" s="544"/>
      <c r="E1082" s="544"/>
      <c r="F1082" s="544"/>
      <c r="G1082" s="544"/>
      <c r="H1082" s="544"/>
      <c r="I1082" s="544"/>
      <c r="J1082" s="544"/>
      <c r="K1082" s="544"/>
      <c r="L1082" s="544"/>
      <c r="M1082" s="544"/>
    </row>
    <row r="1083" spans="2:13" x14ac:dyDescent="0.35">
      <c r="B1083" s="544"/>
      <c r="C1083" s="544"/>
      <c r="E1083" s="544"/>
      <c r="F1083" s="544"/>
      <c r="G1083" s="544"/>
      <c r="H1083" s="544"/>
      <c r="I1083" s="544"/>
      <c r="J1083" s="544"/>
      <c r="K1083" s="544"/>
      <c r="L1083" s="544"/>
      <c r="M1083" s="544"/>
    </row>
    <row r="1084" spans="2:13" x14ac:dyDescent="0.35">
      <c r="B1084" s="544"/>
      <c r="C1084" s="544"/>
      <c r="E1084" s="544"/>
      <c r="F1084" s="544"/>
      <c r="G1084" s="544"/>
      <c r="H1084" s="544"/>
      <c r="I1084" s="544"/>
      <c r="J1084" s="544"/>
      <c r="K1084" s="544"/>
      <c r="L1084" s="544"/>
      <c r="M1084" s="544"/>
    </row>
    <row r="1085" spans="2:13" x14ac:dyDescent="0.35">
      <c r="B1085" s="544"/>
      <c r="C1085" s="544"/>
      <c r="E1085" s="544"/>
      <c r="F1085" s="544"/>
      <c r="G1085" s="544"/>
      <c r="H1085" s="544"/>
      <c r="I1085" s="544"/>
      <c r="J1085" s="544"/>
      <c r="K1085" s="544"/>
      <c r="L1085" s="544"/>
      <c r="M1085" s="544"/>
    </row>
    <row r="1086" spans="2:13" x14ac:dyDescent="0.35">
      <c r="B1086" s="544"/>
      <c r="C1086" s="544"/>
      <c r="E1086" s="544"/>
      <c r="F1086" s="544"/>
      <c r="G1086" s="544"/>
      <c r="H1086" s="544"/>
      <c r="I1086" s="544"/>
      <c r="J1086" s="544"/>
      <c r="K1086" s="544"/>
      <c r="L1086" s="544"/>
      <c r="M1086" s="544"/>
    </row>
    <row r="1087" spans="2:13" x14ac:dyDescent="0.35">
      <c r="B1087" s="544"/>
      <c r="C1087" s="544"/>
      <c r="E1087" s="544"/>
      <c r="F1087" s="544"/>
      <c r="G1087" s="544"/>
      <c r="H1087" s="544"/>
      <c r="I1087" s="544"/>
      <c r="J1087" s="544"/>
      <c r="K1087" s="544"/>
      <c r="L1087" s="544"/>
      <c r="M1087" s="544"/>
    </row>
    <row r="1088" spans="2:13" x14ac:dyDescent="0.35">
      <c r="B1088" s="544"/>
      <c r="C1088" s="544"/>
      <c r="E1088" s="544"/>
      <c r="F1088" s="544"/>
      <c r="G1088" s="544"/>
      <c r="H1088" s="544"/>
      <c r="I1088" s="544"/>
      <c r="J1088" s="544"/>
      <c r="K1088" s="544"/>
      <c r="L1088" s="544"/>
      <c r="M1088" s="544"/>
    </row>
    <row r="1089" spans="2:13" x14ac:dyDescent="0.35">
      <c r="B1089" s="544"/>
      <c r="C1089" s="544"/>
      <c r="E1089" s="544"/>
      <c r="F1089" s="544"/>
      <c r="G1089" s="544"/>
      <c r="H1089" s="544"/>
      <c r="I1089" s="544"/>
      <c r="J1089" s="544"/>
      <c r="K1089" s="544"/>
      <c r="L1089" s="544"/>
      <c r="M1089" s="544"/>
    </row>
    <row r="1090" spans="2:13" x14ac:dyDescent="0.35">
      <c r="B1090" s="544"/>
      <c r="C1090" s="544"/>
      <c r="E1090" s="544"/>
      <c r="F1090" s="544"/>
      <c r="G1090" s="544"/>
      <c r="H1090" s="544"/>
      <c r="I1090" s="544"/>
      <c r="J1090" s="544"/>
      <c r="K1090" s="544"/>
      <c r="L1090" s="544"/>
      <c r="M1090" s="544"/>
    </row>
    <row r="1091" spans="2:13" x14ac:dyDescent="0.35">
      <c r="B1091" s="544"/>
      <c r="C1091" s="544"/>
      <c r="E1091" s="544"/>
      <c r="F1091" s="544"/>
      <c r="G1091" s="544"/>
      <c r="H1091" s="544"/>
      <c r="I1091" s="544"/>
      <c r="J1091" s="544"/>
      <c r="K1091" s="544"/>
      <c r="L1091" s="544"/>
      <c r="M1091" s="544"/>
    </row>
    <row r="1092" spans="2:13" x14ac:dyDescent="0.35">
      <c r="B1092" s="544"/>
      <c r="C1092" s="544"/>
      <c r="E1092" s="544"/>
      <c r="F1092" s="544"/>
      <c r="G1092" s="544"/>
      <c r="H1092" s="544"/>
      <c r="I1092" s="544"/>
      <c r="J1092" s="544"/>
      <c r="K1092" s="544"/>
      <c r="L1092" s="544"/>
      <c r="M1092" s="544"/>
    </row>
    <row r="1093" spans="2:13" x14ac:dyDescent="0.35">
      <c r="B1093" s="544"/>
      <c r="C1093" s="544"/>
      <c r="E1093" s="544"/>
      <c r="F1093" s="544"/>
      <c r="G1093" s="544"/>
      <c r="H1093" s="544"/>
      <c r="I1093" s="544"/>
      <c r="J1093" s="544"/>
      <c r="K1093" s="544"/>
      <c r="L1093" s="544"/>
      <c r="M1093" s="544"/>
    </row>
    <row r="1094" spans="2:13" x14ac:dyDescent="0.35">
      <c r="B1094" s="544"/>
      <c r="C1094" s="544"/>
      <c r="E1094" s="544"/>
      <c r="F1094" s="544"/>
      <c r="G1094" s="544"/>
      <c r="H1094" s="544"/>
      <c r="I1094" s="544"/>
      <c r="J1094" s="544"/>
      <c r="K1094" s="544"/>
      <c r="L1094" s="544"/>
      <c r="M1094" s="544"/>
    </row>
    <row r="1095" spans="2:13" x14ac:dyDescent="0.35">
      <c r="B1095" s="544"/>
      <c r="C1095" s="544"/>
      <c r="E1095" s="544"/>
      <c r="F1095" s="544"/>
      <c r="G1095" s="544"/>
      <c r="H1095" s="544"/>
      <c r="I1095" s="544"/>
      <c r="J1095" s="544"/>
      <c r="K1095" s="544"/>
      <c r="L1095" s="544"/>
      <c r="M1095" s="544"/>
    </row>
    <row r="1096" spans="2:13" x14ac:dyDescent="0.35">
      <c r="B1096" s="544"/>
      <c r="C1096" s="544"/>
      <c r="E1096" s="544"/>
      <c r="F1096" s="544"/>
      <c r="G1096" s="544"/>
      <c r="H1096" s="544"/>
      <c r="I1096" s="544"/>
      <c r="J1096" s="544"/>
      <c r="K1096" s="544"/>
      <c r="L1096" s="544"/>
      <c r="M1096" s="544"/>
    </row>
    <row r="1097" spans="2:13" x14ac:dyDescent="0.35">
      <c r="B1097" s="544"/>
      <c r="C1097" s="544"/>
      <c r="E1097" s="544"/>
      <c r="F1097" s="544"/>
      <c r="G1097" s="544"/>
      <c r="H1097" s="544"/>
      <c r="I1097" s="544"/>
      <c r="J1097" s="544"/>
      <c r="K1097" s="544"/>
      <c r="L1097" s="544"/>
      <c r="M1097" s="544"/>
    </row>
    <row r="1098" spans="2:13" x14ac:dyDescent="0.35">
      <c r="B1098" s="544"/>
      <c r="C1098" s="544"/>
      <c r="E1098" s="544"/>
      <c r="F1098" s="544"/>
      <c r="G1098" s="544"/>
      <c r="H1098" s="544"/>
      <c r="I1098" s="544"/>
      <c r="J1098" s="544"/>
      <c r="K1098" s="544"/>
      <c r="L1098" s="544"/>
      <c r="M1098" s="544"/>
    </row>
    <row r="1099" spans="2:13" x14ac:dyDescent="0.35">
      <c r="B1099" s="544"/>
      <c r="C1099" s="544"/>
      <c r="E1099" s="544"/>
      <c r="F1099" s="544"/>
      <c r="G1099" s="544"/>
      <c r="H1099" s="544"/>
      <c r="I1099" s="544"/>
      <c r="J1099" s="544"/>
      <c r="K1099" s="544"/>
      <c r="L1099" s="544"/>
      <c r="M1099" s="544"/>
    </row>
    <row r="1100" spans="2:13" x14ac:dyDescent="0.35">
      <c r="B1100" s="544"/>
      <c r="C1100" s="544"/>
      <c r="E1100" s="544"/>
      <c r="F1100" s="544"/>
      <c r="G1100" s="544"/>
      <c r="H1100" s="544"/>
      <c r="I1100" s="544"/>
      <c r="J1100" s="544"/>
      <c r="K1100" s="544"/>
      <c r="L1100" s="544"/>
      <c r="M1100" s="544"/>
    </row>
    <row r="1101" spans="2:13" x14ac:dyDescent="0.35">
      <c r="B1101" s="544"/>
      <c r="C1101" s="544"/>
      <c r="E1101" s="544"/>
      <c r="F1101" s="544"/>
      <c r="G1101" s="544"/>
      <c r="H1101" s="544"/>
      <c r="I1101" s="544"/>
      <c r="J1101" s="544"/>
      <c r="K1101" s="544"/>
      <c r="L1101" s="544"/>
      <c r="M1101" s="544"/>
    </row>
    <row r="1102" spans="2:13" x14ac:dyDescent="0.35">
      <c r="B1102" s="544"/>
      <c r="C1102" s="544"/>
      <c r="E1102" s="544"/>
      <c r="F1102" s="544"/>
      <c r="G1102" s="544"/>
      <c r="H1102" s="544"/>
      <c r="I1102" s="544"/>
      <c r="J1102" s="544"/>
      <c r="K1102" s="544"/>
      <c r="L1102" s="544"/>
      <c r="M1102" s="544"/>
    </row>
    <row r="1103" spans="2:13" x14ac:dyDescent="0.35">
      <c r="B1103" s="544"/>
      <c r="C1103" s="544"/>
      <c r="E1103" s="544"/>
      <c r="F1103" s="544"/>
      <c r="G1103" s="544"/>
      <c r="H1103" s="544"/>
      <c r="I1103" s="544"/>
      <c r="J1103" s="544"/>
      <c r="K1103" s="544"/>
      <c r="L1103" s="544"/>
      <c r="M1103" s="544"/>
    </row>
    <row r="1104" spans="2:13" x14ac:dyDescent="0.35">
      <c r="B1104" s="544"/>
      <c r="C1104" s="544"/>
      <c r="E1104" s="544"/>
      <c r="F1104" s="544"/>
      <c r="G1104" s="544"/>
      <c r="H1104" s="544"/>
      <c r="I1104" s="544"/>
      <c r="J1104" s="544"/>
      <c r="K1104" s="544"/>
      <c r="L1104" s="544"/>
      <c r="M1104" s="544"/>
    </row>
    <row r="1105" spans="2:13" x14ac:dyDescent="0.35">
      <c r="B1105" s="544"/>
      <c r="C1105" s="544"/>
      <c r="E1105" s="544"/>
      <c r="F1105" s="544"/>
      <c r="G1105" s="544"/>
      <c r="H1105" s="544"/>
      <c r="I1105" s="544"/>
      <c r="J1105" s="544"/>
      <c r="K1105" s="544"/>
      <c r="L1105" s="544"/>
      <c r="M1105" s="544"/>
    </row>
    <row r="1106" spans="2:13" x14ac:dyDescent="0.35">
      <c r="B1106" s="544"/>
      <c r="C1106" s="544"/>
      <c r="E1106" s="544"/>
      <c r="F1106" s="544"/>
      <c r="G1106" s="544"/>
      <c r="H1106" s="544"/>
      <c r="I1106" s="544"/>
      <c r="J1106" s="544"/>
      <c r="K1106" s="544"/>
      <c r="L1106" s="544"/>
      <c r="M1106" s="544"/>
    </row>
    <row r="1107" spans="2:13" x14ac:dyDescent="0.35">
      <c r="B1107" s="544"/>
      <c r="C1107" s="544"/>
      <c r="E1107" s="544"/>
      <c r="F1107" s="544"/>
      <c r="G1107" s="544"/>
      <c r="H1107" s="544"/>
      <c r="I1107" s="544"/>
      <c r="J1107" s="544"/>
      <c r="K1107" s="544"/>
      <c r="L1107" s="544"/>
      <c r="M1107" s="544"/>
    </row>
    <row r="1108" spans="2:13" x14ac:dyDescent="0.35">
      <c r="B1108" s="544"/>
      <c r="C1108" s="544"/>
      <c r="E1108" s="544"/>
      <c r="F1108" s="544"/>
      <c r="G1108" s="544"/>
      <c r="H1108" s="544"/>
      <c r="I1108" s="544"/>
      <c r="J1108" s="544"/>
      <c r="K1108" s="544"/>
      <c r="L1108" s="544"/>
      <c r="M1108" s="544"/>
    </row>
    <row r="1109" spans="2:13" x14ac:dyDescent="0.35">
      <c r="B1109" s="544"/>
      <c r="C1109" s="544"/>
      <c r="E1109" s="544"/>
      <c r="F1109" s="544"/>
      <c r="G1109" s="544"/>
      <c r="H1109" s="544"/>
      <c r="I1109" s="544"/>
      <c r="J1109" s="544"/>
      <c r="K1109" s="544"/>
      <c r="L1109" s="544"/>
      <c r="M1109" s="544"/>
    </row>
    <row r="1110" spans="2:13" x14ac:dyDescent="0.35">
      <c r="B1110" s="544"/>
      <c r="C1110" s="544"/>
      <c r="E1110" s="544"/>
      <c r="F1110" s="544"/>
      <c r="G1110" s="544"/>
      <c r="H1110" s="544"/>
      <c r="I1110" s="544"/>
      <c r="J1110" s="544"/>
      <c r="K1110" s="544"/>
      <c r="L1110" s="544"/>
      <c r="M1110" s="544"/>
    </row>
    <row r="1111" spans="2:13" x14ac:dyDescent="0.35">
      <c r="B1111" s="544"/>
      <c r="C1111" s="544"/>
      <c r="E1111" s="544"/>
      <c r="F1111" s="544"/>
      <c r="G1111" s="544"/>
      <c r="H1111" s="544"/>
      <c r="I1111" s="544"/>
      <c r="J1111" s="544"/>
      <c r="K1111" s="544"/>
      <c r="L1111" s="544"/>
      <c r="M1111" s="544"/>
    </row>
    <row r="1112" spans="2:13" x14ac:dyDescent="0.35">
      <c r="B1112" s="544"/>
      <c r="C1112" s="544"/>
      <c r="E1112" s="544"/>
      <c r="F1112" s="544"/>
      <c r="G1112" s="544"/>
      <c r="H1112" s="544"/>
      <c r="I1112" s="544"/>
      <c r="J1112" s="544"/>
      <c r="K1112" s="544"/>
      <c r="L1112" s="544"/>
      <c r="M1112" s="544"/>
    </row>
    <row r="1113" spans="2:13" x14ac:dyDescent="0.35">
      <c r="B1113" s="544"/>
      <c r="C1113" s="544"/>
      <c r="E1113" s="544"/>
      <c r="F1113" s="544"/>
      <c r="G1113" s="544"/>
      <c r="H1113" s="544"/>
      <c r="I1113" s="544"/>
      <c r="J1113" s="544"/>
      <c r="K1113" s="544"/>
      <c r="L1113" s="544"/>
      <c r="M1113" s="544"/>
    </row>
    <row r="1114" spans="2:13" x14ac:dyDescent="0.35">
      <c r="B1114" s="544"/>
      <c r="C1114" s="544"/>
      <c r="E1114" s="544"/>
      <c r="F1114" s="544"/>
      <c r="G1114" s="544"/>
      <c r="H1114" s="544"/>
      <c r="I1114" s="544"/>
      <c r="J1114" s="544"/>
      <c r="K1114" s="544"/>
      <c r="L1114" s="544"/>
      <c r="M1114" s="544"/>
    </row>
    <row r="1115" spans="2:13" x14ac:dyDescent="0.35">
      <c r="B1115" s="544"/>
      <c r="C1115" s="544"/>
      <c r="E1115" s="544"/>
      <c r="F1115" s="544"/>
      <c r="G1115" s="544"/>
      <c r="H1115" s="544"/>
      <c r="I1115" s="544"/>
      <c r="J1115" s="544"/>
      <c r="K1115" s="544"/>
      <c r="L1115" s="544"/>
      <c r="M1115" s="544"/>
    </row>
    <row r="1116" spans="2:13" x14ac:dyDescent="0.35">
      <c r="B1116" s="544"/>
      <c r="C1116" s="544"/>
      <c r="E1116" s="544"/>
      <c r="F1116" s="544"/>
      <c r="G1116" s="544"/>
      <c r="H1116" s="544"/>
      <c r="I1116" s="544"/>
      <c r="J1116" s="544"/>
      <c r="K1116" s="544"/>
      <c r="L1116" s="544"/>
      <c r="M1116" s="544"/>
    </row>
    <row r="1117" spans="2:13" x14ac:dyDescent="0.35">
      <c r="B1117" s="544"/>
      <c r="C1117" s="544"/>
      <c r="E1117" s="544"/>
      <c r="F1117" s="544"/>
      <c r="G1117" s="544"/>
      <c r="H1117" s="544"/>
      <c r="I1117" s="544"/>
      <c r="J1117" s="544"/>
      <c r="K1117" s="544"/>
      <c r="L1117" s="544"/>
      <c r="M1117" s="544"/>
    </row>
    <row r="1118" spans="2:13" x14ac:dyDescent="0.35">
      <c r="B1118" s="544"/>
      <c r="C1118" s="544"/>
      <c r="E1118" s="544"/>
      <c r="F1118" s="544"/>
      <c r="G1118" s="544"/>
      <c r="H1118" s="544"/>
      <c r="I1118" s="544"/>
      <c r="J1118" s="544"/>
      <c r="K1118" s="544"/>
      <c r="L1118" s="544"/>
      <c r="M1118" s="544"/>
    </row>
    <row r="1119" spans="2:13" x14ac:dyDescent="0.35">
      <c r="B1119" s="544"/>
      <c r="C1119" s="544"/>
      <c r="E1119" s="544"/>
      <c r="F1119" s="544"/>
      <c r="G1119" s="544"/>
      <c r="H1119" s="544"/>
      <c r="I1119" s="544"/>
      <c r="J1119" s="544"/>
      <c r="K1119" s="544"/>
      <c r="L1119" s="544"/>
      <c r="M1119" s="544"/>
    </row>
    <row r="1120" spans="2:13" x14ac:dyDescent="0.35">
      <c r="B1120" s="544"/>
      <c r="C1120" s="544"/>
      <c r="E1120" s="544"/>
      <c r="F1120" s="544"/>
      <c r="G1120" s="544"/>
      <c r="H1120" s="544"/>
      <c r="I1120" s="544"/>
      <c r="J1120" s="544"/>
      <c r="K1120" s="544"/>
      <c r="L1120" s="544"/>
      <c r="M1120" s="544"/>
    </row>
    <row r="1121" spans="2:13" x14ac:dyDescent="0.35">
      <c r="B1121" s="544"/>
      <c r="C1121" s="544"/>
      <c r="E1121" s="544"/>
      <c r="F1121" s="544"/>
      <c r="G1121" s="544"/>
      <c r="H1121" s="544"/>
      <c r="I1121" s="544"/>
      <c r="J1121" s="544"/>
      <c r="K1121" s="544"/>
      <c r="L1121" s="544"/>
      <c r="M1121" s="544"/>
    </row>
    <row r="1122" spans="2:13" x14ac:dyDescent="0.35">
      <c r="B1122" s="544"/>
      <c r="C1122" s="544"/>
      <c r="E1122" s="544"/>
      <c r="F1122" s="544"/>
      <c r="G1122" s="544"/>
      <c r="H1122" s="544"/>
      <c r="I1122" s="544"/>
      <c r="J1122" s="544"/>
      <c r="K1122" s="544"/>
      <c r="L1122" s="544"/>
      <c r="M1122" s="544"/>
    </row>
    <row r="1123" spans="2:13" x14ac:dyDescent="0.35">
      <c r="B1123" s="544"/>
      <c r="C1123" s="544"/>
      <c r="E1123" s="544"/>
      <c r="F1123" s="544"/>
      <c r="G1123" s="544"/>
      <c r="H1123" s="544"/>
      <c r="I1123" s="544"/>
      <c r="J1123" s="544"/>
      <c r="K1123" s="544"/>
      <c r="L1123" s="544"/>
      <c r="M1123" s="544"/>
    </row>
    <row r="1124" spans="2:13" x14ac:dyDescent="0.35">
      <c r="B1124" s="544"/>
      <c r="C1124" s="544"/>
      <c r="E1124" s="544"/>
      <c r="F1124" s="544"/>
      <c r="G1124" s="544"/>
      <c r="H1124" s="544"/>
      <c r="I1124" s="544"/>
      <c r="J1124" s="544"/>
      <c r="K1124" s="544"/>
      <c r="L1124" s="544"/>
      <c r="M1124" s="544"/>
    </row>
    <row r="1125" spans="2:13" x14ac:dyDescent="0.35">
      <c r="B1125" s="544"/>
      <c r="C1125" s="544"/>
      <c r="E1125" s="544"/>
      <c r="F1125" s="544"/>
      <c r="G1125" s="544"/>
      <c r="H1125" s="544"/>
      <c r="I1125" s="544"/>
      <c r="J1125" s="544"/>
      <c r="K1125" s="544"/>
      <c r="L1125" s="544"/>
      <c r="M1125" s="544"/>
    </row>
    <row r="1126" spans="2:13" x14ac:dyDescent="0.35">
      <c r="B1126" s="544"/>
      <c r="C1126" s="544"/>
      <c r="E1126" s="544"/>
      <c r="F1126" s="544"/>
      <c r="G1126" s="544"/>
      <c r="H1126" s="544"/>
      <c r="I1126" s="544"/>
      <c r="J1126" s="544"/>
      <c r="K1126" s="544"/>
      <c r="L1126" s="544"/>
      <c r="M1126" s="544"/>
    </row>
    <row r="1127" spans="2:13" x14ac:dyDescent="0.35">
      <c r="B1127" s="544"/>
      <c r="C1127" s="544"/>
      <c r="E1127" s="544"/>
      <c r="F1127" s="544"/>
      <c r="G1127" s="544"/>
      <c r="H1127" s="544"/>
      <c r="I1127" s="544"/>
      <c r="J1127" s="544"/>
      <c r="K1127" s="544"/>
      <c r="L1127" s="544"/>
      <c r="M1127" s="544"/>
    </row>
    <row r="1128" spans="2:13" x14ac:dyDescent="0.35">
      <c r="B1128" s="544"/>
      <c r="C1128" s="544"/>
      <c r="E1128" s="544"/>
      <c r="F1128" s="544"/>
      <c r="G1128" s="544"/>
      <c r="H1128" s="544"/>
      <c r="I1128" s="544"/>
      <c r="J1128" s="544"/>
      <c r="K1128" s="544"/>
      <c r="L1128" s="544"/>
      <c r="M1128" s="544"/>
    </row>
    <row r="1129" spans="2:13" x14ac:dyDescent="0.35">
      <c r="B1129" s="544"/>
      <c r="C1129" s="544"/>
      <c r="E1129" s="544"/>
      <c r="F1129" s="544"/>
      <c r="G1129" s="544"/>
      <c r="H1129" s="544"/>
      <c r="I1129" s="544"/>
      <c r="J1129" s="544"/>
      <c r="K1129" s="544"/>
      <c r="L1129" s="544"/>
      <c r="M1129" s="544"/>
    </row>
    <row r="1130" spans="2:13" x14ac:dyDescent="0.35">
      <c r="B1130" s="544"/>
      <c r="C1130" s="544"/>
      <c r="E1130" s="544"/>
      <c r="F1130" s="544"/>
      <c r="G1130" s="544"/>
      <c r="H1130" s="544"/>
      <c r="I1130" s="544"/>
      <c r="J1130" s="544"/>
      <c r="K1130" s="544"/>
      <c r="L1130" s="544"/>
      <c r="M1130" s="544"/>
    </row>
    <row r="1131" spans="2:13" x14ac:dyDescent="0.35">
      <c r="B1131" s="544"/>
      <c r="C1131" s="544"/>
      <c r="E1131" s="544"/>
      <c r="F1131" s="544"/>
      <c r="G1131" s="544"/>
      <c r="H1131" s="544"/>
      <c r="I1131" s="544"/>
      <c r="J1131" s="544"/>
      <c r="K1131" s="544"/>
      <c r="L1131" s="544"/>
      <c r="M1131" s="544"/>
    </row>
    <row r="1132" spans="2:13" x14ac:dyDescent="0.35">
      <c r="B1132" s="544"/>
      <c r="C1132" s="544"/>
      <c r="E1132" s="544"/>
      <c r="F1132" s="544"/>
      <c r="G1132" s="544"/>
      <c r="H1132" s="544"/>
      <c r="I1132" s="544"/>
      <c r="J1132" s="544"/>
      <c r="K1132" s="544"/>
      <c r="L1132" s="544"/>
      <c r="M1132" s="544"/>
    </row>
    <row r="1133" spans="2:13" x14ac:dyDescent="0.35">
      <c r="B1133" s="544"/>
      <c r="C1133" s="544"/>
      <c r="E1133" s="544"/>
      <c r="F1133" s="544"/>
      <c r="G1133" s="544"/>
      <c r="H1133" s="544"/>
      <c r="I1133" s="544"/>
      <c r="J1133" s="544"/>
      <c r="K1133" s="544"/>
      <c r="L1133" s="544"/>
      <c r="M1133" s="544"/>
    </row>
    <row r="1134" spans="2:13" x14ac:dyDescent="0.35">
      <c r="B1134" s="544"/>
      <c r="C1134" s="544"/>
      <c r="E1134" s="544"/>
      <c r="F1134" s="544"/>
      <c r="G1134" s="544"/>
      <c r="H1134" s="544"/>
      <c r="I1134" s="544"/>
      <c r="J1134" s="544"/>
      <c r="K1134" s="544"/>
      <c r="L1134" s="544"/>
      <c r="M1134" s="544"/>
    </row>
    <row r="1135" spans="2:13" x14ac:dyDescent="0.35">
      <c r="B1135" s="544"/>
      <c r="C1135" s="544"/>
      <c r="E1135" s="544"/>
      <c r="F1135" s="544"/>
      <c r="G1135" s="544"/>
      <c r="H1135" s="544"/>
      <c r="I1135" s="544"/>
      <c r="J1135" s="544"/>
      <c r="K1135" s="544"/>
      <c r="L1135" s="544"/>
      <c r="M1135" s="544"/>
    </row>
    <row r="1136" spans="2:13" x14ac:dyDescent="0.35">
      <c r="B1136" s="544"/>
      <c r="C1136" s="544"/>
      <c r="E1136" s="544"/>
      <c r="F1136" s="544"/>
      <c r="G1136" s="544"/>
      <c r="H1136" s="544"/>
      <c r="I1136" s="544"/>
      <c r="J1136" s="544"/>
      <c r="K1136" s="544"/>
      <c r="L1136" s="544"/>
      <c r="M1136" s="544"/>
    </row>
    <row r="1137" spans="2:13" x14ac:dyDescent="0.35">
      <c r="B1137" s="544"/>
      <c r="C1137" s="544"/>
      <c r="E1137" s="544"/>
      <c r="F1137" s="544"/>
      <c r="G1137" s="544"/>
      <c r="H1137" s="544"/>
      <c r="I1137" s="544"/>
      <c r="J1137" s="544"/>
      <c r="K1137" s="544"/>
      <c r="L1137" s="544"/>
      <c r="M1137" s="544"/>
    </row>
    <row r="1138" spans="2:13" x14ac:dyDescent="0.35">
      <c r="B1138" s="544"/>
      <c r="C1138" s="544"/>
      <c r="E1138" s="544"/>
      <c r="F1138" s="544"/>
      <c r="G1138" s="544"/>
      <c r="H1138" s="544"/>
      <c r="I1138" s="544"/>
      <c r="J1138" s="544"/>
      <c r="K1138" s="544"/>
      <c r="L1138" s="544"/>
      <c r="M1138" s="544"/>
    </row>
    <row r="1139" spans="2:13" x14ac:dyDescent="0.35">
      <c r="B1139" s="544"/>
      <c r="C1139" s="544"/>
      <c r="E1139" s="544"/>
      <c r="F1139" s="544"/>
      <c r="G1139" s="544"/>
      <c r="H1139" s="544"/>
      <c r="I1139" s="544"/>
      <c r="J1139" s="544"/>
      <c r="K1139" s="544"/>
      <c r="L1139" s="544"/>
      <c r="M1139" s="544"/>
    </row>
    <row r="1140" spans="2:13" x14ac:dyDescent="0.35">
      <c r="B1140" s="544"/>
      <c r="C1140" s="544"/>
      <c r="E1140" s="544"/>
      <c r="F1140" s="544"/>
      <c r="G1140" s="544"/>
      <c r="H1140" s="544"/>
      <c r="I1140" s="544"/>
      <c r="J1140" s="544"/>
      <c r="K1140" s="544"/>
      <c r="L1140" s="544"/>
      <c r="M1140" s="544"/>
    </row>
    <row r="1141" spans="2:13" x14ac:dyDescent="0.35">
      <c r="B1141" s="544"/>
      <c r="C1141" s="544"/>
      <c r="E1141" s="544"/>
      <c r="F1141" s="544"/>
      <c r="G1141" s="544"/>
      <c r="H1141" s="544"/>
      <c r="I1141" s="544"/>
      <c r="J1141" s="544"/>
      <c r="K1141" s="544"/>
      <c r="L1141" s="544"/>
      <c r="M1141" s="544"/>
    </row>
    <row r="1142" spans="2:13" x14ac:dyDescent="0.35">
      <c r="B1142" s="544"/>
      <c r="C1142" s="544"/>
      <c r="E1142" s="544"/>
      <c r="F1142" s="544"/>
      <c r="G1142" s="544"/>
      <c r="H1142" s="544"/>
      <c r="I1142" s="544"/>
      <c r="J1142" s="544"/>
      <c r="K1142" s="544"/>
      <c r="L1142" s="544"/>
      <c r="M1142" s="544"/>
    </row>
    <row r="1143" spans="2:13" x14ac:dyDescent="0.35">
      <c r="B1143" s="544"/>
      <c r="C1143" s="544"/>
      <c r="E1143" s="544"/>
      <c r="F1143" s="544"/>
      <c r="G1143" s="544"/>
      <c r="H1143" s="544"/>
      <c r="I1143" s="544"/>
      <c r="J1143" s="544"/>
      <c r="K1143" s="544"/>
      <c r="L1143" s="544"/>
      <c r="M1143" s="544"/>
    </row>
    <row r="1144" spans="2:13" x14ac:dyDescent="0.35">
      <c r="B1144" s="544"/>
      <c r="C1144" s="544"/>
      <c r="E1144" s="544"/>
      <c r="F1144" s="544"/>
      <c r="G1144" s="544"/>
      <c r="H1144" s="544"/>
      <c r="I1144" s="544"/>
      <c r="J1144" s="544"/>
      <c r="K1144" s="544"/>
      <c r="L1144" s="544"/>
      <c r="M1144" s="544"/>
    </row>
    <row r="1145" spans="2:13" x14ac:dyDescent="0.35">
      <c r="B1145" s="544"/>
      <c r="C1145" s="544"/>
      <c r="E1145" s="544"/>
      <c r="F1145" s="544"/>
      <c r="G1145" s="544"/>
      <c r="H1145" s="544"/>
      <c r="I1145" s="544"/>
      <c r="J1145" s="544"/>
      <c r="K1145" s="544"/>
      <c r="L1145" s="544"/>
      <c r="M1145" s="544"/>
    </row>
    <row r="1146" spans="2:13" x14ac:dyDescent="0.35">
      <c r="B1146" s="544"/>
      <c r="C1146" s="544"/>
      <c r="E1146" s="544"/>
      <c r="F1146" s="544"/>
      <c r="G1146" s="544"/>
      <c r="H1146" s="544"/>
      <c r="I1146" s="544"/>
      <c r="J1146" s="544"/>
      <c r="K1146" s="544"/>
      <c r="L1146" s="544"/>
      <c r="M1146" s="544"/>
    </row>
    <row r="1147" spans="2:13" x14ac:dyDescent="0.35">
      <c r="B1147" s="544"/>
      <c r="C1147" s="544"/>
      <c r="E1147" s="544"/>
      <c r="F1147" s="544"/>
      <c r="G1147" s="544"/>
      <c r="H1147" s="544"/>
      <c r="I1147" s="544"/>
      <c r="J1147" s="544"/>
      <c r="K1147" s="544"/>
      <c r="L1147" s="544"/>
      <c r="M1147" s="544"/>
    </row>
    <row r="1148" spans="2:13" x14ac:dyDescent="0.35">
      <c r="B1148" s="544"/>
      <c r="C1148" s="544"/>
      <c r="E1148" s="544"/>
      <c r="F1148" s="544"/>
      <c r="G1148" s="544"/>
      <c r="H1148" s="544"/>
      <c r="I1148" s="544"/>
      <c r="J1148" s="544"/>
      <c r="K1148" s="544"/>
      <c r="L1148" s="544"/>
      <c r="M1148" s="544"/>
    </row>
    <row r="1149" spans="2:13" x14ac:dyDescent="0.35">
      <c r="B1149" s="544"/>
      <c r="C1149" s="544"/>
      <c r="E1149" s="544"/>
      <c r="F1149" s="544"/>
      <c r="G1149" s="544"/>
      <c r="H1149" s="544"/>
      <c r="I1149" s="544"/>
      <c r="J1149" s="544"/>
      <c r="K1149" s="544"/>
      <c r="L1149" s="544"/>
      <c r="M1149" s="544"/>
    </row>
    <row r="1150" spans="2:13" x14ac:dyDescent="0.35">
      <c r="B1150" s="544"/>
      <c r="C1150" s="544"/>
      <c r="E1150" s="544"/>
      <c r="F1150" s="544"/>
      <c r="G1150" s="544"/>
      <c r="H1150" s="544"/>
      <c r="I1150" s="544"/>
      <c r="J1150" s="544"/>
      <c r="K1150" s="544"/>
      <c r="L1150" s="544"/>
      <c r="M1150" s="544"/>
    </row>
    <row r="1151" spans="2:13" x14ac:dyDescent="0.35">
      <c r="B1151" s="544"/>
      <c r="C1151" s="544"/>
      <c r="E1151" s="544"/>
      <c r="F1151" s="544"/>
      <c r="G1151" s="544"/>
      <c r="H1151" s="544"/>
      <c r="I1151" s="544"/>
      <c r="J1151" s="544"/>
      <c r="K1151" s="544"/>
      <c r="L1151" s="544"/>
      <c r="M1151" s="544"/>
    </row>
    <row r="1152" spans="2:13" x14ac:dyDescent="0.35">
      <c r="B1152" s="544"/>
      <c r="C1152" s="544"/>
      <c r="E1152" s="544"/>
      <c r="F1152" s="544"/>
      <c r="G1152" s="544"/>
      <c r="H1152" s="544"/>
      <c r="I1152" s="544"/>
      <c r="J1152" s="544"/>
      <c r="K1152" s="544"/>
      <c r="L1152" s="544"/>
      <c r="M1152" s="544"/>
    </row>
    <row r="1153" spans="2:13" x14ac:dyDescent="0.35">
      <c r="B1153" s="544"/>
      <c r="C1153" s="544"/>
      <c r="E1153" s="544"/>
      <c r="F1153" s="544"/>
      <c r="G1153" s="544"/>
      <c r="H1153" s="544"/>
      <c r="I1153" s="544"/>
      <c r="J1153" s="544"/>
      <c r="K1153" s="544"/>
      <c r="L1153" s="544"/>
      <c r="M1153" s="544"/>
    </row>
    <row r="1154" spans="2:13" x14ac:dyDescent="0.35">
      <c r="B1154" s="544"/>
      <c r="C1154" s="544"/>
      <c r="E1154" s="544"/>
      <c r="F1154" s="544"/>
      <c r="G1154" s="544"/>
      <c r="H1154" s="544"/>
      <c r="I1154" s="544"/>
      <c r="J1154" s="544"/>
      <c r="K1154" s="544"/>
      <c r="L1154" s="544"/>
      <c r="M1154" s="544"/>
    </row>
    <row r="1155" spans="2:13" x14ac:dyDescent="0.35">
      <c r="B1155" s="544"/>
      <c r="C1155" s="544"/>
      <c r="E1155" s="544"/>
      <c r="F1155" s="544"/>
      <c r="G1155" s="544"/>
      <c r="H1155" s="544"/>
      <c r="I1155" s="544"/>
      <c r="J1155" s="544"/>
      <c r="K1155" s="544"/>
      <c r="L1155" s="544"/>
      <c r="M1155" s="544"/>
    </row>
    <row r="1156" spans="2:13" x14ac:dyDescent="0.35">
      <c r="B1156" s="544"/>
      <c r="C1156" s="544"/>
      <c r="E1156" s="544"/>
      <c r="F1156" s="544"/>
      <c r="G1156" s="544"/>
      <c r="H1156" s="544"/>
      <c r="I1156" s="544"/>
      <c r="J1156" s="544"/>
      <c r="K1156" s="544"/>
      <c r="L1156" s="544"/>
      <c r="M1156" s="544"/>
    </row>
    <row r="1157" spans="2:13" x14ac:dyDescent="0.35">
      <c r="B1157" s="544"/>
      <c r="C1157" s="544"/>
      <c r="E1157" s="544"/>
      <c r="F1157" s="544"/>
      <c r="G1157" s="544"/>
      <c r="H1157" s="544"/>
      <c r="I1157" s="544"/>
      <c r="J1157" s="544"/>
      <c r="K1157" s="544"/>
      <c r="L1157" s="544"/>
      <c r="M1157" s="544"/>
    </row>
    <row r="1158" spans="2:13" x14ac:dyDescent="0.35">
      <c r="B1158" s="544"/>
      <c r="C1158" s="544"/>
      <c r="E1158" s="544"/>
      <c r="F1158" s="544"/>
      <c r="G1158" s="544"/>
      <c r="H1158" s="544"/>
      <c r="I1158" s="544"/>
      <c r="J1158" s="544"/>
      <c r="K1158" s="544"/>
      <c r="L1158" s="544"/>
      <c r="M1158" s="544"/>
    </row>
    <row r="1159" spans="2:13" x14ac:dyDescent="0.35">
      <c r="B1159" s="544"/>
      <c r="C1159" s="544"/>
      <c r="E1159" s="544"/>
      <c r="F1159" s="544"/>
      <c r="G1159" s="544"/>
      <c r="H1159" s="544"/>
      <c r="I1159" s="544"/>
      <c r="J1159" s="544"/>
      <c r="K1159" s="544"/>
      <c r="L1159" s="544"/>
      <c r="M1159" s="544"/>
    </row>
    <row r="1160" spans="2:13" x14ac:dyDescent="0.35">
      <c r="B1160" s="544"/>
      <c r="C1160" s="544"/>
      <c r="E1160" s="544"/>
      <c r="F1160" s="544"/>
      <c r="G1160" s="544"/>
      <c r="H1160" s="544"/>
      <c r="I1160" s="544"/>
      <c r="J1160" s="544"/>
      <c r="K1160" s="544"/>
      <c r="L1160" s="544"/>
      <c r="M1160" s="544"/>
    </row>
    <row r="1161" spans="2:13" x14ac:dyDescent="0.35">
      <c r="B1161" s="544"/>
      <c r="C1161" s="544"/>
      <c r="E1161" s="544"/>
      <c r="F1161" s="544"/>
      <c r="G1161" s="544"/>
      <c r="H1161" s="544"/>
      <c r="I1161" s="544"/>
      <c r="J1161" s="544"/>
      <c r="K1161" s="544"/>
      <c r="L1161" s="544"/>
      <c r="M1161" s="544"/>
    </row>
    <row r="1162" spans="2:13" x14ac:dyDescent="0.35">
      <c r="B1162" s="544"/>
      <c r="C1162" s="544"/>
      <c r="E1162" s="544"/>
      <c r="F1162" s="544"/>
      <c r="G1162" s="544"/>
      <c r="H1162" s="544"/>
      <c r="I1162" s="544"/>
      <c r="J1162" s="544"/>
      <c r="K1162" s="544"/>
      <c r="L1162" s="544"/>
      <c r="M1162" s="544"/>
    </row>
    <row r="1163" spans="2:13" x14ac:dyDescent="0.35">
      <c r="B1163" s="544"/>
      <c r="C1163" s="544"/>
      <c r="E1163" s="544"/>
      <c r="F1163" s="544"/>
      <c r="G1163" s="544"/>
      <c r="H1163" s="544"/>
      <c r="I1163" s="544"/>
      <c r="J1163" s="544"/>
      <c r="K1163" s="544"/>
      <c r="L1163" s="544"/>
      <c r="M1163" s="544"/>
    </row>
    <row r="1164" spans="2:13" x14ac:dyDescent="0.35">
      <c r="B1164" s="544"/>
      <c r="C1164" s="544"/>
      <c r="E1164" s="544"/>
      <c r="F1164" s="544"/>
      <c r="G1164" s="544"/>
      <c r="H1164" s="544"/>
      <c r="I1164" s="544"/>
      <c r="J1164" s="544"/>
      <c r="K1164" s="544"/>
      <c r="L1164" s="544"/>
      <c r="M1164" s="544"/>
    </row>
    <row r="1165" spans="2:13" x14ac:dyDescent="0.35">
      <c r="B1165" s="544"/>
      <c r="C1165" s="544"/>
      <c r="E1165" s="544"/>
      <c r="F1165" s="544"/>
      <c r="G1165" s="544"/>
      <c r="H1165" s="544"/>
      <c r="I1165" s="544"/>
      <c r="J1165" s="544"/>
      <c r="K1165" s="544"/>
      <c r="L1165" s="544"/>
      <c r="M1165" s="544"/>
    </row>
    <row r="1166" spans="2:13" x14ac:dyDescent="0.35">
      <c r="B1166" s="544"/>
      <c r="C1166" s="544"/>
      <c r="E1166" s="544"/>
      <c r="F1166" s="544"/>
      <c r="G1166" s="544"/>
      <c r="H1166" s="544"/>
      <c r="I1166" s="544"/>
      <c r="J1166" s="544"/>
      <c r="K1166" s="544"/>
      <c r="L1166" s="544"/>
      <c r="M1166" s="544"/>
    </row>
    <row r="1167" spans="2:13" x14ac:dyDescent="0.35">
      <c r="B1167" s="544"/>
      <c r="C1167" s="544"/>
      <c r="E1167" s="544"/>
      <c r="F1167" s="544"/>
      <c r="G1167" s="544"/>
      <c r="H1167" s="544"/>
      <c r="I1167" s="544"/>
      <c r="J1167" s="544"/>
      <c r="K1167" s="544"/>
      <c r="L1167" s="544"/>
      <c r="M1167" s="544"/>
    </row>
    <row r="1168" spans="2:13" x14ac:dyDescent="0.35">
      <c r="B1168" s="544"/>
      <c r="C1168" s="544"/>
      <c r="E1168" s="544"/>
      <c r="F1168" s="544"/>
      <c r="G1168" s="544"/>
      <c r="H1168" s="544"/>
      <c r="I1168" s="544"/>
      <c r="J1168" s="544"/>
      <c r="K1168" s="544"/>
      <c r="L1168" s="544"/>
      <c r="M1168" s="544"/>
    </row>
    <row r="1169" spans="2:13" x14ac:dyDescent="0.35">
      <c r="B1169" s="544"/>
      <c r="C1169" s="544"/>
      <c r="E1169" s="544"/>
      <c r="F1169" s="544"/>
      <c r="G1169" s="544"/>
      <c r="H1169" s="544"/>
      <c r="I1169" s="544"/>
      <c r="J1169" s="544"/>
      <c r="K1169" s="544"/>
      <c r="L1169" s="544"/>
      <c r="M1169" s="544"/>
    </row>
    <row r="1170" spans="2:13" x14ac:dyDescent="0.35">
      <c r="B1170" s="544"/>
      <c r="C1170" s="544"/>
      <c r="E1170" s="544"/>
      <c r="F1170" s="544"/>
      <c r="G1170" s="544"/>
      <c r="H1170" s="544"/>
      <c r="I1170" s="544"/>
      <c r="J1170" s="544"/>
      <c r="K1170" s="544"/>
      <c r="L1170" s="544"/>
      <c r="M1170" s="544"/>
    </row>
    <row r="1171" spans="2:13" x14ac:dyDescent="0.35">
      <c r="B1171" s="544"/>
      <c r="C1171" s="544"/>
      <c r="E1171" s="544"/>
      <c r="F1171" s="544"/>
      <c r="G1171" s="544"/>
      <c r="H1171" s="544"/>
      <c r="I1171" s="544"/>
      <c r="J1171" s="544"/>
      <c r="K1171" s="544"/>
      <c r="L1171" s="544"/>
      <c r="M1171" s="544"/>
    </row>
    <row r="1172" spans="2:13" x14ac:dyDescent="0.35">
      <c r="B1172" s="544"/>
      <c r="C1172" s="544"/>
      <c r="E1172" s="544"/>
      <c r="F1172" s="544"/>
      <c r="G1172" s="544"/>
      <c r="H1172" s="544"/>
      <c r="I1172" s="544"/>
      <c r="J1172" s="544"/>
      <c r="K1172" s="544"/>
      <c r="L1172" s="544"/>
      <c r="M1172" s="544"/>
    </row>
    <row r="1173" spans="2:13" x14ac:dyDescent="0.35">
      <c r="B1173" s="544"/>
      <c r="C1173" s="544"/>
      <c r="E1173" s="544"/>
      <c r="F1173" s="544"/>
      <c r="G1173" s="544"/>
      <c r="H1173" s="544"/>
      <c r="I1173" s="544"/>
      <c r="J1173" s="544"/>
      <c r="K1173" s="544"/>
      <c r="L1173" s="544"/>
      <c r="M1173" s="544"/>
    </row>
    <row r="1174" spans="2:13" x14ac:dyDescent="0.35">
      <c r="B1174" s="544"/>
      <c r="C1174" s="544"/>
      <c r="E1174" s="544"/>
      <c r="F1174" s="544"/>
      <c r="G1174" s="544"/>
      <c r="H1174" s="544"/>
      <c r="I1174" s="544"/>
      <c r="J1174" s="544"/>
      <c r="K1174" s="544"/>
      <c r="L1174" s="544"/>
      <c r="M1174" s="544"/>
    </row>
    <row r="1175" spans="2:13" x14ac:dyDescent="0.35">
      <c r="B1175" s="544"/>
      <c r="C1175" s="544"/>
      <c r="E1175" s="544"/>
      <c r="F1175" s="544"/>
      <c r="G1175" s="544"/>
      <c r="H1175" s="544"/>
      <c r="I1175" s="544"/>
      <c r="J1175" s="544"/>
      <c r="K1175" s="544"/>
      <c r="L1175" s="544"/>
      <c r="M1175" s="544"/>
    </row>
    <row r="1176" spans="2:13" x14ac:dyDescent="0.35">
      <c r="B1176" s="544"/>
      <c r="C1176" s="544"/>
      <c r="E1176" s="544"/>
      <c r="F1176" s="544"/>
      <c r="G1176" s="544"/>
      <c r="H1176" s="544"/>
      <c r="I1176" s="544"/>
      <c r="J1176" s="544"/>
      <c r="K1176" s="544"/>
      <c r="L1176" s="544"/>
      <c r="M1176" s="544"/>
    </row>
    <row r="1177" spans="2:13" x14ac:dyDescent="0.35">
      <c r="B1177" s="544"/>
      <c r="C1177" s="544"/>
      <c r="E1177" s="544"/>
      <c r="F1177" s="544"/>
      <c r="G1177" s="544"/>
      <c r="H1177" s="544"/>
      <c r="I1177" s="544"/>
      <c r="J1177" s="544"/>
      <c r="K1177" s="544"/>
      <c r="L1177" s="544"/>
      <c r="M1177" s="544"/>
    </row>
    <row r="1178" spans="2:13" x14ac:dyDescent="0.35">
      <c r="B1178" s="544"/>
      <c r="C1178" s="544"/>
      <c r="E1178" s="544"/>
      <c r="F1178" s="544"/>
      <c r="G1178" s="544"/>
      <c r="H1178" s="544"/>
      <c r="I1178" s="544"/>
      <c r="J1178" s="544"/>
      <c r="K1178" s="544"/>
      <c r="L1178" s="544"/>
      <c r="M1178" s="544"/>
    </row>
    <row r="1179" spans="2:13" x14ac:dyDescent="0.35">
      <c r="B1179" s="544"/>
      <c r="C1179" s="544"/>
      <c r="E1179" s="544"/>
      <c r="F1179" s="544"/>
      <c r="G1179" s="544"/>
      <c r="H1179" s="544"/>
      <c r="I1179" s="544"/>
      <c r="J1179" s="544"/>
      <c r="K1179" s="544"/>
      <c r="L1179" s="544"/>
      <c r="M1179" s="544"/>
    </row>
    <row r="1180" spans="2:13" x14ac:dyDescent="0.35">
      <c r="B1180" s="544"/>
      <c r="C1180" s="544"/>
      <c r="E1180" s="544"/>
      <c r="F1180" s="544"/>
      <c r="G1180" s="544"/>
      <c r="H1180" s="544"/>
      <c r="I1180" s="544"/>
      <c r="J1180" s="544"/>
      <c r="K1180" s="544"/>
      <c r="L1180" s="544"/>
      <c r="M1180" s="544"/>
    </row>
    <row r="1181" spans="2:13" x14ac:dyDescent="0.35">
      <c r="B1181" s="544"/>
      <c r="C1181" s="544"/>
      <c r="E1181" s="544"/>
      <c r="F1181" s="544"/>
      <c r="G1181" s="544"/>
      <c r="H1181" s="544"/>
      <c r="I1181" s="544"/>
      <c r="J1181" s="544"/>
      <c r="K1181" s="544"/>
      <c r="L1181" s="544"/>
      <c r="M1181" s="544"/>
    </row>
    <row r="1182" spans="2:13" x14ac:dyDescent="0.35">
      <c r="B1182" s="544"/>
      <c r="C1182" s="544"/>
      <c r="E1182" s="544"/>
      <c r="F1182" s="544"/>
      <c r="G1182" s="544"/>
      <c r="H1182" s="544"/>
      <c r="I1182" s="544"/>
      <c r="J1182" s="544"/>
      <c r="K1182" s="544"/>
      <c r="L1182" s="544"/>
      <c r="M1182" s="544"/>
    </row>
    <row r="1183" spans="2:13" x14ac:dyDescent="0.35">
      <c r="B1183" s="544"/>
      <c r="C1183" s="544"/>
      <c r="E1183" s="544"/>
      <c r="F1183" s="544"/>
      <c r="G1183" s="544"/>
      <c r="H1183" s="544"/>
      <c r="I1183" s="544"/>
      <c r="J1183" s="544"/>
      <c r="K1183" s="544"/>
      <c r="L1183" s="544"/>
      <c r="M1183" s="544"/>
    </row>
    <row r="1184" spans="2:13" x14ac:dyDescent="0.35">
      <c r="B1184" s="544"/>
      <c r="C1184" s="544"/>
      <c r="E1184" s="544"/>
      <c r="F1184" s="544"/>
      <c r="G1184" s="544"/>
      <c r="H1184" s="544"/>
      <c r="I1184" s="544"/>
      <c r="J1184" s="544"/>
      <c r="K1184" s="544"/>
      <c r="L1184" s="544"/>
      <c r="M1184" s="544"/>
    </row>
    <row r="1185" spans="2:13" x14ac:dyDescent="0.35">
      <c r="B1185" s="544"/>
      <c r="C1185" s="544"/>
      <c r="E1185" s="544"/>
      <c r="F1185" s="544"/>
      <c r="G1185" s="544"/>
      <c r="H1185" s="544"/>
      <c r="I1185" s="544"/>
      <c r="J1185" s="544"/>
      <c r="K1185" s="544"/>
      <c r="L1185" s="544"/>
      <c r="M1185" s="544"/>
    </row>
    <row r="1186" spans="2:13" x14ac:dyDescent="0.35">
      <c r="B1186" s="544"/>
      <c r="C1186" s="544"/>
      <c r="E1186" s="544"/>
      <c r="F1186" s="544"/>
      <c r="G1186" s="544"/>
      <c r="H1186" s="544"/>
      <c r="I1186" s="544"/>
      <c r="J1186" s="544"/>
      <c r="K1186" s="544"/>
      <c r="L1186" s="544"/>
      <c r="M1186" s="544"/>
    </row>
    <row r="1187" spans="2:13" x14ac:dyDescent="0.35">
      <c r="B1187" s="544"/>
      <c r="C1187" s="544"/>
      <c r="E1187" s="544"/>
      <c r="F1187" s="544"/>
      <c r="G1187" s="544"/>
      <c r="H1187" s="544"/>
      <c r="I1187" s="544"/>
      <c r="J1187" s="544"/>
      <c r="K1187" s="544"/>
      <c r="L1187" s="544"/>
      <c r="M1187" s="544"/>
    </row>
    <row r="1188" spans="2:13" x14ac:dyDescent="0.35">
      <c r="B1188" s="544"/>
      <c r="C1188" s="544"/>
      <c r="E1188" s="544"/>
      <c r="F1188" s="544"/>
      <c r="G1188" s="544"/>
      <c r="H1188" s="544"/>
      <c r="I1188" s="544"/>
      <c r="J1188" s="544"/>
      <c r="K1188" s="544"/>
      <c r="L1188" s="544"/>
      <c r="M1188" s="544"/>
    </row>
    <row r="1189" spans="2:13" x14ac:dyDescent="0.35">
      <c r="B1189" s="544"/>
      <c r="C1189" s="544"/>
      <c r="E1189" s="544"/>
      <c r="F1189" s="544"/>
      <c r="G1189" s="544"/>
      <c r="H1189" s="544"/>
      <c r="I1189" s="544"/>
      <c r="J1189" s="544"/>
      <c r="K1189" s="544"/>
      <c r="L1189" s="544"/>
      <c r="M1189" s="544"/>
    </row>
    <row r="1190" spans="2:13" x14ac:dyDescent="0.35">
      <c r="B1190" s="544"/>
      <c r="C1190" s="544"/>
      <c r="E1190" s="544"/>
      <c r="F1190" s="544"/>
      <c r="G1190" s="544"/>
      <c r="H1190" s="544"/>
      <c r="I1190" s="544"/>
      <c r="J1190" s="544"/>
      <c r="K1190" s="544"/>
      <c r="L1190" s="544"/>
      <c r="M1190" s="544"/>
    </row>
    <row r="1191" spans="2:13" x14ac:dyDescent="0.35">
      <c r="B1191" s="544"/>
      <c r="C1191" s="544"/>
      <c r="E1191" s="544"/>
      <c r="F1191" s="544"/>
      <c r="G1191" s="544"/>
      <c r="H1191" s="544"/>
      <c r="I1191" s="544"/>
      <c r="J1191" s="544"/>
      <c r="K1191" s="544"/>
      <c r="L1191" s="544"/>
      <c r="M1191" s="544"/>
    </row>
    <row r="1192" spans="2:13" x14ac:dyDescent="0.35">
      <c r="B1192" s="544"/>
      <c r="C1192" s="544"/>
      <c r="E1192" s="544"/>
      <c r="F1192" s="544"/>
      <c r="G1192" s="544"/>
      <c r="H1192" s="544"/>
      <c r="I1192" s="544"/>
      <c r="J1192" s="544"/>
      <c r="K1192" s="544"/>
      <c r="L1192" s="544"/>
      <c r="M1192" s="544"/>
    </row>
    <row r="1193" spans="2:13" x14ac:dyDescent="0.35">
      <c r="B1193" s="544"/>
      <c r="C1193" s="544"/>
      <c r="E1193" s="544"/>
      <c r="F1193" s="544"/>
      <c r="G1193" s="544"/>
      <c r="H1193" s="544"/>
      <c r="I1193" s="544"/>
      <c r="J1193" s="544"/>
      <c r="K1193" s="544"/>
      <c r="L1193" s="544"/>
      <c r="M1193" s="544"/>
    </row>
    <row r="1194" spans="2:13" x14ac:dyDescent="0.35">
      <c r="B1194" s="544"/>
      <c r="C1194" s="544"/>
      <c r="E1194" s="544"/>
      <c r="F1194" s="544"/>
      <c r="G1194" s="544"/>
      <c r="H1194" s="544"/>
      <c r="I1194" s="544"/>
      <c r="J1194" s="544"/>
      <c r="K1194" s="544"/>
      <c r="L1194" s="544"/>
      <c r="M1194" s="544"/>
    </row>
    <row r="1195" spans="2:13" x14ac:dyDescent="0.35">
      <c r="B1195" s="544"/>
      <c r="C1195" s="544"/>
      <c r="E1195" s="544"/>
      <c r="F1195" s="544"/>
      <c r="G1195" s="544"/>
      <c r="H1195" s="544"/>
      <c r="I1195" s="544"/>
      <c r="J1195" s="544"/>
      <c r="K1195" s="544"/>
      <c r="L1195" s="544"/>
      <c r="M1195" s="544"/>
    </row>
    <row r="1196" spans="2:13" x14ac:dyDescent="0.35">
      <c r="B1196" s="544"/>
      <c r="C1196" s="544"/>
      <c r="E1196" s="544"/>
      <c r="F1196" s="544"/>
      <c r="G1196" s="544"/>
      <c r="H1196" s="544"/>
      <c r="I1196" s="544"/>
      <c r="J1196" s="544"/>
      <c r="K1196" s="544"/>
      <c r="L1196" s="544"/>
      <c r="M1196" s="544"/>
    </row>
    <row r="1197" spans="2:13" x14ac:dyDescent="0.35">
      <c r="B1197" s="544"/>
      <c r="C1197" s="544"/>
      <c r="E1197" s="544"/>
      <c r="F1197" s="544"/>
      <c r="G1197" s="544"/>
      <c r="H1197" s="544"/>
      <c r="I1197" s="544"/>
      <c r="J1197" s="544"/>
      <c r="K1197" s="544"/>
      <c r="L1197" s="544"/>
      <c r="M1197" s="544"/>
    </row>
    <row r="1198" spans="2:13" x14ac:dyDescent="0.35">
      <c r="B1198" s="544"/>
      <c r="C1198" s="544"/>
      <c r="E1198" s="544"/>
      <c r="F1198" s="544"/>
      <c r="G1198" s="544"/>
      <c r="H1198" s="544"/>
      <c r="I1198" s="544"/>
      <c r="J1198" s="544"/>
      <c r="K1198" s="544"/>
      <c r="L1198" s="544"/>
      <c r="M1198" s="544"/>
    </row>
    <row r="1199" spans="2:13" x14ac:dyDescent="0.35">
      <c r="B1199" s="544"/>
      <c r="C1199" s="544"/>
      <c r="E1199" s="544"/>
      <c r="F1199" s="544"/>
      <c r="G1199" s="544"/>
      <c r="H1199" s="544"/>
      <c r="I1199" s="544"/>
      <c r="J1199" s="544"/>
      <c r="K1199" s="544"/>
      <c r="L1199" s="544"/>
      <c r="M1199" s="544"/>
    </row>
    <row r="1200" spans="2:13" x14ac:dyDescent="0.35">
      <c r="B1200" s="544"/>
      <c r="C1200" s="544"/>
      <c r="E1200" s="544"/>
      <c r="F1200" s="544"/>
      <c r="G1200" s="544"/>
      <c r="H1200" s="544"/>
      <c r="I1200" s="544"/>
      <c r="J1200" s="544"/>
      <c r="K1200" s="544"/>
      <c r="L1200" s="544"/>
      <c r="M1200" s="544"/>
    </row>
    <row r="1201" spans="2:13" x14ac:dyDescent="0.35">
      <c r="B1201" s="544"/>
      <c r="C1201" s="544"/>
      <c r="E1201" s="544"/>
      <c r="F1201" s="544"/>
      <c r="G1201" s="544"/>
      <c r="H1201" s="544"/>
      <c r="I1201" s="544"/>
      <c r="J1201" s="544"/>
      <c r="K1201" s="544"/>
      <c r="L1201" s="544"/>
      <c r="M1201" s="544"/>
    </row>
    <row r="1202" spans="2:13" x14ac:dyDescent="0.35">
      <c r="B1202" s="544"/>
      <c r="C1202" s="544"/>
      <c r="E1202" s="544"/>
      <c r="F1202" s="544"/>
      <c r="G1202" s="544"/>
      <c r="H1202" s="544"/>
      <c r="I1202" s="544"/>
      <c r="J1202" s="544"/>
      <c r="K1202" s="544"/>
      <c r="L1202" s="544"/>
      <c r="M1202" s="544"/>
    </row>
    <row r="1203" spans="2:13" x14ac:dyDescent="0.35">
      <c r="B1203" s="544"/>
      <c r="C1203" s="544"/>
      <c r="E1203" s="544"/>
      <c r="F1203" s="544"/>
      <c r="G1203" s="544"/>
      <c r="H1203" s="544"/>
      <c r="I1203" s="544"/>
      <c r="J1203" s="544"/>
      <c r="K1203" s="544"/>
      <c r="L1203" s="544"/>
      <c r="M1203" s="544"/>
    </row>
    <row r="1204" spans="2:13" x14ac:dyDescent="0.35">
      <c r="B1204" s="544"/>
      <c r="C1204" s="544"/>
      <c r="E1204" s="544"/>
      <c r="F1204" s="544"/>
      <c r="G1204" s="544"/>
      <c r="H1204" s="544"/>
      <c r="I1204" s="544"/>
      <c r="J1204" s="544"/>
      <c r="K1204" s="544"/>
      <c r="L1204" s="544"/>
      <c r="M1204" s="544"/>
    </row>
    <row r="1205" spans="2:13" x14ac:dyDescent="0.35">
      <c r="B1205" s="544"/>
      <c r="C1205" s="544"/>
      <c r="E1205" s="544"/>
      <c r="F1205" s="544"/>
      <c r="G1205" s="544"/>
      <c r="H1205" s="544"/>
      <c r="I1205" s="544"/>
      <c r="J1205" s="544"/>
      <c r="K1205" s="544"/>
      <c r="L1205" s="544"/>
      <c r="M1205" s="544"/>
    </row>
    <row r="1206" spans="2:13" x14ac:dyDescent="0.35">
      <c r="B1206" s="544"/>
      <c r="C1206" s="544"/>
      <c r="E1206" s="544"/>
      <c r="F1206" s="544"/>
      <c r="G1206" s="544"/>
      <c r="H1206" s="544"/>
      <c r="I1206" s="544"/>
      <c r="J1206" s="544"/>
      <c r="K1206" s="544"/>
      <c r="L1206" s="544"/>
      <c r="M1206" s="544"/>
    </row>
    <row r="1207" spans="2:13" x14ac:dyDescent="0.35">
      <c r="B1207" s="544"/>
      <c r="C1207" s="544"/>
      <c r="E1207" s="544"/>
      <c r="F1207" s="544"/>
      <c r="G1207" s="544"/>
      <c r="H1207" s="544"/>
      <c r="I1207" s="544"/>
      <c r="J1207" s="544"/>
      <c r="K1207" s="544"/>
      <c r="L1207" s="544"/>
      <c r="M1207" s="544"/>
    </row>
    <row r="1208" spans="2:13" x14ac:dyDescent="0.35">
      <c r="B1208" s="544"/>
      <c r="C1208" s="544"/>
      <c r="E1208" s="544"/>
      <c r="F1208" s="544"/>
      <c r="G1208" s="544"/>
      <c r="H1208" s="544"/>
      <c r="I1208" s="544"/>
      <c r="J1208" s="544"/>
      <c r="K1208" s="544"/>
      <c r="L1208" s="544"/>
      <c r="M1208" s="544"/>
    </row>
    <row r="1209" spans="2:13" x14ac:dyDescent="0.35">
      <c r="B1209" s="544"/>
      <c r="C1209" s="544"/>
      <c r="E1209" s="544"/>
      <c r="F1209" s="544"/>
      <c r="G1209" s="544"/>
      <c r="H1209" s="544"/>
      <c r="I1209" s="544"/>
      <c r="J1209" s="544"/>
      <c r="K1209" s="544"/>
      <c r="L1209" s="544"/>
      <c r="M1209" s="544"/>
    </row>
    <row r="1210" spans="2:13" x14ac:dyDescent="0.35">
      <c r="B1210" s="544"/>
      <c r="C1210" s="544"/>
      <c r="E1210" s="544"/>
      <c r="F1210" s="544"/>
      <c r="G1210" s="544"/>
      <c r="H1210" s="544"/>
      <c r="I1210" s="544"/>
      <c r="J1210" s="544"/>
      <c r="K1210" s="544"/>
      <c r="L1210" s="544"/>
      <c r="M1210" s="544"/>
    </row>
    <row r="1211" spans="2:13" x14ac:dyDescent="0.35">
      <c r="B1211" s="544"/>
      <c r="C1211" s="544"/>
      <c r="E1211" s="544"/>
      <c r="F1211" s="544"/>
      <c r="G1211" s="544"/>
      <c r="H1211" s="544"/>
      <c r="I1211" s="544"/>
      <c r="J1211" s="544"/>
      <c r="K1211" s="544"/>
      <c r="L1211" s="544"/>
      <c r="M1211" s="544"/>
    </row>
    <row r="1212" spans="2:13" x14ac:dyDescent="0.35">
      <c r="B1212" s="544"/>
      <c r="C1212" s="544"/>
      <c r="E1212" s="544"/>
      <c r="F1212" s="544"/>
      <c r="G1212" s="544"/>
      <c r="H1212" s="544"/>
      <c r="I1212" s="544"/>
      <c r="J1212" s="544"/>
      <c r="K1212" s="544"/>
      <c r="L1212" s="544"/>
      <c r="M1212" s="544"/>
    </row>
    <row r="1213" spans="2:13" x14ac:dyDescent="0.35">
      <c r="B1213" s="544"/>
      <c r="C1213" s="544"/>
      <c r="E1213" s="544"/>
      <c r="F1213" s="544"/>
      <c r="G1213" s="544"/>
      <c r="H1213" s="544"/>
      <c r="I1213" s="544"/>
      <c r="J1213" s="544"/>
      <c r="K1213" s="544"/>
      <c r="L1213" s="544"/>
      <c r="M1213" s="544"/>
    </row>
    <row r="1214" spans="2:13" x14ac:dyDescent="0.35">
      <c r="B1214" s="544"/>
      <c r="C1214" s="544"/>
      <c r="E1214" s="544"/>
      <c r="F1214" s="544"/>
      <c r="G1214" s="544"/>
      <c r="H1214" s="544"/>
      <c r="I1214" s="544"/>
      <c r="J1214" s="544"/>
      <c r="K1214" s="544"/>
      <c r="L1214" s="544"/>
      <c r="M1214" s="544"/>
    </row>
    <row r="1215" spans="2:13" x14ac:dyDescent="0.35">
      <c r="B1215" s="544"/>
      <c r="C1215" s="544"/>
      <c r="E1215" s="544"/>
      <c r="F1215" s="544"/>
      <c r="G1215" s="544"/>
      <c r="H1215" s="544"/>
      <c r="I1215" s="544"/>
      <c r="J1215" s="544"/>
      <c r="K1215" s="544"/>
      <c r="L1215" s="544"/>
      <c r="M1215" s="544"/>
    </row>
    <row r="1216" spans="2:13" x14ac:dyDescent="0.35">
      <c r="B1216" s="544"/>
      <c r="C1216" s="544"/>
      <c r="E1216" s="544"/>
      <c r="F1216" s="544"/>
      <c r="G1216" s="544"/>
      <c r="H1216" s="544"/>
      <c r="I1216" s="544"/>
      <c r="J1216" s="544"/>
      <c r="K1216" s="544"/>
      <c r="L1216" s="544"/>
      <c r="M1216" s="544"/>
    </row>
    <row r="1217" spans="2:13" x14ac:dyDescent="0.35">
      <c r="B1217" s="544"/>
      <c r="C1217" s="544"/>
      <c r="E1217" s="544"/>
      <c r="F1217" s="544"/>
      <c r="G1217" s="544"/>
      <c r="H1217" s="544"/>
      <c r="I1217" s="544"/>
      <c r="J1217" s="544"/>
      <c r="K1217" s="544"/>
      <c r="L1217" s="544"/>
      <c r="M1217" s="544"/>
    </row>
    <row r="1218" spans="2:13" x14ac:dyDescent="0.35">
      <c r="B1218" s="544"/>
      <c r="C1218" s="544"/>
      <c r="E1218" s="544"/>
      <c r="F1218" s="544"/>
      <c r="G1218" s="544"/>
      <c r="H1218" s="544"/>
      <c r="I1218" s="544"/>
      <c r="J1218" s="544"/>
      <c r="K1218" s="544"/>
      <c r="L1218" s="544"/>
      <c r="M1218" s="544"/>
    </row>
    <row r="1219" spans="2:13" x14ac:dyDescent="0.35">
      <c r="B1219" s="544"/>
      <c r="C1219" s="544"/>
      <c r="E1219" s="544"/>
      <c r="F1219" s="544"/>
      <c r="G1219" s="544"/>
      <c r="H1219" s="544"/>
      <c r="I1219" s="544"/>
      <c r="J1219" s="544"/>
      <c r="K1219" s="544"/>
      <c r="L1219" s="544"/>
      <c r="M1219" s="544"/>
    </row>
    <row r="1220" spans="2:13" x14ac:dyDescent="0.35">
      <c r="B1220" s="544"/>
      <c r="C1220" s="544"/>
      <c r="E1220" s="544"/>
      <c r="F1220" s="544"/>
      <c r="G1220" s="544"/>
      <c r="H1220" s="544"/>
      <c r="I1220" s="544"/>
      <c r="J1220" s="544"/>
      <c r="K1220" s="544"/>
      <c r="L1220" s="544"/>
      <c r="M1220" s="544"/>
    </row>
    <row r="1221" spans="2:13" x14ac:dyDescent="0.35">
      <c r="B1221" s="544"/>
      <c r="C1221" s="544"/>
      <c r="E1221" s="544"/>
      <c r="F1221" s="544"/>
      <c r="G1221" s="544"/>
      <c r="H1221" s="544"/>
      <c r="I1221" s="544"/>
      <c r="J1221" s="544"/>
      <c r="K1221" s="544"/>
      <c r="L1221" s="544"/>
      <c r="M1221" s="544"/>
    </row>
    <row r="1222" spans="2:13" x14ac:dyDescent="0.35">
      <c r="B1222" s="544"/>
      <c r="C1222" s="544"/>
      <c r="E1222" s="544"/>
      <c r="F1222" s="544"/>
      <c r="G1222" s="544"/>
      <c r="H1222" s="544"/>
      <c r="I1222" s="544"/>
      <c r="J1222" s="544"/>
      <c r="K1222" s="544"/>
      <c r="L1222" s="544"/>
      <c r="M1222" s="544"/>
    </row>
    <row r="1223" spans="2:13" x14ac:dyDescent="0.35">
      <c r="B1223" s="544"/>
      <c r="C1223" s="544"/>
      <c r="E1223" s="544"/>
      <c r="F1223" s="544"/>
      <c r="G1223" s="544"/>
      <c r="H1223" s="544"/>
      <c r="I1223" s="544"/>
      <c r="J1223" s="544"/>
      <c r="K1223" s="544"/>
      <c r="L1223" s="544"/>
      <c r="M1223" s="544"/>
    </row>
    <row r="1224" spans="2:13" x14ac:dyDescent="0.35">
      <c r="B1224" s="544"/>
      <c r="C1224" s="544"/>
      <c r="E1224" s="544"/>
      <c r="F1224" s="544"/>
      <c r="G1224" s="544"/>
      <c r="H1224" s="544"/>
      <c r="I1224" s="544"/>
      <c r="J1224" s="544"/>
      <c r="K1224" s="544"/>
      <c r="L1224" s="544"/>
      <c r="M1224" s="544"/>
    </row>
    <row r="1225" spans="2:13" x14ac:dyDescent="0.35">
      <c r="B1225" s="544"/>
      <c r="C1225" s="544"/>
      <c r="E1225" s="544"/>
      <c r="F1225" s="544"/>
      <c r="G1225" s="544"/>
      <c r="H1225" s="544"/>
      <c r="I1225" s="544"/>
      <c r="J1225" s="544"/>
      <c r="K1225" s="544"/>
      <c r="L1225" s="544"/>
      <c r="M1225" s="544"/>
    </row>
    <row r="1226" spans="2:13" x14ac:dyDescent="0.35">
      <c r="B1226" s="544"/>
      <c r="C1226" s="544"/>
      <c r="E1226" s="544"/>
      <c r="F1226" s="544"/>
      <c r="G1226" s="544"/>
      <c r="H1226" s="544"/>
      <c r="I1226" s="544"/>
      <c r="J1226" s="544"/>
      <c r="K1226" s="544"/>
      <c r="L1226" s="544"/>
      <c r="M1226" s="544"/>
    </row>
    <row r="1227" spans="2:13" x14ac:dyDescent="0.35">
      <c r="B1227" s="544"/>
      <c r="C1227" s="544"/>
      <c r="E1227" s="544"/>
      <c r="F1227" s="544"/>
      <c r="G1227" s="544"/>
      <c r="H1227" s="544"/>
      <c r="I1227" s="544"/>
      <c r="J1227" s="544"/>
      <c r="K1227" s="544"/>
      <c r="L1227" s="544"/>
      <c r="M1227" s="544"/>
    </row>
    <row r="1228" spans="2:13" x14ac:dyDescent="0.35">
      <c r="B1228" s="544"/>
      <c r="C1228" s="544"/>
      <c r="E1228" s="544"/>
      <c r="F1228" s="544"/>
      <c r="G1228" s="544"/>
      <c r="H1228" s="544"/>
      <c r="I1228" s="544"/>
      <c r="J1228" s="544"/>
      <c r="K1228" s="544"/>
      <c r="L1228" s="544"/>
      <c r="M1228" s="544"/>
    </row>
    <row r="1229" spans="2:13" x14ac:dyDescent="0.35">
      <c r="B1229" s="544"/>
      <c r="C1229" s="544"/>
      <c r="E1229" s="544"/>
      <c r="F1229" s="544"/>
      <c r="G1229" s="544"/>
      <c r="H1229" s="544"/>
      <c r="I1229" s="544"/>
      <c r="J1229" s="544"/>
      <c r="K1229" s="544"/>
      <c r="L1229" s="544"/>
      <c r="M1229" s="544"/>
    </row>
    <row r="1230" spans="2:13" x14ac:dyDescent="0.35">
      <c r="B1230" s="544"/>
      <c r="C1230" s="544"/>
      <c r="E1230" s="544"/>
      <c r="F1230" s="544"/>
      <c r="G1230" s="544"/>
      <c r="H1230" s="544"/>
      <c r="I1230" s="544"/>
      <c r="J1230" s="544"/>
      <c r="K1230" s="544"/>
      <c r="L1230" s="544"/>
      <c r="M1230" s="544"/>
    </row>
    <row r="1231" spans="2:13" x14ac:dyDescent="0.35">
      <c r="B1231" s="544"/>
      <c r="C1231" s="544"/>
      <c r="E1231" s="544"/>
      <c r="F1231" s="544"/>
      <c r="G1231" s="544"/>
      <c r="H1231" s="544"/>
      <c r="I1231" s="544"/>
      <c r="J1231" s="544"/>
      <c r="K1231" s="544"/>
      <c r="L1231" s="544"/>
      <c r="M1231" s="544"/>
    </row>
    <row r="1232" spans="2:13" x14ac:dyDescent="0.35">
      <c r="B1232" s="544"/>
      <c r="C1232" s="544"/>
      <c r="E1232" s="544"/>
      <c r="F1232" s="544"/>
      <c r="G1232" s="544"/>
      <c r="H1232" s="544"/>
      <c r="I1232" s="544"/>
      <c r="J1232" s="544"/>
      <c r="K1232" s="544"/>
      <c r="L1232" s="544"/>
      <c r="M1232" s="544"/>
    </row>
    <row r="1233" spans="2:13" x14ac:dyDescent="0.35">
      <c r="B1233" s="544"/>
      <c r="C1233" s="544"/>
      <c r="E1233" s="544"/>
      <c r="F1233" s="544"/>
      <c r="G1233" s="544"/>
      <c r="H1233" s="544"/>
      <c r="I1233" s="544"/>
      <c r="J1233" s="544"/>
      <c r="K1233" s="544"/>
      <c r="L1233" s="544"/>
      <c r="M1233" s="544"/>
    </row>
    <row r="1234" spans="2:13" x14ac:dyDescent="0.35">
      <c r="B1234" s="544"/>
      <c r="C1234" s="544"/>
      <c r="E1234" s="544"/>
      <c r="F1234" s="544"/>
      <c r="G1234" s="544"/>
      <c r="H1234" s="544"/>
      <c r="I1234" s="544"/>
      <c r="J1234" s="544"/>
      <c r="K1234" s="544"/>
      <c r="L1234" s="544"/>
      <c r="M1234" s="544"/>
    </row>
    <row r="1235" spans="2:13" x14ac:dyDescent="0.35">
      <c r="B1235" s="544"/>
      <c r="C1235" s="544"/>
      <c r="E1235" s="544"/>
      <c r="F1235" s="544"/>
      <c r="G1235" s="544"/>
      <c r="H1235" s="544"/>
      <c r="I1235" s="544"/>
      <c r="J1235" s="544"/>
      <c r="K1235" s="544"/>
      <c r="L1235" s="544"/>
      <c r="M1235" s="544"/>
    </row>
    <row r="1236" spans="2:13" x14ac:dyDescent="0.35">
      <c r="B1236" s="544"/>
      <c r="C1236" s="544"/>
      <c r="E1236" s="544"/>
      <c r="F1236" s="544"/>
      <c r="G1236" s="544"/>
      <c r="H1236" s="544"/>
      <c r="I1236" s="544"/>
      <c r="J1236" s="544"/>
      <c r="K1236" s="544"/>
      <c r="L1236" s="544"/>
      <c r="M1236" s="544"/>
    </row>
    <row r="1237" spans="2:13" x14ac:dyDescent="0.35">
      <c r="B1237" s="544"/>
      <c r="C1237" s="544"/>
      <c r="E1237" s="544"/>
      <c r="F1237" s="544"/>
      <c r="G1237" s="544"/>
      <c r="H1237" s="544"/>
      <c r="I1237" s="544"/>
      <c r="J1237" s="544"/>
      <c r="K1237" s="544"/>
      <c r="L1237" s="544"/>
      <c r="M1237" s="544"/>
    </row>
    <row r="1238" spans="2:13" x14ac:dyDescent="0.35">
      <c r="B1238" s="544"/>
      <c r="C1238" s="544"/>
      <c r="E1238" s="544"/>
      <c r="F1238" s="544"/>
      <c r="G1238" s="544"/>
      <c r="H1238" s="544"/>
      <c r="I1238" s="544"/>
      <c r="J1238" s="544"/>
      <c r="K1238" s="544"/>
      <c r="L1238" s="544"/>
      <c r="M1238" s="544"/>
    </row>
    <row r="1239" spans="2:13" x14ac:dyDescent="0.35">
      <c r="B1239" s="544"/>
      <c r="C1239" s="544"/>
      <c r="E1239" s="544"/>
      <c r="F1239" s="544"/>
      <c r="G1239" s="544"/>
      <c r="H1239" s="544"/>
      <c r="I1239" s="544"/>
      <c r="J1239" s="544"/>
      <c r="K1239" s="544"/>
      <c r="L1239" s="544"/>
      <c r="M1239" s="544"/>
    </row>
    <row r="1240" spans="2:13" x14ac:dyDescent="0.35">
      <c r="B1240" s="544"/>
      <c r="C1240" s="544"/>
      <c r="E1240" s="544"/>
      <c r="F1240" s="544"/>
      <c r="G1240" s="544"/>
      <c r="H1240" s="544"/>
      <c r="I1240" s="544"/>
      <c r="J1240" s="544"/>
      <c r="K1240" s="544"/>
      <c r="L1240" s="544"/>
      <c r="M1240" s="544"/>
    </row>
    <row r="1241" spans="2:13" x14ac:dyDescent="0.35">
      <c r="B1241" s="544"/>
      <c r="C1241" s="544"/>
      <c r="E1241" s="544"/>
      <c r="F1241" s="544"/>
      <c r="G1241" s="544"/>
      <c r="H1241" s="544"/>
      <c r="I1241" s="544"/>
      <c r="J1241" s="544"/>
      <c r="K1241" s="544"/>
      <c r="L1241" s="544"/>
      <c r="M1241" s="544"/>
    </row>
    <row r="1242" spans="2:13" x14ac:dyDescent="0.35">
      <c r="B1242" s="544"/>
      <c r="C1242" s="544"/>
      <c r="E1242" s="544"/>
      <c r="F1242" s="544"/>
      <c r="G1242" s="544"/>
      <c r="H1242" s="544"/>
      <c r="I1242" s="544"/>
      <c r="J1242" s="544"/>
      <c r="K1242" s="544"/>
      <c r="L1242" s="544"/>
      <c r="M1242" s="544"/>
    </row>
    <row r="1243" spans="2:13" x14ac:dyDescent="0.35">
      <c r="B1243" s="544"/>
      <c r="C1243" s="544"/>
      <c r="E1243" s="544"/>
      <c r="F1243" s="544"/>
      <c r="G1243" s="544"/>
      <c r="H1243" s="544"/>
      <c r="I1243" s="544"/>
      <c r="J1243" s="544"/>
      <c r="K1243" s="544"/>
      <c r="L1243" s="544"/>
      <c r="M1243" s="544"/>
    </row>
    <row r="1244" spans="2:13" x14ac:dyDescent="0.35">
      <c r="B1244" s="544"/>
      <c r="C1244" s="544"/>
      <c r="E1244" s="544"/>
      <c r="F1244" s="544"/>
      <c r="G1244" s="544"/>
      <c r="H1244" s="544"/>
      <c r="I1244" s="544"/>
      <c r="J1244" s="544"/>
      <c r="K1244" s="544"/>
      <c r="L1244" s="544"/>
      <c r="M1244" s="544"/>
    </row>
    <row r="1245" spans="2:13" x14ac:dyDescent="0.35">
      <c r="B1245" s="544"/>
      <c r="C1245" s="544"/>
      <c r="E1245" s="544"/>
      <c r="F1245" s="544"/>
      <c r="G1245" s="544"/>
      <c r="H1245" s="544"/>
      <c r="I1245" s="544"/>
      <c r="J1245" s="544"/>
      <c r="K1245" s="544"/>
      <c r="L1245" s="544"/>
      <c r="M1245" s="544"/>
    </row>
    <row r="1246" spans="2:13" x14ac:dyDescent="0.35">
      <c r="B1246" s="544"/>
      <c r="C1246" s="544"/>
      <c r="E1246" s="544"/>
      <c r="F1246" s="544"/>
      <c r="G1246" s="544"/>
      <c r="H1246" s="544"/>
      <c r="I1246" s="544"/>
      <c r="J1246" s="544"/>
      <c r="K1246" s="544"/>
      <c r="L1246" s="544"/>
      <c r="M1246" s="544"/>
    </row>
    <row r="1247" spans="2:13" x14ac:dyDescent="0.35">
      <c r="B1247" s="544"/>
      <c r="C1247" s="544"/>
      <c r="E1247" s="544"/>
      <c r="F1247" s="544"/>
      <c r="G1247" s="544"/>
      <c r="H1247" s="544"/>
      <c r="I1247" s="544"/>
      <c r="J1247" s="544"/>
      <c r="K1247" s="544"/>
      <c r="L1247" s="544"/>
      <c r="M1247" s="544"/>
    </row>
    <row r="1248" spans="2:13" x14ac:dyDescent="0.35">
      <c r="B1248" s="544"/>
      <c r="C1248" s="544"/>
      <c r="E1248" s="544"/>
      <c r="F1248" s="544"/>
      <c r="G1248" s="544"/>
      <c r="H1248" s="544"/>
      <c r="I1248" s="544"/>
      <c r="J1248" s="544"/>
      <c r="K1248" s="544"/>
      <c r="L1248" s="544"/>
      <c r="M1248" s="544"/>
    </row>
    <row r="1249" spans="2:13" x14ac:dyDescent="0.35">
      <c r="B1249" s="544"/>
      <c r="C1249" s="544"/>
      <c r="E1249" s="544"/>
      <c r="F1249" s="544"/>
      <c r="G1249" s="544"/>
      <c r="H1249" s="544"/>
      <c r="I1249" s="544"/>
      <c r="J1249" s="544"/>
      <c r="K1249" s="544"/>
      <c r="L1249" s="544"/>
      <c r="M1249" s="544"/>
    </row>
    <row r="1250" spans="2:13" x14ac:dyDescent="0.35">
      <c r="B1250" s="544"/>
      <c r="C1250" s="544"/>
      <c r="E1250" s="544"/>
      <c r="F1250" s="544"/>
      <c r="G1250" s="544"/>
      <c r="H1250" s="544"/>
      <c r="I1250" s="544"/>
      <c r="J1250" s="544"/>
      <c r="K1250" s="544"/>
      <c r="L1250" s="544"/>
      <c r="M1250" s="544"/>
    </row>
    <row r="1251" spans="2:13" x14ac:dyDescent="0.35">
      <c r="B1251" s="544"/>
      <c r="C1251" s="544"/>
      <c r="E1251" s="544"/>
      <c r="F1251" s="544"/>
      <c r="G1251" s="544"/>
      <c r="H1251" s="544"/>
      <c r="I1251" s="544"/>
      <c r="J1251" s="544"/>
      <c r="K1251" s="544"/>
      <c r="L1251" s="544"/>
      <c r="M1251" s="544"/>
    </row>
    <row r="1252" spans="2:13" x14ac:dyDescent="0.35">
      <c r="B1252" s="544"/>
      <c r="C1252" s="544"/>
      <c r="E1252" s="544"/>
      <c r="F1252" s="544"/>
      <c r="G1252" s="544"/>
      <c r="H1252" s="544"/>
      <c r="I1252" s="544"/>
      <c r="J1252" s="544"/>
      <c r="K1252" s="544"/>
      <c r="L1252" s="544"/>
      <c r="M1252" s="544"/>
    </row>
    <row r="1253" spans="2:13" x14ac:dyDescent="0.35">
      <c r="B1253" s="544"/>
      <c r="C1253" s="544"/>
      <c r="E1253" s="544"/>
      <c r="F1253" s="544"/>
      <c r="G1253" s="544"/>
      <c r="H1253" s="544"/>
      <c r="I1253" s="544"/>
      <c r="J1253" s="544"/>
      <c r="K1253" s="544"/>
      <c r="L1253" s="544"/>
      <c r="M1253" s="544"/>
    </row>
    <row r="1254" spans="2:13" x14ac:dyDescent="0.35">
      <c r="B1254" s="544"/>
      <c r="C1254" s="544"/>
      <c r="E1254" s="544"/>
      <c r="F1254" s="544"/>
      <c r="G1254" s="544"/>
      <c r="H1254" s="544"/>
      <c r="I1254" s="544"/>
      <c r="J1254" s="544"/>
      <c r="K1254" s="544"/>
      <c r="L1254" s="544"/>
      <c r="M1254" s="544"/>
    </row>
    <row r="1255" spans="2:13" x14ac:dyDescent="0.35">
      <c r="B1255" s="544"/>
      <c r="C1255" s="544"/>
      <c r="E1255" s="544"/>
      <c r="F1255" s="544"/>
      <c r="G1255" s="544"/>
      <c r="H1255" s="544"/>
      <c r="I1255" s="544"/>
      <c r="J1255" s="544"/>
      <c r="K1255" s="544"/>
      <c r="L1255" s="544"/>
      <c r="M1255" s="544"/>
    </row>
    <row r="1256" spans="2:13" x14ac:dyDescent="0.35">
      <c r="B1256" s="544"/>
      <c r="C1256" s="544"/>
      <c r="E1256" s="544"/>
      <c r="F1256" s="544"/>
      <c r="G1256" s="544"/>
      <c r="H1256" s="544"/>
      <c r="I1256" s="544"/>
      <c r="J1256" s="544"/>
      <c r="K1256" s="544"/>
      <c r="L1256" s="544"/>
      <c r="M1256" s="544"/>
    </row>
    <row r="1257" spans="2:13" x14ac:dyDescent="0.35">
      <c r="B1257" s="544"/>
      <c r="C1257" s="544"/>
      <c r="E1257" s="544"/>
      <c r="F1257" s="544"/>
      <c r="G1257" s="544"/>
      <c r="H1257" s="544"/>
      <c r="I1257" s="544"/>
      <c r="J1257" s="544"/>
      <c r="K1257" s="544"/>
      <c r="L1257" s="544"/>
      <c r="M1257" s="544"/>
    </row>
    <row r="1258" spans="2:13" x14ac:dyDescent="0.35">
      <c r="B1258" s="544"/>
      <c r="C1258" s="544"/>
      <c r="E1258" s="544"/>
      <c r="F1258" s="544"/>
      <c r="G1258" s="544"/>
      <c r="H1258" s="544"/>
      <c r="I1258" s="544"/>
      <c r="J1258" s="544"/>
      <c r="K1258" s="544"/>
      <c r="L1258" s="544"/>
      <c r="M1258" s="544"/>
    </row>
    <row r="1259" spans="2:13" x14ac:dyDescent="0.35">
      <c r="B1259" s="544"/>
      <c r="C1259" s="544"/>
      <c r="E1259" s="544"/>
      <c r="F1259" s="544"/>
      <c r="G1259" s="544"/>
      <c r="H1259" s="544"/>
      <c r="I1259" s="544"/>
      <c r="J1259" s="544"/>
      <c r="K1259" s="544"/>
      <c r="L1259" s="544"/>
      <c r="M1259" s="544"/>
    </row>
    <row r="1260" spans="2:13" x14ac:dyDescent="0.35">
      <c r="B1260" s="544"/>
      <c r="C1260" s="544"/>
      <c r="E1260" s="544"/>
      <c r="F1260" s="544"/>
      <c r="G1260" s="544"/>
      <c r="H1260" s="544"/>
      <c r="I1260" s="544"/>
      <c r="J1260" s="544"/>
      <c r="K1260" s="544"/>
      <c r="L1260" s="544"/>
      <c r="M1260" s="544"/>
    </row>
    <row r="1261" spans="2:13" x14ac:dyDescent="0.35">
      <c r="B1261" s="544"/>
      <c r="C1261" s="544"/>
      <c r="E1261" s="544"/>
      <c r="F1261" s="544"/>
      <c r="G1261" s="544"/>
      <c r="H1261" s="544"/>
      <c r="I1261" s="544"/>
      <c r="J1261" s="544"/>
      <c r="K1261" s="544"/>
      <c r="L1261" s="544"/>
      <c r="M1261" s="544"/>
    </row>
    <row r="1262" spans="2:13" x14ac:dyDescent="0.35">
      <c r="B1262" s="544"/>
      <c r="C1262" s="544"/>
      <c r="E1262" s="544"/>
      <c r="F1262" s="544"/>
      <c r="G1262" s="544"/>
      <c r="H1262" s="544"/>
      <c r="I1262" s="544"/>
      <c r="J1262" s="544"/>
      <c r="K1262" s="544"/>
      <c r="L1262" s="544"/>
      <c r="M1262" s="544"/>
    </row>
    <row r="1263" spans="2:13" x14ac:dyDescent="0.35">
      <c r="B1263" s="544"/>
      <c r="C1263" s="544"/>
      <c r="E1263" s="544"/>
      <c r="F1263" s="544"/>
      <c r="G1263" s="544"/>
      <c r="H1263" s="544"/>
      <c r="I1263" s="544"/>
      <c r="J1263" s="544"/>
      <c r="K1263" s="544"/>
      <c r="L1263" s="544"/>
      <c r="M1263" s="544"/>
    </row>
    <row r="1264" spans="2:13" x14ac:dyDescent="0.35">
      <c r="B1264" s="544"/>
      <c r="C1264" s="544"/>
      <c r="E1264" s="544"/>
      <c r="F1264" s="544"/>
      <c r="G1264" s="544"/>
      <c r="H1264" s="544"/>
      <c r="I1264" s="544"/>
      <c r="J1264" s="544"/>
      <c r="K1264" s="544"/>
      <c r="L1264" s="544"/>
      <c r="M1264" s="544"/>
    </row>
    <row r="1265" spans="2:13" x14ac:dyDescent="0.35">
      <c r="B1265" s="544"/>
      <c r="C1265" s="544"/>
      <c r="E1265" s="544"/>
      <c r="F1265" s="544"/>
      <c r="G1265" s="544"/>
      <c r="H1265" s="544"/>
      <c r="I1265" s="544"/>
      <c r="J1265" s="544"/>
      <c r="K1265" s="544"/>
      <c r="L1265" s="544"/>
      <c r="M1265" s="544"/>
    </row>
    <row r="1266" spans="2:13" x14ac:dyDescent="0.35">
      <c r="B1266" s="544"/>
      <c r="C1266" s="544"/>
      <c r="E1266" s="544"/>
      <c r="F1266" s="544"/>
      <c r="G1266" s="544"/>
      <c r="H1266" s="544"/>
      <c r="I1266" s="544"/>
      <c r="J1266" s="544"/>
      <c r="K1266" s="544"/>
      <c r="L1266" s="544"/>
      <c r="M1266" s="544"/>
    </row>
    <row r="1267" spans="2:13" x14ac:dyDescent="0.35">
      <c r="B1267" s="544"/>
      <c r="C1267" s="544"/>
      <c r="E1267" s="544"/>
      <c r="F1267" s="544"/>
      <c r="G1267" s="544"/>
      <c r="H1267" s="544"/>
      <c r="I1267" s="544"/>
      <c r="J1267" s="544"/>
      <c r="K1267" s="544"/>
      <c r="L1267" s="544"/>
      <c r="M1267" s="544"/>
    </row>
    <row r="1268" spans="2:13" x14ac:dyDescent="0.35">
      <c r="B1268" s="544"/>
      <c r="C1268" s="544"/>
      <c r="E1268" s="544"/>
      <c r="F1268" s="544"/>
      <c r="G1268" s="544"/>
      <c r="H1268" s="544"/>
      <c r="I1268" s="544"/>
      <c r="J1268" s="544"/>
      <c r="K1268" s="544"/>
      <c r="L1268" s="544"/>
      <c r="M1268" s="544"/>
    </row>
    <row r="1269" spans="2:13" x14ac:dyDescent="0.35">
      <c r="B1269" s="544"/>
      <c r="C1269" s="544"/>
      <c r="E1269" s="544"/>
      <c r="F1269" s="544"/>
      <c r="G1269" s="544"/>
      <c r="H1269" s="544"/>
      <c r="I1269" s="544"/>
      <c r="J1269" s="544"/>
      <c r="K1269" s="544"/>
      <c r="L1269" s="544"/>
      <c r="M1269" s="544"/>
    </row>
    <row r="1270" spans="2:13" x14ac:dyDescent="0.35">
      <c r="B1270" s="544"/>
      <c r="C1270" s="544"/>
      <c r="E1270" s="544"/>
      <c r="F1270" s="544"/>
      <c r="G1270" s="544"/>
      <c r="H1270" s="544"/>
      <c r="I1270" s="544"/>
      <c r="J1270" s="544"/>
      <c r="K1270" s="544"/>
      <c r="L1270" s="544"/>
      <c r="M1270" s="544"/>
    </row>
    <row r="1271" spans="2:13" x14ac:dyDescent="0.35">
      <c r="B1271" s="544"/>
      <c r="C1271" s="544"/>
      <c r="E1271" s="544"/>
      <c r="F1271" s="544"/>
      <c r="G1271" s="544"/>
      <c r="H1271" s="544"/>
      <c r="I1271" s="544"/>
      <c r="J1271" s="544"/>
      <c r="K1271" s="544"/>
      <c r="L1271" s="544"/>
      <c r="M1271" s="544"/>
    </row>
    <row r="1272" spans="2:13" x14ac:dyDescent="0.35">
      <c r="B1272" s="544"/>
      <c r="C1272" s="544"/>
      <c r="E1272" s="544"/>
      <c r="F1272" s="544"/>
      <c r="G1272" s="544"/>
      <c r="H1272" s="544"/>
      <c r="I1272" s="544"/>
      <c r="J1272" s="544"/>
      <c r="K1272" s="544"/>
      <c r="L1272" s="544"/>
      <c r="M1272" s="544"/>
    </row>
    <row r="1273" spans="2:13" x14ac:dyDescent="0.35">
      <c r="B1273" s="544"/>
      <c r="C1273" s="544"/>
      <c r="E1273" s="544"/>
      <c r="F1273" s="544"/>
      <c r="G1273" s="544"/>
      <c r="H1273" s="544"/>
      <c r="I1273" s="544"/>
      <c r="J1273" s="544"/>
      <c r="K1273" s="544"/>
      <c r="L1273" s="544"/>
      <c r="M1273" s="544"/>
    </row>
    <row r="1274" spans="2:13" x14ac:dyDescent="0.35">
      <c r="B1274" s="544"/>
      <c r="C1274" s="544"/>
      <c r="E1274" s="544"/>
      <c r="F1274" s="544"/>
      <c r="G1274" s="544"/>
      <c r="H1274" s="544"/>
      <c r="I1274" s="544"/>
      <c r="J1274" s="544"/>
      <c r="K1274" s="544"/>
      <c r="L1274" s="544"/>
      <c r="M1274" s="544"/>
    </row>
    <row r="1275" spans="2:13" x14ac:dyDescent="0.35">
      <c r="B1275" s="544"/>
      <c r="C1275" s="544"/>
      <c r="E1275" s="544"/>
      <c r="F1275" s="544"/>
      <c r="G1275" s="544"/>
      <c r="H1275" s="544"/>
      <c r="I1275" s="544"/>
      <c r="J1275" s="544"/>
      <c r="K1275" s="544"/>
      <c r="L1275" s="544"/>
      <c r="M1275" s="544"/>
    </row>
    <row r="1276" spans="2:13" x14ac:dyDescent="0.35">
      <c r="B1276" s="544"/>
      <c r="C1276" s="544"/>
      <c r="E1276" s="544"/>
      <c r="F1276" s="544"/>
      <c r="G1276" s="544"/>
      <c r="H1276" s="544"/>
      <c r="I1276" s="544"/>
      <c r="J1276" s="544"/>
      <c r="K1276" s="544"/>
      <c r="L1276" s="544"/>
      <c r="M1276" s="544"/>
    </row>
    <row r="1277" spans="2:13" x14ac:dyDescent="0.35">
      <c r="B1277" s="544"/>
      <c r="C1277" s="544"/>
      <c r="E1277" s="544"/>
      <c r="F1277" s="544"/>
      <c r="G1277" s="544"/>
      <c r="H1277" s="544"/>
      <c r="I1277" s="544"/>
      <c r="J1277" s="544"/>
      <c r="K1277" s="544"/>
      <c r="L1277" s="544"/>
      <c r="M1277" s="544"/>
    </row>
    <row r="1278" spans="2:13" x14ac:dyDescent="0.35">
      <c r="B1278" s="544"/>
      <c r="C1278" s="544"/>
      <c r="E1278" s="544"/>
      <c r="F1278" s="544"/>
      <c r="G1278" s="544"/>
      <c r="H1278" s="544"/>
      <c r="I1278" s="544"/>
      <c r="J1278" s="544"/>
      <c r="K1278" s="544"/>
      <c r="L1278" s="544"/>
      <c r="M1278" s="544"/>
    </row>
    <row r="1279" spans="2:13" x14ac:dyDescent="0.35">
      <c r="B1279" s="544"/>
      <c r="C1279" s="544"/>
      <c r="E1279" s="544"/>
      <c r="F1279" s="544"/>
      <c r="G1279" s="544"/>
      <c r="H1279" s="544"/>
      <c r="I1279" s="544"/>
      <c r="J1279" s="544"/>
      <c r="K1279" s="544"/>
      <c r="L1279" s="544"/>
      <c r="M1279" s="544"/>
    </row>
    <row r="1280" spans="2:13" x14ac:dyDescent="0.35">
      <c r="B1280" s="544"/>
      <c r="C1280" s="544"/>
      <c r="E1280" s="544"/>
      <c r="F1280" s="544"/>
      <c r="G1280" s="544"/>
      <c r="H1280" s="544"/>
      <c r="I1280" s="544"/>
      <c r="J1280" s="544"/>
      <c r="K1280" s="544"/>
      <c r="L1280" s="544"/>
      <c r="M1280" s="544"/>
    </row>
    <row r="1281" spans="2:13" x14ac:dyDescent="0.35">
      <c r="B1281" s="544"/>
      <c r="C1281" s="544"/>
      <c r="E1281" s="544"/>
      <c r="F1281" s="544"/>
      <c r="G1281" s="544"/>
      <c r="H1281" s="544"/>
      <c r="I1281" s="544"/>
      <c r="J1281" s="544"/>
      <c r="K1281" s="544"/>
      <c r="L1281" s="544"/>
      <c r="M1281" s="544"/>
    </row>
    <row r="1282" spans="2:13" x14ac:dyDescent="0.35">
      <c r="B1282" s="544"/>
      <c r="C1282" s="544"/>
      <c r="E1282" s="544"/>
      <c r="F1282" s="544"/>
      <c r="G1282" s="544"/>
      <c r="H1282" s="544"/>
      <c r="I1282" s="544"/>
      <c r="J1282" s="544"/>
      <c r="K1282" s="544"/>
      <c r="L1282" s="544"/>
      <c r="M1282" s="544"/>
    </row>
    <row r="1283" spans="2:13" x14ac:dyDescent="0.35">
      <c r="B1283" s="544"/>
      <c r="C1283" s="544"/>
      <c r="E1283" s="544"/>
      <c r="F1283" s="544"/>
      <c r="G1283" s="544"/>
      <c r="H1283" s="544"/>
      <c r="I1283" s="544"/>
      <c r="J1283" s="544"/>
      <c r="K1283" s="544"/>
      <c r="L1283" s="544"/>
      <c r="M1283" s="544"/>
    </row>
    <row r="1284" spans="2:13" x14ac:dyDescent="0.35">
      <c r="B1284" s="544"/>
      <c r="C1284" s="544"/>
      <c r="E1284" s="544"/>
      <c r="F1284" s="544"/>
      <c r="G1284" s="544"/>
      <c r="H1284" s="544"/>
      <c r="I1284" s="544"/>
      <c r="J1284" s="544"/>
      <c r="K1284" s="544"/>
      <c r="L1284" s="544"/>
      <c r="M1284" s="544"/>
    </row>
    <row r="1285" spans="2:13" x14ac:dyDescent="0.35">
      <c r="B1285" s="544"/>
      <c r="C1285" s="544"/>
      <c r="E1285" s="544"/>
      <c r="F1285" s="544"/>
      <c r="G1285" s="544"/>
      <c r="H1285" s="544"/>
      <c r="I1285" s="544"/>
      <c r="J1285" s="544"/>
      <c r="K1285" s="544"/>
      <c r="L1285" s="544"/>
      <c r="M1285" s="544"/>
    </row>
    <row r="1286" spans="2:13" x14ac:dyDescent="0.35">
      <c r="B1286" s="544"/>
      <c r="C1286" s="544"/>
      <c r="E1286" s="544"/>
      <c r="F1286" s="544"/>
      <c r="G1286" s="544"/>
      <c r="H1286" s="544"/>
      <c r="I1286" s="544"/>
      <c r="J1286" s="544"/>
      <c r="K1286" s="544"/>
      <c r="L1286" s="544"/>
      <c r="M1286" s="544"/>
    </row>
    <row r="1287" spans="2:13" x14ac:dyDescent="0.35">
      <c r="B1287" s="544"/>
      <c r="C1287" s="544"/>
      <c r="E1287" s="544"/>
      <c r="F1287" s="544"/>
      <c r="G1287" s="544"/>
      <c r="H1287" s="544"/>
      <c r="I1287" s="544"/>
      <c r="J1287" s="544"/>
      <c r="K1287" s="544"/>
      <c r="L1287" s="544"/>
      <c r="M1287" s="544"/>
    </row>
    <row r="1288" spans="2:13" x14ac:dyDescent="0.35">
      <c r="B1288" s="544"/>
      <c r="C1288" s="544"/>
      <c r="E1288" s="544"/>
      <c r="F1288" s="544"/>
      <c r="G1288" s="544"/>
      <c r="H1288" s="544"/>
      <c r="I1288" s="544"/>
      <c r="J1288" s="544"/>
      <c r="K1288" s="544"/>
      <c r="L1288" s="544"/>
      <c r="M1288" s="544"/>
    </row>
    <row r="1289" spans="2:13" x14ac:dyDescent="0.35">
      <c r="B1289" s="544"/>
      <c r="C1289" s="544"/>
      <c r="E1289" s="544"/>
      <c r="F1289" s="544"/>
      <c r="G1289" s="544"/>
      <c r="H1289" s="544"/>
      <c r="I1289" s="544"/>
      <c r="J1289" s="544"/>
      <c r="K1289" s="544"/>
      <c r="L1289" s="544"/>
      <c r="M1289" s="544"/>
    </row>
    <row r="1290" spans="2:13" x14ac:dyDescent="0.35">
      <c r="B1290" s="544"/>
      <c r="C1290" s="544"/>
      <c r="E1290" s="544"/>
      <c r="F1290" s="544"/>
      <c r="G1290" s="544"/>
      <c r="H1290" s="544"/>
      <c r="I1290" s="544"/>
      <c r="J1290" s="544"/>
      <c r="K1290" s="544"/>
      <c r="L1290" s="544"/>
      <c r="M1290" s="544"/>
    </row>
    <row r="1291" spans="2:13" x14ac:dyDescent="0.35">
      <c r="B1291" s="544"/>
      <c r="C1291" s="544"/>
      <c r="E1291" s="544"/>
      <c r="F1291" s="544"/>
      <c r="G1291" s="544"/>
      <c r="H1291" s="544"/>
      <c r="I1291" s="544"/>
      <c r="J1291" s="544"/>
      <c r="K1291" s="544"/>
      <c r="L1291" s="544"/>
      <c r="M1291" s="544"/>
    </row>
    <row r="1292" spans="2:13" x14ac:dyDescent="0.35">
      <c r="B1292" s="544"/>
      <c r="C1292" s="544"/>
      <c r="E1292" s="544"/>
      <c r="F1292" s="544"/>
      <c r="G1292" s="544"/>
      <c r="H1292" s="544"/>
      <c r="I1292" s="544"/>
      <c r="J1292" s="544"/>
      <c r="K1292" s="544"/>
      <c r="L1292" s="544"/>
      <c r="M1292" s="544"/>
    </row>
    <row r="1293" spans="2:13" x14ac:dyDescent="0.35">
      <c r="B1293" s="544"/>
      <c r="C1293" s="544"/>
      <c r="E1293" s="544"/>
      <c r="F1293" s="544"/>
      <c r="G1293" s="544"/>
      <c r="H1293" s="544"/>
      <c r="I1293" s="544"/>
      <c r="J1293" s="544"/>
      <c r="K1293" s="544"/>
      <c r="L1293" s="544"/>
      <c r="M1293" s="544"/>
    </row>
    <row r="1294" spans="2:13" x14ac:dyDescent="0.35">
      <c r="B1294" s="544"/>
      <c r="C1294" s="544"/>
      <c r="E1294" s="544"/>
      <c r="F1294" s="544"/>
      <c r="G1294" s="544"/>
      <c r="H1294" s="544"/>
      <c r="I1294" s="544"/>
      <c r="J1294" s="544"/>
      <c r="K1294" s="544"/>
      <c r="L1294" s="544"/>
      <c r="M1294" s="544"/>
    </row>
    <row r="1295" spans="2:13" x14ac:dyDescent="0.35">
      <c r="B1295" s="544"/>
      <c r="C1295" s="544"/>
      <c r="E1295" s="544"/>
      <c r="F1295" s="544"/>
      <c r="G1295" s="544"/>
      <c r="H1295" s="544"/>
      <c r="I1295" s="544"/>
      <c r="J1295" s="544"/>
      <c r="K1295" s="544"/>
      <c r="L1295" s="544"/>
      <c r="M1295" s="544"/>
    </row>
    <row r="1296" spans="2:13" x14ac:dyDescent="0.35">
      <c r="B1296" s="544"/>
      <c r="C1296" s="544"/>
      <c r="E1296" s="544"/>
      <c r="F1296" s="544"/>
      <c r="G1296" s="544"/>
      <c r="H1296" s="544"/>
      <c r="I1296" s="544"/>
      <c r="J1296" s="544"/>
      <c r="K1296" s="544"/>
      <c r="L1296" s="544"/>
      <c r="M1296" s="544"/>
    </row>
    <row r="1297" spans="2:13" x14ac:dyDescent="0.35">
      <c r="B1297" s="544"/>
      <c r="C1297" s="544"/>
      <c r="E1297" s="544"/>
      <c r="F1297" s="544"/>
      <c r="G1297" s="544"/>
      <c r="H1297" s="544"/>
      <c r="I1297" s="544"/>
      <c r="J1297" s="544"/>
      <c r="K1297" s="544"/>
      <c r="L1297" s="544"/>
      <c r="M1297" s="544"/>
    </row>
    <row r="1298" spans="2:13" x14ac:dyDescent="0.35">
      <c r="B1298" s="544"/>
      <c r="C1298" s="544"/>
      <c r="E1298" s="544"/>
      <c r="F1298" s="544"/>
      <c r="G1298" s="544"/>
      <c r="H1298" s="544"/>
      <c r="I1298" s="544"/>
      <c r="J1298" s="544"/>
      <c r="K1298" s="544"/>
      <c r="L1298" s="544"/>
      <c r="M1298" s="544"/>
    </row>
    <row r="1299" spans="2:13" x14ac:dyDescent="0.35">
      <c r="B1299" s="544"/>
      <c r="C1299" s="544"/>
      <c r="E1299" s="544"/>
      <c r="F1299" s="544"/>
      <c r="G1299" s="544"/>
      <c r="H1299" s="544"/>
      <c r="I1299" s="544"/>
      <c r="J1299" s="544"/>
      <c r="K1299" s="544"/>
      <c r="L1299" s="544"/>
      <c r="M1299" s="544"/>
    </row>
    <row r="1300" spans="2:13" x14ac:dyDescent="0.35">
      <c r="B1300" s="544"/>
      <c r="C1300" s="544"/>
      <c r="E1300" s="544"/>
      <c r="F1300" s="544"/>
      <c r="G1300" s="544"/>
      <c r="H1300" s="544"/>
      <c r="I1300" s="544"/>
      <c r="J1300" s="544"/>
      <c r="K1300" s="544"/>
      <c r="L1300" s="544"/>
      <c r="M1300" s="544"/>
    </row>
    <row r="1301" spans="2:13" x14ac:dyDescent="0.35">
      <c r="B1301" s="544"/>
      <c r="C1301" s="544"/>
      <c r="E1301" s="544"/>
      <c r="F1301" s="544"/>
      <c r="G1301" s="544"/>
      <c r="H1301" s="544"/>
      <c r="I1301" s="544"/>
      <c r="J1301" s="544"/>
      <c r="K1301" s="544"/>
      <c r="L1301" s="544"/>
      <c r="M1301" s="544"/>
    </row>
    <row r="1302" spans="2:13" x14ac:dyDescent="0.35">
      <c r="B1302" s="544"/>
      <c r="C1302" s="544"/>
      <c r="E1302" s="544"/>
      <c r="F1302" s="544"/>
      <c r="G1302" s="544"/>
      <c r="H1302" s="544"/>
      <c r="I1302" s="544"/>
      <c r="J1302" s="544"/>
      <c r="K1302" s="544"/>
      <c r="L1302" s="544"/>
      <c r="M1302" s="544"/>
    </row>
    <row r="1303" spans="2:13" x14ac:dyDescent="0.35">
      <c r="B1303" s="544"/>
      <c r="C1303" s="544"/>
      <c r="E1303" s="544"/>
      <c r="F1303" s="544"/>
      <c r="G1303" s="544"/>
      <c r="H1303" s="544"/>
      <c r="I1303" s="544"/>
      <c r="J1303" s="544"/>
      <c r="K1303" s="544"/>
      <c r="L1303" s="544"/>
      <c r="M1303" s="544"/>
    </row>
    <row r="1304" spans="2:13" x14ac:dyDescent="0.35">
      <c r="B1304" s="544"/>
      <c r="C1304" s="544"/>
      <c r="E1304" s="544"/>
      <c r="F1304" s="544"/>
      <c r="G1304" s="544"/>
      <c r="H1304" s="544"/>
      <c r="I1304" s="544"/>
      <c r="J1304" s="544"/>
      <c r="K1304" s="544"/>
      <c r="L1304" s="544"/>
      <c r="M1304" s="544"/>
    </row>
    <row r="1305" spans="2:13" x14ac:dyDescent="0.35">
      <c r="B1305" s="544"/>
      <c r="C1305" s="544"/>
      <c r="E1305" s="544"/>
      <c r="F1305" s="544"/>
      <c r="G1305" s="544"/>
      <c r="H1305" s="544"/>
      <c r="I1305" s="544"/>
      <c r="J1305" s="544"/>
      <c r="K1305" s="544"/>
      <c r="L1305" s="544"/>
      <c r="M1305" s="544"/>
    </row>
    <row r="1306" spans="2:13" x14ac:dyDescent="0.35">
      <c r="B1306" s="544"/>
      <c r="C1306" s="544"/>
      <c r="E1306" s="544"/>
      <c r="F1306" s="544"/>
      <c r="G1306" s="544"/>
      <c r="H1306" s="544"/>
      <c r="I1306" s="544"/>
      <c r="J1306" s="544"/>
      <c r="K1306" s="544"/>
      <c r="L1306" s="544"/>
      <c r="M1306" s="544"/>
    </row>
    <row r="1307" spans="2:13" x14ac:dyDescent="0.35">
      <c r="B1307" s="544"/>
      <c r="C1307" s="544"/>
      <c r="E1307" s="544"/>
      <c r="F1307" s="544"/>
      <c r="G1307" s="544"/>
      <c r="H1307" s="544"/>
      <c r="I1307" s="544"/>
      <c r="J1307" s="544"/>
      <c r="K1307" s="544"/>
      <c r="L1307" s="544"/>
      <c r="M1307" s="544"/>
    </row>
    <row r="1308" spans="2:13" x14ac:dyDescent="0.35">
      <c r="B1308" s="544"/>
      <c r="C1308" s="544"/>
      <c r="E1308" s="544"/>
      <c r="F1308" s="544"/>
      <c r="G1308" s="544"/>
      <c r="H1308" s="544"/>
      <c r="I1308" s="544"/>
      <c r="J1308" s="544"/>
      <c r="K1308" s="544"/>
      <c r="L1308" s="544"/>
      <c r="M1308" s="544"/>
    </row>
    <row r="1309" spans="2:13" x14ac:dyDescent="0.35">
      <c r="B1309" s="544"/>
      <c r="C1309" s="544"/>
      <c r="E1309" s="544"/>
      <c r="F1309" s="544"/>
      <c r="G1309" s="544"/>
      <c r="H1309" s="544"/>
      <c r="I1309" s="544"/>
      <c r="J1309" s="544"/>
      <c r="K1309" s="544"/>
      <c r="L1309" s="544"/>
      <c r="M1309" s="544"/>
    </row>
    <row r="1310" spans="2:13" x14ac:dyDescent="0.35">
      <c r="B1310" s="544"/>
      <c r="C1310" s="544"/>
      <c r="E1310" s="544"/>
      <c r="F1310" s="544"/>
      <c r="G1310" s="544"/>
      <c r="H1310" s="544"/>
      <c r="I1310" s="544"/>
      <c r="J1310" s="544"/>
      <c r="K1310" s="544"/>
      <c r="L1310" s="544"/>
      <c r="M1310" s="544"/>
    </row>
    <row r="1311" spans="2:13" x14ac:dyDescent="0.35">
      <c r="B1311" s="544"/>
      <c r="C1311" s="544"/>
      <c r="E1311" s="544"/>
      <c r="F1311" s="544"/>
      <c r="G1311" s="544"/>
      <c r="H1311" s="544"/>
      <c r="I1311" s="544"/>
      <c r="J1311" s="544"/>
      <c r="K1311" s="544"/>
      <c r="L1311" s="544"/>
      <c r="M1311" s="544"/>
    </row>
    <row r="1312" spans="2:13" x14ac:dyDescent="0.35">
      <c r="B1312" s="544"/>
      <c r="C1312" s="544"/>
      <c r="E1312" s="544"/>
      <c r="F1312" s="544"/>
      <c r="G1312" s="544"/>
      <c r="H1312" s="544"/>
      <c r="I1312" s="544"/>
      <c r="J1312" s="544"/>
      <c r="K1312" s="544"/>
      <c r="L1312" s="544"/>
      <c r="M1312" s="544"/>
    </row>
    <row r="1313" spans="2:13" x14ac:dyDescent="0.35">
      <c r="B1313" s="544"/>
      <c r="C1313" s="544"/>
      <c r="E1313" s="544"/>
      <c r="F1313" s="544"/>
      <c r="G1313" s="544"/>
      <c r="H1313" s="544"/>
      <c r="I1313" s="544"/>
      <c r="J1313" s="544"/>
      <c r="K1313" s="544"/>
      <c r="L1313" s="544"/>
      <c r="M1313" s="544"/>
    </row>
    <row r="1314" spans="2:13" x14ac:dyDescent="0.35">
      <c r="B1314" s="544"/>
      <c r="C1314" s="544"/>
      <c r="E1314" s="544"/>
      <c r="F1314" s="544"/>
      <c r="G1314" s="544"/>
      <c r="H1314" s="544"/>
      <c r="I1314" s="544"/>
      <c r="J1314" s="544"/>
      <c r="K1314" s="544"/>
      <c r="L1314" s="544"/>
      <c r="M1314" s="544"/>
    </row>
    <row r="1315" spans="2:13" x14ac:dyDescent="0.35">
      <c r="B1315" s="544"/>
      <c r="C1315" s="544"/>
      <c r="E1315" s="544"/>
      <c r="F1315" s="544"/>
      <c r="G1315" s="544"/>
      <c r="H1315" s="544"/>
      <c r="I1315" s="544"/>
      <c r="J1315" s="544"/>
      <c r="K1315" s="544"/>
      <c r="L1315" s="544"/>
      <c r="M1315" s="544"/>
    </row>
    <row r="1316" spans="2:13" x14ac:dyDescent="0.35">
      <c r="B1316" s="544"/>
      <c r="C1316" s="544"/>
      <c r="E1316" s="544"/>
      <c r="F1316" s="544"/>
      <c r="G1316" s="544"/>
      <c r="H1316" s="544"/>
      <c r="I1316" s="544"/>
      <c r="J1316" s="544"/>
      <c r="K1316" s="544"/>
      <c r="L1316" s="544"/>
      <c r="M1316" s="544"/>
    </row>
    <row r="1317" spans="2:13" x14ac:dyDescent="0.35">
      <c r="B1317" s="544"/>
      <c r="C1317" s="544"/>
      <c r="E1317" s="544"/>
      <c r="F1317" s="544"/>
      <c r="G1317" s="544"/>
      <c r="H1317" s="544"/>
      <c r="I1317" s="544"/>
      <c r="J1317" s="544"/>
      <c r="K1317" s="544"/>
      <c r="L1317" s="544"/>
      <c r="M1317" s="544"/>
    </row>
    <row r="1318" spans="2:13" x14ac:dyDescent="0.35">
      <c r="B1318" s="544"/>
      <c r="C1318" s="544"/>
      <c r="E1318" s="544"/>
      <c r="F1318" s="544"/>
      <c r="G1318" s="544"/>
      <c r="H1318" s="544"/>
      <c r="I1318" s="544"/>
      <c r="J1318" s="544"/>
      <c r="K1318" s="544"/>
      <c r="L1318" s="544"/>
      <c r="M1318" s="544"/>
    </row>
    <row r="1319" spans="2:13" x14ac:dyDescent="0.35">
      <c r="B1319" s="544"/>
      <c r="C1319" s="544"/>
      <c r="E1319" s="544"/>
      <c r="F1319" s="544"/>
      <c r="G1319" s="544"/>
      <c r="H1319" s="544"/>
      <c r="I1319" s="544"/>
      <c r="J1319" s="544"/>
      <c r="K1319" s="544"/>
      <c r="L1319" s="544"/>
      <c r="M1319" s="544"/>
    </row>
    <row r="1320" spans="2:13" x14ac:dyDescent="0.35">
      <c r="B1320" s="544"/>
      <c r="C1320" s="544"/>
      <c r="E1320" s="544"/>
      <c r="F1320" s="544"/>
      <c r="G1320" s="544"/>
      <c r="H1320" s="544"/>
      <c r="I1320" s="544"/>
      <c r="J1320" s="544"/>
      <c r="K1320" s="544"/>
      <c r="L1320" s="544"/>
      <c r="M1320" s="544"/>
    </row>
    <row r="1321" spans="2:13" x14ac:dyDescent="0.35">
      <c r="B1321" s="544"/>
      <c r="C1321" s="544"/>
      <c r="E1321" s="544"/>
      <c r="F1321" s="544"/>
      <c r="G1321" s="544"/>
      <c r="H1321" s="544"/>
      <c r="I1321" s="544"/>
      <c r="J1321" s="544"/>
      <c r="K1321" s="544"/>
      <c r="L1321" s="544"/>
      <c r="M1321" s="544"/>
    </row>
    <row r="1322" spans="2:13" x14ac:dyDescent="0.35">
      <c r="B1322" s="544"/>
      <c r="C1322" s="544"/>
      <c r="E1322" s="544"/>
      <c r="F1322" s="544"/>
      <c r="G1322" s="544"/>
      <c r="H1322" s="544"/>
      <c r="I1322" s="544"/>
      <c r="J1322" s="544"/>
      <c r="K1322" s="544"/>
      <c r="L1322" s="544"/>
      <c r="M1322" s="544"/>
    </row>
    <row r="1323" spans="2:13" x14ac:dyDescent="0.35">
      <c r="B1323" s="544"/>
      <c r="C1323" s="544"/>
      <c r="E1323" s="544"/>
      <c r="F1323" s="544"/>
      <c r="G1323" s="544"/>
      <c r="H1323" s="544"/>
      <c r="I1323" s="544"/>
      <c r="J1323" s="544"/>
      <c r="K1323" s="544"/>
      <c r="L1323" s="544"/>
      <c r="M1323" s="544"/>
    </row>
    <row r="1324" spans="2:13" x14ac:dyDescent="0.35">
      <c r="B1324" s="544"/>
      <c r="C1324" s="544"/>
      <c r="E1324" s="544"/>
      <c r="F1324" s="544"/>
      <c r="G1324" s="544"/>
      <c r="H1324" s="544"/>
      <c r="I1324" s="544"/>
      <c r="J1324" s="544"/>
      <c r="K1324" s="544"/>
      <c r="L1324" s="544"/>
      <c r="M1324" s="544"/>
    </row>
    <row r="1325" spans="2:13" x14ac:dyDescent="0.35">
      <c r="B1325" s="544"/>
      <c r="C1325" s="544"/>
      <c r="E1325" s="544"/>
      <c r="F1325" s="544"/>
      <c r="G1325" s="544"/>
      <c r="H1325" s="544"/>
      <c r="I1325" s="544"/>
      <c r="J1325" s="544"/>
      <c r="K1325" s="544"/>
      <c r="L1325" s="544"/>
      <c r="M1325" s="544"/>
    </row>
    <row r="1326" spans="2:13" x14ac:dyDescent="0.35">
      <c r="B1326" s="544"/>
      <c r="C1326" s="544"/>
      <c r="E1326" s="544"/>
      <c r="F1326" s="544"/>
      <c r="G1326" s="544"/>
      <c r="H1326" s="544"/>
      <c r="I1326" s="544"/>
      <c r="J1326" s="544"/>
      <c r="K1326" s="544"/>
      <c r="L1326" s="544"/>
      <c r="M1326" s="544"/>
    </row>
    <row r="1327" spans="2:13" x14ac:dyDescent="0.35">
      <c r="B1327" s="544"/>
      <c r="C1327" s="544"/>
      <c r="E1327" s="544"/>
      <c r="F1327" s="544"/>
      <c r="G1327" s="544"/>
      <c r="H1327" s="544"/>
      <c r="I1327" s="544"/>
      <c r="J1327" s="544"/>
      <c r="K1327" s="544"/>
      <c r="L1327" s="544"/>
      <c r="M1327" s="544"/>
    </row>
    <row r="1328" spans="2:13" x14ac:dyDescent="0.35">
      <c r="B1328" s="544"/>
      <c r="C1328" s="544"/>
      <c r="E1328" s="544"/>
      <c r="F1328" s="544"/>
      <c r="G1328" s="544"/>
      <c r="H1328" s="544"/>
      <c r="I1328" s="544"/>
      <c r="J1328" s="544"/>
      <c r="K1328" s="544"/>
      <c r="L1328" s="544"/>
      <c r="M1328" s="544"/>
    </row>
    <row r="1329" spans="2:13" x14ac:dyDescent="0.35">
      <c r="B1329" s="544"/>
      <c r="C1329" s="544"/>
      <c r="E1329" s="544"/>
      <c r="F1329" s="544"/>
      <c r="G1329" s="544"/>
      <c r="H1329" s="544"/>
      <c r="I1329" s="544"/>
      <c r="J1329" s="544"/>
      <c r="K1329" s="544"/>
      <c r="L1329" s="544"/>
      <c r="M1329" s="544"/>
    </row>
    <row r="1330" spans="2:13" x14ac:dyDescent="0.35">
      <c r="B1330" s="544"/>
      <c r="C1330" s="544"/>
      <c r="E1330" s="544"/>
      <c r="F1330" s="544"/>
      <c r="G1330" s="544"/>
      <c r="H1330" s="544"/>
      <c r="I1330" s="544"/>
      <c r="J1330" s="544"/>
      <c r="K1330" s="544"/>
      <c r="L1330" s="544"/>
      <c r="M1330" s="544"/>
    </row>
    <row r="1331" spans="2:13" x14ac:dyDescent="0.35">
      <c r="B1331" s="544"/>
      <c r="C1331" s="544"/>
      <c r="E1331" s="544"/>
      <c r="F1331" s="544"/>
      <c r="G1331" s="544"/>
      <c r="H1331" s="544"/>
      <c r="I1331" s="544"/>
      <c r="J1331" s="544"/>
      <c r="K1331" s="544"/>
      <c r="L1331" s="544"/>
      <c r="M1331" s="544"/>
    </row>
    <row r="1332" spans="2:13" x14ac:dyDescent="0.35">
      <c r="B1332" s="544"/>
      <c r="C1332" s="544"/>
      <c r="E1332" s="544"/>
      <c r="F1332" s="544"/>
      <c r="G1332" s="544"/>
      <c r="H1332" s="544"/>
      <c r="I1332" s="544"/>
      <c r="J1332" s="544"/>
      <c r="K1332" s="544"/>
      <c r="L1332" s="544"/>
      <c r="M1332" s="544"/>
    </row>
    <row r="1333" spans="2:13" x14ac:dyDescent="0.35">
      <c r="B1333" s="544"/>
      <c r="C1333" s="544"/>
      <c r="E1333" s="544"/>
      <c r="F1333" s="544"/>
      <c r="G1333" s="544"/>
      <c r="H1333" s="544"/>
      <c r="I1333" s="544"/>
      <c r="J1333" s="544"/>
      <c r="K1333" s="544"/>
      <c r="L1333" s="544"/>
      <c r="M1333" s="544"/>
    </row>
    <row r="1334" spans="2:13" x14ac:dyDescent="0.35">
      <c r="B1334" s="544"/>
      <c r="C1334" s="544"/>
      <c r="E1334" s="544"/>
      <c r="F1334" s="544"/>
      <c r="G1334" s="544"/>
      <c r="H1334" s="544"/>
      <c r="I1334" s="544"/>
      <c r="J1334" s="544"/>
      <c r="K1334" s="544"/>
      <c r="L1334" s="544"/>
      <c r="M1334" s="544"/>
    </row>
    <row r="1335" spans="2:13" x14ac:dyDescent="0.35">
      <c r="B1335" s="544"/>
      <c r="C1335" s="544"/>
      <c r="E1335" s="544"/>
      <c r="F1335" s="544"/>
      <c r="G1335" s="544"/>
      <c r="H1335" s="544"/>
      <c r="I1335" s="544"/>
      <c r="J1335" s="544"/>
      <c r="K1335" s="544"/>
      <c r="L1335" s="544"/>
      <c r="M1335" s="544"/>
    </row>
    <row r="1336" spans="2:13" x14ac:dyDescent="0.35">
      <c r="B1336" s="544"/>
      <c r="C1336" s="544"/>
      <c r="E1336" s="544"/>
      <c r="F1336" s="544"/>
      <c r="G1336" s="544"/>
      <c r="H1336" s="544"/>
      <c r="I1336" s="544"/>
      <c r="J1336" s="544"/>
      <c r="K1336" s="544"/>
      <c r="L1336" s="544"/>
      <c r="M1336" s="544"/>
    </row>
    <row r="1337" spans="2:13" x14ac:dyDescent="0.35">
      <c r="B1337" s="544"/>
      <c r="C1337" s="544"/>
      <c r="E1337" s="544"/>
      <c r="F1337" s="544"/>
      <c r="G1337" s="544"/>
      <c r="H1337" s="544"/>
      <c r="I1337" s="544"/>
      <c r="J1337" s="544"/>
      <c r="K1337" s="544"/>
      <c r="L1337" s="544"/>
      <c r="M1337" s="544"/>
    </row>
    <row r="1338" spans="2:13" x14ac:dyDescent="0.35">
      <c r="B1338" s="544"/>
      <c r="C1338" s="544"/>
      <c r="E1338" s="544"/>
      <c r="F1338" s="544"/>
      <c r="G1338" s="544"/>
      <c r="H1338" s="544"/>
      <c r="I1338" s="544"/>
      <c r="J1338" s="544"/>
      <c r="K1338" s="544"/>
      <c r="L1338" s="544"/>
      <c r="M1338" s="544"/>
    </row>
    <row r="1339" spans="2:13" x14ac:dyDescent="0.35">
      <c r="B1339" s="544"/>
      <c r="C1339" s="544"/>
      <c r="E1339" s="544"/>
      <c r="F1339" s="544"/>
      <c r="G1339" s="544"/>
      <c r="H1339" s="544"/>
      <c r="I1339" s="544"/>
      <c r="J1339" s="544"/>
      <c r="K1339" s="544"/>
      <c r="L1339" s="544"/>
      <c r="M1339" s="544"/>
    </row>
    <row r="1340" spans="2:13" x14ac:dyDescent="0.35">
      <c r="B1340" s="544"/>
      <c r="C1340" s="544"/>
      <c r="E1340" s="544"/>
      <c r="F1340" s="544"/>
      <c r="G1340" s="544"/>
      <c r="H1340" s="544"/>
      <c r="I1340" s="544"/>
      <c r="J1340" s="544"/>
      <c r="K1340" s="544"/>
      <c r="L1340" s="544"/>
      <c r="M1340" s="544"/>
    </row>
    <row r="1341" spans="2:13" x14ac:dyDescent="0.35">
      <c r="B1341" s="544"/>
      <c r="C1341" s="544"/>
      <c r="E1341" s="544"/>
      <c r="F1341" s="544"/>
      <c r="G1341" s="544"/>
      <c r="H1341" s="544"/>
      <c r="I1341" s="544"/>
      <c r="J1341" s="544"/>
      <c r="K1341" s="544"/>
      <c r="L1341" s="544"/>
      <c r="M1341" s="544"/>
    </row>
    <row r="1342" spans="2:13" x14ac:dyDescent="0.35">
      <c r="B1342" s="544"/>
      <c r="C1342" s="544"/>
      <c r="E1342" s="544"/>
      <c r="F1342" s="544"/>
      <c r="G1342" s="544"/>
      <c r="H1342" s="544"/>
      <c r="I1342" s="544"/>
      <c r="J1342" s="544"/>
      <c r="K1342" s="544"/>
      <c r="L1342" s="544"/>
      <c r="M1342" s="544"/>
    </row>
    <row r="1343" spans="2:13" x14ac:dyDescent="0.35">
      <c r="B1343" s="544"/>
      <c r="C1343" s="544"/>
      <c r="E1343" s="544"/>
      <c r="F1343" s="544"/>
      <c r="G1343" s="544"/>
      <c r="H1343" s="544"/>
      <c r="I1343" s="544"/>
      <c r="J1343" s="544"/>
      <c r="K1343" s="544"/>
      <c r="L1343" s="544"/>
      <c r="M1343" s="544"/>
    </row>
    <row r="1344" spans="2:13" x14ac:dyDescent="0.35">
      <c r="B1344" s="544"/>
      <c r="C1344" s="544"/>
      <c r="E1344" s="544"/>
      <c r="F1344" s="544"/>
      <c r="G1344" s="544"/>
      <c r="H1344" s="544"/>
      <c r="I1344" s="544"/>
      <c r="J1344" s="544"/>
      <c r="K1344" s="544"/>
      <c r="L1344" s="544"/>
      <c r="M1344" s="544"/>
    </row>
    <row r="1345" spans="2:13" x14ac:dyDescent="0.35">
      <c r="B1345" s="544"/>
      <c r="C1345" s="544"/>
      <c r="E1345" s="544"/>
      <c r="F1345" s="544"/>
      <c r="G1345" s="544"/>
      <c r="H1345" s="544"/>
      <c r="I1345" s="544"/>
      <c r="J1345" s="544"/>
      <c r="K1345" s="544"/>
      <c r="L1345" s="544"/>
      <c r="M1345" s="544"/>
    </row>
    <row r="1346" spans="2:13" x14ac:dyDescent="0.35">
      <c r="B1346" s="544"/>
      <c r="C1346" s="544"/>
      <c r="E1346" s="544"/>
      <c r="F1346" s="544"/>
      <c r="G1346" s="544"/>
      <c r="H1346" s="544"/>
      <c r="I1346" s="544"/>
      <c r="J1346" s="544"/>
      <c r="K1346" s="544"/>
      <c r="L1346" s="544"/>
      <c r="M1346" s="544"/>
    </row>
    <row r="1347" spans="2:13" x14ac:dyDescent="0.35">
      <c r="B1347" s="544"/>
      <c r="C1347" s="544"/>
      <c r="E1347" s="544"/>
      <c r="F1347" s="544"/>
      <c r="G1347" s="544"/>
      <c r="H1347" s="544"/>
      <c r="I1347" s="544"/>
      <c r="J1347" s="544"/>
      <c r="K1347" s="544"/>
      <c r="L1347" s="544"/>
      <c r="M1347" s="544"/>
    </row>
    <row r="1348" spans="2:13" x14ac:dyDescent="0.35">
      <c r="B1348" s="544"/>
      <c r="C1348" s="544"/>
      <c r="E1348" s="544"/>
      <c r="F1348" s="544"/>
      <c r="G1348" s="544"/>
      <c r="H1348" s="544"/>
      <c r="I1348" s="544"/>
      <c r="J1348" s="544"/>
      <c r="K1348" s="544"/>
      <c r="L1348" s="544"/>
      <c r="M1348" s="544"/>
    </row>
    <row r="1349" spans="2:13" x14ac:dyDescent="0.35">
      <c r="B1349" s="544"/>
      <c r="C1349" s="544"/>
      <c r="E1349" s="544"/>
      <c r="F1349" s="544"/>
      <c r="G1349" s="544"/>
      <c r="H1349" s="544"/>
      <c r="I1349" s="544"/>
      <c r="J1349" s="544"/>
      <c r="K1349" s="544"/>
      <c r="L1349" s="544"/>
      <c r="M1349" s="544"/>
    </row>
    <row r="1350" spans="2:13" x14ac:dyDescent="0.35">
      <c r="B1350" s="544"/>
      <c r="C1350" s="544"/>
      <c r="E1350" s="544"/>
      <c r="F1350" s="544"/>
      <c r="G1350" s="544"/>
      <c r="H1350" s="544"/>
      <c r="I1350" s="544"/>
      <c r="J1350" s="544"/>
      <c r="K1350" s="544"/>
      <c r="L1350" s="544"/>
      <c r="M1350" s="544"/>
    </row>
    <row r="1351" spans="2:13" x14ac:dyDescent="0.35">
      <c r="B1351" s="544"/>
      <c r="C1351" s="544"/>
      <c r="E1351" s="544"/>
      <c r="F1351" s="544"/>
      <c r="G1351" s="544"/>
      <c r="H1351" s="544"/>
      <c r="I1351" s="544"/>
      <c r="J1351" s="544"/>
      <c r="K1351" s="544"/>
      <c r="L1351" s="544"/>
      <c r="M1351" s="544"/>
    </row>
    <row r="1352" spans="2:13" x14ac:dyDescent="0.35">
      <c r="B1352" s="544"/>
      <c r="C1352" s="544"/>
      <c r="E1352" s="544"/>
      <c r="F1352" s="544"/>
      <c r="G1352" s="544"/>
      <c r="H1352" s="544"/>
      <c r="I1352" s="544"/>
      <c r="J1352" s="544"/>
      <c r="K1352" s="544"/>
      <c r="L1352" s="544"/>
      <c r="M1352" s="544"/>
    </row>
    <row r="1353" spans="2:13" x14ac:dyDescent="0.35">
      <c r="B1353" s="544"/>
      <c r="C1353" s="544"/>
      <c r="E1353" s="544"/>
      <c r="F1353" s="544"/>
      <c r="G1353" s="544"/>
      <c r="H1353" s="544"/>
      <c r="I1353" s="544"/>
      <c r="J1353" s="544"/>
      <c r="K1353" s="544"/>
      <c r="L1353" s="544"/>
      <c r="M1353" s="544"/>
    </row>
    <row r="1354" spans="2:13" x14ac:dyDescent="0.35">
      <c r="B1354" s="544"/>
      <c r="C1354" s="544"/>
      <c r="E1354" s="544"/>
      <c r="F1354" s="544"/>
      <c r="G1354" s="544"/>
      <c r="H1354" s="544"/>
      <c r="I1354" s="544"/>
      <c r="J1354" s="544"/>
      <c r="K1354" s="544"/>
      <c r="L1354" s="544"/>
      <c r="M1354" s="544"/>
    </row>
    <row r="1355" spans="2:13" x14ac:dyDescent="0.35">
      <c r="B1355" s="544"/>
      <c r="C1355" s="544"/>
      <c r="E1355" s="544"/>
      <c r="F1355" s="544"/>
      <c r="G1355" s="544"/>
      <c r="H1355" s="544"/>
      <c r="I1355" s="544"/>
      <c r="J1355" s="544"/>
      <c r="K1355" s="544"/>
      <c r="L1355" s="544"/>
      <c r="M1355" s="544"/>
    </row>
    <row r="1356" spans="2:13" x14ac:dyDescent="0.35">
      <c r="B1356" s="544"/>
      <c r="C1356" s="544"/>
      <c r="E1356" s="544"/>
      <c r="F1356" s="544"/>
      <c r="G1356" s="544"/>
      <c r="H1356" s="544"/>
      <c r="I1356" s="544"/>
      <c r="J1356" s="544"/>
      <c r="K1356" s="544"/>
      <c r="L1356" s="544"/>
      <c r="M1356" s="544"/>
    </row>
    <row r="1357" spans="2:13" x14ac:dyDescent="0.35">
      <c r="B1357" s="544"/>
      <c r="C1357" s="544"/>
      <c r="E1357" s="544"/>
      <c r="F1357" s="544"/>
      <c r="G1357" s="544"/>
      <c r="H1357" s="544"/>
      <c r="I1357" s="544"/>
      <c r="J1357" s="544"/>
      <c r="K1357" s="544"/>
      <c r="L1357" s="544"/>
      <c r="M1357" s="544"/>
    </row>
    <row r="1358" spans="2:13" x14ac:dyDescent="0.35">
      <c r="B1358" s="544"/>
      <c r="C1358" s="544"/>
      <c r="E1358" s="544"/>
      <c r="F1358" s="544"/>
      <c r="G1358" s="544"/>
      <c r="H1358" s="544"/>
      <c r="I1358" s="544"/>
      <c r="J1358" s="544"/>
      <c r="K1358" s="544"/>
      <c r="L1358" s="544"/>
      <c r="M1358" s="544"/>
    </row>
    <row r="1359" spans="2:13" x14ac:dyDescent="0.35">
      <c r="B1359" s="544"/>
      <c r="C1359" s="544"/>
      <c r="E1359" s="544"/>
      <c r="F1359" s="544"/>
      <c r="G1359" s="544"/>
      <c r="H1359" s="544"/>
      <c r="I1359" s="544"/>
      <c r="J1359" s="544"/>
      <c r="K1359" s="544"/>
      <c r="L1359" s="544"/>
      <c r="M1359" s="544"/>
    </row>
    <row r="1360" spans="2:13" x14ac:dyDescent="0.35">
      <c r="B1360" s="544"/>
      <c r="C1360" s="544"/>
      <c r="E1360" s="544"/>
      <c r="F1360" s="544"/>
      <c r="G1360" s="544"/>
      <c r="H1360" s="544"/>
      <c r="I1360" s="544"/>
      <c r="J1360" s="544"/>
      <c r="K1360" s="544"/>
      <c r="L1360" s="544"/>
      <c r="M1360" s="544"/>
    </row>
    <row r="1361" spans="2:13" x14ac:dyDescent="0.35">
      <c r="B1361" s="544"/>
      <c r="C1361" s="544"/>
      <c r="E1361" s="544"/>
      <c r="F1361" s="544"/>
      <c r="G1361" s="544"/>
      <c r="H1361" s="544"/>
      <c r="I1361" s="544"/>
      <c r="J1361" s="544"/>
      <c r="K1361" s="544"/>
      <c r="L1361" s="544"/>
      <c r="M1361" s="544"/>
    </row>
    <row r="1362" spans="2:13" x14ac:dyDescent="0.35">
      <c r="B1362" s="544"/>
      <c r="C1362" s="544"/>
      <c r="E1362" s="544"/>
      <c r="F1362" s="544"/>
      <c r="G1362" s="544"/>
      <c r="H1362" s="544"/>
      <c r="I1362" s="544"/>
      <c r="J1362" s="544"/>
      <c r="K1362" s="544"/>
      <c r="L1362" s="544"/>
      <c r="M1362" s="544"/>
    </row>
    <row r="1363" spans="2:13" x14ac:dyDescent="0.35">
      <c r="B1363" s="544"/>
      <c r="C1363" s="544"/>
      <c r="E1363" s="544"/>
      <c r="F1363" s="544"/>
      <c r="G1363" s="544"/>
      <c r="H1363" s="544"/>
      <c r="I1363" s="544"/>
      <c r="J1363" s="544"/>
      <c r="K1363" s="544"/>
      <c r="L1363" s="544"/>
      <c r="M1363" s="544"/>
    </row>
    <row r="1364" spans="2:13" x14ac:dyDescent="0.35">
      <c r="B1364" s="544"/>
      <c r="C1364" s="544"/>
      <c r="E1364" s="544"/>
      <c r="F1364" s="544"/>
      <c r="G1364" s="544"/>
      <c r="H1364" s="544"/>
      <c r="I1364" s="544"/>
      <c r="J1364" s="544"/>
      <c r="K1364" s="544"/>
      <c r="L1364" s="544"/>
      <c r="M1364" s="544"/>
    </row>
    <row r="1365" spans="2:13" x14ac:dyDescent="0.35">
      <c r="B1365" s="544"/>
      <c r="C1365" s="544"/>
      <c r="E1365" s="544"/>
      <c r="F1365" s="544"/>
      <c r="G1365" s="544"/>
      <c r="H1365" s="544"/>
      <c r="I1365" s="544"/>
      <c r="J1365" s="544"/>
      <c r="K1365" s="544"/>
      <c r="L1365" s="544"/>
      <c r="M1365" s="544"/>
    </row>
    <row r="1366" spans="2:13" x14ac:dyDescent="0.35">
      <c r="B1366" s="544"/>
      <c r="C1366" s="544"/>
      <c r="E1366" s="544"/>
      <c r="F1366" s="544"/>
      <c r="G1366" s="544"/>
      <c r="H1366" s="544"/>
      <c r="I1366" s="544"/>
      <c r="J1366" s="544"/>
      <c r="K1366" s="544"/>
      <c r="L1366" s="544"/>
      <c r="M1366" s="544"/>
    </row>
    <row r="1367" spans="2:13" x14ac:dyDescent="0.35">
      <c r="B1367" s="544"/>
      <c r="C1367" s="544"/>
      <c r="E1367" s="544"/>
      <c r="F1367" s="544"/>
      <c r="G1367" s="544"/>
      <c r="H1367" s="544"/>
      <c r="I1367" s="544"/>
      <c r="J1367" s="544"/>
      <c r="K1367" s="544"/>
      <c r="L1367" s="544"/>
      <c r="M1367" s="544"/>
    </row>
    <row r="1368" spans="2:13" x14ac:dyDescent="0.35">
      <c r="B1368" s="544"/>
      <c r="C1368" s="544"/>
      <c r="E1368" s="544"/>
      <c r="F1368" s="544"/>
      <c r="G1368" s="544"/>
      <c r="H1368" s="544"/>
      <c r="I1368" s="544"/>
      <c r="J1368" s="544"/>
      <c r="K1368" s="544"/>
      <c r="L1368" s="544"/>
      <c r="M1368" s="544"/>
    </row>
    <row r="1369" spans="2:13" x14ac:dyDescent="0.35">
      <c r="B1369" s="544"/>
      <c r="C1369" s="544"/>
      <c r="E1369" s="544"/>
      <c r="F1369" s="544"/>
      <c r="G1369" s="544"/>
      <c r="H1369" s="544"/>
      <c r="I1369" s="544"/>
      <c r="J1369" s="544"/>
      <c r="K1369" s="544"/>
      <c r="L1369" s="544"/>
      <c r="M1369" s="544"/>
    </row>
    <row r="1370" spans="2:13" x14ac:dyDescent="0.35">
      <c r="B1370" s="544"/>
      <c r="C1370" s="544"/>
      <c r="E1370" s="544"/>
      <c r="F1370" s="544"/>
      <c r="G1370" s="544"/>
      <c r="H1370" s="544"/>
      <c r="I1370" s="544"/>
      <c r="J1370" s="544"/>
      <c r="K1370" s="544"/>
      <c r="L1370" s="544"/>
      <c r="M1370" s="544"/>
    </row>
    <row r="1371" spans="2:13" x14ac:dyDescent="0.35">
      <c r="B1371" s="544"/>
      <c r="C1371" s="544"/>
      <c r="E1371" s="544"/>
      <c r="F1371" s="544"/>
      <c r="G1371" s="544"/>
      <c r="H1371" s="544"/>
      <c r="I1371" s="544"/>
      <c r="J1371" s="544"/>
      <c r="K1371" s="544"/>
      <c r="L1371" s="544"/>
      <c r="M1371" s="544"/>
    </row>
    <row r="1372" spans="2:13" x14ac:dyDescent="0.35">
      <c r="B1372" s="544"/>
      <c r="C1372" s="544"/>
      <c r="E1372" s="544"/>
      <c r="F1372" s="544"/>
      <c r="G1372" s="544"/>
      <c r="H1372" s="544"/>
      <c r="I1372" s="544"/>
      <c r="J1372" s="544"/>
      <c r="K1372" s="544"/>
      <c r="L1372" s="544"/>
      <c r="M1372" s="544"/>
    </row>
    <row r="1373" spans="2:13" x14ac:dyDescent="0.35">
      <c r="B1373" s="544"/>
      <c r="C1373" s="544"/>
      <c r="E1373" s="544"/>
      <c r="F1373" s="544"/>
      <c r="G1373" s="544"/>
      <c r="H1373" s="544"/>
      <c r="I1373" s="544"/>
      <c r="J1373" s="544"/>
      <c r="K1373" s="544"/>
      <c r="L1373" s="544"/>
      <c r="M1373" s="544"/>
    </row>
    <row r="1374" spans="2:13" x14ac:dyDescent="0.35">
      <c r="B1374" s="544"/>
      <c r="C1374" s="544"/>
      <c r="E1374" s="544"/>
      <c r="F1374" s="544"/>
      <c r="G1374" s="544"/>
      <c r="H1374" s="544"/>
      <c r="I1374" s="544"/>
      <c r="J1374" s="544"/>
      <c r="K1374" s="544"/>
      <c r="L1374" s="544"/>
      <c r="M1374" s="544"/>
    </row>
    <row r="1375" spans="2:13" x14ac:dyDescent="0.35">
      <c r="B1375" s="544"/>
      <c r="C1375" s="544"/>
      <c r="E1375" s="544"/>
      <c r="F1375" s="544"/>
      <c r="G1375" s="544"/>
      <c r="H1375" s="544"/>
      <c r="I1375" s="544"/>
      <c r="J1375" s="544"/>
      <c r="K1375" s="544"/>
      <c r="L1375" s="544"/>
      <c r="M1375" s="544"/>
    </row>
    <row r="1376" spans="2:13" x14ac:dyDescent="0.35">
      <c r="B1376" s="544"/>
      <c r="C1376" s="544"/>
      <c r="E1376" s="544"/>
      <c r="F1376" s="544"/>
      <c r="G1376" s="544"/>
      <c r="H1376" s="544"/>
      <c r="I1376" s="544"/>
      <c r="J1376" s="544"/>
      <c r="K1376" s="544"/>
      <c r="L1376" s="544"/>
      <c r="M1376" s="544"/>
    </row>
    <row r="1377" spans="2:13" x14ac:dyDescent="0.35">
      <c r="B1377" s="544"/>
      <c r="C1377" s="544"/>
      <c r="E1377" s="544"/>
      <c r="F1377" s="544"/>
      <c r="G1377" s="544"/>
      <c r="H1377" s="544"/>
      <c r="I1377" s="544"/>
      <c r="J1377" s="544"/>
      <c r="K1377" s="544"/>
      <c r="L1377" s="544"/>
      <c r="M1377" s="544"/>
    </row>
    <row r="1378" spans="2:13" x14ac:dyDescent="0.35">
      <c r="B1378" s="544"/>
      <c r="C1378" s="544"/>
      <c r="E1378" s="544"/>
      <c r="F1378" s="544"/>
      <c r="G1378" s="544"/>
      <c r="H1378" s="544"/>
      <c r="I1378" s="544"/>
      <c r="J1378" s="544"/>
      <c r="K1378" s="544"/>
      <c r="L1378" s="544"/>
      <c r="M1378" s="544"/>
    </row>
    <row r="1379" spans="2:13" x14ac:dyDescent="0.35">
      <c r="B1379" s="544"/>
      <c r="C1379" s="544"/>
      <c r="E1379" s="544"/>
      <c r="F1379" s="544"/>
      <c r="G1379" s="544"/>
      <c r="H1379" s="544"/>
      <c r="I1379" s="544"/>
      <c r="J1379" s="544"/>
      <c r="K1379" s="544"/>
      <c r="L1379" s="544"/>
      <c r="M1379" s="544"/>
    </row>
    <row r="1380" spans="2:13" x14ac:dyDescent="0.35">
      <c r="B1380" s="544"/>
      <c r="C1380" s="544"/>
      <c r="E1380" s="544"/>
      <c r="F1380" s="544"/>
      <c r="G1380" s="544"/>
      <c r="H1380" s="544"/>
      <c r="I1380" s="544"/>
      <c r="J1380" s="544"/>
      <c r="K1380" s="544"/>
      <c r="L1380" s="544"/>
      <c r="M1380" s="544"/>
    </row>
    <row r="1381" spans="2:13" x14ac:dyDescent="0.35">
      <c r="B1381" s="544"/>
      <c r="C1381" s="544"/>
      <c r="E1381" s="544"/>
      <c r="F1381" s="544"/>
      <c r="G1381" s="544"/>
      <c r="H1381" s="544"/>
      <c r="I1381" s="544"/>
      <c r="J1381" s="544"/>
      <c r="K1381" s="544"/>
      <c r="L1381" s="544"/>
      <c r="M1381" s="544"/>
    </row>
    <row r="1382" spans="2:13" x14ac:dyDescent="0.35">
      <c r="B1382" s="544"/>
      <c r="C1382" s="544"/>
      <c r="E1382" s="544"/>
      <c r="F1382" s="544"/>
      <c r="G1382" s="544"/>
      <c r="H1382" s="544"/>
      <c r="I1382" s="544"/>
      <c r="J1382" s="544"/>
      <c r="K1382" s="544"/>
      <c r="L1382" s="544"/>
      <c r="M1382" s="544"/>
    </row>
    <row r="1383" spans="2:13" x14ac:dyDescent="0.35">
      <c r="B1383" s="544"/>
      <c r="C1383" s="544"/>
      <c r="E1383" s="544"/>
      <c r="F1383" s="544"/>
      <c r="G1383" s="544"/>
      <c r="H1383" s="544"/>
      <c r="I1383" s="544"/>
      <c r="J1383" s="544"/>
      <c r="K1383" s="544"/>
      <c r="L1383" s="544"/>
      <c r="M1383" s="544"/>
    </row>
    <row r="1384" spans="2:13" x14ac:dyDescent="0.35">
      <c r="B1384" s="544"/>
      <c r="C1384" s="544"/>
      <c r="E1384" s="544"/>
      <c r="F1384" s="544"/>
      <c r="G1384" s="544"/>
      <c r="H1384" s="544"/>
      <c r="I1384" s="544"/>
      <c r="J1384" s="544"/>
      <c r="K1384" s="544"/>
      <c r="L1384" s="544"/>
      <c r="M1384" s="544"/>
    </row>
    <row r="1385" spans="2:13" x14ac:dyDescent="0.35">
      <c r="B1385" s="544"/>
      <c r="C1385" s="544"/>
      <c r="E1385" s="544"/>
      <c r="F1385" s="544"/>
      <c r="G1385" s="544"/>
      <c r="H1385" s="544"/>
      <c r="I1385" s="544"/>
      <c r="J1385" s="544"/>
      <c r="K1385" s="544"/>
      <c r="L1385" s="544"/>
      <c r="M1385" s="544"/>
    </row>
    <row r="1386" spans="2:13" x14ac:dyDescent="0.35">
      <c r="B1386" s="544"/>
      <c r="C1386" s="544"/>
      <c r="E1386" s="544"/>
      <c r="F1386" s="544"/>
      <c r="G1386" s="544"/>
      <c r="H1386" s="544"/>
      <c r="I1386" s="544"/>
      <c r="J1386" s="544"/>
      <c r="K1386" s="544"/>
      <c r="L1386" s="544"/>
      <c r="M1386" s="544"/>
    </row>
    <row r="1387" spans="2:13" x14ac:dyDescent="0.35">
      <c r="B1387" s="544"/>
      <c r="C1387" s="544"/>
      <c r="E1387" s="544"/>
      <c r="F1387" s="544"/>
      <c r="G1387" s="544"/>
      <c r="H1387" s="544"/>
      <c r="I1387" s="544"/>
      <c r="J1387" s="544"/>
      <c r="K1387" s="544"/>
      <c r="L1387" s="544"/>
      <c r="M1387" s="544"/>
    </row>
    <row r="1388" spans="2:13" x14ac:dyDescent="0.35">
      <c r="B1388" s="544"/>
      <c r="C1388" s="544"/>
      <c r="E1388" s="544"/>
      <c r="F1388" s="544"/>
      <c r="G1388" s="544"/>
      <c r="H1388" s="544"/>
      <c r="I1388" s="544"/>
      <c r="J1388" s="544"/>
      <c r="K1388" s="544"/>
      <c r="L1388" s="544"/>
      <c r="M1388" s="544"/>
    </row>
    <row r="1389" spans="2:13" x14ac:dyDescent="0.35">
      <c r="B1389" s="544"/>
      <c r="C1389" s="544"/>
      <c r="E1389" s="544"/>
      <c r="F1389" s="544"/>
      <c r="G1389" s="544"/>
      <c r="H1389" s="544"/>
      <c r="I1389" s="544"/>
      <c r="J1389" s="544"/>
      <c r="K1389" s="544"/>
      <c r="L1389" s="544"/>
      <c r="M1389" s="544"/>
    </row>
    <row r="1390" spans="2:13" x14ac:dyDescent="0.35">
      <c r="B1390" s="544"/>
      <c r="C1390" s="544"/>
      <c r="E1390" s="544"/>
      <c r="F1390" s="544"/>
      <c r="G1390" s="544"/>
      <c r="H1390" s="544"/>
      <c r="I1390" s="544"/>
      <c r="J1390" s="544"/>
      <c r="K1390" s="544"/>
      <c r="L1390" s="544"/>
      <c r="M1390" s="544"/>
    </row>
    <row r="1391" spans="2:13" x14ac:dyDescent="0.35">
      <c r="B1391" s="544"/>
      <c r="C1391" s="544"/>
      <c r="E1391" s="544"/>
      <c r="F1391" s="544"/>
      <c r="G1391" s="544"/>
      <c r="H1391" s="544"/>
      <c r="I1391" s="544"/>
      <c r="J1391" s="544"/>
      <c r="K1391" s="544"/>
      <c r="L1391" s="544"/>
      <c r="M1391" s="544"/>
    </row>
    <row r="1392" spans="2:13" x14ac:dyDescent="0.35">
      <c r="B1392" s="544"/>
      <c r="C1392" s="544"/>
      <c r="E1392" s="544"/>
      <c r="F1392" s="544"/>
      <c r="G1392" s="544"/>
      <c r="H1392" s="544"/>
      <c r="I1392" s="544"/>
      <c r="J1392" s="544"/>
      <c r="K1392" s="544"/>
      <c r="L1392" s="544"/>
      <c r="M1392" s="544"/>
    </row>
    <row r="1393" spans="2:13" x14ac:dyDescent="0.35">
      <c r="B1393" s="544"/>
      <c r="C1393" s="544"/>
      <c r="E1393" s="544"/>
      <c r="F1393" s="544"/>
      <c r="G1393" s="544"/>
      <c r="H1393" s="544"/>
      <c r="I1393" s="544"/>
      <c r="J1393" s="544"/>
      <c r="K1393" s="544"/>
      <c r="L1393" s="544"/>
      <c r="M1393" s="544"/>
    </row>
    <row r="1394" spans="2:13" x14ac:dyDescent="0.35">
      <c r="B1394" s="544"/>
      <c r="C1394" s="544"/>
      <c r="E1394" s="544"/>
      <c r="F1394" s="544"/>
      <c r="G1394" s="544"/>
      <c r="H1394" s="544"/>
      <c r="I1394" s="544"/>
      <c r="J1394" s="544"/>
      <c r="K1394" s="544"/>
      <c r="L1394" s="544"/>
      <c r="M1394" s="544"/>
    </row>
    <row r="1395" spans="2:13" x14ac:dyDescent="0.35">
      <c r="B1395" s="544"/>
      <c r="C1395" s="544"/>
      <c r="E1395" s="544"/>
      <c r="F1395" s="544"/>
      <c r="G1395" s="544"/>
      <c r="H1395" s="544"/>
      <c r="I1395" s="544"/>
      <c r="J1395" s="544"/>
      <c r="K1395" s="544"/>
      <c r="L1395" s="544"/>
      <c r="M1395" s="544"/>
    </row>
    <row r="1396" spans="2:13" x14ac:dyDescent="0.35">
      <c r="B1396" s="544"/>
      <c r="C1396" s="544"/>
      <c r="E1396" s="544"/>
      <c r="F1396" s="544"/>
      <c r="G1396" s="544"/>
      <c r="H1396" s="544"/>
      <c r="I1396" s="544"/>
      <c r="J1396" s="544"/>
      <c r="K1396" s="544"/>
      <c r="L1396" s="544"/>
      <c r="M1396" s="544"/>
    </row>
    <row r="1397" spans="2:13" x14ac:dyDescent="0.35">
      <c r="B1397" s="544"/>
      <c r="C1397" s="544"/>
      <c r="E1397" s="544"/>
      <c r="F1397" s="544"/>
      <c r="G1397" s="544"/>
      <c r="H1397" s="544"/>
      <c r="I1397" s="544"/>
      <c r="J1397" s="544"/>
      <c r="K1397" s="544"/>
      <c r="L1397" s="544"/>
      <c r="M1397" s="544"/>
    </row>
    <row r="1398" spans="2:13" x14ac:dyDescent="0.35">
      <c r="B1398" s="544"/>
      <c r="C1398" s="544"/>
      <c r="E1398" s="544"/>
      <c r="F1398" s="544"/>
      <c r="G1398" s="544"/>
      <c r="H1398" s="544"/>
      <c r="I1398" s="544"/>
      <c r="J1398" s="544"/>
      <c r="K1398" s="544"/>
      <c r="L1398" s="544"/>
      <c r="M1398" s="544"/>
    </row>
    <row r="1399" spans="2:13" x14ac:dyDescent="0.35">
      <c r="B1399" s="544"/>
      <c r="C1399" s="544"/>
      <c r="E1399" s="544"/>
      <c r="F1399" s="544"/>
      <c r="G1399" s="544"/>
      <c r="H1399" s="544"/>
      <c r="I1399" s="544"/>
      <c r="J1399" s="544"/>
      <c r="K1399" s="544"/>
      <c r="L1399" s="544"/>
      <c r="M1399" s="544"/>
    </row>
    <row r="1400" spans="2:13" x14ac:dyDescent="0.35">
      <c r="B1400" s="544"/>
      <c r="C1400" s="544"/>
      <c r="E1400" s="544"/>
      <c r="F1400" s="544"/>
      <c r="G1400" s="544"/>
      <c r="H1400" s="544"/>
      <c r="I1400" s="544"/>
      <c r="J1400" s="544"/>
      <c r="K1400" s="544"/>
      <c r="L1400" s="544"/>
      <c r="M1400" s="544"/>
    </row>
    <row r="1401" spans="2:13" x14ac:dyDescent="0.35">
      <c r="B1401" s="544"/>
      <c r="C1401" s="544"/>
      <c r="E1401" s="544"/>
      <c r="F1401" s="544"/>
      <c r="G1401" s="544"/>
      <c r="H1401" s="544"/>
      <c r="I1401" s="544"/>
      <c r="J1401" s="544"/>
      <c r="K1401" s="544"/>
      <c r="L1401" s="544"/>
      <c r="M1401" s="544"/>
    </row>
    <row r="1402" spans="2:13" x14ac:dyDescent="0.35">
      <c r="B1402" s="544"/>
      <c r="C1402" s="544"/>
      <c r="E1402" s="544"/>
      <c r="F1402" s="544"/>
      <c r="G1402" s="544"/>
      <c r="H1402" s="544"/>
      <c r="I1402" s="544"/>
      <c r="J1402" s="544"/>
      <c r="K1402" s="544"/>
      <c r="L1402" s="544"/>
      <c r="M1402" s="544"/>
    </row>
    <row r="1403" spans="2:13" x14ac:dyDescent="0.35">
      <c r="B1403" s="544"/>
      <c r="C1403" s="544"/>
      <c r="E1403" s="544"/>
      <c r="F1403" s="544"/>
      <c r="G1403" s="544"/>
      <c r="H1403" s="544"/>
      <c r="I1403" s="544"/>
      <c r="J1403" s="544"/>
      <c r="K1403" s="544"/>
      <c r="L1403" s="544"/>
      <c r="M1403" s="544"/>
    </row>
    <row r="1404" spans="2:13" x14ac:dyDescent="0.35">
      <c r="B1404" s="544"/>
      <c r="C1404" s="544"/>
      <c r="E1404" s="544"/>
      <c r="F1404" s="544"/>
      <c r="G1404" s="544"/>
      <c r="H1404" s="544"/>
      <c r="I1404" s="544"/>
      <c r="J1404" s="544"/>
      <c r="K1404" s="544"/>
      <c r="L1404" s="544"/>
      <c r="M1404" s="544"/>
    </row>
    <row r="1405" spans="2:13" x14ac:dyDescent="0.35">
      <c r="B1405" s="544"/>
      <c r="C1405" s="544"/>
      <c r="E1405" s="544"/>
      <c r="F1405" s="544"/>
      <c r="G1405" s="544"/>
      <c r="H1405" s="544"/>
      <c r="I1405" s="544"/>
      <c r="J1405" s="544"/>
      <c r="K1405" s="544"/>
      <c r="L1405" s="544"/>
      <c r="M1405" s="544"/>
    </row>
    <row r="1406" spans="2:13" x14ac:dyDescent="0.35">
      <c r="B1406" s="544"/>
      <c r="C1406" s="544"/>
      <c r="E1406" s="544"/>
      <c r="F1406" s="544"/>
      <c r="G1406" s="544"/>
      <c r="H1406" s="544"/>
      <c r="I1406" s="544"/>
      <c r="J1406" s="544"/>
      <c r="K1406" s="544"/>
      <c r="L1406" s="544"/>
      <c r="M1406" s="544"/>
    </row>
    <row r="1407" spans="2:13" x14ac:dyDescent="0.35">
      <c r="B1407" s="544"/>
      <c r="C1407" s="544"/>
      <c r="E1407" s="544"/>
      <c r="F1407" s="544"/>
      <c r="G1407" s="544"/>
      <c r="H1407" s="544"/>
      <c r="I1407" s="544"/>
      <c r="J1407" s="544"/>
      <c r="K1407" s="544"/>
      <c r="L1407" s="544"/>
      <c r="M1407" s="544"/>
    </row>
    <row r="1408" spans="2:13" x14ac:dyDescent="0.35">
      <c r="B1408" s="544"/>
      <c r="C1408" s="544"/>
      <c r="E1408" s="544"/>
      <c r="F1408" s="544"/>
      <c r="G1408" s="544"/>
      <c r="H1408" s="544"/>
      <c r="I1408" s="544"/>
      <c r="J1408" s="544"/>
      <c r="K1408" s="544"/>
      <c r="L1408" s="544"/>
      <c r="M1408" s="544"/>
    </row>
    <row r="1409" spans="2:13" x14ac:dyDescent="0.35">
      <c r="B1409" s="544"/>
      <c r="C1409" s="544"/>
      <c r="E1409" s="544"/>
      <c r="F1409" s="544"/>
      <c r="G1409" s="544"/>
      <c r="H1409" s="544"/>
      <c r="I1409" s="544"/>
      <c r="J1409" s="544"/>
      <c r="K1409" s="544"/>
      <c r="L1409" s="544"/>
      <c r="M1409" s="544"/>
    </row>
    <row r="1410" spans="2:13" x14ac:dyDescent="0.35">
      <c r="B1410" s="544"/>
      <c r="C1410" s="544"/>
      <c r="E1410" s="544"/>
      <c r="F1410" s="544"/>
      <c r="G1410" s="544"/>
      <c r="H1410" s="544"/>
      <c r="I1410" s="544"/>
      <c r="J1410" s="544"/>
      <c r="K1410" s="544"/>
      <c r="L1410" s="544"/>
      <c r="M1410" s="544"/>
    </row>
    <row r="1411" spans="2:13" x14ac:dyDescent="0.35">
      <c r="B1411" s="544"/>
      <c r="C1411" s="544"/>
      <c r="E1411" s="544"/>
      <c r="F1411" s="544"/>
      <c r="G1411" s="544"/>
      <c r="H1411" s="544"/>
      <c r="I1411" s="544"/>
      <c r="J1411" s="544"/>
      <c r="K1411" s="544"/>
      <c r="L1411" s="544"/>
      <c r="M1411" s="544"/>
    </row>
    <row r="1412" spans="2:13" x14ac:dyDescent="0.35">
      <c r="B1412" s="544"/>
      <c r="C1412" s="544"/>
      <c r="E1412" s="544"/>
      <c r="F1412" s="544"/>
      <c r="G1412" s="544"/>
      <c r="H1412" s="544"/>
      <c r="I1412" s="544"/>
      <c r="J1412" s="544"/>
      <c r="K1412" s="544"/>
      <c r="L1412" s="544"/>
      <c r="M1412" s="544"/>
    </row>
    <row r="1413" spans="2:13" x14ac:dyDescent="0.35">
      <c r="B1413" s="544"/>
      <c r="C1413" s="544"/>
      <c r="E1413" s="544"/>
      <c r="F1413" s="544"/>
      <c r="G1413" s="544"/>
      <c r="H1413" s="544"/>
      <c r="I1413" s="544"/>
      <c r="J1413" s="544"/>
      <c r="K1413" s="544"/>
      <c r="L1413" s="544"/>
      <c r="M1413" s="544"/>
    </row>
    <row r="1414" spans="2:13" x14ac:dyDescent="0.35">
      <c r="B1414" s="544"/>
      <c r="C1414" s="544"/>
      <c r="E1414" s="544"/>
      <c r="F1414" s="544"/>
      <c r="G1414" s="544"/>
      <c r="H1414" s="544"/>
      <c r="I1414" s="544"/>
      <c r="J1414" s="544"/>
      <c r="K1414" s="544"/>
      <c r="L1414" s="544"/>
      <c r="M1414" s="544"/>
    </row>
    <row r="1415" spans="2:13" x14ac:dyDescent="0.35">
      <c r="B1415" s="544"/>
      <c r="C1415" s="544"/>
      <c r="E1415" s="544"/>
      <c r="F1415" s="544"/>
      <c r="G1415" s="544"/>
      <c r="H1415" s="544"/>
      <c r="I1415" s="544"/>
      <c r="J1415" s="544"/>
      <c r="K1415" s="544"/>
      <c r="L1415" s="544"/>
      <c r="M1415" s="544"/>
    </row>
    <row r="1416" spans="2:13" x14ac:dyDescent="0.35">
      <c r="B1416" s="544"/>
      <c r="C1416" s="544"/>
      <c r="E1416" s="544"/>
      <c r="F1416" s="544"/>
      <c r="G1416" s="544"/>
      <c r="H1416" s="544"/>
      <c r="I1416" s="544"/>
      <c r="J1416" s="544"/>
      <c r="K1416" s="544"/>
      <c r="L1416" s="544"/>
      <c r="M1416" s="544"/>
    </row>
    <row r="1417" spans="2:13" x14ac:dyDescent="0.35">
      <c r="B1417" s="544"/>
      <c r="C1417" s="544"/>
      <c r="E1417" s="544"/>
      <c r="F1417" s="544"/>
      <c r="G1417" s="544"/>
      <c r="H1417" s="544"/>
      <c r="I1417" s="544"/>
      <c r="J1417" s="544"/>
      <c r="K1417" s="544"/>
      <c r="L1417" s="544"/>
      <c r="M1417" s="544"/>
    </row>
    <row r="1418" spans="2:13" x14ac:dyDescent="0.35">
      <c r="B1418" s="544"/>
      <c r="C1418" s="544"/>
      <c r="E1418" s="544"/>
      <c r="F1418" s="544"/>
      <c r="G1418" s="544"/>
      <c r="H1418" s="544"/>
      <c r="I1418" s="544"/>
      <c r="J1418" s="544"/>
      <c r="K1418" s="544"/>
      <c r="L1418" s="544"/>
      <c r="M1418" s="544"/>
    </row>
    <row r="1419" spans="2:13" x14ac:dyDescent="0.35">
      <c r="B1419" s="544"/>
      <c r="C1419" s="544"/>
      <c r="E1419" s="544"/>
      <c r="F1419" s="544"/>
      <c r="G1419" s="544"/>
      <c r="H1419" s="544"/>
      <c r="I1419" s="544"/>
      <c r="J1419" s="544"/>
      <c r="K1419" s="544"/>
      <c r="L1419" s="544"/>
      <c r="M1419" s="544"/>
    </row>
    <row r="1420" spans="2:13" x14ac:dyDescent="0.35">
      <c r="B1420" s="544"/>
      <c r="C1420" s="544"/>
      <c r="E1420" s="544"/>
      <c r="F1420" s="544"/>
      <c r="G1420" s="544"/>
      <c r="H1420" s="544"/>
      <c r="I1420" s="544"/>
      <c r="J1420" s="544"/>
      <c r="K1420" s="544"/>
      <c r="L1420" s="544"/>
      <c r="M1420" s="544"/>
    </row>
    <row r="1421" spans="2:13" x14ac:dyDescent="0.35">
      <c r="B1421" s="544"/>
      <c r="C1421" s="544"/>
      <c r="E1421" s="544"/>
      <c r="F1421" s="544"/>
      <c r="G1421" s="544"/>
      <c r="H1421" s="544"/>
      <c r="I1421" s="544"/>
      <c r="J1421" s="544"/>
      <c r="K1421" s="544"/>
      <c r="L1421" s="544"/>
      <c r="M1421" s="544"/>
    </row>
    <row r="1422" spans="2:13" x14ac:dyDescent="0.35">
      <c r="B1422" s="544"/>
      <c r="C1422" s="544"/>
      <c r="E1422" s="544"/>
      <c r="F1422" s="544"/>
      <c r="G1422" s="544"/>
      <c r="H1422" s="544"/>
      <c r="I1422" s="544"/>
      <c r="J1422" s="544"/>
      <c r="K1422" s="544"/>
      <c r="L1422" s="544"/>
      <c r="M1422" s="544"/>
    </row>
    <row r="1423" spans="2:13" x14ac:dyDescent="0.35">
      <c r="B1423" s="544"/>
      <c r="C1423" s="544"/>
      <c r="E1423" s="544"/>
      <c r="F1423" s="544"/>
      <c r="G1423" s="544"/>
      <c r="H1423" s="544"/>
      <c r="I1423" s="544"/>
      <c r="J1423" s="544"/>
      <c r="K1423" s="544"/>
      <c r="L1423" s="544"/>
      <c r="M1423" s="544"/>
    </row>
    <row r="1424" spans="2:13" x14ac:dyDescent="0.35">
      <c r="B1424" s="544"/>
      <c r="C1424" s="544"/>
      <c r="E1424" s="544"/>
      <c r="F1424" s="544"/>
      <c r="G1424" s="544"/>
      <c r="H1424" s="544"/>
      <c r="I1424" s="544"/>
      <c r="J1424" s="544"/>
      <c r="K1424" s="544"/>
      <c r="L1424" s="544"/>
      <c r="M1424" s="544"/>
    </row>
    <row r="1425" spans="2:13" x14ac:dyDescent="0.35">
      <c r="B1425" s="544"/>
      <c r="C1425" s="544"/>
      <c r="E1425" s="544"/>
      <c r="F1425" s="544"/>
      <c r="G1425" s="544"/>
      <c r="H1425" s="544"/>
      <c r="I1425" s="544"/>
      <c r="J1425" s="544"/>
      <c r="K1425" s="544"/>
      <c r="L1425" s="544"/>
      <c r="M1425" s="544"/>
    </row>
    <row r="1426" spans="2:13" x14ac:dyDescent="0.35">
      <c r="B1426" s="544"/>
      <c r="C1426" s="544"/>
      <c r="E1426" s="544"/>
      <c r="F1426" s="544"/>
      <c r="G1426" s="544"/>
      <c r="H1426" s="544"/>
      <c r="I1426" s="544"/>
      <c r="J1426" s="544"/>
      <c r="K1426" s="544"/>
      <c r="L1426" s="544"/>
      <c r="M1426" s="544"/>
    </row>
    <row r="1427" spans="2:13" x14ac:dyDescent="0.35">
      <c r="B1427" s="544"/>
      <c r="C1427" s="544"/>
      <c r="E1427" s="544"/>
      <c r="F1427" s="544"/>
      <c r="G1427" s="544"/>
      <c r="H1427" s="544"/>
      <c r="I1427" s="544"/>
      <c r="J1427" s="544"/>
      <c r="K1427" s="544"/>
      <c r="L1427" s="544"/>
      <c r="M1427" s="544"/>
    </row>
    <row r="1428" spans="2:13" x14ac:dyDescent="0.35">
      <c r="B1428" s="544"/>
      <c r="C1428" s="544"/>
      <c r="E1428" s="544"/>
      <c r="F1428" s="544"/>
      <c r="G1428" s="544"/>
      <c r="H1428" s="544"/>
      <c r="I1428" s="544"/>
      <c r="J1428" s="544"/>
      <c r="K1428" s="544"/>
      <c r="L1428" s="544"/>
      <c r="M1428" s="544"/>
    </row>
    <row r="1429" spans="2:13" x14ac:dyDescent="0.35">
      <c r="B1429" s="544"/>
      <c r="C1429" s="544"/>
      <c r="E1429" s="544"/>
      <c r="F1429" s="544"/>
      <c r="G1429" s="544"/>
      <c r="H1429" s="544"/>
      <c r="I1429" s="544"/>
      <c r="J1429" s="544"/>
      <c r="K1429" s="544"/>
      <c r="L1429" s="544"/>
      <c r="M1429" s="544"/>
    </row>
    <row r="1430" spans="2:13" x14ac:dyDescent="0.35">
      <c r="B1430" s="544"/>
      <c r="C1430" s="544"/>
      <c r="E1430" s="544"/>
      <c r="F1430" s="544"/>
      <c r="G1430" s="544"/>
      <c r="H1430" s="544"/>
      <c r="I1430" s="544"/>
      <c r="J1430" s="544"/>
      <c r="K1430" s="544"/>
      <c r="L1430" s="544"/>
      <c r="M1430" s="544"/>
    </row>
    <row r="1431" spans="2:13" x14ac:dyDescent="0.35">
      <c r="B1431" s="544"/>
      <c r="C1431" s="544"/>
      <c r="E1431" s="544"/>
      <c r="F1431" s="544"/>
      <c r="G1431" s="544"/>
      <c r="H1431" s="544"/>
      <c r="I1431" s="544"/>
      <c r="J1431" s="544"/>
      <c r="K1431" s="544"/>
      <c r="L1431" s="544"/>
      <c r="M1431" s="544"/>
    </row>
    <row r="1432" spans="2:13" x14ac:dyDescent="0.35">
      <c r="B1432" s="544"/>
      <c r="C1432" s="544"/>
      <c r="E1432" s="544"/>
      <c r="F1432" s="544"/>
      <c r="G1432" s="544"/>
      <c r="H1432" s="544"/>
      <c r="I1432" s="544"/>
      <c r="J1432" s="544"/>
      <c r="K1432" s="544"/>
      <c r="L1432" s="544"/>
      <c r="M1432" s="544"/>
    </row>
    <row r="1433" spans="2:13" x14ac:dyDescent="0.35">
      <c r="B1433" s="544"/>
      <c r="C1433" s="544"/>
      <c r="E1433" s="544"/>
      <c r="F1433" s="544"/>
      <c r="G1433" s="544"/>
      <c r="H1433" s="544"/>
      <c r="I1433" s="544"/>
      <c r="J1433" s="544"/>
      <c r="K1433" s="544"/>
      <c r="L1433" s="544"/>
      <c r="M1433" s="544"/>
    </row>
    <row r="1434" spans="2:13" x14ac:dyDescent="0.35">
      <c r="B1434" s="544"/>
      <c r="C1434" s="544"/>
      <c r="E1434" s="544"/>
      <c r="F1434" s="544"/>
      <c r="G1434" s="544"/>
      <c r="H1434" s="544"/>
      <c r="I1434" s="544"/>
      <c r="J1434" s="544"/>
      <c r="K1434" s="544"/>
      <c r="L1434" s="544"/>
      <c r="M1434" s="544"/>
    </row>
    <row r="1435" spans="2:13" x14ac:dyDescent="0.35">
      <c r="B1435" s="544"/>
      <c r="C1435" s="544"/>
      <c r="E1435" s="544"/>
      <c r="F1435" s="544"/>
      <c r="G1435" s="544"/>
      <c r="H1435" s="544"/>
      <c r="I1435" s="544"/>
      <c r="J1435" s="544"/>
      <c r="K1435" s="544"/>
      <c r="L1435" s="544"/>
      <c r="M1435" s="544"/>
    </row>
    <row r="1436" spans="2:13" x14ac:dyDescent="0.35">
      <c r="B1436" s="544"/>
      <c r="C1436" s="544"/>
      <c r="E1436" s="544"/>
      <c r="F1436" s="544"/>
      <c r="G1436" s="544"/>
      <c r="H1436" s="544"/>
      <c r="I1436" s="544"/>
      <c r="J1436" s="544"/>
      <c r="K1436" s="544"/>
      <c r="L1436" s="544"/>
      <c r="M1436" s="544"/>
    </row>
    <row r="1437" spans="2:13" x14ac:dyDescent="0.35">
      <c r="B1437" s="544"/>
      <c r="C1437" s="544"/>
      <c r="E1437" s="544"/>
      <c r="F1437" s="544"/>
      <c r="G1437" s="544"/>
      <c r="H1437" s="544"/>
      <c r="I1437" s="544"/>
      <c r="J1437" s="544"/>
      <c r="K1437" s="544"/>
      <c r="L1437" s="544"/>
      <c r="M1437" s="544"/>
    </row>
    <row r="1438" spans="2:13" x14ac:dyDescent="0.35">
      <c r="B1438" s="544"/>
      <c r="C1438" s="544"/>
      <c r="E1438" s="544"/>
      <c r="F1438" s="544"/>
      <c r="G1438" s="544"/>
      <c r="H1438" s="544"/>
      <c r="I1438" s="544"/>
      <c r="J1438" s="544"/>
      <c r="K1438" s="544"/>
      <c r="L1438" s="544"/>
      <c r="M1438" s="544"/>
    </row>
    <row r="1439" spans="2:13" x14ac:dyDescent="0.35">
      <c r="B1439" s="544"/>
      <c r="C1439" s="544"/>
      <c r="E1439" s="544"/>
      <c r="F1439" s="544"/>
      <c r="G1439" s="544"/>
      <c r="H1439" s="544"/>
      <c r="I1439" s="544"/>
      <c r="J1439" s="544"/>
      <c r="K1439" s="544"/>
      <c r="L1439" s="544"/>
      <c r="M1439" s="544"/>
    </row>
    <row r="1440" spans="2:13" x14ac:dyDescent="0.35">
      <c r="B1440" s="544"/>
      <c r="C1440" s="544"/>
      <c r="E1440" s="544"/>
      <c r="F1440" s="544"/>
      <c r="G1440" s="544"/>
      <c r="H1440" s="544"/>
      <c r="I1440" s="544"/>
      <c r="J1440" s="544"/>
      <c r="K1440" s="544"/>
      <c r="L1440" s="544"/>
      <c r="M1440" s="544"/>
    </row>
    <row r="1441" spans="2:13" x14ac:dyDescent="0.35">
      <c r="B1441" s="544"/>
      <c r="C1441" s="544"/>
      <c r="E1441" s="544"/>
      <c r="F1441" s="544"/>
      <c r="G1441" s="544"/>
      <c r="H1441" s="544"/>
      <c r="I1441" s="544"/>
      <c r="J1441" s="544"/>
      <c r="K1441" s="544"/>
      <c r="L1441" s="544"/>
      <c r="M1441" s="544"/>
    </row>
    <row r="1442" spans="2:13" x14ac:dyDescent="0.35">
      <c r="B1442" s="544"/>
      <c r="C1442" s="544"/>
      <c r="E1442" s="544"/>
      <c r="F1442" s="544"/>
      <c r="G1442" s="544"/>
      <c r="H1442" s="544"/>
      <c r="I1442" s="544"/>
      <c r="J1442" s="544"/>
      <c r="K1442" s="544"/>
      <c r="L1442" s="544"/>
      <c r="M1442" s="544"/>
    </row>
    <row r="1443" spans="2:13" x14ac:dyDescent="0.35">
      <c r="B1443" s="544"/>
      <c r="C1443" s="544"/>
      <c r="E1443" s="544"/>
      <c r="F1443" s="544"/>
      <c r="G1443" s="544"/>
      <c r="H1443" s="544"/>
      <c r="I1443" s="544"/>
      <c r="J1443" s="544"/>
      <c r="K1443" s="544"/>
      <c r="L1443" s="544"/>
      <c r="M1443" s="544"/>
    </row>
    <row r="1444" spans="2:13" x14ac:dyDescent="0.35">
      <c r="B1444" s="544"/>
      <c r="C1444" s="544"/>
      <c r="E1444" s="544"/>
      <c r="F1444" s="544"/>
      <c r="G1444" s="544"/>
      <c r="H1444" s="544"/>
      <c r="I1444" s="544"/>
      <c r="J1444" s="544"/>
      <c r="K1444" s="544"/>
      <c r="L1444" s="544"/>
      <c r="M1444" s="544"/>
    </row>
    <row r="1445" spans="2:13" x14ac:dyDescent="0.35">
      <c r="B1445" s="544"/>
      <c r="C1445" s="544"/>
      <c r="E1445" s="544"/>
      <c r="F1445" s="544"/>
      <c r="G1445" s="544"/>
      <c r="H1445" s="544"/>
      <c r="I1445" s="544"/>
      <c r="J1445" s="544"/>
      <c r="K1445" s="544"/>
      <c r="L1445" s="544"/>
      <c r="M1445" s="544"/>
    </row>
    <row r="1446" spans="2:13" x14ac:dyDescent="0.35">
      <c r="B1446" s="544"/>
      <c r="C1446" s="544"/>
      <c r="E1446" s="544"/>
      <c r="F1446" s="544"/>
      <c r="G1446" s="544"/>
      <c r="H1446" s="544"/>
      <c r="I1446" s="544"/>
      <c r="J1446" s="544"/>
      <c r="K1446" s="544"/>
      <c r="L1446" s="544"/>
      <c r="M1446" s="544"/>
    </row>
    <row r="1447" spans="2:13" x14ac:dyDescent="0.35">
      <c r="B1447" s="544"/>
      <c r="C1447" s="544"/>
      <c r="E1447" s="544"/>
      <c r="F1447" s="544"/>
      <c r="G1447" s="544"/>
      <c r="H1447" s="544"/>
      <c r="I1447" s="544"/>
      <c r="J1447" s="544"/>
      <c r="K1447" s="544"/>
      <c r="L1447" s="544"/>
      <c r="M1447" s="544"/>
    </row>
    <row r="1448" spans="2:13" x14ac:dyDescent="0.35">
      <c r="B1448" s="544"/>
      <c r="C1448" s="544"/>
      <c r="E1448" s="544"/>
      <c r="F1448" s="544"/>
      <c r="G1448" s="544"/>
      <c r="H1448" s="544"/>
      <c r="I1448" s="544"/>
      <c r="J1448" s="544"/>
      <c r="K1448" s="544"/>
      <c r="L1448" s="544"/>
      <c r="M1448" s="544"/>
    </row>
    <row r="1449" spans="2:13" x14ac:dyDescent="0.35">
      <c r="B1449" s="544"/>
      <c r="C1449" s="544"/>
      <c r="E1449" s="544"/>
      <c r="F1449" s="544"/>
      <c r="G1449" s="544"/>
      <c r="H1449" s="544"/>
      <c r="I1449" s="544"/>
      <c r="J1449" s="544"/>
      <c r="K1449" s="544"/>
      <c r="L1449" s="544"/>
      <c r="M1449" s="544"/>
    </row>
    <row r="1450" spans="2:13" x14ac:dyDescent="0.35">
      <c r="B1450" s="544"/>
      <c r="C1450" s="544"/>
      <c r="E1450" s="544"/>
      <c r="F1450" s="544"/>
      <c r="G1450" s="544"/>
      <c r="H1450" s="544"/>
      <c r="I1450" s="544"/>
      <c r="J1450" s="544"/>
      <c r="K1450" s="544"/>
      <c r="L1450" s="544"/>
      <c r="M1450" s="544"/>
    </row>
    <row r="1451" spans="2:13" x14ac:dyDescent="0.35">
      <c r="B1451" s="544"/>
      <c r="C1451" s="544"/>
      <c r="E1451" s="544"/>
      <c r="F1451" s="544"/>
      <c r="G1451" s="544"/>
      <c r="H1451" s="544"/>
      <c r="I1451" s="544"/>
      <c r="J1451" s="544"/>
      <c r="K1451" s="544"/>
      <c r="L1451" s="544"/>
      <c r="M1451" s="544"/>
    </row>
    <row r="1452" spans="2:13" x14ac:dyDescent="0.35">
      <c r="B1452" s="544"/>
      <c r="C1452" s="544"/>
      <c r="E1452" s="544"/>
      <c r="F1452" s="544"/>
      <c r="G1452" s="544"/>
      <c r="H1452" s="544"/>
      <c r="I1452" s="544"/>
      <c r="J1452" s="544"/>
      <c r="K1452" s="544"/>
      <c r="L1452" s="544"/>
      <c r="M1452" s="544"/>
    </row>
    <row r="1453" spans="2:13" x14ac:dyDescent="0.35">
      <c r="B1453" s="544"/>
      <c r="C1453" s="544"/>
      <c r="E1453" s="544"/>
      <c r="F1453" s="544"/>
      <c r="G1453" s="544"/>
      <c r="H1453" s="544"/>
      <c r="I1453" s="544"/>
      <c r="J1453" s="544"/>
      <c r="K1453" s="544"/>
      <c r="L1453" s="544"/>
      <c r="M1453" s="544"/>
    </row>
    <row r="1454" spans="2:13" x14ac:dyDescent="0.35">
      <c r="B1454" s="544"/>
      <c r="C1454" s="544"/>
      <c r="E1454" s="544"/>
      <c r="F1454" s="544"/>
      <c r="G1454" s="544"/>
      <c r="H1454" s="544"/>
      <c r="I1454" s="544"/>
      <c r="J1454" s="544"/>
      <c r="K1454" s="544"/>
      <c r="L1454" s="544"/>
      <c r="M1454" s="544"/>
    </row>
    <row r="1455" spans="2:13" x14ac:dyDescent="0.35">
      <c r="B1455" s="544"/>
      <c r="C1455" s="544"/>
      <c r="E1455" s="544"/>
      <c r="F1455" s="544"/>
      <c r="G1455" s="544"/>
      <c r="H1455" s="544"/>
      <c r="I1455" s="544"/>
      <c r="J1455" s="544"/>
      <c r="K1455" s="544"/>
      <c r="L1455" s="544"/>
      <c r="M1455" s="544"/>
    </row>
    <row r="1456" spans="2:13" x14ac:dyDescent="0.35">
      <c r="B1456" s="544"/>
      <c r="C1456" s="544"/>
      <c r="E1456" s="544"/>
      <c r="F1456" s="544"/>
      <c r="G1456" s="544"/>
      <c r="H1456" s="544"/>
      <c r="I1456" s="544"/>
      <c r="J1456" s="544"/>
      <c r="K1456" s="544"/>
      <c r="L1456" s="544"/>
      <c r="M1456" s="544"/>
    </row>
    <row r="1457" spans="2:13" x14ac:dyDescent="0.35">
      <c r="B1457" s="544"/>
      <c r="C1457" s="544"/>
      <c r="E1457" s="544"/>
      <c r="F1457" s="544"/>
      <c r="G1457" s="544"/>
      <c r="H1457" s="544"/>
      <c r="I1457" s="544"/>
      <c r="J1457" s="544"/>
      <c r="K1457" s="544"/>
      <c r="L1457" s="544"/>
      <c r="M1457" s="544"/>
    </row>
    <row r="1458" spans="2:13" x14ac:dyDescent="0.35">
      <c r="B1458" s="544"/>
      <c r="C1458" s="544"/>
      <c r="E1458" s="544"/>
      <c r="F1458" s="544"/>
      <c r="G1458" s="544"/>
      <c r="H1458" s="544"/>
      <c r="I1458" s="544"/>
      <c r="J1458" s="544"/>
      <c r="K1458" s="544"/>
      <c r="L1458" s="544"/>
      <c r="M1458" s="544"/>
    </row>
    <row r="1459" spans="2:13" x14ac:dyDescent="0.35">
      <c r="B1459" s="544"/>
      <c r="C1459" s="544"/>
      <c r="E1459" s="544"/>
      <c r="F1459" s="544"/>
      <c r="G1459" s="544"/>
      <c r="H1459" s="544"/>
      <c r="I1459" s="544"/>
      <c r="J1459" s="544"/>
      <c r="K1459" s="544"/>
      <c r="L1459" s="544"/>
      <c r="M1459" s="544"/>
    </row>
    <row r="1460" spans="2:13" x14ac:dyDescent="0.35">
      <c r="B1460" s="544"/>
      <c r="C1460" s="544"/>
      <c r="E1460" s="544"/>
      <c r="F1460" s="544"/>
      <c r="G1460" s="544"/>
      <c r="H1460" s="544"/>
      <c r="I1460" s="544"/>
      <c r="J1460" s="544"/>
      <c r="K1460" s="544"/>
      <c r="L1460" s="544"/>
      <c r="M1460" s="544"/>
    </row>
    <row r="1461" spans="2:13" x14ac:dyDescent="0.35">
      <c r="B1461" s="544"/>
      <c r="C1461" s="544"/>
      <c r="E1461" s="544"/>
      <c r="F1461" s="544"/>
      <c r="G1461" s="544"/>
      <c r="H1461" s="544"/>
      <c r="I1461" s="544"/>
      <c r="J1461" s="544"/>
      <c r="K1461" s="544"/>
      <c r="L1461" s="544"/>
      <c r="M1461" s="544"/>
    </row>
    <row r="1462" spans="2:13" x14ac:dyDescent="0.35">
      <c r="B1462" s="544"/>
      <c r="C1462" s="544"/>
      <c r="E1462" s="544"/>
      <c r="F1462" s="544"/>
      <c r="G1462" s="544"/>
      <c r="H1462" s="544"/>
      <c r="I1462" s="544"/>
      <c r="J1462" s="544"/>
      <c r="K1462" s="544"/>
      <c r="L1462" s="544"/>
      <c r="M1462" s="544"/>
    </row>
    <row r="1463" spans="2:13" x14ac:dyDescent="0.35">
      <c r="B1463" s="544"/>
      <c r="C1463" s="544"/>
      <c r="E1463" s="544"/>
      <c r="F1463" s="544"/>
      <c r="G1463" s="544"/>
      <c r="H1463" s="544"/>
      <c r="I1463" s="544"/>
      <c r="J1463" s="544"/>
      <c r="K1463" s="544"/>
      <c r="L1463" s="544"/>
      <c r="M1463" s="544"/>
    </row>
    <row r="1464" spans="2:13" x14ac:dyDescent="0.35">
      <c r="B1464" s="544"/>
      <c r="C1464" s="544"/>
      <c r="E1464" s="544"/>
      <c r="F1464" s="544"/>
      <c r="G1464" s="544"/>
      <c r="H1464" s="544"/>
      <c r="I1464" s="544"/>
      <c r="J1464" s="544"/>
      <c r="K1464" s="544"/>
      <c r="L1464" s="544"/>
      <c r="M1464" s="544"/>
    </row>
    <row r="1465" spans="2:13" x14ac:dyDescent="0.35">
      <c r="B1465" s="544"/>
      <c r="C1465" s="544"/>
      <c r="E1465" s="544"/>
      <c r="F1465" s="544"/>
      <c r="G1465" s="544"/>
      <c r="H1465" s="544"/>
      <c r="I1465" s="544"/>
      <c r="J1465" s="544"/>
      <c r="K1465" s="544"/>
      <c r="L1465" s="544"/>
      <c r="M1465" s="544"/>
    </row>
    <row r="1466" spans="2:13" x14ac:dyDescent="0.35">
      <c r="B1466" s="544"/>
      <c r="C1466" s="544"/>
      <c r="E1466" s="544"/>
      <c r="F1466" s="544"/>
      <c r="G1466" s="544"/>
      <c r="H1466" s="544"/>
      <c r="I1466" s="544"/>
      <c r="J1466" s="544"/>
      <c r="K1466" s="544"/>
      <c r="L1466" s="544"/>
      <c r="M1466" s="544"/>
    </row>
    <row r="1467" spans="2:13" x14ac:dyDescent="0.35">
      <c r="B1467" s="544"/>
      <c r="C1467" s="544"/>
      <c r="E1467" s="544"/>
      <c r="F1467" s="544"/>
      <c r="G1467" s="544"/>
      <c r="H1467" s="544"/>
      <c r="I1467" s="544"/>
      <c r="J1467" s="544"/>
      <c r="K1467" s="544"/>
      <c r="L1467" s="544"/>
      <c r="M1467" s="544"/>
    </row>
    <row r="1468" spans="2:13" x14ac:dyDescent="0.35">
      <c r="B1468" s="544"/>
      <c r="C1468" s="544"/>
      <c r="E1468" s="544"/>
      <c r="F1468" s="544"/>
      <c r="G1468" s="544"/>
      <c r="H1468" s="544"/>
      <c r="I1468" s="544"/>
      <c r="J1468" s="544"/>
      <c r="K1468" s="544"/>
      <c r="L1468" s="544"/>
      <c r="M1468" s="544"/>
    </row>
    <row r="1469" spans="2:13" x14ac:dyDescent="0.35">
      <c r="B1469" s="544"/>
      <c r="C1469" s="544"/>
      <c r="E1469" s="544"/>
      <c r="F1469" s="544"/>
      <c r="G1469" s="544"/>
      <c r="H1469" s="544"/>
      <c r="I1469" s="544"/>
      <c r="J1469" s="544"/>
      <c r="K1469" s="544"/>
      <c r="L1469" s="544"/>
      <c r="M1469" s="544"/>
    </row>
    <row r="1470" spans="2:13" x14ac:dyDescent="0.35">
      <c r="B1470" s="544"/>
      <c r="C1470" s="544"/>
      <c r="E1470" s="544"/>
      <c r="F1470" s="544"/>
      <c r="G1470" s="544"/>
      <c r="H1470" s="544"/>
      <c r="I1470" s="544"/>
      <c r="J1470" s="544"/>
      <c r="K1470" s="544"/>
      <c r="L1470" s="544"/>
      <c r="M1470" s="544"/>
    </row>
    <row r="1471" spans="2:13" x14ac:dyDescent="0.35">
      <c r="B1471" s="544"/>
      <c r="C1471" s="544"/>
      <c r="E1471" s="544"/>
      <c r="F1471" s="544"/>
      <c r="G1471" s="544"/>
      <c r="H1471" s="544"/>
      <c r="I1471" s="544"/>
      <c r="J1471" s="544"/>
      <c r="K1471" s="544"/>
      <c r="L1471" s="544"/>
      <c r="M1471" s="544"/>
    </row>
    <row r="1472" spans="2:13" x14ac:dyDescent="0.35">
      <c r="B1472" s="544"/>
      <c r="C1472" s="544"/>
      <c r="E1472" s="544"/>
      <c r="F1472" s="544"/>
      <c r="G1472" s="544"/>
      <c r="H1472" s="544"/>
      <c r="I1472" s="544"/>
      <c r="J1472" s="544"/>
      <c r="K1472" s="544"/>
      <c r="L1472" s="544"/>
      <c r="M1472" s="544"/>
    </row>
    <row r="1473" spans="2:13" x14ac:dyDescent="0.35">
      <c r="B1473" s="544"/>
      <c r="C1473" s="544"/>
      <c r="E1473" s="544"/>
      <c r="F1473" s="544"/>
      <c r="G1473" s="544"/>
      <c r="H1473" s="544"/>
      <c r="I1473" s="544"/>
      <c r="J1473" s="544"/>
      <c r="K1473" s="544"/>
      <c r="L1473" s="544"/>
      <c r="M1473" s="544"/>
    </row>
    <row r="1474" spans="2:13" x14ac:dyDescent="0.35">
      <c r="B1474" s="544"/>
      <c r="C1474" s="544"/>
      <c r="E1474" s="544"/>
      <c r="F1474" s="544"/>
      <c r="G1474" s="544"/>
      <c r="H1474" s="544"/>
      <c r="I1474" s="544"/>
      <c r="J1474" s="544"/>
      <c r="K1474" s="544"/>
      <c r="L1474" s="544"/>
      <c r="M1474" s="544"/>
    </row>
    <row r="1475" spans="2:13" x14ac:dyDescent="0.35">
      <c r="B1475" s="544"/>
      <c r="C1475" s="544"/>
      <c r="E1475" s="544"/>
      <c r="F1475" s="544"/>
      <c r="G1475" s="544"/>
      <c r="H1475" s="544"/>
      <c r="I1475" s="544"/>
      <c r="J1475" s="544"/>
      <c r="K1475" s="544"/>
      <c r="L1475" s="544"/>
      <c r="M1475" s="544"/>
    </row>
    <row r="1476" spans="2:13" x14ac:dyDescent="0.35">
      <c r="B1476" s="544"/>
      <c r="C1476" s="544"/>
      <c r="E1476" s="544"/>
      <c r="F1476" s="544"/>
      <c r="G1476" s="544"/>
      <c r="H1476" s="544"/>
      <c r="I1476" s="544"/>
      <c r="J1476" s="544"/>
      <c r="K1476" s="544"/>
      <c r="L1476" s="544"/>
      <c r="M1476" s="544"/>
    </row>
    <row r="1477" spans="2:13" x14ac:dyDescent="0.35">
      <c r="B1477" s="544"/>
      <c r="C1477" s="544"/>
      <c r="E1477" s="544"/>
      <c r="F1477" s="544"/>
      <c r="G1477" s="544"/>
      <c r="H1477" s="544"/>
      <c r="I1477" s="544"/>
      <c r="J1477" s="544"/>
      <c r="K1477" s="544"/>
      <c r="L1477" s="544"/>
      <c r="M1477" s="544"/>
    </row>
    <row r="1478" spans="2:13" x14ac:dyDescent="0.35">
      <c r="B1478" s="544"/>
      <c r="C1478" s="544"/>
      <c r="E1478" s="544"/>
      <c r="F1478" s="544"/>
      <c r="G1478" s="544"/>
      <c r="H1478" s="544"/>
      <c r="I1478" s="544"/>
      <c r="J1478" s="544"/>
      <c r="K1478" s="544"/>
      <c r="L1478" s="544"/>
      <c r="M1478" s="544"/>
    </row>
    <row r="1479" spans="2:13" x14ac:dyDescent="0.35">
      <c r="B1479" s="544"/>
      <c r="C1479" s="544"/>
      <c r="E1479" s="544"/>
      <c r="F1479" s="544"/>
      <c r="G1479" s="544"/>
      <c r="H1479" s="544"/>
      <c r="I1479" s="544"/>
      <c r="J1479" s="544"/>
      <c r="K1479" s="544"/>
      <c r="L1479" s="544"/>
      <c r="M1479" s="544"/>
    </row>
    <row r="1480" spans="2:13" x14ac:dyDescent="0.35">
      <c r="B1480" s="544"/>
      <c r="C1480" s="544"/>
      <c r="E1480" s="544"/>
      <c r="F1480" s="544"/>
      <c r="G1480" s="544"/>
      <c r="H1480" s="544"/>
      <c r="I1480" s="544"/>
      <c r="J1480" s="544"/>
      <c r="K1480" s="544"/>
      <c r="L1480" s="544"/>
      <c r="M1480" s="544"/>
    </row>
    <row r="1481" spans="2:13" x14ac:dyDescent="0.35">
      <c r="B1481" s="544"/>
      <c r="C1481" s="544"/>
      <c r="E1481" s="544"/>
      <c r="F1481" s="544"/>
      <c r="G1481" s="544"/>
      <c r="H1481" s="544"/>
      <c r="I1481" s="544"/>
      <c r="J1481" s="544"/>
      <c r="K1481" s="544"/>
      <c r="L1481" s="544"/>
      <c r="M1481" s="544"/>
    </row>
    <row r="1482" spans="2:13" x14ac:dyDescent="0.35">
      <c r="B1482" s="544"/>
      <c r="C1482" s="544"/>
      <c r="E1482" s="544"/>
      <c r="F1482" s="544"/>
      <c r="G1482" s="544"/>
      <c r="H1482" s="544"/>
      <c r="I1482" s="544"/>
      <c r="J1482" s="544"/>
      <c r="K1482" s="544"/>
      <c r="L1482" s="544"/>
      <c r="M1482" s="544"/>
    </row>
    <row r="1483" spans="2:13" x14ac:dyDescent="0.35">
      <c r="B1483" s="544"/>
      <c r="C1483" s="544"/>
      <c r="E1483" s="544"/>
      <c r="F1483" s="544"/>
      <c r="G1483" s="544"/>
      <c r="H1483" s="544"/>
      <c r="I1483" s="544"/>
      <c r="J1483" s="544"/>
      <c r="K1483" s="544"/>
      <c r="L1483" s="544"/>
      <c r="M1483" s="544"/>
    </row>
    <row r="1484" spans="2:13" x14ac:dyDescent="0.35">
      <c r="B1484" s="544"/>
      <c r="C1484" s="544"/>
      <c r="E1484" s="544"/>
      <c r="F1484" s="544"/>
      <c r="G1484" s="544"/>
      <c r="H1484" s="544"/>
      <c r="I1484" s="544"/>
      <c r="J1484" s="544"/>
      <c r="K1484" s="544"/>
      <c r="L1484" s="544"/>
      <c r="M1484" s="544"/>
    </row>
    <row r="1485" spans="2:13" x14ac:dyDescent="0.35">
      <c r="B1485" s="544"/>
      <c r="C1485" s="544"/>
      <c r="E1485" s="544"/>
      <c r="F1485" s="544"/>
      <c r="G1485" s="544"/>
      <c r="H1485" s="544"/>
      <c r="I1485" s="544"/>
      <c r="J1485" s="544"/>
      <c r="K1485" s="544"/>
      <c r="L1485" s="544"/>
      <c r="M1485" s="544"/>
    </row>
    <row r="1486" spans="2:13" x14ac:dyDescent="0.35">
      <c r="B1486" s="544"/>
      <c r="C1486" s="544"/>
      <c r="E1486" s="544"/>
      <c r="F1486" s="544"/>
      <c r="G1486" s="544"/>
      <c r="H1486" s="544"/>
      <c r="I1486" s="544"/>
      <c r="J1486" s="544"/>
      <c r="K1486" s="544"/>
      <c r="L1486" s="544"/>
      <c r="M1486" s="544"/>
    </row>
    <row r="1487" spans="2:13" x14ac:dyDescent="0.35">
      <c r="B1487" s="544"/>
      <c r="C1487" s="544"/>
      <c r="E1487" s="544"/>
      <c r="F1487" s="544"/>
      <c r="G1487" s="544"/>
      <c r="H1487" s="544"/>
      <c r="I1487" s="544"/>
      <c r="J1487" s="544"/>
      <c r="K1487" s="544"/>
      <c r="L1487" s="544"/>
      <c r="M1487" s="544"/>
    </row>
    <row r="1488" spans="2:13" x14ac:dyDescent="0.35">
      <c r="B1488" s="544"/>
      <c r="C1488" s="544"/>
      <c r="E1488" s="544"/>
      <c r="F1488" s="544"/>
      <c r="G1488" s="544"/>
      <c r="H1488" s="544"/>
      <c r="I1488" s="544"/>
      <c r="J1488" s="544"/>
      <c r="K1488" s="544"/>
      <c r="L1488" s="544"/>
      <c r="M1488" s="544"/>
    </row>
    <row r="1489" spans="2:13" x14ac:dyDescent="0.35">
      <c r="B1489" s="544"/>
      <c r="C1489" s="544"/>
      <c r="E1489" s="544"/>
      <c r="F1489" s="544"/>
      <c r="G1489" s="544"/>
      <c r="H1489" s="544"/>
      <c r="I1489" s="544"/>
      <c r="J1489" s="544"/>
      <c r="K1489" s="544"/>
      <c r="L1489" s="544"/>
      <c r="M1489" s="544"/>
    </row>
    <row r="1490" spans="2:13" x14ac:dyDescent="0.35">
      <c r="B1490" s="544"/>
      <c r="C1490" s="544"/>
      <c r="E1490" s="544"/>
      <c r="F1490" s="544"/>
      <c r="G1490" s="544"/>
      <c r="H1490" s="544"/>
      <c r="I1490" s="544"/>
      <c r="J1490" s="544"/>
      <c r="K1490" s="544"/>
      <c r="L1490" s="544"/>
      <c r="M1490" s="544"/>
    </row>
    <row r="1491" spans="2:13" x14ac:dyDescent="0.35">
      <c r="B1491" s="544"/>
      <c r="C1491" s="544"/>
      <c r="E1491" s="544"/>
      <c r="F1491" s="544"/>
      <c r="G1491" s="544"/>
      <c r="H1491" s="544"/>
      <c r="I1491" s="544"/>
      <c r="J1491" s="544"/>
      <c r="K1491" s="544"/>
      <c r="L1491" s="544"/>
      <c r="M1491" s="544"/>
    </row>
    <row r="1492" spans="2:13" x14ac:dyDescent="0.35">
      <c r="B1492" s="544"/>
      <c r="C1492" s="544"/>
      <c r="E1492" s="544"/>
      <c r="F1492" s="544"/>
      <c r="G1492" s="544"/>
      <c r="H1492" s="544"/>
      <c r="I1492" s="544"/>
      <c r="J1492" s="544"/>
      <c r="K1492" s="544"/>
      <c r="L1492" s="544"/>
      <c r="M1492" s="544"/>
    </row>
    <row r="1493" spans="2:13" x14ac:dyDescent="0.35">
      <c r="B1493" s="544"/>
      <c r="C1493" s="544"/>
      <c r="E1493" s="544"/>
      <c r="F1493" s="544"/>
      <c r="G1493" s="544"/>
      <c r="H1493" s="544"/>
      <c r="I1493" s="544"/>
      <c r="J1493" s="544"/>
      <c r="K1493" s="544"/>
      <c r="L1493" s="544"/>
      <c r="M1493" s="544"/>
    </row>
    <row r="1494" spans="2:13" x14ac:dyDescent="0.35">
      <c r="B1494" s="544"/>
      <c r="C1494" s="544"/>
      <c r="E1494" s="544"/>
      <c r="F1494" s="544"/>
      <c r="G1494" s="544"/>
      <c r="H1494" s="544"/>
      <c r="I1494" s="544"/>
      <c r="J1494" s="544"/>
      <c r="K1494" s="544"/>
      <c r="L1494" s="544"/>
      <c r="M1494" s="544"/>
    </row>
    <row r="1495" spans="2:13" x14ac:dyDescent="0.35">
      <c r="B1495" s="544"/>
      <c r="C1495" s="544"/>
      <c r="E1495" s="544"/>
      <c r="F1495" s="544"/>
      <c r="G1495" s="544"/>
      <c r="H1495" s="544"/>
      <c r="I1495" s="544"/>
      <c r="J1495" s="544"/>
      <c r="K1495" s="544"/>
      <c r="L1495" s="544"/>
      <c r="M1495" s="544"/>
    </row>
    <row r="1496" spans="2:13" x14ac:dyDescent="0.35">
      <c r="B1496" s="544"/>
      <c r="C1496" s="544"/>
      <c r="E1496" s="544"/>
      <c r="F1496" s="544"/>
      <c r="G1496" s="544"/>
      <c r="H1496" s="544"/>
      <c r="I1496" s="544"/>
      <c r="J1496" s="544"/>
      <c r="K1496" s="544"/>
      <c r="L1496" s="544"/>
      <c r="M1496" s="544"/>
    </row>
    <row r="1497" spans="2:13" x14ac:dyDescent="0.35">
      <c r="B1497" s="544"/>
      <c r="C1497" s="544"/>
      <c r="E1497" s="544"/>
      <c r="F1497" s="544"/>
      <c r="G1497" s="544"/>
      <c r="H1497" s="544"/>
      <c r="I1497" s="544"/>
      <c r="J1497" s="544"/>
      <c r="K1497" s="544"/>
      <c r="L1497" s="544"/>
      <c r="M1497" s="544"/>
    </row>
    <row r="1498" spans="2:13" x14ac:dyDescent="0.35">
      <c r="B1498" s="544"/>
      <c r="C1498" s="544"/>
      <c r="E1498" s="544"/>
      <c r="F1498" s="544"/>
      <c r="G1498" s="544"/>
      <c r="H1498" s="544"/>
      <c r="I1498" s="544"/>
      <c r="J1498" s="544"/>
      <c r="K1498" s="544"/>
      <c r="L1498" s="544"/>
      <c r="M1498" s="544"/>
    </row>
    <row r="1499" spans="2:13" x14ac:dyDescent="0.35">
      <c r="B1499" s="544"/>
      <c r="C1499" s="544"/>
      <c r="E1499" s="544"/>
      <c r="F1499" s="544"/>
      <c r="G1499" s="544"/>
      <c r="H1499" s="544"/>
      <c r="I1499" s="544"/>
      <c r="J1499" s="544"/>
      <c r="K1499" s="544"/>
      <c r="L1499" s="544"/>
      <c r="M1499" s="544"/>
    </row>
    <row r="1500" spans="2:13" x14ac:dyDescent="0.35">
      <c r="B1500" s="544"/>
      <c r="C1500" s="544"/>
      <c r="E1500" s="544"/>
      <c r="F1500" s="544"/>
      <c r="G1500" s="544"/>
      <c r="H1500" s="544"/>
      <c r="I1500" s="544"/>
      <c r="J1500" s="544"/>
      <c r="K1500" s="544"/>
      <c r="L1500" s="544"/>
      <c r="M1500" s="544"/>
    </row>
    <row r="1501" spans="2:13" x14ac:dyDescent="0.35">
      <c r="B1501" s="544"/>
      <c r="C1501" s="544"/>
      <c r="E1501" s="544"/>
      <c r="F1501" s="544"/>
      <c r="G1501" s="544"/>
      <c r="H1501" s="544"/>
      <c r="I1501" s="544"/>
      <c r="J1501" s="544"/>
      <c r="K1501" s="544"/>
      <c r="L1501" s="544"/>
      <c r="M1501" s="544"/>
    </row>
    <row r="1502" spans="2:13" x14ac:dyDescent="0.35">
      <c r="B1502" s="544"/>
      <c r="C1502" s="544"/>
      <c r="E1502" s="544"/>
      <c r="F1502" s="544"/>
      <c r="G1502" s="544"/>
      <c r="H1502" s="544"/>
      <c r="I1502" s="544"/>
      <c r="J1502" s="544"/>
      <c r="K1502" s="544"/>
      <c r="L1502" s="544"/>
      <c r="M1502" s="544"/>
    </row>
    <row r="1503" spans="2:13" x14ac:dyDescent="0.35">
      <c r="B1503" s="544"/>
      <c r="C1503" s="544"/>
      <c r="E1503" s="544"/>
      <c r="F1503" s="544"/>
      <c r="G1503" s="544"/>
      <c r="H1503" s="544"/>
      <c r="I1503" s="544"/>
      <c r="J1503" s="544"/>
      <c r="K1503" s="544"/>
      <c r="L1503" s="544"/>
      <c r="M1503" s="544"/>
    </row>
    <row r="1504" spans="2:13" x14ac:dyDescent="0.35">
      <c r="B1504" s="544"/>
      <c r="C1504" s="544"/>
      <c r="E1504" s="544"/>
      <c r="F1504" s="544"/>
      <c r="G1504" s="544"/>
      <c r="H1504" s="544"/>
      <c r="I1504" s="544"/>
      <c r="J1504" s="544"/>
      <c r="K1504" s="544"/>
      <c r="L1504" s="544"/>
      <c r="M1504" s="544"/>
    </row>
    <row r="1505" spans="2:13" x14ac:dyDescent="0.35">
      <c r="B1505" s="544"/>
      <c r="C1505" s="544"/>
      <c r="E1505" s="544"/>
      <c r="F1505" s="544"/>
      <c r="G1505" s="544"/>
      <c r="H1505" s="544"/>
      <c r="I1505" s="544"/>
      <c r="J1505" s="544"/>
      <c r="K1505" s="544"/>
      <c r="L1505" s="544"/>
      <c r="M1505" s="544"/>
    </row>
    <row r="1506" spans="2:13" x14ac:dyDescent="0.35">
      <c r="B1506" s="544"/>
      <c r="C1506" s="544"/>
      <c r="E1506" s="544"/>
      <c r="F1506" s="544"/>
      <c r="G1506" s="544"/>
      <c r="H1506" s="544"/>
      <c r="I1506" s="544"/>
      <c r="J1506" s="544"/>
      <c r="K1506" s="544"/>
      <c r="L1506" s="544"/>
      <c r="M1506" s="544"/>
    </row>
    <row r="1507" spans="2:13" x14ac:dyDescent="0.35">
      <c r="B1507" s="544"/>
      <c r="C1507" s="544"/>
      <c r="E1507" s="544"/>
      <c r="F1507" s="544"/>
      <c r="G1507" s="544"/>
      <c r="H1507" s="544"/>
      <c r="I1507" s="544"/>
      <c r="J1507" s="544"/>
      <c r="K1507" s="544"/>
      <c r="L1507" s="544"/>
      <c r="M1507" s="544"/>
    </row>
    <row r="1508" spans="2:13" x14ac:dyDescent="0.35">
      <c r="B1508" s="544"/>
      <c r="C1508" s="544"/>
      <c r="E1508" s="544"/>
      <c r="F1508" s="544"/>
      <c r="G1508" s="544"/>
      <c r="H1508" s="544"/>
      <c r="I1508" s="544"/>
      <c r="J1508" s="544"/>
      <c r="K1508" s="544"/>
      <c r="L1508" s="544"/>
      <c r="M1508" s="544"/>
    </row>
    <row r="1509" spans="2:13" x14ac:dyDescent="0.35">
      <c r="B1509" s="544"/>
      <c r="C1509" s="544"/>
      <c r="E1509" s="544"/>
      <c r="F1509" s="544"/>
      <c r="G1509" s="544"/>
      <c r="H1509" s="544"/>
      <c r="I1509" s="544"/>
      <c r="J1509" s="544"/>
      <c r="K1509" s="544"/>
      <c r="L1509" s="544"/>
      <c r="M1509" s="544"/>
    </row>
    <row r="1510" spans="2:13" x14ac:dyDescent="0.35">
      <c r="B1510" s="544"/>
      <c r="C1510" s="544"/>
      <c r="E1510" s="544"/>
      <c r="F1510" s="544"/>
      <c r="G1510" s="544"/>
      <c r="H1510" s="544"/>
      <c r="I1510" s="544"/>
      <c r="J1510" s="544"/>
      <c r="K1510" s="544"/>
      <c r="L1510" s="544"/>
      <c r="M1510" s="544"/>
    </row>
    <row r="1511" spans="2:13" x14ac:dyDescent="0.35">
      <c r="B1511" s="544"/>
      <c r="C1511" s="544"/>
      <c r="E1511" s="544"/>
      <c r="F1511" s="544"/>
      <c r="G1511" s="544"/>
      <c r="H1511" s="544"/>
      <c r="I1511" s="544"/>
      <c r="J1511" s="544"/>
      <c r="K1511" s="544"/>
      <c r="L1511" s="544"/>
      <c r="M1511" s="544"/>
    </row>
    <row r="1512" spans="2:13" x14ac:dyDescent="0.35">
      <c r="B1512" s="544"/>
      <c r="C1512" s="544"/>
      <c r="E1512" s="544"/>
      <c r="F1512" s="544"/>
      <c r="G1512" s="544"/>
      <c r="H1512" s="544"/>
      <c r="I1512" s="544"/>
      <c r="J1512" s="544"/>
      <c r="K1512" s="544"/>
      <c r="L1512" s="544"/>
      <c r="M1512" s="544"/>
    </row>
    <row r="1513" spans="2:13" x14ac:dyDescent="0.35">
      <c r="B1513" s="544"/>
      <c r="C1513" s="544"/>
      <c r="E1513" s="544"/>
      <c r="F1513" s="544"/>
      <c r="G1513" s="544"/>
      <c r="H1513" s="544"/>
      <c r="I1513" s="544"/>
      <c r="J1513" s="544"/>
      <c r="K1513" s="544"/>
      <c r="L1513" s="544"/>
      <c r="M1513" s="544"/>
    </row>
    <row r="1514" spans="2:13" x14ac:dyDescent="0.35">
      <c r="B1514" s="544"/>
      <c r="C1514" s="544"/>
      <c r="E1514" s="544"/>
      <c r="F1514" s="544"/>
      <c r="G1514" s="544"/>
      <c r="H1514" s="544"/>
      <c r="I1514" s="544"/>
      <c r="J1514" s="544"/>
      <c r="K1514" s="544"/>
      <c r="L1514" s="544"/>
      <c r="M1514" s="544"/>
    </row>
    <row r="1515" spans="2:13" x14ac:dyDescent="0.35">
      <c r="B1515" s="544"/>
      <c r="C1515" s="544"/>
      <c r="E1515" s="544"/>
      <c r="F1515" s="544"/>
      <c r="G1515" s="544"/>
      <c r="H1515" s="544"/>
      <c r="I1515" s="544"/>
      <c r="J1515" s="544"/>
      <c r="K1515" s="544"/>
      <c r="L1515" s="544"/>
      <c r="M1515" s="544"/>
    </row>
    <row r="1516" spans="2:13" x14ac:dyDescent="0.35">
      <c r="B1516" s="544"/>
      <c r="C1516" s="544"/>
      <c r="E1516" s="544"/>
      <c r="F1516" s="544"/>
      <c r="G1516" s="544"/>
      <c r="H1516" s="544"/>
      <c r="I1516" s="544"/>
      <c r="J1516" s="544"/>
      <c r="K1516" s="544"/>
      <c r="L1516" s="544"/>
      <c r="M1516" s="544"/>
    </row>
    <row r="1517" spans="2:13" x14ac:dyDescent="0.35">
      <c r="B1517" s="544"/>
      <c r="C1517" s="544"/>
      <c r="E1517" s="544"/>
      <c r="F1517" s="544"/>
      <c r="G1517" s="544"/>
      <c r="H1517" s="544"/>
      <c r="I1517" s="544"/>
      <c r="J1517" s="544"/>
      <c r="K1517" s="544"/>
      <c r="L1517" s="544"/>
      <c r="M1517" s="544"/>
    </row>
    <row r="1518" spans="2:13" x14ac:dyDescent="0.35">
      <c r="B1518" s="544"/>
      <c r="C1518" s="544"/>
      <c r="E1518" s="544"/>
      <c r="F1518" s="544"/>
      <c r="G1518" s="544"/>
      <c r="H1518" s="544"/>
      <c r="I1518" s="544"/>
      <c r="J1518" s="544"/>
      <c r="K1518" s="544"/>
      <c r="L1518" s="544"/>
      <c r="M1518" s="544"/>
    </row>
    <row r="1519" spans="2:13" x14ac:dyDescent="0.35">
      <c r="B1519" s="544"/>
      <c r="C1519" s="544"/>
      <c r="E1519" s="544"/>
      <c r="F1519" s="544"/>
      <c r="G1519" s="544"/>
      <c r="H1519" s="544"/>
      <c r="I1519" s="544"/>
      <c r="J1519" s="544"/>
      <c r="K1519" s="544"/>
      <c r="L1519" s="544"/>
      <c r="M1519" s="544"/>
    </row>
    <row r="1520" spans="2:13" x14ac:dyDescent="0.35">
      <c r="B1520" s="544"/>
      <c r="C1520" s="544"/>
      <c r="E1520" s="544"/>
      <c r="F1520" s="544"/>
      <c r="G1520" s="544"/>
      <c r="H1520" s="544"/>
      <c r="I1520" s="544"/>
      <c r="J1520" s="544"/>
      <c r="K1520" s="544"/>
      <c r="L1520" s="544"/>
      <c r="M1520" s="544"/>
    </row>
    <row r="1521" spans="2:13" x14ac:dyDescent="0.35">
      <c r="B1521" s="544"/>
      <c r="C1521" s="544"/>
      <c r="E1521" s="544"/>
      <c r="F1521" s="544"/>
      <c r="G1521" s="544"/>
      <c r="H1521" s="544"/>
      <c r="I1521" s="544"/>
      <c r="J1521" s="544"/>
      <c r="K1521" s="544"/>
      <c r="L1521" s="544"/>
      <c r="M1521" s="544"/>
    </row>
    <row r="1522" spans="2:13" x14ac:dyDescent="0.35">
      <c r="B1522" s="544"/>
      <c r="C1522" s="544"/>
      <c r="E1522" s="544"/>
      <c r="F1522" s="544"/>
      <c r="G1522" s="544"/>
      <c r="H1522" s="544"/>
      <c r="I1522" s="544"/>
      <c r="J1522" s="544"/>
      <c r="K1522" s="544"/>
      <c r="L1522" s="544"/>
      <c r="M1522" s="544"/>
    </row>
    <row r="1523" spans="2:13" x14ac:dyDescent="0.35">
      <c r="B1523" s="544"/>
      <c r="C1523" s="544"/>
      <c r="E1523" s="544"/>
      <c r="F1523" s="544"/>
      <c r="G1523" s="544"/>
      <c r="H1523" s="544"/>
      <c r="I1523" s="544"/>
      <c r="J1523" s="544"/>
      <c r="K1523" s="544"/>
      <c r="L1523" s="544"/>
      <c r="M1523" s="544"/>
    </row>
    <row r="1524" spans="2:13" x14ac:dyDescent="0.35">
      <c r="B1524" s="544"/>
      <c r="C1524" s="544"/>
      <c r="E1524" s="544"/>
      <c r="F1524" s="544"/>
      <c r="G1524" s="544"/>
      <c r="H1524" s="544"/>
      <c r="I1524" s="544"/>
      <c r="J1524" s="544"/>
      <c r="K1524" s="544"/>
      <c r="L1524" s="544"/>
      <c r="M1524" s="544"/>
    </row>
    <row r="1525" spans="2:13" x14ac:dyDescent="0.35">
      <c r="B1525" s="544"/>
      <c r="C1525" s="544"/>
      <c r="E1525" s="544"/>
      <c r="F1525" s="544"/>
      <c r="G1525" s="544"/>
      <c r="H1525" s="544"/>
      <c r="I1525" s="544"/>
      <c r="J1525" s="544"/>
      <c r="K1525" s="544"/>
      <c r="L1525" s="544"/>
      <c r="M1525" s="544"/>
    </row>
    <row r="1526" spans="2:13" x14ac:dyDescent="0.35">
      <c r="B1526" s="544"/>
      <c r="C1526" s="544"/>
      <c r="E1526" s="544"/>
      <c r="F1526" s="544"/>
      <c r="G1526" s="544"/>
      <c r="H1526" s="544"/>
      <c r="I1526" s="544"/>
      <c r="J1526" s="544"/>
      <c r="K1526" s="544"/>
      <c r="L1526" s="544"/>
      <c r="M1526" s="544"/>
    </row>
    <row r="1527" spans="2:13" x14ac:dyDescent="0.35">
      <c r="B1527" s="544"/>
      <c r="C1527" s="544"/>
      <c r="E1527" s="544"/>
      <c r="F1527" s="544"/>
      <c r="G1527" s="544"/>
      <c r="H1527" s="544"/>
      <c r="I1527" s="544"/>
      <c r="J1527" s="544"/>
      <c r="K1527" s="544"/>
      <c r="L1527" s="544"/>
      <c r="M1527" s="544"/>
    </row>
    <row r="1528" spans="2:13" x14ac:dyDescent="0.35">
      <c r="B1528" s="544"/>
      <c r="C1528" s="544"/>
      <c r="E1528" s="544"/>
      <c r="F1528" s="544"/>
      <c r="G1528" s="544"/>
      <c r="H1528" s="544"/>
      <c r="I1528" s="544"/>
      <c r="J1528" s="544"/>
      <c r="K1528" s="544"/>
      <c r="L1528" s="544"/>
      <c r="M1528" s="544"/>
    </row>
    <row r="1529" spans="2:13" x14ac:dyDescent="0.35">
      <c r="B1529" s="544"/>
      <c r="C1529" s="544"/>
      <c r="E1529" s="544"/>
      <c r="F1529" s="544"/>
      <c r="G1529" s="544"/>
      <c r="H1529" s="544"/>
      <c r="I1529" s="544"/>
      <c r="J1529" s="544"/>
      <c r="K1529" s="544"/>
      <c r="L1529" s="544"/>
      <c r="M1529" s="544"/>
    </row>
    <row r="1530" spans="2:13" x14ac:dyDescent="0.35">
      <c r="B1530" s="544"/>
      <c r="C1530" s="544"/>
      <c r="E1530" s="544"/>
      <c r="F1530" s="544"/>
      <c r="G1530" s="544"/>
      <c r="H1530" s="544"/>
      <c r="I1530" s="544"/>
      <c r="J1530" s="544"/>
      <c r="K1530" s="544"/>
      <c r="L1530" s="544"/>
      <c r="M1530" s="544"/>
    </row>
    <row r="1531" spans="2:13" x14ac:dyDescent="0.35">
      <c r="B1531" s="544"/>
      <c r="C1531" s="544"/>
      <c r="E1531" s="544"/>
      <c r="F1531" s="544"/>
      <c r="G1531" s="544"/>
      <c r="H1531" s="544"/>
      <c r="I1531" s="544"/>
      <c r="J1531" s="544"/>
      <c r="K1531" s="544"/>
      <c r="L1531" s="544"/>
      <c r="M1531" s="544"/>
    </row>
    <row r="1532" spans="2:13" x14ac:dyDescent="0.35">
      <c r="B1532" s="544"/>
      <c r="C1532" s="544"/>
      <c r="E1532" s="544"/>
      <c r="F1532" s="544"/>
      <c r="G1532" s="544"/>
      <c r="H1532" s="544"/>
      <c r="I1532" s="544"/>
      <c r="J1532" s="544"/>
      <c r="K1532" s="544"/>
      <c r="L1532" s="544"/>
      <c r="M1532" s="544"/>
    </row>
    <row r="1533" spans="2:13" x14ac:dyDescent="0.35">
      <c r="B1533" s="544"/>
      <c r="C1533" s="544"/>
      <c r="E1533" s="544"/>
      <c r="F1533" s="544"/>
      <c r="G1533" s="544"/>
      <c r="H1533" s="544"/>
      <c r="I1533" s="544"/>
      <c r="J1533" s="544"/>
      <c r="K1533" s="544"/>
      <c r="L1533" s="544"/>
      <c r="M1533" s="544"/>
    </row>
    <row r="1534" spans="2:13" x14ac:dyDescent="0.35">
      <c r="B1534" s="544"/>
      <c r="C1534" s="544"/>
      <c r="E1534" s="544"/>
      <c r="F1534" s="544"/>
      <c r="G1534" s="544"/>
      <c r="H1534" s="544"/>
      <c r="I1534" s="544"/>
      <c r="J1534" s="544"/>
      <c r="K1534" s="544"/>
      <c r="L1534" s="544"/>
      <c r="M1534" s="544"/>
    </row>
    <row r="1535" spans="2:13" x14ac:dyDescent="0.35">
      <c r="B1535" s="544"/>
      <c r="C1535" s="544"/>
      <c r="E1535" s="544"/>
      <c r="F1535" s="544"/>
      <c r="G1535" s="544"/>
      <c r="H1535" s="544"/>
      <c r="I1535" s="544"/>
      <c r="J1535" s="544"/>
      <c r="K1535" s="544"/>
      <c r="L1535" s="544"/>
      <c r="M1535" s="544"/>
    </row>
    <row r="1536" spans="2:13" x14ac:dyDescent="0.35">
      <c r="B1536" s="544"/>
      <c r="C1536" s="544"/>
      <c r="E1536" s="544"/>
      <c r="F1536" s="544"/>
      <c r="G1536" s="544"/>
      <c r="H1536" s="544"/>
      <c r="I1536" s="544"/>
      <c r="J1536" s="544"/>
      <c r="K1536" s="544"/>
      <c r="L1536" s="544"/>
      <c r="M1536" s="544"/>
    </row>
    <row r="1537" spans="2:13" x14ac:dyDescent="0.35">
      <c r="B1537" s="544"/>
      <c r="C1537" s="544"/>
      <c r="E1537" s="544"/>
      <c r="F1537" s="544"/>
      <c r="G1537" s="544"/>
      <c r="H1537" s="544"/>
      <c r="I1537" s="544"/>
      <c r="J1537" s="544"/>
      <c r="K1537" s="544"/>
      <c r="L1537" s="544"/>
      <c r="M1537" s="544"/>
    </row>
    <row r="1538" spans="2:13" x14ac:dyDescent="0.35">
      <c r="B1538" s="544"/>
      <c r="C1538" s="544"/>
      <c r="E1538" s="544"/>
      <c r="F1538" s="544"/>
      <c r="G1538" s="544"/>
      <c r="H1538" s="544"/>
      <c r="I1538" s="544"/>
      <c r="J1538" s="544"/>
      <c r="K1538" s="544"/>
      <c r="L1538" s="544"/>
      <c r="M1538" s="544"/>
    </row>
    <row r="1539" spans="2:13" x14ac:dyDescent="0.35">
      <c r="B1539" s="544"/>
      <c r="C1539" s="544"/>
      <c r="E1539" s="544"/>
      <c r="F1539" s="544"/>
      <c r="G1539" s="544"/>
      <c r="H1539" s="544"/>
      <c r="I1539" s="544"/>
      <c r="J1539" s="544"/>
      <c r="K1539" s="544"/>
      <c r="L1539" s="544"/>
      <c r="M1539" s="544"/>
    </row>
    <row r="1540" spans="2:13" x14ac:dyDescent="0.35">
      <c r="B1540" s="544"/>
      <c r="C1540" s="544"/>
      <c r="E1540" s="544"/>
      <c r="F1540" s="544"/>
      <c r="G1540" s="544"/>
      <c r="H1540" s="544"/>
      <c r="I1540" s="544"/>
      <c r="J1540" s="544"/>
      <c r="K1540" s="544"/>
      <c r="L1540" s="544"/>
      <c r="M1540" s="544"/>
    </row>
    <row r="1541" spans="2:13" x14ac:dyDescent="0.35">
      <c r="B1541" s="544"/>
      <c r="C1541" s="544"/>
      <c r="E1541" s="544"/>
      <c r="F1541" s="544"/>
      <c r="G1541" s="544"/>
      <c r="H1541" s="544"/>
      <c r="I1541" s="544"/>
      <c r="J1541" s="544"/>
      <c r="K1541" s="544"/>
      <c r="L1541" s="544"/>
      <c r="M1541" s="544"/>
    </row>
    <row r="1542" spans="2:13" x14ac:dyDescent="0.35">
      <c r="B1542" s="544"/>
      <c r="C1542" s="544"/>
      <c r="E1542" s="544"/>
      <c r="F1542" s="544"/>
      <c r="G1542" s="544"/>
      <c r="H1542" s="544"/>
      <c r="I1542" s="544"/>
      <c r="J1542" s="544"/>
      <c r="K1542" s="544"/>
      <c r="L1542" s="544"/>
      <c r="M1542" s="544"/>
    </row>
    <row r="1543" spans="2:13" x14ac:dyDescent="0.35">
      <c r="B1543" s="544"/>
      <c r="C1543" s="544"/>
      <c r="E1543" s="544"/>
      <c r="F1543" s="544"/>
      <c r="G1543" s="544"/>
      <c r="H1543" s="544"/>
      <c r="I1543" s="544"/>
      <c r="J1543" s="544"/>
      <c r="K1543" s="544"/>
      <c r="L1543" s="544"/>
      <c r="M1543" s="544"/>
    </row>
    <row r="1544" spans="2:13" x14ac:dyDescent="0.35">
      <c r="B1544" s="544"/>
      <c r="C1544" s="544"/>
      <c r="E1544" s="544"/>
      <c r="F1544" s="544"/>
      <c r="G1544" s="544"/>
      <c r="H1544" s="544"/>
      <c r="I1544" s="544"/>
      <c r="J1544" s="544"/>
      <c r="K1544" s="544"/>
      <c r="L1544" s="544"/>
      <c r="M1544" s="544"/>
    </row>
    <row r="1545" spans="2:13" x14ac:dyDescent="0.35">
      <c r="B1545" s="544"/>
      <c r="C1545" s="544"/>
      <c r="E1545" s="544"/>
      <c r="F1545" s="544"/>
      <c r="G1545" s="544"/>
      <c r="H1545" s="544"/>
      <c r="I1545" s="544"/>
      <c r="J1545" s="544"/>
      <c r="K1545" s="544"/>
      <c r="L1545" s="544"/>
      <c r="M1545" s="544"/>
    </row>
    <row r="1546" spans="2:13" x14ac:dyDescent="0.35">
      <c r="B1546" s="544"/>
      <c r="C1546" s="544"/>
      <c r="E1546" s="544"/>
      <c r="F1546" s="544"/>
      <c r="G1546" s="544"/>
      <c r="H1546" s="544"/>
      <c r="I1546" s="544"/>
      <c r="J1546" s="544"/>
      <c r="K1546" s="544"/>
      <c r="L1546" s="544"/>
      <c r="M1546" s="544"/>
    </row>
    <row r="1547" spans="2:13" x14ac:dyDescent="0.35">
      <c r="B1547" s="544"/>
      <c r="C1547" s="544"/>
      <c r="E1547" s="544"/>
      <c r="F1547" s="544"/>
      <c r="G1547" s="544"/>
      <c r="H1547" s="544"/>
      <c r="I1547" s="544"/>
      <c r="J1547" s="544"/>
      <c r="K1547" s="544"/>
      <c r="L1547" s="544"/>
      <c r="M1547" s="544"/>
    </row>
    <row r="1548" spans="2:13" x14ac:dyDescent="0.35">
      <c r="B1548" s="544"/>
      <c r="C1548" s="544"/>
      <c r="E1548" s="544"/>
      <c r="F1548" s="544"/>
      <c r="G1548" s="544"/>
      <c r="H1548" s="544"/>
      <c r="I1548" s="544"/>
      <c r="J1548" s="544"/>
      <c r="K1548" s="544"/>
      <c r="L1548" s="544"/>
      <c r="M1548" s="544"/>
    </row>
    <row r="1549" spans="2:13" x14ac:dyDescent="0.35">
      <c r="B1549" s="544"/>
      <c r="C1549" s="544"/>
      <c r="E1549" s="544"/>
      <c r="F1549" s="544"/>
      <c r="G1549" s="544"/>
      <c r="H1549" s="544"/>
      <c r="I1549" s="544"/>
      <c r="J1549" s="544"/>
      <c r="K1549" s="544"/>
      <c r="L1549" s="544"/>
      <c r="M1549" s="544"/>
    </row>
    <row r="1550" spans="2:13" x14ac:dyDescent="0.35">
      <c r="B1550" s="544"/>
      <c r="C1550" s="544"/>
      <c r="E1550" s="544"/>
      <c r="F1550" s="544"/>
      <c r="G1550" s="544"/>
      <c r="H1550" s="544"/>
      <c r="I1550" s="544"/>
      <c r="J1550" s="544"/>
      <c r="K1550" s="544"/>
      <c r="L1550" s="544"/>
      <c r="M1550" s="544"/>
    </row>
    <row r="1551" spans="2:13" x14ac:dyDescent="0.35">
      <c r="B1551" s="544"/>
      <c r="C1551" s="544"/>
      <c r="E1551" s="544"/>
      <c r="F1551" s="544"/>
      <c r="G1551" s="544"/>
      <c r="H1551" s="544"/>
      <c r="I1551" s="544"/>
      <c r="J1551" s="544"/>
      <c r="K1551" s="544"/>
      <c r="L1551" s="544"/>
      <c r="M1551" s="544"/>
    </row>
    <row r="1552" spans="2:13" x14ac:dyDescent="0.35">
      <c r="B1552" s="544"/>
      <c r="C1552" s="544"/>
      <c r="E1552" s="544"/>
      <c r="F1552" s="544"/>
      <c r="G1552" s="544"/>
      <c r="H1552" s="544"/>
      <c r="I1552" s="544"/>
      <c r="J1552" s="544"/>
      <c r="K1552" s="544"/>
      <c r="L1552" s="544"/>
      <c r="M1552" s="544"/>
    </row>
    <row r="1553" spans="2:13" x14ac:dyDescent="0.35">
      <c r="B1553" s="544"/>
      <c r="C1553" s="544"/>
      <c r="E1553" s="544"/>
      <c r="F1553" s="544"/>
      <c r="G1553" s="544"/>
      <c r="H1553" s="544"/>
      <c r="I1553" s="544"/>
      <c r="J1553" s="544"/>
      <c r="K1553" s="544"/>
      <c r="L1553" s="544"/>
      <c r="M1553" s="544"/>
    </row>
    <row r="1554" spans="2:13" x14ac:dyDescent="0.35">
      <c r="B1554" s="544"/>
      <c r="C1554" s="544"/>
      <c r="E1554" s="544"/>
      <c r="F1554" s="544"/>
      <c r="G1554" s="544"/>
      <c r="H1554" s="544"/>
      <c r="I1554" s="544"/>
      <c r="J1554" s="544"/>
      <c r="K1554" s="544"/>
      <c r="L1554" s="544"/>
      <c r="M1554" s="544"/>
    </row>
    <row r="1555" spans="2:13" x14ac:dyDescent="0.35">
      <c r="B1555" s="544"/>
      <c r="C1555" s="544"/>
      <c r="E1555" s="544"/>
      <c r="F1555" s="544"/>
      <c r="G1555" s="544"/>
      <c r="H1555" s="544"/>
      <c r="I1555" s="544"/>
      <c r="J1555" s="544"/>
      <c r="K1555" s="544"/>
      <c r="L1555" s="544"/>
      <c r="M1555" s="544"/>
    </row>
    <row r="1556" spans="2:13" x14ac:dyDescent="0.35">
      <c r="B1556" s="544"/>
      <c r="C1556" s="544"/>
      <c r="E1556" s="544"/>
      <c r="F1556" s="544"/>
      <c r="G1556" s="544"/>
      <c r="H1556" s="544"/>
      <c r="I1556" s="544"/>
      <c r="J1556" s="544"/>
      <c r="K1556" s="544"/>
      <c r="L1556" s="544"/>
      <c r="M1556" s="544"/>
    </row>
    <row r="1557" spans="2:13" x14ac:dyDescent="0.35">
      <c r="B1557" s="544"/>
      <c r="C1557" s="544"/>
      <c r="E1557" s="544"/>
      <c r="F1557" s="544"/>
      <c r="G1557" s="544"/>
      <c r="H1557" s="544"/>
      <c r="I1557" s="544"/>
      <c r="J1557" s="544"/>
      <c r="K1557" s="544"/>
      <c r="L1557" s="544"/>
      <c r="M1557" s="544"/>
    </row>
    <row r="1558" spans="2:13" x14ac:dyDescent="0.35">
      <c r="B1558" s="544"/>
      <c r="C1558" s="544"/>
      <c r="E1558" s="544"/>
      <c r="F1558" s="544"/>
      <c r="G1558" s="544"/>
      <c r="H1558" s="544"/>
      <c r="I1558" s="544"/>
      <c r="J1558" s="544"/>
      <c r="K1558" s="544"/>
      <c r="L1558" s="544"/>
      <c r="M1558" s="544"/>
    </row>
    <row r="1559" spans="2:13" x14ac:dyDescent="0.35">
      <c r="B1559" s="544"/>
      <c r="C1559" s="544"/>
      <c r="E1559" s="544"/>
      <c r="F1559" s="544"/>
      <c r="G1559" s="544"/>
      <c r="H1559" s="544"/>
      <c r="I1559" s="544"/>
      <c r="J1559" s="544"/>
      <c r="K1559" s="544"/>
      <c r="L1559" s="544"/>
      <c r="M1559" s="544"/>
    </row>
    <row r="1560" spans="2:13" x14ac:dyDescent="0.35">
      <c r="B1560" s="544"/>
      <c r="C1560" s="544"/>
      <c r="E1560" s="544"/>
      <c r="F1560" s="544"/>
      <c r="G1560" s="544"/>
      <c r="H1560" s="544"/>
      <c r="I1560" s="544"/>
      <c r="J1560" s="544"/>
      <c r="K1560" s="544"/>
      <c r="L1560" s="544"/>
      <c r="M1560" s="544"/>
    </row>
    <row r="1561" spans="2:13" x14ac:dyDescent="0.35">
      <c r="B1561" s="544"/>
      <c r="C1561" s="544"/>
      <c r="E1561" s="544"/>
      <c r="F1561" s="544"/>
      <c r="G1561" s="544"/>
      <c r="H1561" s="544"/>
      <c r="I1561" s="544"/>
      <c r="J1561" s="544"/>
      <c r="K1561" s="544"/>
      <c r="L1561" s="544"/>
      <c r="M1561" s="544"/>
    </row>
    <row r="1562" spans="2:13" x14ac:dyDescent="0.35">
      <c r="B1562" s="544"/>
      <c r="C1562" s="544"/>
      <c r="E1562" s="544"/>
      <c r="F1562" s="544"/>
      <c r="G1562" s="544"/>
      <c r="H1562" s="544"/>
      <c r="I1562" s="544"/>
      <c r="J1562" s="544"/>
      <c r="K1562" s="544"/>
      <c r="L1562" s="544"/>
      <c r="M1562" s="544"/>
    </row>
    <row r="1563" spans="2:13" x14ac:dyDescent="0.35">
      <c r="B1563" s="544"/>
      <c r="C1563" s="544"/>
      <c r="E1563" s="544"/>
      <c r="F1563" s="544"/>
      <c r="G1563" s="544"/>
      <c r="H1563" s="544"/>
      <c r="I1563" s="544"/>
      <c r="J1563" s="544"/>
      <c r="K1563" s="544"/>
      <c r="L1563" s="544"/>
      <c r="M1563" s="544"/>
    </row>
    <row r="1564" spans="2:13" x14ac:dyDescent="0.35">
      <c r="B1564" s="544"/>
      <c r="C1564" s="544"/>
      <c r="E1564" s="544"/>
      <c r="F1564" s="544"/>
      <c r="G1564" s="544"/>
      <c r="H1564" s="544"/>
      <c r="I1564" s="544"/>
      <c r="J1564" s="544"/>
      <c r="K1564" s="544"/>
      <c r="L1564" s="544"/>
      <c r="M1564" s="544"/>
    </row>
    <row r="1565" spans="2:13" x14ac:dyDescent="0.35">
      <c r="B1565" s="544"/>
      <c r="C1565" s="544"/>
      <c r="E1565" s="544"/>
      <c r="F1565" s="544"/>
      <c r="G1565" s="544"/>
      <c r="H1565" s="544"/>
      <c r="I1565" s="544"/>
      <c r="J1565" s="544"/>
      <c r="K1565" s="544"/>
      <c r="L1565" s="544"/>
      <c r="M1565" s="544"/>
    </row>
    <row r="1566" spans="2:13" x14ac:dyDescent="0.35">
      <c r="B1566" s="544"/>
      <c r="C1566" s="544"/>
      <c r="E1566" s="544"/>
      <c r="F1566" s="544"/>
      <c r="G1566" s="544"/>
      <c r="H1566" s="544"/>
      <c r="I1566" s="544"/>
      <c r="J1566" s="544"/>
      <c r="K1566" s="544"/>
      <c r="L1566" s="544"/>
      <c r="M1566" s="544"/>
    </row>
    <row r="1567" spans="2:13" x14ac:dyDescent="0.35">
      <c r="B1567" s="544"/>
      <c r="C1567" s="544"/>
      <c r="E1567" s="544"/>
      <c r="F1567" s="544"/>
      <c r="G1567" s="544"/>
      <c r="H1567" s="544"/>
      <c r="I1567" s="544"/>
      <c r="J1567" s="544"/>
      <c r="K1567" s="544"/>
      <c r="L1567" s="544"/>
      <c r="M1567" s="544"/>
    </row>
    <row r="1568" spans="2:13" x14ac:dyDescent="0.35">
      <c r="B1568" s="544"/>
      <c r="C1568" s="544"/>
      <c r="E1568" s="544"/>
      <c r="F1568" s="544"/>
      <c r="G1568" s="544"/>
      <c r="H1568" s="544"/>
      <c r="I1568" s="544"/>
      <c r="J1568" s="544"/>
      <c r="K1568" s="544"/>
      <c r="L1568" s="544"/>
      <c r="M1568" s="544"/>
    </row>
    <row r="1569" spans="2:13" x14ac:dyDescent="0.35">
      <c r="B1569" s="544"/>
      <c r="C1569" s="544"/>
      <c r="E1569" s="544"/>
      <c r="F1569" s="544"/>
      <c r="G1569" s="544"/>
      <c r="H1569" s="544"/>
      <c r="I1569" s="544"/>
      <c r="J1569" s="544"/>
      <c r="K1569" s="544"/>
      <c r="L1569" s="544"/>
      <c r="M1569" s="544"/>
    </row>
    <row r="1570" spans="2:13" x14ac:dyDescent="0.35">
      <c r="B1570" s="544"/>
      <c r="C1570" s="544"/>
      <c r="E1570" s="544"/>
      <c r="F1570" s="544"/>
      <c r="G1570" s="544"/>
      <c r="H1570" s="544"/>
      <c r="I1570" s="544"/>
      <c r="J1570" s="544"/>
      <c r="K1570" s="544"/>
      <c r="L1570" s="544"/>
      <c r="M1570" s="544"/>
    </row>
    <row r="1571" spans="2:13" x14ac:dyDescent="0.35">
      <c r="B1571" s="544"/>
      <c r="C1571" s="544"/>
      <c r="E1571" s="544"/>
      <c r="F1571" s="544"/>
      <c r="G1571" s="544"/>
      <c r="H1571" s="544"/>
      <c r="I1571" s="544"/>
      <c r="J1571" s="544"/>
      <c r="K1571" s="544"/>
      <c r="L1571" s="544"/>
      <c r="M1571" s="544"/>
    </row>
    <row r="1572" spans="2:13" x14ac:dyDescent="0.35">
      <c r="B1572" s="544"/>
      <c r="C1572" s="544"/>
      <c r="E1572" s="544"/>
      <c r="F1572" s="544"/>
      <c r="G1572" s="544"/>
      <c r="H1572" s="544"/>
      <c r="I1572" s="544"/>
      <c r="J1572" s="544"/>
      <c r="K1572" s="544"/>
      <c r="L1572" s="544"/>
      <c r="M1572" s="544"/>
    </row>
    <row r="1573" spans="2:13" x14ac:dyDescent="0.35">
      <c r="B1573" s="544"/>
      <c r="C1573" s="544"/>
      <c r="E1573" s="544"/>
      <c r="F1573" s="544"/>
      <c r="G1573" s="544"/>
      <c r="H1573" s="544"/>
      <c r="I1573" s="544"/>
      <c r="J1573" s="544"/>
      <c r="K1573" s="544"/>
      <c r="L1573" s="544"/>
      <c r="M1573" s="544"/>
    </row>
    <row r="1574" spans="2:13" x14ac:dyDescent="0.35">
      <c r="B1574" s="544"/>
      <c r="C1574" s="544"/>
      <c r="E1574" s="544"/>
      <c r="F1574" s="544"/>
      <c r="G1574" s="544"/>
      <c r="H1574" s="544"/>
      <c r="I1574" s="544"/>
      <c r="J1574" s="544"/>
      <c r="K1574" s="544"/>
      <c r="L1574" s="544"/>
      <c r="M1574" s="544"/>
    </row>
    <row r="1575" spans="2:13" x14ac:dyDescent="0.35">
      <c r="B1575" s="544"/>
      <c r="C1575" s="544"/>
      <c r="E1575" s="544"/>
      <c r="F1575" s="544"/>
      <c r="G1575" s="544"/>
      <c r="H1575" s="544"/>
      <c r="I1575" s="544"/>
      <c r="J1575" s="544"/>
      <c r="K1575" s="544"/>
      <c r="L1575" s="544"/>
      <c r="M1575" s="544"/>
    </row>
    <row r="1576" spans="2:13" x14ac:dyDescent="0.35">
      <c r="B1576" s="544"/>
      <c r="C1576" s="544"/>
      <c r="E1576" s="544"/>
      <c r="F1576" s="544"/>
      <c r="G1576" s="544"/>
      <c r="H1576" s="544"/>
      <c r="I1576" s="544"/>
      <c r="J1576" s="544"/>
      <c r="K1576" s="544"/>
      <c r="L1576" s="544"/>
      <c r="M1576" s="544"/>
    </row>
    <row r="1577" spans="2:13" x14ac:dyDescent="0.35">
      <c r="B1577" s="544"/>
      <c r="C1577" s="544"/>
      <c r="E1577" s="544"/>
      <c r="F1577" s="544"/>
      <c r="G1577" s="544"/>
      <c r="H1577" s="544"/>
      <c r="I1577" s="544"/>
      <c r="J1577" s="544"/>
      <c r="K1577" s="544"/>
      <c r="L1577" s="544"/>
      <c r="M1577" s="544"/>
    </row>
    <row r="1578" spans="2:13" x14ac:dyDescent="0.35">
      <c r="B1578" s="544"/>
      <c r="C1578" s="544"/>
      <c r="E1578" s="544"/>
      <c r="F1578" s="544"/>
      <c r="G1578" s="544"/>
      <c r="H1578" s="544"/>
      <c r="I1578" s="544"/>
      <c r="J1578" s="544"/>
      <c r="K1578" s="544"/>
      <c r="L1578" s="544"/>
      <c r="M1578" s="544"/>
    </row>
    <row r="1579" spans="2:13" x14ac:dyDescent="0.35">
      <c r="B1579" s="544"/>
      <c r="C1579" s="544"/>
      <c r="E1579" s="544"/>
      <c r="F1579" s="544"/>
      <c r="G1579" s="544"/>
      <c r="H1579" s="544"/>
      <c r="I1579" s="544"/>
      <c r="J1579" s="544"/>
      <c r="K1579" s="544"/>
      <c r="L1579" s="544"/>
      <c r="M1579" s="544"/>
    </row>
    <row r="1580" spans="2:13" x14ac:dyDescent="0.35">
      <c r="B1580" s="544"/>
      <c r="C1580" s="544"/>
      <c r="E1580" s="544"/>
      <c r="F1580" s="544"/>
      <c r="G1580" s="544"/>
      <c r="H1580" s="544"/>
      <c r="I1580" s="544"/>
      <c r="J1580" s="544"/>
      <c r="K1580" s="544"/>
      <c r="L1580" s="544"/>
      <c r="M1580" s="544"/>
    </row>
    <row r="1581" spans="2:13" x14ac:dyDescent="0.35">
      <c r="B1581" s="544"/>
      <c r="C1581" s="544"/>
      <c r="E1581" s="544"/>
      <c r="F1581" s="544"/>
      <c r="G1581" s="544"/>
      <c r="H1581" s="544"/>
      <c r="I1581" s="544"/>
      <c r="J1581" s="544"/>
      <c r="K1581" s="544"/>
      <c r="L1581" s="544"/>
      <c r="M1581" s="544"/>
    </row>
    <row r="1582" spans="2:13" x14ac:dyDescent="0.35">
      <c r="B1582" s="544"/>
      <c r="C1582" s="544"/>
      <c r="E1582" s="544"/>
      <c r="F1582" s="544"/>
      <c r="G1582" s="544"/>
      <c r="H1582" s="544"/>
      <c r="I1582" s="544"/>
      <c r="J1582" s="544"/>
      <c r="K1582" s="544"/>
      <c r="L1582" s="544"/>
      <c r="M1582" s="544"/>
    </row>
    <row r="1583" spans="2:13" x14ac:dyDescent="0.35">
      <c r="B1583" s="544"/>
      <c r="C1583" s="544"/>
      <c r="E1583" s="544"/>
      <c r="F1583" s="544"/>
      <c r="G1583" s="544"/>
      <c r="H1583" s="544"/>
      <c r="I1583" s="544"/>
      <c r="J1583" s="544"/>
      <c r="K1583" s="544"/>
      <c r="L1583" s="544"/>
      <c r="M1583" s="544"/>
    </row>
    <row r="1584" spans="2:13" x14ac:dyDescent="0.35">
      <c r="B1584" s="544"/>
      <c r="C1584" s="544"/>
      <c r="E1584" s="544"/>
      <c r="F1584" s="544"/>
      <c r="G1584" s="544"/>
      <c r="H1584" s="544"/>
      <c r="I1584" s="544"/>
      <c r="J1584" s="544"/>
      <c r="K1584" s="544"/>
      <c r="L1584" s="544"/>
      <c r="M1584" s="544"/>
    </row>
    <row r="1585" spans="2:13" x14ac:dyDescent="0.35">
      <c r="B1585" s="544"/>
      <c r="C1585" s="544"/>
      <c r="E1585" s="544"/>
      <c r="F1585" s="544"/>
      <c r="G1585" s="544"/>
      <c r="H1585" s="544"/>
      <c r="I1585" s="544"/>
      <c r="J1585" s="544"/>
      <c r="K1585" s="544"/>
      <c r="L1585" s="544"/>
      <c r="M1585" s="544"/>
    </row>
    <row r="1586" spans="2:13" x14ac:dyDescent="0.35">
      <c r="B1586" s="544"/>
      <c r="C1586" s="544"/>
      <c r="E1586" s="544"/>
      <c r="F1586" s="544"/>
      <c r="G1586" s="544"/>
      <c r="H1586" s="544"/>
      <c r="I1586" s="544"/>
      <c r="J1586" s="544"/>
      <c r="K1586" s="544"/>
      <c r="L1586" s="544"/>
      <c r="M1586" s="544"/>
    </row>
    <row r="1587" spans="2:13" x14ac:dyDescent="0.35">
      <c r="B1587" s="544"/>
      <c r="C1587" s="544"/>
      <c r="E1587" s="544"/>
      <c r="F1587" s="544"/>
      <c r="G1587" s="544"/>
      <c r="H1587" s="544"/>
      <c r="I1587" s="544"/>
      <c r="J1587" s="544"/>
      <c r="K1587" s="544"/>
      <c r="L1587" s="544"/>
      <c r="M1587" s="544"/>
    </row>
    <row r="1588" spans="2:13" x14ac:dyDescent="0.35">
      <c r="B1588" s="544"/>
      <c r="C1588" s="544"/>
      <c r="E1588" s="544"/>
      <c r="F1588" s="544"/>
      <c r="G1588" s="544"/>
      <c r="H1588" s="544"/>
      <c r="I1588" s="544"/>
      <c r="J1588" s="544"/>
      <c r="K1588" s="544"/>
      <c r="L1588" s="544"/>
      <c r="M1588" s="544"/>
    </row>
    <row r="1589" spans="2:13" x14ac:dyDescent="0.35">
      <c r="B1589" s="544"/>
      <c r="C1589" s="544"/>
      <c r="E1589" s="544"/>
      <c r="F1589" s="544"/>
      <c r="G1589" s="544"/>
      <c r="H1589" s="544"/>
      <c r="I1589" s="544"/>
      <c r="J1589" s="544"/>
      <c r="K1589" s="544"/>
      <c r="L1589" s="544"/>
      <c r="M1589" s="544"/>
    </row>
    <row r="1590" spans="2:13" x14ac:dyDescent="0.35">
      <c r="B1590" s="544"/>
      <c r="C1590" s="544"/>
      <c r="E1590" s="544"/>
      <c r="F1590" s="544"/>
      <c r="G1590" s="544"/>
      <c r="H1590" s="544"/>
      <c r="I1590" s="544"/>
      <c r="J1590" s="544"/>
      <c r="K1590" s="544"/>
      <c r="L1590" s="544"/>
      <c r="M1590" s="544"/>
    </row>
    <row r="1591" spans="2:13" x14ac:dyDescent="0.35">
      <c r="B1591" s="544"/>
      <c r="C1591" s="544"/>
      <c r="E1591" s="544"/>
      <c r="F1591" s="544"/>
      <c r="G1591" s="544"/>
      <c r="H1591" s="544"/>
      <c r="I1591" s="544"/>
      <c r="J1591" s="544"/>
      <c r="K1591" s="544"/>
      <c r="L1591" s="544"/>
      <c r="M1591" s="544"/>
    </row>
    <row r="1592" spans="2:13" x14ac:dyDescent="0.35">
      <c r="B1592" s="544"/>
      <c r="C1592" s="544"/>
      <c r="E1592" s="544"/>
      <c r="F1592" s="544"/>
      <c r="G1592" s="544"/>
      <c r="H1592" s="544"/>
      <c r="I1592" s="544"/>
      <c r="J1592" s="544"/>
      <c r="K1592" s="544"/>
      <c r="L1592" s="544"/>
      <c r="M1592" s="544"/>
    </row>
    <row r="1593" spans="2:13" x14ac:dyDescent="0.35">
      <c r="B1593" s="544"/>
      <c r="C1593" s="544"/>
      <c r="E1593" s="544"/>
      <c r="F1593" s="544"/>
      <c r="G1593" s="544"/>
      <c r="H1593" s="544"/>
      <c r="I1593" s="544"/>
      <c r="J1593" s="544"/>
      <c r="K1593" s="544"/>
      <c r="L1593" s="544"/>
      <c r="M1593" s="544"/>
    </row>
    <row r="1594" spans="2:13" x14ac:dyDescent="0.35">
      <c r="B1594" s="544"/>
      <c r="C1594" s="544"/>
      <c r="E1594" s="544"/>
      <c r="F1594" s="544"/>
      <c r="G1594" s="544"/>
      <c r="H1594" s="544"/>
      <c r="I1594" s="544"/>
      <c r="J1594" s="544"/>
      <c r="K1594" s="544"/>
      <c r="L1594" s="544"/>
      <c r="M1594" s="544"/>
    </row>
    <row r="1595" spans="2:13" x14ac:dyDescent="0.35">
      <c r="B1595" s="544"/>
      <c r="C1595" s="544"/>
      <c r="E1595" s="544"/>
      <c r="F1595" s="544"/>
      <c r="G1595" s="544"/>
      <c r="H1595" s="544"/>
      <c r="I1595" s="544"/>
      <c r="J1595" s="544"/>
      <c r="K1595" s="544"/>
      <c r="L1595" s="544"/>
      <c r="M1595" s="544"/>
    </row>
    <row r="1596" spans="2:13" x14ac:dyDescent="0.35">
      <c r="B1596" s="544"/>
      <c r="C1596" s="544"/>
      <c r="E1596" s="544"/>
      <c r="F1596" s="544"/>
      <c r="G1596" s="544"/>
      <c r="H1596" s="544"/>
      <c r="I1596" s="544"/>
      <c r="J1596" s="544"/>
      <c r="K1596" s="544"/>
      <c r="L1596" s="544"/>
      <c r="M1596" s="544"/>
    </row>
    <row r="1597" spans="2:13" x14ac:dyDescent="0.35">
      <c r="B1597" s="544"/>
      <c r="C1597" s="544"/>
      <c r="E1597" s="544"/>
      <c r="F1597" s="544"/>
      <c r="G1597" s="544"/>
      <c r="H1597" s="544"/>
      <c r="I1597" s="544"/>
      <c r="J1597" s="544"/>
      <c r="K1597" s="544"/>
      <c r="L1597" s="544"/>
      <c r="M1597" s="544"/>
    </row>
    <row r="1598" spans="2:13" x14ac:dyDescent="0.35">
      <c r="B1598" s="544"/>
      <c r="C1598" s="544"/>
      <c r="E1598" s="544"/>
      <c r="F1598" s="544"/>
      <c r="G1598" s="544"/>
      <c r="H1598" s="544"/>
      <c r="I1598" s="544"/>
      <c r="J1598" s="544"/>
      <c r="K1598" s="544"/>
      <c r="L1598" s="544"/>
      <c r="M1598" s="544"/>
    </row>
    <row r="1599" spans="2:13" x14ac:dyDescent="0.35">
      <c r="B1599" s="544"/>
      <c r="C1599" s="544"/>
      <c r="E1599" s="544"/>
      <c r="F1599" s="544"/>
      <c r="G1599" s="544"/>
      <c r="H1599" s="544"/>
      <c r="I1599" s="544"/>
      <c r="J1599" s="544"/>
      <c r="K1599" s="544"/>
      <c r="L1599" s="544"/>
      <c r="M1599" s="544"/>
    </row>
    <row r="1600" spans="2:13" x14ac:dyDescent="0.35">
      <c r="B1600" s="544"/>
      <c r="C1600" s="544"/>
      <c r="E1600" s="544"/>
      <c r="F1600" s="544"/>
      <c r="G1600" s="544"/>
      <c r="H1600" s="544"/>
      <c r="I1600" s="544"/>
      <c r="J1600" s="544"/>
      <c r="K1600" s="544"/>
      <c r="L1600" s="544"/>
      <c r="M1600" s="544"/>
    </row>
    <row r="1601" spans="2:13" x14ac:dyDescent="0.35">
      <c r="B1601" s="544"/>
      <c r="C1601" s="544"/>
      <c r="E1601" s="544"/>
      <c r="F1601" s="544"/>
      <c r="G1601" s="544"/>
      <c r="H1601" s="544"/>
      <c r="I1601" s="544"/>
      <c r="J1601" s="544"/>
      <c r="K1601" s="544"/>
      <c r="L1601" s="544"/>
      <c r="M1601" s="544"/>
    </row>
    <row r="1602" spans="2:13" x14ac:dyDescent="0.35">
      <c r="B1602" s="544"/>
      <c r="C1602" s="544"/>
      <c r="E1602" s="544"/>
      <c r="F1602" s="544"/>
      <c r="G1602" s="544"/>
      <c r="H1602" s="544"/>
      <c r="I1602" s="544"/>
      <c r="J1602" s="544"/>
      <c r="K1602" s="544"/>
      <c r="L1602" s="544"/>
      <c r="M1602" s="544"/>
    </row>
    <row r="1603" spans="2:13" x14ac:dyDescent="0.35">
      <c r="B1603" s="544"/>
      <c r="C1603" s="544"/>
      <c r="E1603" s="544"/>
      <c r="F1603" s="544"/>
      <c r="G1603" s="544"/>
      <c r="H1603" s="544"/>
      <c r="I1603" s="544"/>
      <c r="J1603" s="544"/>
      <c r="K1603" s="544"/>
      <c r="L1603" s="544"/>
      <c r="M1603" s="544"/>
    </row>
    <row r="1604" spans="2:13" x14ac:dyDescent="0.35">
      <c r="B1604" s="544"/>
      <c r="C1604" s="544"/>
      <c r="E1604" s="544"/>
      <c r="F1604" s="544"/>
      <c r="G1604" s="544"/>
      <c r="H1604" s="544"/>
      <c r="I1604" s="544"/>
      <c r="J1604" s="544"/>
      <c r="K1604" s="544"/>
      <c r="L1604" s="544"/>
      <c r="M1604" s="544"/>
    </row>
    <row r="1605" spans="2:13" x14ac:dyDescent="0.35">
      <c r="B1605" s="544"/>
      <c r="C1605" s="544"/>
      <c r="E1605" s="544"/>
      <c r="F1605" s="544"/>
      <c r="G1605" s="544"/>
      <c r="H1605" s="544"/>
      <c r="I1605" s="544"/>
      <c r="J1605" s="544"/>
      <c r="K1605" s="544"/>
      <c r="L1605" s="544"/>
      <c r="M1605" s="544"/>
    </row>
    <row r="1606" spans="2:13" x14ac:dyDescent="0.35">
      <c r="B1606" s="544"/>
      <c r="C1606" s="544"/>
      <c r="E1606" s="544"/>
      <c r="F1606" s="544"/>
      <c r="G1606" s="544"/>
      <c r="H1606" s="544"/>
      <c r="I1606" s="544"/>
      <c r="J1606" s="544"/>
      <c r="K1606" s="544"/>
      <c r="L1606" s="544"/>
      <c r="M1606" s="544"/>
    </row>
    <row r="1607" spans="2:13" x14ac:dyDescent="0.35">
      <c r="B1607" s="544"/>
      <c r="C1607" s="544"/>
      <c r="E1607" s="544"/>
      <c r="F1607" s="544"/>
      <c r="G1607" s="544"/>
      <c r="H1607" s="544"/>
      <c r="I1607" s="544"/>
      <c r="J1607" s="544"/>
      <c r="K1607" s="544"/>
      <c r="L1607" s="544"/>
      <c r="M1607" s="544"/>
    </row>
    <row r="1608" spans="2:13" x14ac:dyDescent="0.35">
      <c r="B1608" s="544"/>
      <c r="C1608" s="544"/>
      <c r="E1608" s="544"/>
      <c r="F1608" s="544"/>
      <c r="G1608" s="544"/>
      <c r="H1608" s="544"/>
      <c r="I1608" s="544"/>
      <c r="J1608" s="544"/>
      <c r="K1608" s="544"/>
      <c r="L1608" s="544"/>
      <c r="M1608" s="544"/>
    </row>
    <row r="1609" spans="2:13" x14ac:dyDescent="0.35">
      <c r="B1609" s="544"/>
      <c r="C1609" s="544"/>
      <c r="E1609" s="544"/>
      <c r="F1609" s="544"/>
      <c r="G1609" s="544"/>
      <c r="H1609" s="544"/>
      <c r="I1609" s="544"/>
      <c r="J1609" s="544"/>
      <c r="K1609" s="544"/>
      <c r="L1609" s="544"/>
      <c r="M1609" s="544"/>
    </row>
    <row r="1610" spans="2:13" x14ac:dyDescent="0.35">
      <c r="B1610" s="544"/>
      <c r="C1610" s="544"/>
      <c r="E1610" s="544"/>
      <c r="F1610" s="544"/>
      <c r="G1610" s="544"/>
      <c r="H1610" s="544"/>
      <c r="I1610" s="544"/>
      <c r="J1610" s="544"/>
      <c r="K1610" s="544"/>
      <c r="L1610" s="544"/>
      <c r="M1610" s="544"/>
    </row>
    <row r="1611" spans="2:13" x14ac:dyDescent="0.35">
      <c r="B1611" s="544"/>
      <c r="C1611" s="544"/>
      <c r="E1611" s="544"/>
      <c r="F1611" s="544"/>
      <c r="G1611" s="544"/>
      <c r="H1611" s="544"/>
      <c r="I1611" s="544"/>
      <c r="J1611" s="544"/>
      <c r="K1611" s="544"/>
      <c r="L1611" s="544"/>
      <c r="M1611" s="544"/>
    </row>
    <row r="1612" spans="2:13" x14ac:dyDescent="0.35">
      <c r="B1612" s="544"/>
      <c r="C1612" s="544"/>
      <c r="E1612" s="544"/>
      <c r="F1612" s="544"/>
      <c r="G1612" s="544"/>
      <c r="H1612" s="544"/>
      <c r="I1612" s="544"/>
      <c r="J1612" s="544"/>
      <c r="K1612" s="544"/>
      <c r="L1612" s="544"/>
      <c r="M1612" s="544"/>
    </row>
    <row r="1613" spans="2:13" x14ac:dyDescent="0.35">
      <c r="B1613" s="544"/>
      <c r="C1613" s="544"/>
      <c r="E1613" s="544"/>
      <c r="F1613" s="544"/>
      <c r="G1613" s="544"/>
      <c r="H1613" s="544"/>
      <c r="I1613" s="544"/>
      <c r="J1613" s="544"/>
      <c r="K1613" s="544"/>
      <c r="L1613" s="544"/>
      <c r="M1613" s="544"/>
    </row>
    <row r="1614" spans="2:13" x14ac:dyDescent="0.35">
      <c r="B1614" s="544"/>
      <c r="C1614" s="544"/>
      <c r="E1614" s="544"/>
      <c r="F1614" s="544"/>
      <c r="G1614" s="544"/>
      <c r="H1614" s="544"/>
      <c r="I1614" s="544"/>
      <c r="J1614" s="544"/>
      <c r="K1614" s="544"/>
      <c r="L1614" s="544"/>
      <c r="M1614" s="544"/>
    </row>
    <row r="1615" spans="2:13" x14ac:dyDescent="0.35">
      <c r="B1615" s="544"/>
      <c r="C1615" s="544"/>
      <c r="E1615" s="544"/>
      <c r="F1615" s="544"/>
      <c r="G1615" s="544"/>
      <c r="H1615" s="544"/>
      <c r="I1615" s="544"/>
      <c r="J1615" s="544"/>
      <c r="K1615" s="544"/>
      <c r="L1615" s="544"/>
      <c r="M1615" s="544"/>
    </row>
    <row r="1616" spans="2:13" x14ac:dyDescent="0.35">
      <c r="B1616" s="544"/>
      <c r="C1616" s="544"/>
      <c r="E1616" s="544"/>
      <c r="F1616" s="544"/>
      <c r="G1616" s="544"/>
      <c r="H1616" s="544"/>
      <c r="I1616" s="544"/>
      <c r="J1616" s="544"/>
      <c r="K1616" s="544"/>
      <c r="L1616" s="544"/>
      <c r="M1616" s="544"/>
    </row>
    <row r="1617" spans="2:13" x14ac:dyDescent="0.35">
      <c r="B1617" s="544"/>
      <c r="C1617" s="544"/>
      <c r="E1617" s="544"/>
      <c r="F1617" s="544"/>
      <c r="G1617" s="544"/>
      <c r="H1617" s="544"/>
      <c r="I1617" s="544"/>
      <c r="J1617" s="544"/>
      <c r="K1617" s="544"/>
      <c r="L1617" s="544"/>
      <c r="M1617" s="544"/>
    </row>
    <row r="1618" spans="2:13" x14ac:dyDescent="0.35">
      <c r="B1618" s="544"/>
      <c r="C1618" s="544"/>
      <c r="E1618" s="544"/>
      <c r="F1618" s="544"/>
      <c r="G1618" s="544"/>
      <c r="H1618" s="544"/>
      <c r="I1618" s="544"/>
      <c r="J1618" s="544"/>
      <c r="K1618" s="544"/>
      <c r="L1618" s="544"/>
      <c r="M1618" s="544"/>
    </row>
    <row r="1619" spans="2:13" x14ac:dyDescent="0.35">
      <c r="B1619" s="544"/>
      <c r="C1619" s="544"/>
      <c r="E1619" s="544"/>
      <c r="F1619" s="544"/>
      <c r="G1619" s="544"/>
      <c r="H1619" s="544"/>
      <c r="I1619" s="544"/>
      <c r="J1619" s="544"/>
      <c r="K1619" s="544"/>
      <c r="L1619" s="544"/>
      <c r="M1619" s="544"/>
    </row>
    <row r="1620" spans="2:13" x14ac:dyDescent="0.35">
      <c r="B1620" s="544"/>
      <c r="C1620" s="544"/>
      <c r="E1620" s="544"/>
      <c r="F1620" s="544"/>
      <c r="G1620" s="544"/>
      <c r="H1620" s="544"/>
      <c r="I1620" s="544"/>
      <c r="J1620" s="544"/>
      <c r="K1620" s="544"/>
      <c r="L1620" s="544"/>
      <c r="M1620" s="544"/>
    </row>
    <row r="1621" spans="2:13" x14ac:dyDescent="0.35">
      <c r="B1621" s="544"/>
      <c r="C1621" s="544"/>
      <c r="E1621" s="544"/>
      <c r="F1621" s="544"/>
      <c r="G1621" s="544"/>
      <c r="H1621" s="544"/>
      <c r="I1621" s="544"/>
      <c r="J1621" s="544"/>
      <c r="K1621" s="544"/>
      <c r="L1621" s="544"/>
      <c r="M1621" s="544"/>
    </row>
    <row r="1622" spans="2:13" x14ac:dyDescent="0.35">
      <c r="B1622" s="544"/>
      <c r="C1622" s="544"/>
      <c r="E1622" s="544"/>
      <c r="F1622" s="544"/>
      <c r="G1622" s="544"/>
      <c r="H1622" s="544"/>
      <c r="I1622" s="544"/>
      <c r="J1622" s="544"/>
      <c r="K1622" s="544"/>
      <c r="L1622" s="544"/>
      <c r="M1622" s="544"/>
    </row>
    <row r="1623" spans="2:13" x14ac:dyDescent="0.35">
      <c r="B1623" s="544"/>
      <c r="C1623" s="544"/>
      <c r="E1623" s="544"/>
      <c r="F1623" s="544"/>
      <c r="G1623" s="544"/>
      <c r="H1623" s="544"/>
      <c r="I1623" s="544"/>
      <c r="J1623" s="544"/>
      <c r="K1623" s="544"/>
      <c r="L1623" s="544"/>
      <c r="M1623" s="544"/>
    </row>
    <row r="1624" spans="2:13" x14ac:dyDescent="0.35">
      <c r="B1624" s="544"/>
      <c r="C1624" s="544"/>
      <c r="E1624" s="544"/>
      <c r="F1624" s="544"/>
      <c r="G1624" s="544"/>
      <c r="H1624" s="544"/>
      <c r="I1624" s="544"/>
      <c r="J1624" s="544"/>
      <c r="K1624" s="544"/>
      <c r="L1624" s="544"/>
      <c r="M1624" s="544"/>
    </row>
    <row r="1625" spans="2:13" x14ac:dyDescent="0.35">
      <c r="B1625" s="544"/>
      <c r="C1625" s="544"/>
      <c r="E1625" s="544"/>
      <c r="F1625" s="544"/>
      <c r="G1625" s="544"/>
      <c r="H1625" s="544"/>
      <c r="I1625" s="544"/>
      <c r="J1625" s="544"/>
      <c r="K1625" s="544"/>
      <c r="L1625" s="544"/>
      <c r="M1625" s="544"/>
    </row>
    <row r="1626" spans="2:13" x14ac:dyDescent="0.35">
      <c r="B1626" s="544"/>
      <c r="C1626" s="544"/>
      <c r="E1626" s="544"/>
      <c r="F1626" s="544"/>
      <c r="G1626" s="544"/>
      <c r="H1626" s="544"/>
      <c r="I1626" s="544"/>
      <c r="J1626" s="544"/>
      <c r="K1626" s="544"/>
      <c r="L1626" s="544"/>
      <c r="M1626" s="544"/>
    </row>
    <row r="1627" spans="2:13" x14ac:dyDescent="0.35">
      <c r="B1627" s="544"/>
      <c r="C1627" s="544"/>
      <c r="E1627" s="544"/>
      <c r="F1627" s="544"/>
      <c r="G1627" s="544"/>
      <c r="H1627" s="544"/>
      <c r="I1627" s="544"/>
      <c r="J1627" s="544"/>
      <c r="K1627" s="544"/>
      <c r="L1627" s="544"/>
      <c r="M1627" s="544"/>
    </row>
    <row r="1628" spans="2:13" x14ac:dyDescent="0.35">
      <c r="B1628" s="544"/>
      <c r="C1628" s="544"/>
      <c r="E1628" s="544"/>
      <c r="F1628" s="544"/>
      <c r="G1628" s="544"/>
      <c r="H1628" s="544"/>
      <c r="I1628" s="544"/>
      <c r="J1628" s="544"/>
      <c r="K1628" s="544"/>
      <c r="L1628" s="544"/>
      <c r="M1628" s="544"/>
    </row>
    <row r="1629" spans="2:13" x14ac:dyDescent="0.35">
      <c r="B1629" s="544"/>
      <c r="C1629" s="544"/>
      <c r="E1629" s="544"/>
      <c r="F1629" s="544"/>
      <c r="G1629" s="544"/>
      <c r="H1629" s="544"/>
      <c r="I1629" s="544"/>
      <c r="J1629" s="544"/>
      <c r="K1629" s="544"/>
      <c r="L1629" s="544"/>
      <c r="M1629" s="544"/>
    </row>
    <row r="1630" spans="2:13" x14ac:dyDescent="0.35">
      <c r="B1630" s="544"/>
      <c r="C1630" s="544"/>
      <c r="E1630" s="544"/>
      <c r="F1630" s="544"/>
      <c r="G1630" s="544"/>
      <c r="H1630" s="544"/>
      <c r="I1630" s="544"/>
      <c r="J1630" s="544"/>
      <c r="K1630" s="544"/>
      <c r="L1630" s="544"/>
      <c r="M1630" s="544"/>
    </row>
    <row r="1631" spans="2:13" x14ac:dyDescent="0.35">
      <c r="B1631" s="544"/>
      <c r="C1631" s="544"/>
      <c r="E1631" s="544"/>
      <c r="F1631" s="544"/>
      <c r="G1631" s="544"/>
      <c r="H1631" s="544"/>
      <c r="I1631" s="544"/>
      <c r="J1631" s="544"/>
      <c r="K1631" s="544"/>
      <c r="L1631" s="544"/>
      <c r="M1631" s="544"/>
    </row>
    <row r="1632" spans="2:13" x14ac:dyDescent="0.35">
      <c r="B1632" s="544"/>
      <c r="C1632" s="544"/>
      <c r="E1632" s="544"/>
      <c r="F1632" s="544"/>
      <c r="G1632" s="544"/>
      <c r="H1632" s="544"/>
      <c r="I1632" s="544"/>
      <c r="J1632" s="544"/>
      <c r="K1632" s="544"/>
      <c r="L1632" s="544"/>
      <c r="M1632" s="544"/>
    </row>
    <row r="1633" spans="2:13" x14ac:dyDescent="0.35">
      <c r="B1633" s="544"/>
      <c r="C1633" s="544"/>
      <c r="E1633" s="544"/>
      <c r="F1633" s="544"/>
      <c r="G1633" s="544"/>
      <c r="H1633" s="544"/>
      <c r="I1633" s="544"/>
      <c r="J1633" s="544"/>
      <c r="K1633" s="544"/>
      <c r="L1633" s="544"/>
      <c r="M1633" s="544"/>
    </row>
    <row r="1634" spans="2:13" x14ac:dyDescent="0.35">
      <c r="B1634" s="544"/>
      <c r="C1634" s="544"/>
      <c r="E1634" s="544"/>
      <c r="F1634" s="544"/>
      <c r="G1634" s="544"/>
      <c r="H1634" s="544"/>
      <c r="I1634" s="544"/>
      <c r="J1634" s="544"/>
      <c r="K1634" s="544"/>
      <c r="L1634" s="544"/>
      <c r="M1634" s="544"/>
    </row>
    <row r="1635" spans="2:13" x14ac:dyDescent="0.35">
      <c r="B1635" s="544"/>
      <c r="C1635" s="544"/>
      <c r="E1635" s="544"/>
      <c r="F1635" s="544"/>
      <c r="G1635" s="544"/>
      <c r="H1635" s="544"/>
      <c r="I1635" s="544"/>
      <c r="J1635" s="544"/>
      <c r="K1635" s="544"/>
      <c r="L1635" s="544"/>
      <c r="M1635" s="544"/>
    </row>
    <row r="1636" spans="2:13" x14ac:dyDescent="0.35">
      <c r="B1636" s="544"/>
      <c r="C1636" s="544"/>
      <c r="E1636" s="544"/>
      <c r="F1636" s="544"/>
      <c r="G1636" s="544"/>
      <c r="H1636" s="544"/>
      <c r="I1636" s="544"/>
      <c r="J1636" s="544"/>
      <c r="K1636" s="544"/>
      <c r="L1636" s="544"/>
      <c r="M1636" s="544"/>
    </row>
    <row r="1637" spans="2:13" x14ac:dyDescent="0.35">
      <c r="B1637" s="544"/>
      <c r="C1637" s="544"/>
      <c r="E1637" s="544"/>
      <c r="F1637" s="544"/>
      <c r="G1637" s="544"/>
      <c r="H1637" s="544"/>
      <c r="I1637" s="544"/>
      <c r="J1637" s="544"/>
      <c r="K1637" s="544"/>
      <c r="L1637" s="544"/>
      <c r="M1637" s="544"/>
    </row>
    <row r="1638" spans="2:13" x14ac:dyDescent="0.35">
      <c r="B1638" s="544"/>
      <c r="C1638" s="544"/>
      <c r="E1638" s="544"/>
      <c r="F1638" s="544"/>
      <c r="G1638" s="544"/>
      <c r="H1638" s="544"/>
      <c r="I1638" s="544"/>
      <c r="J1638" s="544"/>
      <c r="K1638" s="544"/>
      <c r="L1638" s="544"/>
      <c r="M1638" s="544"/>
    </row>
    <row r="1639" spans="2:13" x14ac:dyDescent="0.35">
      <c r="B1639" s="544"/>
      <c r="C1639" s="544"/>
      <c r="E1639" s="544"/>
      <c r="F1639" s="544"/>
      <c r="G1639" s="544"/>
      <c r="H1639" s="544"/>
      <c r="I1639" s="544"/>
      <c r="J1639" s="544"/>
      <c r="K1639" s="544"/>
      <c r="L1639" s="544"/>
      <c r="M1639" s="544"/>
    </row>
    <row r="1640" spans="2:13" x14ac:dyDescent="0.35">
      <c r="B1640" s="544"/>
      <c r="C1640" s="544"/>
      <c r="E1640" s="544"/>
      <c r="F1640" s="544"/>
      <c r="G1640" s="544"/>
      <c r="H1640" s="544"/>
      <c r="I1640" s="544"/>
      <c r="J1640" s="544"/>
      <c r="K1640" s="544"/>
      <c r="L1640" s="544"/>
      <c r="M1640" s="544"/>
    </row>
    <row r="1641" spans="2:13" x14ac:dyDescent="0.35">
      <c r="B1641" s="544"/>
      <c r="C1641" s="544"/>
      <c r="E1641" s="544"/>
      <c r="F1641" s="544"/>
      <c r="G1641" s="544"/>
      <c r="H1641" s="544"/>
      <c r="I1641" s="544"/>
      <c r="J1641" s="544"/>
      <c r="K1641" s="544"/>
      <c r="L1641" s="544"/>
      <c r="M1641" s="544"/>
    </row>
    <row r="1642" spans="2:13" x14ac:dyDescent="0.35">
      <c r="B1642" s="544"/>
      <c r="C1642" s="544"/>
      <c r="E1642" s="544"/>
      <c r="F1642" s="544"/>
      <c r="G1642" s="544"/>
      <c r="H1642" s="544"/>
      <c r="I1642" s="544"/>
      <c r="J1642" s="544"/>
      <c r="K1642" s="544"/>
      <c r="L1642" s="544"/>
      <c r="M1642" s="544"/>
    </row>
    <row r="1643" spans="2:13" x14ac:dyDescent="0.35">
      <c r="B1643" s="544"/>
      <c r="C1643" s="544"/>
      <c r="E1643" s="544"/>
      <c r="F1643" s="544"/>
      <c r="G1643" s="544"/>
      <c r="H1643" s="544"/>
      <c r="I1643" s="544"/>
      <c r="J1643" s="544"/>
      <c r="K1643" s="544"/>
      <c r="L1643" s="544"/>
      <c r="M1643" s="544"/>
    </row>
    <row r="1644" spans="2:13" x14ac:dyDescent="0.35">
      <c r="B1644" s="544"/>
      <c r="C1644" s="544"/>
      <c r="E1644" s="544"/>
      <c r="F1644" s="544"/>
      <c r="G1644" s="544"/>
      <c r="H1644" s="544"/>
      <c r="I1644" s="544"/>
      <c r="J1644" s="544"/>
      <c r="K1644" s="544"/>
      <c r="L1644" s="544"/>
      <c r="M1644" s="544"/>
    </row>
    <row r="1645" spans="2:13" x14ac:dyDescent="0.35">
      <c r="B1645" s="544"/>
      <c r="C1645" s="544"/>
      <c r="E1645" s="544"/>
      <c r="F1645" s="544"/>
      <c r="G1645" s="544"/>
      <c r="H1645" s="544"/>
      <c r="I1645" s="544"/>
      <c r="J1645" s="544"/>
      <c r="K1645" s="544"/>
      <c r="L1645" s="544"/>
      <c r="M1645" s="544"/>
    </row>
    <row r="1646" spans="2:13" x14ac:dyDescent="0.35">
      <c r="B1646" s="544"/>
      <c r="C1646" s="544"/>
      <c r="E1646" s="544"/>
      <c r="F1646" s="544"/>
      <c r="G1646" s="544"/>
      <c r="H1646" s="544"/>
      <c r="I1646" s="544"/>
      <c r="J1646" s="544"/>
      <c r="K1646" s="544"/>
      <c r="L1646" s="544"/>
      <c r="M1646" s="544"/>
    </row>
    <row r="1647" spans="2:13" x14ac:dyDescent="0.35">
      <c r="B1647" s="544"/>
      <c r="C1647" s="544"/>
      <c r="E1647" s="544"/>
      <c r="F1647" s="544"/>
      <c r="G1647" s="544"/>
      <c r="H1647" s="544"/>
      <c r="I1647" s="544"/>
      <c r="J1647" s="544"/>
      <c r="K1647" s="544"/>
      <c r="L1647" s="544"/>
      <c r="M1647" s="544"/>
    </row>
    <row r="1648" spans="2:13" x14ac:dyDescent="0.35">
      <c r="B1648" s="544"/>
      <c r="C1648" s="544"/>
      <c r="E1648" s="544"/>
      <c r="F1648" s="544"/>
      <c r="G1648" s="544"/>
      <c r="H1648" s="544"/>
      <c r="I1648" s="544"/>
      <c r="J1648" s="544"/>
      <c r="K1648" s="544"/>
      <c r="L1648" s="544"/>
      <c r="M1648" s="544"/>
    </row>
    <row r="1649" spans="2:13" x14ac:dyDescent="0.35">
      <c r="B1649" s="544"/>
      <c r="C1649" s="544"/>
      <c r="E1649" s="544"/>
      <c r="F1649" s="544"/>
      <c r="G1649" s="544"/>
      <c r="H1649" s="544"/>
      <c r="I1649" s="544"/>
      <c r="J1649" s="544"/>
      <c r="K1649" s="544"/>
      <c r="L1649" s="544"/>
      <c r="M1649" s="544"/>
    </row>
    <row r="1650" spans="2:13" x14ac:dyDescent="0.35">
      <c r="B1650" s="544"/>
      <c r="C1650" s="544"/>
      <c r="E1650" s="544"/>
      <c r="F1650" s="544"/>
      <c r="G1650" s="544"/>
      <c r="H1650" s="544"/>
      <c r="I1650" s="544"/>
      <c r="J1650" s="544"/>
      <c r="K1650" s="544"/>
      <c r="L1650" s="544"/>
      <c r="M1650" s="544"/>
    </row>
    <row r="1651" spans="2:13" x14ac:dyDescent="0.35">
      <c r="B1651" s="544"/>
      <c r="C1651" s="544"/>
      <c r="E1651" s="544"/>
      <c r="F1651" s="544"/>
      <c r="G1651" s="544"/>
      <c r="H1651" s="544"/>
      <c r="I1651" s="544"/>
      <c r="J1651" s="544"/>
      <c r="K1651" s="544"/>
      <c r="L1651" s="544"/>
      <c r="M1651" s="544"/>
    </row>
    <row r="1652" spans="2:13" x14ac:dyDescent="0.35">
      <c r="B1652" s="544"/>
      <c r="C1652" s="544"/>
      <c r="E1652" s="544"/>
      <c r="F1652" s="544"/>
      <c r="G1652" s="544"/>
      <c r="H1652" s="544"/>
      <c r="I1652" s="544"/>
      <c r="J1652" s="544"/>
      <c r="K1652" s="544"/>
      <c r="L1652" s="544"/>
      <c r="M1652" s="544"/>
    </row>
    <row r="1653" spans="2:13" x14ac:dyDescent="0.35">
      <c r="B1653" s="544"/>
      <c r="C1653" s="544"/>
      <c r="E1653" s="544"/>
      <c r="F1653" s="544"/>
      <c r="G1653" s="544"/>
      <c r="H1653" s="544"/>
      <c r="I1653" s="544"/>
      <c r="J1653" s="544"/>
      <c r="K1653" s="544"/>
      <c r="L1653" s="544"/>
      <c r="M1653" s="544"/>
    </row>
    <row r="1654" spans="2:13" x14ac:dyDescent="0.35">
      <c r="B1654" s="544"/>
      <c r="C1654" s="544"/>
      <c r="E1654" s="544"/>
      <c r="F1654" s="544"/>
      <c r="G1654" s="544"/>
      <c r="H1654" s="544"/>
      <c r="I1654" s="544"/>
      <c r="J1654" s="544"/>
      <c r="K1654" s="544"/>
      <c r="L1654" s="544"/>
      <c r="M1654" s="544"/>
    </row>
    <row r="1655" spans="2:13" x14ac:dyDescent="0.35">
      <c r="B1655" s="544"/>
      <c r="C1655" s="544"/>
      <c r="E1655" s="544"/>
      <c r="F1655" s="544"/>
      <c r="G1655" s="544"/>
      <c r="H1655" s="544"/>
      <c r="I1655" s="544"/>
      <c r="J1655" s="544"/>
      <c r="K1655" s="544"/>
      <c r="L1655" s="544"/>
      <c r="M1655" s="544"/>
    </row>
    <row r="1656" spans="2:13" x14ac:dyDescent="0.35">
      <c r="B1656" s="544"/>
      <c r="C1656" s="544"/>
      <c r="E1656" s="544"/>
      <c r="F1656" s="544"/>
      <c r="G1656" s="544"/>
      <c r="H1656" s="544"/>
      <c r="I1656" s="544"/>
      <c r="J1656" s="544"/>
      <c r="K1656" s="544"/>
      <c r="L1656" s="544"/>
      <c r="M1656" s="544"/>
    </row>
    <row r="1657" spans="2:13" x14ac:dyDescent="0.35">
      <c r="B1657" s="544"/>
      <c r="C1657" s="544"/>
      <c r="E1657" s="544"/>
      <c r="F1657" s="544"/>
      <c r="G1657" s="544"/>
      <c r="H1657" s="544"/>
      <c r="I1657" s="544"/>
      <c r="J1657" s="544"/>
      <c r="K1657" s="544"/>
      <c r="L1657" s="544"/>
      <c r="M1657" s="544"/>
    </row>
    <row r="1658" spans="2:13" x14ac:dyDescent="0.35">
      <c r="B1658" s="544"/>
      <c r="C1658" s="544"/>
      <c r="E1658" s="544"/>
      <c r="F1658" s="544"/>
      <c r="G1658" s="544"/>
      <c r="H1658" s="544"/>
      <c r="I1658" s="544"/>
      <c r="J1658" s="544"/>
      <c r="K1658" s="544"/>
      <c r="L1658" s="544"/>
      <c r="M1658" s="544"/>
    </row>
    <row r="1659" spans="2:13" x14ac:dyDescent="0.35">
      <c r="B1659" s="544"/>
      <c r="C1659" s="544"/>
      <c r="E1659" s="544"/>
      <c r="F1659" s="544"/>
      <c r="G1659" s="544"/>
      <c r="H1659" s="544"/>
      <c r="I1659" s="544"/>
      <c r="J1659" s="544"/>
      <c r="K1659" s="544"/>
      <c r="L1659" s="544"/>
      <c r="M1659" s="544"/>
    </row>
    <row r="1660" spans="2:13" x14ac:dyDescent="0.35">
      <c r="B1660" s="544"/>
      <c r="C1660" s="544"/>
      <c r="E1660" s="544"/>
      <c r="F1660" s="544"/>
      <c r="G1660" s="544"/>
      <c r="H1660" s="544"/>
      <c r="I1660" s="544"/>
      <c r="J1660" s="544"/>
      <c r="K1660" s="544"/>
      <c r="L1660" s="544"/>
      <c r="M1660" s="544"/>
    </row>
    <row r="1661" spans="2:13" x14ac:dyDescent="0.35">
      <c r="B1661" s="544"/>
      <c r="C1661" s="544"/>
      <c r="E1661" s="544"/>
      <c r="F1661" s="544"/>
      <c r="G1661" s="544"/>
      <c r="H1661" s="544"/>
      <c r="I1661" s="544"/>
      <c r="J1661" s="544"/>
      <c r="K1661" s="544"/>
      <c r="L1661" s="544"/>
      <c r="M1661" s="544"/>
    </row>
    <row r="1662" spans="2:13" x14ac:dyDescent="0.35">
      <c r="B1662" s="544"/>
      <c r="C1662" s="544"/>
      <c r="E1662" s="544"/>
      <c r="F1662" s="544"/>
      <c r="G1662" s="544"/>
      <c r="H1662" s="544"/>
      <c r="I1662" s="544"/>
      <c r="J1662" s="544"/>
      <c r="K1662" s="544"/>
      <c r="L1662" s="544"/>
      <c r="M1662" s="544"/>
    </row>
    <row r="1663" spans="2:13" x14ac:dyDescent="0.35">
      <c r="B1663" s="544"/>
      <c r="C1663" s="544"/>
      <c r="E1663" s="544"/>
      <c r="F1663" s="544"/>
      <c r="G1663" s="544"/>
      <c r="H1663" s="544"/>
      <c r="I1663" s="544"/>
      <c r="J1663" s="544"/>
      <c r="K1663" s="544"/>
      <c r="L1663" s="544"/>
      <c r="M1663" s="544"/>
    </row>
    <row r="1664" spans="2:13" x14ac:dyDescent="0.35">
      <c r="B1664" s="544"/>
      <c r="C1664" s="544"/>
      <c r="E1664" s="544"/>
      <c r="F1664" s="544"/>
      <c r="G1664" s="544"/>
      <c r="H1664" s="544"/>
      <c r="I1664" s="544"/>
      <c r="J1664" s="544"/>
      <c r="K1664" s="544"/>
      <c r="L1664" s="544"/>
      <c r="M1664" s="544"/>
    </row>
    <row r="1665" spans="2:13" x14ac:dyDescent="0.35">
      <c r="B1665" s="544"/>
      <c r="C1665" s="544"/>
      <c r="E1665" s="544"/>
      <c r="F1665" s="544"/>
      <c r="G1665" s="544"/>
      <c r="H1665" s="544"/>
      <c r="I1665" s="544"/>
      <c r="J1665" s="544"/>
      <c r="K1665" s="544"/>
      <c r="L1665" s="544"/>
      <c r="M1665" s="544"/>
    </row>
    <row r="1666" spans="2:13" x14ac:dyDescent="0.35">
      <c r="B1666" s="544"/>
      <c r="C1666" s="544"/>
      <c r="E1666" s="544"/>
      <c r="F1666" s="544"/>
      <c r="G1666" s="544"/>
      <c r="H1666" s="544"/>
      <c r="I1666" s="544"/>
      <c r="J1666" s="544"/>
      <c r="K1666" s="544"/>
      <c r="L1666" s="544"/>
      <c r="M1666" s="544"/>
    </row>
    <row r="1667" spans="2:13" x14ac:dyDescent="0.35">
      <c r="B1667" s="544"/>
      <c r="C1667" s="544"/>
      <c r="E1667" s="544"/>
      <c r="F1667" s="544"/>
      <c r="G1667" s="544"/>
      <c r="H1667" s="544"/>
      <c r="I1667" s="544"/>
      <c r="J1667" s="544"/>
      <c r="K1667" s="544"/>
      <c r="L1667" s="544"/>
      <c r="M1667" s="544"/>
    </row>
    <row r="1668" spans="2:13" x14ac:dyDescent="0.35">
      <c r="B1668" s="544"/>
      <c r="C1668" s="544"/>
      <c r="E1668" s="544"/>
      <c r="F1668" s="544"/>
      <c r="G1668" s="544"/>
      <c r="H1668" s="544"/>
      <c r="I1668" s="544"/>
      <c r="J1668" s="544"/>
      <c r="K1668" s="544"/>
      <c r="L1668" s="544"/>
      <c r="M1668" s="544"/>
    </row>
    <row r="1669" spans="2:13" x14ac:dyDescent="0.35">
      <c r="B1669" s="544"/>
      <c r="C1669" s="544"/>
      <c r="E1669" s="544"/>
      <c r="F1669" s="544"/>
      <c r="G1669" s="544"/>
      <c r="H1669" s="544"/>
      <c r="I1669" s="544"/>
      <c r="J1669" s="544"/>
      <c r="K1669" s="544"/>
      <c r="L1669" s="544"/>
      <c r="M1669" s="544"/>
    </row>
    <row r="1670" spans="2:13" x14ac:dyDescent="0.35">
      <c r="B1670" s="544"/>
      <c r="C1670" s="544"/>
      <c r="E1670" s="544"/>
      <c r="F1670" s="544"/>
      <c r="G1670" s="544"/>
      <c r="H1670" s="544"/>
      <c r="I1670" s="544"/>
      <c r="J1670" s="544"/>
      <c r="K1670" s="544"/>
      <c r="L1670" s="544"/>
      <c r="M1670" s="544"/>
    </row>
    <row r="1671" spans="2:13" x14ac:dyDescent="0.35">
      <c r="B1671" s="544"/>
      <c r="C1671" s="544"/>
      <c r="E1671" s="544"/>
      <c r="F1671" s="544"/>
      <c r="G1671" s="544"/>
      <c r="H1671" s="544"/>
      <c r="I1671" s="544"/>
      <c r="J1671" s="544"/>
      <c r="K1671" s="544"/>
      <c r="L1671" s="544"/>
      <c r="M1671" s="544"/>
    </row>
    <row r="1672" spans="2:13" x14ac:dyDescent="0.35">
      <c r="B1672" s="544"/>
      <c r="C1672" s="544"/>
      <c r="E1672" s="544"/>
      <c r="F1672" s="544"/>
      <c r="G1672" s="544"/>
      <c r="H1672" s="544"/>
      <c r="I1672" s="544"/>
      <c r="J1672" s="544"/>
      <c r="K1672" s="544"/>
      <c r="L1672" s="544"/>
      <c r="M1672" s="544"/>
    </row>
    <row r="1673" spans="2:13" x14ac:dyDescent="0.35">
      <c r="B1673" s="544"/>
      <c r="C1673" s="544"/>
      <c r="E1673" s="544"/>
      <c r="F1673" s="544"/>
      <c r="G1673" s="544"/>
      <c r="H1673" s="544"/>
      <c r="I1673" s="544"/>
      <c r="J1673" s="544"/>
      <c r="K1673" s="544"/>
      <c r="L1673" s="544"/>
      <c r="M1673" s="544"/>
    </row>
    <row r="1674" spans="2:13" x14ac:dyDescent="0.35">
      <c r="B1674" s="544"/>
      <c r="C1674" s="544"/>
      <c r="E1674" s="544"/>
      <c r="F1674" s="544"/>
      <c r="G1674" s="544"/>
      <c r="H1674" s="544"/>
      <c r="I1674" s="544"/>
      <c r="J1674" s="544"/>
      <c r="K1674" s="544"/>
      <c r="L1674" s="544"/>
      <c r="M1674" s="544"/>
    </row>
    <row r="1675" spans="2:13" x14ac:dyDescent="0.35">
      <c r="B1675" s="544"/>
      <c r="C1675" s="544"/>
      <c r="E1675" s="544"/>
      <c r="F1675" s="544"/>
      <c r="G1675" s="544"/>
      <c r="H1675" s="544"/>
      <c r="I1675" s="544"/>
      <c r="J1675" s="544"/>
      <c r="K1675" s="544"/>
      <c r="L1675" s="544"/>
      <c r="M1675" s="544"/>
    </row>
    <row r="1676" spans="2:13" x14ac:dyDescent="0.35">
      <c r="B1676" s="544"/>
      <c r="C1676" s="544"/>
      <c r="E1676" s="544"/>
      <c r="F1676" s="544"/>
      <c r="G1676" s="544"/>
      <c r="H1676" s="544"/>
      <c r="I1676" s="544"/>
      <c r="J1676" s="544"/>
      <c r="K1676" s="544"/>
      <c r="L1676" s="544"/>
      <c r="M1676" s="544"/>
    </row>
    <row r="1677" spans="2:13" x14ac:dyDescent="0.35">
      <c r="B1677" s="544"/>
      <c r="C1677" s="544"/>
      <c r="E1677" s="544"/>
      <c r="F1677" s="544"/>
      <c r="G1677" s="544"/>
      <c r="H1677" s="544"/>
      <c r="I1677" s="544"/>
      <c r="J1677" s="544"/>
      <c r="K1677" s="544"/>
      <c r="L1677" s="544"/>
      <c r="M1677" s="544"/>
    </row>
    <row r="1678" spans="2:13" x14ac:dyDescent="0.35">
      <c r="B1678" s="544"/>
      <c r="C1678" s="544"/>
      <c r="E1678" s="544"/>
      <c r="F1678" s="544"/>
      <c r="G1678" s="544"/>
      <c r="H1678" s="544"/>
      <c r="I1678" s="544"/>
      <c r="J1678" s="544"/>
      <c r="K1678" s="544"/>
      <c r="L1678" s="544"/>
      <c r="M1678" s="544"/>
    </row>
    <row r="1679" spans="2:13" x14ac:dyDescent="0.35">
      <c r="B1679" s="544"/>
      <c r="C1679" s="544"/>
      <c r="E1679" s="544"/>
      <c r="F1679" s="544"/>
      <c r="G1679" s="544"/>
      <c r="H1679" s="544"/>
      <c r="I1679" s="544"/>
      <c r="J1679" s="544"/>
      <c r="K1679" s="544"/>
      <c r="L1679" s="544"/>
      <c r="M1679" s="544"/>
    </row>
    <row r="1680" spans="2:13" x14ac:dyDescent="0.35">
      <c r="B1680" s="544"/>
      <c r="C1680" s="544"/>
      <c r="E1680" s="544"/>
      <c r="F1680" s="544"/>
      <c r="G1680" s="544"/>
      <c r="H1680" s="544"/>
      <c r="I1680" s="544"/>
      <c r="J1680" s="544"/>
      <c r="K1680" s="544"/>
      <c r="L1680" s="544"/>
      <c r="M1680" s="544"/>
    </row>
    <row r="1681" spans="2:13" x14ac:dyDescent="0.35">
      <c r="B1681" s="544"/>
      <c r="C1681" s="544"/>
      <c r="E1681" s="544"/>
      <c r="F1681" s="544"/>
      <c r="G1681" s="544"/>
      <c r="H1681" s="544"/>
      <c r="I1681" s="544"/>
      <c r="J1681" s="544"/>
      <c r="K1681" s="544"/>
      <c r="L1681" s="544"/>
      <c r="M1681" s="544"/>
    </row>
    <row r="1682" spans="2:13" x14ac:dyDescent="0.35">
      <c r="B1682" s="544"/>
      <c r="C1682" s="544"/>
      <c r="E1682" s="544"/>
      <c r="F1682" s="544"/>
      <c r="G1682" s="544"/>
      <c r="H1682" s="544"/>
      <c r="I1682" s="544"/>
      <c r="J1682" s="544"/>
      <c r="K1682" s="544"/>
      <c r="L1682" s="544"/>
      <c r="M1682" s="544"/>
    </row>
    <row r="1683" spans="2:13" x14ac:dyDescent="0.35">
      <c r="B1683" s="544"/>
      <c r="C1683" s="544"/>
      <c r="E1683" s="544"/>
      <c r="F1683" s="544"/>
      <c r="G1683" s="544"/>
      <c r="H1683" s="544"/>
      <c r="I1683" s="544"/>
      <c r="J1683" s="544"/>
      <c r="K1683" s="544"/>
      <c r="L1683" s="544"/>
      <c r="M1683" s="544"/>
    </row>
    <row r="1684" spans="2:13" x14ac:dyDescent="0.35">
      <c r="B1684" s="544"/>
      <c r="C1684" s="544"/>
      <c r="E1684" s="544"/>
      <c r="F1684" s="544"/>
      <c r="G1684" s="544"/>
      <c r="H1684" s="544"/>
      <c r="I1684" s="544"/>
      <c r="J1684" s="544"/>
      <c r="K1684" s="544"/>
      <c r="L1684" s="544"/>
      <c r="M1684" s="544"/>
    </row>
    <row r="1685" spans="2:13" x14ac:dyDescent="0.35">
      <c r="B1685" s="544"/>
      <c r="C1685" s="544"/>
      <c r="E1685" s="544"/>
      <c r="F1685" s="544"/>
      <c r="G1685" s="544"/>
      <c r="H1685" s="544"/>
      <c r="I1685" s="544"/>
      <c r="J1685" s="544"/>
      <c r="K1685" s="544"/>
      <c r="L1685" s="544"/>
      <c r="M1685" s="544"/>
    </row>
    <row r="1686" spans="2:13" x14ac:dyDescent="0.35">
      <c r="B1686" s="544"/>
      <c r="C1686" s="544"/>
      <c r="E1686" s="544"/>
      <c r="F1686" s="544"/>
      <c r="G1686" s="544"/>
      <c r="H1686" s="544"/>
      <c r="I1686" s="544"/>
      <c r="J1686" s="544"/>
      <c r="K1686" s="544"/>
      <c r="L1686" s="544"/>
      <c r="M1686" s="544"/>
    </row>
    <row r="1687" spans="2:13" x14ac:dyDescent="0.35">
      <c r="B1687" s="544"/>
      <c r="C1687" s="544"/>
      <c r="E1687" s="544"/>
      <c r="F1687" s="544"/>
      <c r="G1687" s="544"/>
      <c r="H1687" s="544"/>
      <c r="I1687" s="544"/>
      <c r="J1687" s="544"/>
      <c r="K1687" s="544"/>
      <c r="L1687" s="544"/>
      <c r="M1687" s="544"/>
    </row>
    <row r="1688" spans="2:13" x14ac:dyDescent="0.35">
      <c r="B1688" s="544"/>
      <c r="C1688" s="544"/>
      <c r="E1688" s="544"/>
      <c r="F1688" s="544"/>
      <c r="G1688" s="544"/>
      <c r="H1688" s="544"/>
      <c r="I1688" s="544"/>
      <c r="J1688" s="544"/>
      <c r="K1688" s="544"/>
      <c r="L1688" s="544"/>
      <c r="M1688" s="544"/>
    </row>
    <row r="1689" spans="2:13" x14ac:dyDescent="0.35">
      <c r="B1689" s="544"/>
      <c r="C1689" s="544"/>
      <c r="E1689" s="544"/>
      <c r="F1689" s="544"/>
      <c r="G1689" s="544"/>
      <c r="H1689" s="544"/>
      <c r="I1689" s="544"/>
      <c r="J1689" s="544"/>
      <c r="K1689" s="544"/>
      <c r="L1689" s="544"/>
      <c r="M1689" s="544"/>
    </row>
    <row r="1690" spans="2:13" x14ac:dyDescent="0.35">
      <c r="B1690" s="544"/>
      <c r="C1690" s="544"/>
      <c r="E1690" s="544"/>
      <c r="F1690" s="544"/>
      <c r="G1690" s="544"/>
      <c r="H1690" s="544"/>
      <c r="I1690" s="544"/>
      <c r="J1690" s="544"/>
      <c r="K1690" s="544"/>
      <c r="L1690" s="544"/>
      <c r="M1690" s="544"/>
    </row>
    <row r="1691" spans="2:13" x14ac:dyDescent="0.35">
      <c r="B1691" s="544"/>
      <c r="C1691" s="544"/>
      <c r="E1691" s="544"/>
      <c r="F1691" s="544"/>
      <c r="G1691" s="544"/>
      <c r="H1691" s="544"/>
      <c r="I1691" s="544"/>
      <c r="J1691" s="544"/>
      <c r="K1691" s="544"/>
      <c r="L1691" s="544"/>
      <c r="M1691" s="544"/>
    </row>
    <row r="1692" spans="2:13" x14ac:dyDescent="0.35">
      <c r="B1692" s="544"/>
      <c r="C1692" s="544"/>
      <c r="E1692" s="544"/>
      <c r="F1692" s="544"/>
      <c r="G1692" s="544"/>
      <c r="H1692" s="544"/>
      <c r="I1692" s="544"/>
      <c r="J1692" s="544"/>
      <c r="K1692" s="544"/>
      <c r="L1692" s="544"/>
      <c r="M1692" s="544"/>
    </row>
    <row r="1693" spans="2:13" x14ac:dyDescent="0.35">
      <c r="B1693" s="544"/>
      <c r="C1693" s="544"/>
      <c r="E1693" s="544"/>
      <c r="F1693" s="544"/>
      <c r="G1693" s="544"/>
      <c r="H1693" s="544"/>
      <c r="I1693" s="544"/>
      <c r="J1693" s="544"/>
      <c r="K1693" s="544"/>
      <c r="L1693" s="544"/>
      <c r="M1693" s="544"/>
    </row>
    <row r="1694" spans="2:13" x14ac:dyDescent="0.35">
      <c r="B1694" s="544"/>
      <c r="C1694" s="544"/>
      <c r="E1694" s="544"/>
      <c r="F1694" s="544"/>
      <c r="G1694" s="544"/>
      <c r="H1694" s="544"/>
      <c r="I1694" s="544"/>
      <c r="J1694" s="544"/>
      <c r="K1694" s="544"/>
      <c r="L1694" s="544"/>
      <c r="M1694" s="544"/>
    </row>
    <row r="1695" spans="2:13" x14ac:dyDescent="0.35">
      <c r="B1695" s="544"/>
      <c r="C1695" s="544"/>
      <c r="E1695" s="544"/>
      <c r="F1695" s="544"/>
      <c r="G1695" s="544"/>
      <c r="H1695" s="544"/>
      <c r="I1695" s="544"/>
      <c r="J1695" s="544"/>
      <c r="K1695" s="544"/>
      <c r="L1695" s="544"/>
      <c r="M1695" s="544"/>
    </row>
    <row r="1696" spans="2:13" x14ac:dyDescent="0.35">
      <c r="B1696" s="544"/>
      <c r="C1696" s="544"/>
      <c r="E1696" s="544"/>
      <c r="F1696" s="544"/>
      <c r="G1696" s="544"/>
      <c r="H1696" s="544"/>
      <c r="I1696" s="544"/>
      <c r="J1696" s="544"/>
      <c r="K1696" s="544"/>
      <c r="L1696" s="544"/>
      <c r="M1696" s="544"/>
    </row>
    <row r="1697" spans="2:13" x14ac:dyDescent="0.35">
      <c r="B1697" s="544"/>
      <c r="C1697" s="544"/>
      <c r="E1697" s="544"/>
      <c r="F1697" s="544"/>
      <c r="G1697" s="544"/>
      <c r="H1697" s="544"/>
      <c r="I1697" s="544"/>
      <c r="J1697" s="544"/>
      <c r="K1697" s="544"/>
      <c r="L1697" s="544"/>
      <c r="M1697" s="544"/>
    </row>
    <row r="1698" spans="2:13" x14ac:dyDescent="0.35">
      <c r="B1698" s="544"/>
      <c r="C1698" s="544"/>
      <c r="E1698" s="544"/>
      <c r="F1698" s="544"/>
      <c r="G1698" s="544"/>
      <c r="H1698" s="544"/>
      <c r="I1698" s="544"/>
      <c r="J1698" s="544"/>
      <c r="K1698" s="544"/>
      <c r="L1698" s="544"/>
      <c r="M1698" s="544"/>
    </row>
    <row r="1699" spans="2:13" x14ac:dyDescent="0.35">
      <c r="B1699" s="544"/>
      <c r="C1699" s="544"/>
      <c r="E1699" s="544"/>
      <c r="F1699" s="544"/>
      <c r="G1699" s="544"/>
      <c r="H1699" s="544"/>
      <c r="I1699" s="544"/>
      <c r="J1699" s="544"/>
      <c r="K1699" s="544"/>
      <c r="L1699" s="544"/>
      <c r="M1699" s="544"/>
    </row>
    <row r="1700" spans="2:13" x14ac:dyDescent="0.35">
      <c r="B1700" s="544"/>
      <c r="C1700" s="544"/>
      <c r="E1700" s="544"/>
      <c r="F1700" s="544"/>
      <c r="G1700" s="544"/>
      <c r="H1700" s="544"/>
      <c r="I1700" s="544"/>
      <c r="J1700" s="544"/>
      <c r="K1700" s="544"/>
      <c r="L1700" s="544"/>
      <c r="M1700" s="544"/>
    </row>
    <row r="1701" spans="2:13" x14ac:dyDescent="0.35">
      <c r="B1701" s="544"/>
      <c r="C1701" s="544"/>
      <c r="E1701" s="544"/>
      <c r="F1701" s="544"/>
      <c r="G1701" s="544"/>
      <c r="H1701" s="544"/>
      <c r="I1701" s="544"/>
      <c r="J1701" s="544"/>
      <c r="K1701" s="544"/>
      <c r="L1701" s="544"/>
      <c r="M1701" s="544"/>
    </row>
    <row r="1702" spans="2:13" x14ac:dyDescent="0.35">
      <c r="B1702" s="544"/>
      <c r="C1702" s="544"/>
      <c r="E1702" s="544"/>
      <c r="F1702" s="544"/>
      <c r="G1702" s="544"/>
      <c r="H1702" s="544"/>
      <c r="I1702" s="544"/>
      <c r="J1702" s="544"/>
      <c r="K1702" s="544"/>
      <c r="L1702" s="544"/>
      <c r="M1702" s="544"/>
    </row>
    <row r="1703" spans="2:13" x14ac:dyDescent="0.35">
      <c r="B1703" s="544"/>
      <c r="C1703" s="544"/>
      <c r="E1703" s="544"/>
      <c r="F1703" s="544"/>
      <c r="G1703" s="544"/>
      <c r="H1703" s="544"/>
      <c r="I1703" s="544"/>
      <c r="J1703" s="544"/>
      <c r="K1703" s="544"/>
      <c r="L1703" s="544"/>
      <c r="M1703" s="544"/>
    </row>
    <row r="1704" spans="2:13" x14ac:dyDescent="0.35">
      <c r="B1704" s="544"/>
      <c r="C1704" s="544"/>
      <c r="E1704" s="544"/>
      <c r="F1704" s="544"/>
      <c r="G1704" s="544"/>
      <c r="H1704" s="544"/>
      <c r="I1704" s="544"/>
      <c r="J1704" s="544"/>
      <c r="K1704" s="544"/>
      <c r="L1704" s="544"/>
      <c r="M1704" s="544"/>
    </row>
    <row r="1705" spans="2:13" x14ac:dyDescent="0.35">
      <c r="B1705" s="544"/>
      <c r="C1705" s="544"/>
      <c r="E1705" s="544"/>
      <c r="F1705" s="544"/>
      <c r="G1705" s="544"/>
      <c r="H1705" s="544"/>
      <c r="I1705" s="544"/>
      <c r="J1705" s="544"/>
      <c r="K1705" s="544"/>
      <c r="L1705" s="544"/>
      <c r="M1705" s="544"/>
    </row>
    <row r="1706" spans="2:13" x14ac:dyDescent="0.35">
      <c r="B1706" s="544"/>
      <c r="C1706" s="544"/>
      <c r="E1706" s="544"/>
      <c r="F1706" s="544"/>
      <c r="G1706" s="544"/>
      <c r="H1706" s="544"/>
      <c r="I1706" s="544"/>
      <c r="J1706" s="544"/>
      <c r="K1706" s="544"/>
      <c r="L1706" s="544"/>
      <c r="M1706" s="544"/>
    </row>
    <row r="1707" spans="2:13" x14ac:dyDescent="0.35">
      <c r="B1707" s="544"/>
      <c r="C1707" s="544"/>
      <c r="E1707" s="544"/>
      <c r="F1707" s="544"/>
      <c r="G1707" s="544"/>
      <c r="H1707" s="544"/>
      <c r="I1707" s="544"/>
      <c r="J1707" s="544"/>
      <c r="K1707" s="544"/>
      <c r="L1707" s="544"/>
      <c r="M1707" s="544"/>
    </row>
    <row r="1708" spans="2:13" x14ac:dyDescent="0.35">
      <c r="B1708" s="544"/>
      <c r="C1708" s="544"/>
      <c r="E1708" s="544"/>
      <c r="F1708" s="544"/>
      <c r="G1708" s="544"/>
      <c r="H1708" s="544"/>
      <c r="I1708" s="544"/>
      <c r="J1708" s="544"/>
      <c r="K1708" s="544"/>
      <c r="L1708" s="544"/>
      <c r="M1708" s="544"/>
    </row>
    <row r="1709" spans="2:13" x14ac:dyDescent="0.35">
      <c r="B1709" s="544"/>
      <c r="C1709" s="544"/>
      <c r="E1709" s="544"/>
      <c r="F1709" s="544"/>
      <c r="G1709" s="544"/>
      <c r="H1709" s="544"/>
      <c r="I1709" s="544"/>
      <c r="J1709" s="544"/>
      <c r="K1709" s="544"/>
      <c r="L1709" s="544"/>
      <c r="M1709" s="544"/>
    </row>
    <row r="1710" spans="2:13" x14ac:dyDescent="0.35">
      <c r="B1710" s="544"/>
      <c r="C1710" s="544"/>
      <c r="E1710" s="544"/>
      <c r="F1710" s="544"/>
      <c r="G1710" s="544"/>
      <c r="H1710" s="544"/>
      <c r="I1710" s="544"/>
      <c r="J1710" s="544"/>
      <c r="K1710" s="544"/>
      <c r="L1710" s="544"/>
      <c r="M1710" s="544"/>
    </row>
    <row r="1711" spans="2:13" x14ac:dyDescent="0.35">
      <c r="B1711" s="544"/>
      <c r="C1711" s="544"/>
      <c r="E1711" s="544"/>
      <c r="F1711" s="544"/>
      <c r="G1711" s="544"/>
      <c r="H1711" s="544"/>
      <c r="I1711" s="544"/>
      <c r="J1711" s="544"/>
      <c r="K1711" s="544"/>
      <c r="L1711" s="544"/>
      <c r="M1711" s="544"/>
    </row>
    <row r="1712" spans="2:13" x14ac:dyDescent="0.35">
      <c r="B1712" s="544"/>
      <c r="C1712" s="544"/>
      <c r="E1712" s="544"/>
      <c r="F1712" s="544"/>
      <c r="G1712" s="544"/>
      <c r="H1712" s="544"/>
      <c r="I1712" s="544"/>
      <c r="J1712" s="544"/>
      <c r="K1712" s="544"/>
      <c r="L1712" s="544"/>
      <c r="M1712" s="544"/>
    </row>
    <row r="1713" spans="2:13" x14ac:dyDescent="0.35">
      <c r="B1713" s="544"/>
      <c r="C1713" s="544"/>
      <c r="E1713" s="544"/>
      <c r="F1713" s="544"/>
      <c r="G1713" s="544"/>
      <c r="H1713" s="544"/>
      <c r="I1713" s="544"/>
      <c r="J1713" s="544"/>
      <c r="K1713" s="544"/>
      <c r="L1713" s="544"/>
      <c r="M1713" s="544"/>
    </row>
    <row r="1714" spans="2:13" x14ac:dyDescent="0.35">
      <c r="B1714" s="544"/>
      <c r="C1714" s="544"/>
      <c r="E1714" s="544"/>
      <c r="F1714" s="544"/>
      <c r="G1714" s="544"/>
      <c r="H1714" s="544"/>
      <c r="I1714" s="544"/>
      <c r="J1714" s="544"/>
      <c r="K1714" s="544"/>
      <c r="L1714" s="544"/>
      <c r="M1714" s="544"/>
    </row>
    <row r="1715" spans="2:13" x14ac:dyDescent="0.35">
      <c r="B1715" s="544"/>
      <c r="C1715" s="544"/>
      <c r="E1715" s="544"/>
      <c r="F1715" s="544"/>
      <c r="G1715" s="544"/>
      <c r="H1715" s="544"/>
      <c r="I1715" s="544"/>
      <c r="J1715" s="544"/>
      <c r="K1715" s="544"/>
      <c r="L1715" s="544"/>
      <c r="M1715" s="544"/>
    </row>
    <row r="1716" spans="2:13" x14ac:dyDescent="0.35">
      <c r="B1716" s="544"/>
      <c r="C1716" s="544"/>
      <c r="E1716" s="544"/>
      <c r="F1716" s="544"/>
      <c r="G1716" s="544"/>
      <c r="H1716" s="544"/>
      <c r="I1716" s="544"/>
      <c r="J1716" s="544"/>
      <c r="K1716" s="544"/>
      <c r="L1716" s="544"/>
      <c r="M1716" s="544"/>
    </row>
    <row r="1717" spans="2:13" x14ac:dyDescent="0.35">
      <c r="B1717" s="544"/>
      <c r="C1717" s="544"/>
      <c r="E1717" s="544"/>
      <c r="F1717" s="544"/>
      <c r="G1717" s="544"/>
      <c r="H1717" s="544"/>
      <c r="I1717" s="544"/>
      <c r="J1717" s="544"/>
      <c r="K1717" s="544"/>
      <c r="L1717" s="544"/>
      <c r="M1717" s="544"/>
    </row>
    <row r="1718" spans="2:13" x14ac:dyDescent="0.35">
      <c r="B1718" s="544"/>
      <c r="C1718" s="544"/>
      <c r="E1718" s="544"/>
      <c r="F1718" s="544"/>
      <c r="G1718" s="544"/>
      <c r="H1718" s="544"/>
      <c r="I1718" s="544"/>
      <c r="J1718" s="544"/>
      <c r="K1718" s="544"/>
      <c r="L1718" s="544"/>
      <c r="M1718" s="544"/>
    </row>
    <row r="1719" spans="2:13" x14ac:dyDescent="0.35">
      <c r="B1719" s="544"/>
      <c r="C1719" s="544"/>
      <c r="E1719" s="544"/>
      <c r="F1719" s="544"/>
      <c r="G1719" s="544"/>
      <c r="H1719" s="544"/>
      <c r="I1719" s="544"/>
      <c r="J1719" s="544"/>
      <c r="K1719" s="544"/>
      <c r="L1719" s="544"/>
      <c r="M1719" s="544"/>
    </row>
    <row r="1720" spans="2:13" x14ac:dyDescent="0.35">
      <c r="B1720" s="544"/>
      <c r="C1720" s="544"/>
      <c r="E1720" s="544"/>
      <c r="F1720" s="544"/>
      <c r="G1720" s="544"/>
      <c r="H1720" s="544"/>
      <c r="I1720" s="544"/>
      <c r="J1720" s="544"/>
      <c r="K1720" s="544"/>
      <c r="L1720" s="544"/>
      <c r="M1720" s="544"/>
    </row>
    <row r="1721" spans="2:13" x14ac:dyDescent="0.35">
      <c r="B1721" s="544"/>
      <c r="C1721" s="544"/>
      <c r="E1721" s="544"/>
      <c r="F1721" s="544"/>
      <c r="G1721" s="544"/>
      <c r="H1721" s="544"/>
      <c r="I1721" s="544"/>
      <c r="J1721" s="544"/>
      <c r="K1721" s="544"/>
      <c r="L1721" s="544"/>
      <c r="M1721" s="544"/>
    </row>
    <row r="1722" spans="2:13" x14ac:dyDescent="0.35">
      <c r="B1722" s="544"/>
      <c r="C1722" s="544"/>
      <c r="E1722" s="544"/>
      <c r="F1722" s="544"/>
      <c r="G1722" s="544"/>
      <c r="H1722" s="544"/>
      <c r="I1722" s="544"/>
      <c r="J1722" s="544"/>
      <c r="K1722" s="544"/>
      <c r="L1722" s="544"/>
      <c r="M1722" s="544"/>
    </row>
    <row r="1723" spans="2:13" x14ac:dyDescent="0.35">
      <c r="B1723" s="544"/>
      <c r="C1723" s="544"/>
      <c r="E1723" s="544"/>
      <c r="F1723" s="544"/>
      <c r="G1723" s="544"/>
      <c r="H1723" s="544"/>
      <c r="I1723" s="544"/>
      <c r="J1723" s="544"/>
      <c r="K1723" s="544"/>
      <c r="L1723" s="544"/>
      <c r="M1723" s="544"/>
    </row>
    <row r="1724" spans="2:13" x14ac:dyDescent="0.35">
      <c r="B1724" s="544"/>
      <c r="C1724" s="544"/>
      <c r="E1724" s="544"/>
      <c r="F1724" s="544"/>
      <c r="G1724" s="544"/>
      <c r="H1724" s="544"/>
      <c r="I1724" s="544"/>
      <c r="J1724" s="544"/>
      <c r="K1724" s="544"/>
      <c r="L1724" s="544"/>
      <c r="M1724" s="544"/>
    </row>
    <row r="1725" spans="2:13" x14ac:dyDescent="0.35">
      <c r="B1725" s="544"/>
      <c r="C1725" s="544"/>
      <c r="E1725" s="544"/>
      <c r="F1725" s="544"/>
      <c r="G1725" s="544"/>
      <c r="H1725" s="544"/>
      <c r="I1725" s="544"/>
      <c r="J1725" s="544"/>
      <c r="K1725" s="544"/>
      <c r="L1725" s="544"/>
      <c r="M1725" s="544"/>
    </row>
    <row r="1726" spans="2:13" x14ac:dyDescent="0.35">
      <c r="B1726" s="544"/>
      <c r="C1726" s="544"/>
      <c r="E1726" s="544"/>
      <c r="F1726" s="544"/>
      <c r="G1726" s="544"/>
      <c r="H1726" s="544"/>
      <c r="I1726" s="544"/>
      <c r="J1726" s="544"/>
      <c r="K1726" s="544"/>
      <c r="L1726" s="544"/>
      <c r="M1726" s="544"/>
    </row>
    <row r="1727" spans="2:13" x14ac:dyDescent="0.35">
      <c r="B1727" s="544"/>
      <c r="C1727" s="544"/>
      <c r="E1727" s="544"/>
      <c r="F1727" s="544"/>
      <c r="G1727" s="544"/>
      <c r="H1727" s="544"/>
      <c r="I1727" s="544"/>
      <c r="J1727" s="544"/>
      <c r="K1727" s="544"/>
      <c r="L1727" s="544"/>
      <c r="M1727" s="544"/>
    </row>
    <row r="1728" spans="2:13" x14ac:dyDescent="0.35">
      <c r="B1728" s="544"/>
      <c r="C1728" s="544"/>
      <c r="E1728" s="544"/>
      <c r="F1728" s="544"/>
      <c r="G1728" s="544"/>
      <c r="H1728" s="544"/>
      <c r="I1728" s="544"/>
      <c r="J1728" s="544"/>
      <c r="K1728" s="544"/>
      <c r="L1728" s="544"/>
      <c r="M1728" s="544"/>
    </row>
    <row r="1729" spans="2:13" x14ac:dyDescent="0.35">
      <c r="B1729" s="544"/>
      <c r="C1729" s="544"/>
      <c r="E1729" s="544"/>
      <c r="F1729" s="544"/>
      <c r="G1729" s="544"/>
      <c r="H1729" s="544"/>
      <c r="I1729" s="544"/>
      <c r="J1729" s="544"/>
      <c r="K1729" s="544"/>
      <c r="L1729" s="544"/>
      <c r="M1729" s="544"/>
    </row>
    <row r="1730" spans="2:13" x14ac:dyDescent="0.35">
      <c r="B1730" s="544"/>
      <c r="C1730" s="544"/>
      <c r="E1730" s="544"/>
      <c r="F1730" s="544"/>
      <c r="G1730" s="544"/>
      <c r="H1730" s="544"/>
      <c r="I1730" s="544"/>
      <c r="J1730" s="544"/>
      <c r="K1730" s="544"/>
      <c r="L1730" s="544"/>
      <c r="M1730" s="544"/>
    </row>
    <row r="1731" spans="2:13" x14ac:dyDescent="0.35">
      <c r="B1731" s="544"/>
      <c r="C1731" s="544"/>
      <c r="E1731" s="544"/>
      <c r="F1731" s="544"/>
      <c r="G1731" s="544"/>
      <c r="H1731" s="544"/>
      <c r="I1731" s="544"/>
      <c r="J1731" s="544"/>
      <c r="K1731" s="544"/>
      <c r="L1731" s="544"/>
      <c r="M1731" s="544"/>
    </row>
    <row r="1732" spans="2:13" x14ac:dyDescent="0.35">
      <c r="B1732" s="544"/>
      <c r="C1732" s="544"/>
      <c r="E1732" s="544"/>
      <c r="F1732" s="544"/>
      <c r="G1732" s="544"/>
      <c r="H1732" s="544"/>
      <c r="I1732" s="544"/>
      <c r="J1732" s="544"/>
      <c r="K1732" s="544"/>
      <c r="L1732" s="544"/>
      <c r="M1732" s="544"/>
    </row>
    <row r="1733" spans="2:13" x14ac:dyDescent="0.35">
      <c r="B1733" s="544"/>
      <c r="C1733" s="544"/>
      <c r="E1733" s="544"/>
      <c r="F1733" s="544"/>
      <c r="G1733" s="544"/>
      <c r="H1733" s="544"/>
      <c r="I1733" s="544"/>
      <c r="J1733" s="544"/>
      <c r="K1733" s="544"/>
      <c r="L1733" s="544"/>
      <c r="M1733" s="544"/>
    </row>
    <row r="1734" spans="2:13" x14ac:dyDescent="0.35">
      <c r="B1734" s="544"/>
      <c r="C1734" s="544"/>
      <c r="E1734" s="544"/>
      <c r="F1734" s="544"/>
      <c r="G1734" s="544"/>
      <c r="H1734" s="544"/>
      <c r="I1734" s="544"/>
      <c r="J1734" s="544"/>
      <c r="K1734" s="544"/>
      <c r="L1734" s="544"/>
      <c r="M1734" s="544"/>
    </row>
    <row r="1735" spans="2:13" x14ac:dyDescent="0.35">
      <c r="B1735" s="544"/>
      <c r="C1735" s="544"/>
      <c r="E1735" s="544"/>
      <c r="F1735" s="544"/>
      <c r="G1735" s="544"/>
      <c r="H1735" s="544"/>
      <c r="I1735" s="544"/>
      <c r="J1735" s="544"/>
      <c r="K1735" s="544"/>
      <c r="L1735" s="544"/>
      <c r="M1735" s="544"/>
    </row>
    <row r="1736" spans="2:13" x14ac:dyDescent="0.35">
      <c r="B1736" s="544"/>
      <c r="C1736" s="544"/>
      <c r="E1736" s="544"/>
      <c r="F1736" s="544"/>
      <c r="G1736" s="544"/>
      <c r="H1736" s="544"/>
      <c r="I1736" s="544"/>
      <c r="J1736" s="544"/>
      <c r="K1736" s="544"/>
      <c r="L1736" s="544"/>
      <c r="M1736" s="544"/>
    </row>
    <row r="1737" spans="2:13" x14ac:dyDescent="0.35">
      <c r="B1737" s="544"/>
      <c r="C1737" s="544"/>
      <c r="E1737" s="544"/>
      <c r="F1737" s="544"/>
      <c r="G1737" s="544"/>
      <c r="H1737" s="544"/>
      <c r="I1737" s="544"/>
      <c r="J1737" s="544"/>
      <c r="K1737" s="544"/>
      <c r="L1737" s="544"/>
      <c r="M1737" s="544"/>
    </row>
    <row r="1738" spans="2:13" x14ac:dyDescent="0.35">
      <c r="B1738" s="544"/>
      <c r="C1738" s="544"/>
      <c r="E1738" s="544"/>
      <c r="F1738" s="544"/>
      <c r="G1738" s="544"/>
      <c r="H1738" s="544"/>
      <c r="I1738" s="544"/>
      <c r="J1738" s="544"/>
      <c r="K1738" s="544"/>
      <c r="L1738" s="544"/>
      <c r="M1738" s="544"/>
    </row>
    <row r="1739" spans="2:13" x14ac:dyDescent="0.35">
      <c r="B1739" s="544"/>
      <c r="C1739" s="544"/>
      <c r="E1739" s="544"/>
      <c r="F1739" s="544"/>
      <c r="G1739" s="544"/>
      <c r="H1739" s="544"/>
      <c r="I1739" s="544"/>
      <c r="J1739" s="544"/>
      <c r="K1739" s="544"/>
      <c r="L1739" s="544"/>
      <c r="M1739" s="544"/>
    </row>
    <row r="1740" spans="2:13" x14ac:dyDescent="0.35">
      <c r="B1740" s="544"/>
      <c r="C1740" s="544"/>
      <c r="E1740" s="544"/>
      <c r="F1740" s="544"/>
      <c r="G1740" s="544"/>
      <c r="H1740" s="544"/>
      <c r="I1740" s="544"/>
      <c r="J1740" s="544"/>
      <c r="K1740" s="544"/>
      <c r="L1740" s="544"/>
      <c r="M1740" s="544"/>
    </row>
    <row r="1741" spans="2:13" x14ac:dyDescent="0.35">
      <c r="B1741" s="544"/>
      <c r="C1741" s="544"/>
      <c r="E1741" s="544"/>
      <c r="F1741" s="544"/>
      <c r="G1741" s="544"/>
      <c r="H1741" s="544"/>
      <c r="I1741" s="544"/>
      <c r="J1741" s="544"/>
      <c r="K1741" s="544"/>
      <c r="L1741" s="544"/>
      <c r="M1741" s="544"/>
    </row>
    <row r="1742" spans="2:13" x14ac:dyDescent="0.35">
      <c r="B1742" s="544"/>
      <c r="C1742" s="544"/>
      <c r="E1742" s="544"/>
      <c r="F1742" s="544"/>
      <c r="G1742" s="544"/>
      <c r="H1742" s="544"/>
      <c r="I1742" s="544"/>
      <c r="J1742" s="544"/>
      <c r="K1742" s="544"/>
      <c r="L1742" s="544"/>
      <c r="M1742" s="544"/>
    </row>
    <row r="1743" spans="2:13" x14ac:dyDescent="0.35">
      <c r="B1743" s="544"/>
      <c r="C1743" s="544"/>
      <c r="E1743" s="544"/>
      <c r="F1743" s="544"/>
      <c r="G1743" s="544"/>
      <c r="H1743" s="544"/>
      <c r="I1743" s="544"/>
      <c r="J1743" s="544"/>
      <c r="K1743" s="544"/>
      <c r="L1743" s="544"/>
      <c r="M1743" s="544"/>
    </row>
    <row r="1744" spans="2:13" x14ac:dyDescent="0.35">
      <c r="B1744" s="544"/>
      <c r="C1744" s="544"/>
      <c r="E1744" s="544"/>
      <c r="F1744" s="544"/>
      <c r="G1744" s="544"/>
      <c r="H1744" s="544"/>
      <c r="I1744" s="544"/>
      <c r="J1744" s="544"/>
      <c r="K1744" s="544"/>
      <c r="L1744" s="544"/>
      <c r="M1744" s="544"/>
    </row>
    <row r="1745" spans="2:13" x14ac:dyDescent="0.35">
      <c r="B1745" s="544"/>
      <c r="C1745" s="544"/>
      <c r="E1745" s="544"/>
      <c r="F1745" s="544"/>
      <c r="G1745" s="544"/>
      <c r="H1745" s="544"/>
      <c r="I1745" s="544"/>
      <c r="J1745" s="544"/>
      <c r="K1745" s="544"/>
      <c r="L1745" s="544"/>
      <c r="M1745" s="544"/>
    </row>
    <row r="1746" spans="2:13" x14ac:dyDescent="0.35">
      <c r="B1746" s="544"/>
      <c r="C1746" s="544"/>
      <c r="E1746" s="544"/>
      <c r="F1746" s="544"/>
      <c r="G1746" s="544"/>
      <c r="H1746" s="544"/>
      <c r="I1746" s="544"/>
      <c r="J1746" s="544"/>
      <c r="K1746" s="544"/>
      <c r="L1746" s="544"/>
      <c r="M1746" s="544"/>
    </row>
    <row r="1747" spans="2:13" x14ac:dyDescent="0.35">
      <c r="B1747" s="544"/>
      <c r="C1747" s="544"/>
      <c r="E1747" s="544"/>
      <c r="F1747" s="544"/>
      <c r="G1747" s="544"/>
      <c r="H1747" s="544"/>
      <c r="I1747" s="544"/>
      <c r="J1747" s="544"/>
      <c r="K1747" s="544"/>
      <c r="L1747" s="544"/>
      <c r="M1747" s="544"/>
    </row>
    <row r="1748" spans="2:13" x14ac:dyDescent="0.35">
      <c r="B1748" s="544"/>
      <c r="C1748" s="544"/>
      <c r="E1748" s="544"/>
      <c r="F1748" s="544"/>
      <c r="G1748" s="544"/>
      <c r="H1748" s="544"/>
      <c r="I1748" s="544"/>
      <c r="J1748" s="544"/>
      <c r="K1748" s="544"/>
      <c r="L1748" s="544"/>
      <c r="M1748" s="544"/>
    </row>
    <row r="1749" spans="2:13" x14ac:dyDescent="0.35">
      <c r="B1749" s="544"/>
      <c r="C1749" s="544"/>
      <c r="E1749" s="544"/>
      <c r="F1749" s="544"/>
      <c r="G1749" s="544"/>
      <c r="H1749" s="544"/>
      <c r="I1749" s="544"/>
      <c r="J1749" s="544"/>
      <c r="K1749" s="544"/>
      <c r="L1749" s="544"/>
      <c r="M1749" s="544"/>
    </row>
    <row r="1750" spans="2:13" x14ac:dyDescent="0.35">
      <c r="B1750" s="544"/>
      <c r="C1750" s="544"/>
      <c r="E1750" s="544"/>
      <c r="F1750" s="544"/>
      <c r="G1750" s="544"/>
      <c r="H1750" s="544"/>
      <c r="I1750" s="544"/>
      <c r="J1750" s="544"/>
      <c r="K1750" s="544"/>
      <c r="L1750" s="544"/>
      <c r="M1750" s="544"/>
    </row>
    <row r="1751" spans="2:13" x14ac:dyDescent="0.35">
      <c r="B1751" s="544"/>
      <c r="C1751" s="544"/>
      <c r="E1751" s="544"/>
      <c r="F1751" s="544"/>
      <c r="G1751" s="544"/>
      <c r="H1751" s="544"/>
      <c r="I1751" s="544"/>
      <c r="J1751" s="544"/>
      <c r="K1751" s="544"/>
      <c r="L1751" s="544"/>
      <c r="M1751" s="544"/>
    </row>
    <row r="1752" spans="2:13" x14ac:dyDescent="0.35">
      <c r="B1752" s="544"/>
      <c r="C1752" s="544"/>
      <c r="E1752" s="544"/>
      <c r="F1752" s="544"/>
      <c r="G1752" s="544"/>
      <c r="H1752" s="544"/>
      <c r="I1752" s="544"/>
      <c r="J1752" s="544"/>
      <c r="K1752" s="544"/>
      <c r="L1752" s="544"/>
      <c r="M1752" s="544"/>
    </row>
    <row r="1753" spans="2:13" x14ac:dyDescent="0.35">
      <c r="B1753" s="544"/>
      <c r="C1753" s="544"/>
      <c r="E1753" s="544"/>
      <c r="F1753" s="544"/>
      <c r="G1753" s="544"/>
      <c r="H1753" s="544"/>
      <c r="I1753" s="544"/>
      <c r="J1753" s="544"/>
      <c r="K1753" s="544"/>
      <c r="L1753" s="544"/>
      <c r="M1753" s="544"/>
    </row>
    <row r="1754" spans="2:13" x14ac:dyDescent="0.35">
      <c r="B1754" s="544"/>
      <c r="C1754" s="544"/>
      <c r="E1754" s="544"/>
      <c r="F1754" s="544"/>
      <c r="G1754" s="544"/>
      <c r="H1754" s="544"/>
      <c r="I1754" s="544"/>
      <c r="J1754" s="544"/>
      <c r="K1754" s="544"/>
      <c r="L1754" s="544"/>
      <c r="M1754" s="544"/>
    </row>
    <row r="1755" spans="2:13" x14ac:dyDescent="0.35">
      <c r="B1755" s="544"/>
      <c r="C1755" s="544"/>
      <c r="E1755" s="544"/>
      <c r="F1755" s="544"/>
      <c r="G1755" s="544"/>
      <c r="H1755" s="544"/>
      <c r="I1755" s="544"/>
      <c r="J1755" s="544"/>
      <c r="K1755" s="544"/>
      <c r="L1755" s="544"/>
      <c r="M1755" s="544"/>
    </row>
    <row r="1756" spans="2:13" x14ac:dyDescent="0.35">
      <c r="B1756" s="544"/>
      <c r="C1756" s="544"/>
      <c r="E1756" s="544"/>
      <c r="F1756" s="544"/>
      <c r="G1756" s="544"/>
      <c r="H1756" s="544"/>
      <c r="I1756" s="544"/>
      <c r="J1756" s="544"/>
      <c r="K1756" s="544"/>
      <c r="L1756" s="544"/>
      <c r="M1756" s="544"/>
    </row>
    <row r="1757" spans="2:13" x14ac:dyDescent="0.35">
      <c r="B1757" s="544"/>
      <c r="C1757" s="544"/>
      <c r="E1757" s="544"/>
      <c r="F1757" s="544"/>
      <c r="G1757" s="544"/>
      <c r="H1757" s="544"/>
      <c r="I1757" s="544"/>
      <c r="J1757" s="544"/>
      <c r="K1757" s="544"/>
      <c r="L1757" s="544"/>
      <c r="M1757" s="544"/>
    </row>
    <row r="1758" spans="2:13" x14ac:dyDescent="0.35">
      <c r="B1758" s="544"/>
      <c r="C1758" s="544"/>
      <c r="E1758" s="544"/>
      <c r="F1758" s="544"/>
      <c r="G1758" s="544"/>
      <c r="H1758" s="544"/>
      <c r="I1758" s="544"/>
      <c r="J1758" s="544"/>
      <c r="K1758" s="544"/>
      <c r="L1758" s="544"/>
      <c r="M1758" s="544"/>
    </row>
    <row r="1759" spans="2:13" x14ac:dyDescent="0.35">
      <c r="B1759" s="544"/>
      <c r="C1759" s="544"/>
      <c r="E1759" s="544"/>
      <c r="F1759" s="544"/>
      <c r="G1759" s="544"/>
      <c r="H1759" s="544"/>
      <c r="I1759" s="544"/>
      <c r="J1759" s="544"/>
      <c r="K1759" s="544"/>
      <c r="L1759" s="544"/>
      <c r="M1759" s="544"/>
    </row>
    <row r="1760" spans="2:13" x14ac:dyDescent="0.35">
      <c r="B1760" s="544"/>
      <c r="C1760" s="544"/>
      <c r="E1760" s="544"/>
      <c r="F1760" s="544"/>
      <c r="G1760" s="544"/>
      <c r="H1760" s="544"/>
      <c r="I1760" s="544"/>
      <c r="J1760" s="544"/>
      <c r="K1760" s="544"/>
      <c r="L1760" s="544"/>
      <c r="M1760" s="544"/>
    </row>
    <row r="1761" spans="2:13" x14ac:dyDescent="0.35">
      <c r="B1761" s="544"/>
      <c r="C1761" s="544"/>
      <c r="E1761" s="544"/>
      <c r="F1761" s="544"/>
      <c r="G1761" s="544"/>
      <c r="H1761" s="544"/>
      <c r="I1761" s="544"/>
      <c r="J1761" s="544"/>
      <c r="K1761" s="544"/>
      <c r="L1761" s="544"/>
      <c r="M1761" s="544"/>
    </row>
    <row r="1762" spans="2:13" x14ac:dyDescent="0.35">
      <c r="B1762" s="544"/>
      <c r="C1762" s="544"/>
      <c r="E1762" s="544"/>
      <c r="F1762" s="544"/>
      <c r="G1762" s="544"/>
      <c r="H1762" s="544"/>
      <c r="I1762" s="544"/>
      <c r="J1762" s="544"/>
      <c r="K1762" s="544"/>
      <c r="L1762" s="544"/>
      <c r="M1762" s="544"/>
    </row>
    <row r="1763" spans="2:13" x14ac:dyDescent="0.35">
      <c r="B1763" s="544"/>
      <c r="C1763" s="544"/>
      <c r="E1763" s="544"/>
      <c r="F1763" s="544"/>
      <c r="G1763" s="544"/>
      <c r="H1763" s="544"/>
      <c r="I1763" s="544"/>
      <c r="J1763" s="544"/>
      <c r="K1763" s="544"/>
      <c r="L1763" s="544"/>
      <c r="M1763" s="544"/>
    </row>
    <row r="1764" spans="2:13" x14ac:dyDescent="0.35">
      <c r="B1764" s="544"/>
      <c r="C1764" s="544"/>
      <c r="E1764" s="544"/>
      <c r="F1764" s="544"/>
      <c r="G1764" s="544"/>
      <c r="H1764" s="544"/>
      <c r="I1764" s="544"/>
      <c r="J1764" s="544"/>
      <c r="K1764" s="544"/>
      <c r="L1764" s="544"/>
      <c r="M1764" s="544"/>
    </row>
    <row r="1765" spans="2:13" x14ac:dyDescent="0.35">
      <c r="B1765" s="544"/>
      <c r="C1765" s="544"/>
      <c r="E1765" s="544"/>
      <c r="F1765" s="544"/>
      <c r="G1765" s="544"/>
      <c r="H1765" s="544"/>
      <c r="I1765" s="544"/>
      <c r="J1765" s="544"/>
      <c r="K1765" s="544"/>
      <c r="L1765" s="544"/>
      <c r="M1765" s="544"/>
    </row>
    <row r="1766" spans="2:13" x14ac:dyDescent="0.35">
      <c r="B1766" s="544"/>
      <c r="C1766" s="544"/>
      <c r="E1766" s="544"/>
      <c r="F1766" s="544"/>
      <c r="G1766" s="544"/>
      <c r="H1766" s="544"/>
      <c r="I1766" s="544"/>
      <c r="J1766" s="544"/>
      <c r="K1766" s="544"/>
      <c r="L1766" s="544"/>
      <c r="M1766" s="544"/>
    </row>
    <row r="1767" spans="2:13" x14ac:dyDescent="0.35">
      <c r="B1767" s="544"/>
      <c r="C1767" s="544"/>
      <c r="E1767" s="544"/>
      <c r="F1767" s="544"/>
      <c r="G1767" s="544"/>
      <c r="H1767" s="544"/>
      <c r="I1767" s="544"/>
      <c r="J1767" s="544"/>
      <c r="K1767" s="544"/>
      <c r="L1767" s="544"/>
      <c r="M1767" s="544"/>
    </row>
    <row r="1768" spans="2:13" x14ac:dyDescent="0.35">
      <c r="B1768" s="544"/>
      <c r="C1768" s="544"/>
      <c r="E1768" s="544"/>
      <c r="F1768" s="544"/>
      <c r="G1768" s="544"/>
      <c r="H1768" s="544"/>
      <c r="I1768" s="544"/>
      <c r="J1768" s="544"/>
      <c r="K1768" s="544"/>
      <c r="L1768" s="544"/>
      <c r="M1768" s="544"/>
    </row>
    <row r="1769" spans="2:13" x14ac:dyDescent="0.35">
      <c r="B1769" s="544"/>
      <c r="C1769" s="544"/>
      <c r="E1769" s="544"/>
      <c r="F1769" s="544"/>
      <c r="G1769" s="544"/>
      <c r="H1769" s="544"/>
      <c r="I1769" s="544"/>
      <c r="J1769" s="544"/>
      <c r="K1769" s="544"/>
      <c r="L1769" s="544"/>
      <c r="M1769" s="544"/>
    </row>
    <row r="1770" spans="2:13" x14ac:dyDescent="0.35">
      <c r="B1770" s="544"/>
      <c r="C1770" s="544"/>
      <c r="E1770" s="544"/>
      <c r="F1770" s="544"/>
      <c r="G1770" s="544"/>
      <c r="H1770" s="544"/>
      <c r="I1770" s="544"/>
      <c r="J1770" s="544"/>
      <c r="K1770" s="544"/>
      <c r="L1770" s="544"/>
      <c r="M1770" s="544"/>
    </row>
    <row r="1771" spans="2:13" x14ac:dyDescent="0.35">
      <c r="B1771" s="544"/>
      <c r="C1771" s="544"/>
      <c r="E1771" s="544"/>
      <c r="F1771" s="544"/>
      <c r="G1771" s="544"/>
      <c r="H1771" s="544"/>
      <c r="I1771" s="544"/>
      <c r="J1771" s="544"/>
      <c r="K1771" s="544"/>
      <c r="L1771" s="544"/>
      <c r="M1771" s="544"/>
    </row>
    <row r="1772" spans="2:13" x14ac:dyDescent="0.35">
      <c r="B1772" s="544"/>
      <c r="C1772" s="544"/>
      <c r="E1772" s="544"/>
      <c r="F1772" s="544"/>
      <c r="G1772" s="544"/>
      <c r="H1772" s="544"/>
      <c r="I1772" s="544"/>
      <c r="J1772" s="544"/>
      <c r="K1772" s="544"/>
      <c r="L1772" s="544"/>
      <c r="M1772" s="544"/>
    </row>
    <row r="1773" spans="2:13" x14ac:dyDescent="0.35">
      <c r="B1773" s="544"/>
      <c r="C1773" s="544"/>
      <c r="E1773" s="544"/>
      <c r="F1773" s="544"/>
      <c r="G1773" s="544"/>
      <c r="H1773" s="544"/>
      <c r="I1773" s="544"/>
      <c r="J1773" s="544"/>
      <c r="K1773" s="544"/>
      <c r="L1773" s="544"/>
      <c r="M1773" s="544"/>
    </row>
    <row r="1774" spans="2:13" x14ac:dyDescent="0.35">
      <c r="B1774" s="544"/>
      <c r="C1774" s="544"/>
      <c r="E1774" s="544"/>
      <c r="F1774" s="544"/>
      <c r="G1774" s="544"/>
      <c r="H1774" s="544"/>
      <c r="I1774" s="544"/>
      <c r="J1774" s="544"/>
      <c r="K1774" s="544"/>
      <c r="L1774" s="544"/>
      <c r="M1774" s="544"/>
    </row>
    <row r="1775" spans="2:13" x14ac:dyDescent="0.35">
      <c r="B1775" s="544"/>
      <c r="C1775" s="544"/>
      <c r="E1775" s="544"/>
      <c r="F1775" s="544"/>
      <c r="G1775" s="544"/>
      <c r="H1775" s="544"/>
      <c r="I1775" s="544"/>
      <c r="J1775" s="544"/>
      <c r="K1775" s="544"/>
      <c r="L1775" s="544"/>
      <c r="M1775" s="544"/>
    </row>
    <row r="1776" spans="2:13" x14ac:dyDescent="0.35">
      <c r="B1776" s="544"/>
      <c r="C1776" s="544"/>
      <c r="E1776" s="544"/>
      <c r="F1776" s="544"/>
      <c r="G1776" s="544"/>
      <c r="H1776" s="544"/>
      <c r="I1776" s="544"/>
      <c r="J1776" s="544"/>
      <c r="K1776" s="544"/>
      <c r="L1776" s="544"/>
      <c r="M1776" s="544"/>
    </row>
    <row r="1777" spans="2:13" x14ac:dyDescent="0.35">
      <c r="B1777" s="544"/>
      <c r="C1777" s="544"/>
      <c r="E1777" s="544"/>
      <c r="F1777" s="544"/>
      <c r="G1777" s="544"/>
      <c r="H1777" s="544"/>
      <c r="I1777" s="544"/>
      <c r="J1777" s="544"/>
      <c r="K1777" s="544"/>
      <c r="L1777" s="544"/>
      <c r="M1777" s="544"/>
    </row>
    <row r="1778" spans="2:13" x14ac:dyDescent="0.35">
      <c r="B1778" s="544"/>
      <c r="C1778" s="544"/>
      <c r="E1778" s="544"/>
      <c r="F1778" s="544"/>
      <c r="G1778" s="544"/>
      <c r="H1778" s="544"/>
      <c r="I1778" s="544"/>
      <c r="J1778" s="544"/>
      <c r="K1778" s="544"/>
      <c r="L1778" s="544"/>
      <c r="M1778" s="544"/>
    </row>
    <row r="1779" spans="2:13" x14ac:dyDescent="0.35">
      <c r="B1779" s="544"/>
      <c r="C1779" s="544"/>
      <c r="E1779" s="544"/>
      <c r="F1779" s="544"/>
      <c r="G1779" s="544"/>
      <c r="H1779" s="544"/>
      <c r="I1779" s="544"/>
      <c r="J1779" s="544"/>
      <c r="K1779" s="544"/>
      <c r="L1779" s="544"/>
      <c r="M1779" s="544"/>
    </row>
    <row r="1780" spans="2:13" x14ac:dyDescent="0.35">
      <c r="B1780" s="544"/>
      <c r="C1780" s="544"/>
      <c r="E1780" s="544"/>
      <c r="F1780" s="544"/>
      <c r="G1780" s="544"/>
      <c r="H1780" s="544"/>
      <c r="I1780" s="544"/>
      <c r="J1780" s="544"/>
      <c r="K1780" s="544"/>
      <c r="L1780" s="544"/>
      <c r="M1780" s="544"/>
    </row>
    <row r="1781" spans="2:13" x14ac:dyDescent="0.35">
      <c r="B1781" s="544"/>
      <c r="C1781" s="544"/>
      <c r="E1781" s="544"/>
      <c r="F1781" s="544"/>
      <c r="G1781" s="544"/>
      <c r="H1781" s="544"/>
      <c r="I1781" s="544"/>
      <c r="J1781" s="544"/>
      <c r="K1781" s="544"/>
      <c r="L1781" s="544"/>
      <c r="M1781" s="544"/>
    </row>
    <row r="1782" spans="2:13" x14ac:dyDescent="0.35">
      <c r="B1782" s="544"/>
      <c r="C1782" s="544"/>
      <c r="E1782" s="544"/>
      <c r="F1782" s="544"/>
      <c r="G1782" s="544"/>
      <c r="H1782" s="544"/>
      <c r="I1782" s="544"/>
      <c r="J1782" s="544"/>
      <c r="K1782" s="544"/>
      <c r="L1782" s="544"/>
      <c r="M1782" s="544"/>
    </row>
    <row r="1783" spans="2:13" x14ac:dyDescent="0.35">
      <c r="B1783" s="544"/>
      <c r="C1783" s="544"/>
      <c r="E1783" s="544"/>
      <c r="F1783" s="544"/>
      <c r="G1783" s="544"/>
      <c r="H1783" s="544"/>
      <c r="I1783" s="544"/>
      <c r="J1783" s="544"/>
      <c r="K1783" s="544"/>
      <c r="L1783" s="544"/>
      <c r="M1783" s="544"/>
    </row>
    <row r="1784" spans="2:13" x14ac:dyDescent="0.35">
      <c r="B1784" s="544"/>
      <c r="C1784" s="544"/>
      <c r="E1784" s="544"/>
      <c r="F1784" s="544"/>
      <c r="G1784" s="544"/>
      <c r="H1784" s="544"/>
      <c r="I1784" s="544"/>
      <c r="J1784" s="544"/>
      <c r="K1784" s="544"/>
      <c r="L1784" s="544"/>
      <c r="M1784" s="544"/>
    </row>
    <row r="1785" spans="2:13" x14ac:dyDescent="0.35">
      <c r="B1785" s="544"/>
      <c r="C1785" s="544"/>
      <c r="E1785" s="544"/>
      <c r="F1785" s="544"/>
      <c r="G1785" s="544"/>
      <c r="H1785" s="544"/>
      <c r="I1785" s="544"/>
      <c r="J1785" s="544"/>
      <c r="K1785" s="544"/>
      <c r="L1785" s="544"/>
      <c r="M1785" s="544"/>
    </row>
    <row r="1786" spans="2:13" x14ac:dyDescent="0.35">
      <c r="B1786" s="544"/>
      <c r="C1786" s="544"/>
      <c r="E1786" s="544"/>
      <c r="F1786" s="544"/>
      <c r="G1786" s="544"/>
      <c r="H1786" s="544"/>
      <c r="I1786" s="544"/>
      <c r="J1786" s="544"/>
      <c r="K1786" s="544"/>
      <c r="L1786" s="544"/>
      <c r="M1786" s="544"/>
    </row>
    <row r="1787" spans="2:13" x14ac:dyDescent="0.35">
      <c r="B1787" s="544"/>
      <c r="C1787" s="544"/>
      <c r="E1787" s="544"/>
      <c r="F1787" s="544"/>
      <c r="G1787" s="544"/>
      <c r="H1787" s="544"/>
      <c r="I1787" s="544"/>
      <c r="J1787" s="544"/>
      <c r="K1787" s="544"/>
      <c r="L1787" s="544"/>
      <c r="M1787" s="544"/>
    </row>
    <row r="1788" spans="2:13" x14ac:dyDescent="0.35">
      <c r="B1788" s="544"/>
      <c r="C1788" s="544"/>
      <c r="E1788" s="544"/>
      <c r="F1788" s="544"/>
      <c r="G1788" s="544"/>
      <c r="H1788" s="544"/>
      <c r="I1788" s="544"/>
      <c r="J1788" s="544"/>
      <c r="K1788" s="544"/>
      <c r="L1788" s="544"/>
      <c r="M1788" s="544"/>
    </row>
    <row r="1789" spans="2:13" x14ac:dyDescent="0.35">
      <c r="B1789" s="544"/>
      <c r="C1789" s="544"/>
      <c r="E1789" s="544"/>
      <c r="F1789" s="544"/>
      <c r="G1789" s="544"/>
      <c r="H1789" s="544"/>
      <c r="I1789" s="544"/>
      <c r="J1789" s="544"/>
      <c r="K1789" s="544"/>
      <c r="L1789" s="544"/>
      <c r="M1789" s="544"/>
    </row>
    <row r="1790" spans="2:13" x14ac:dyDescent="0.35">
      <c r="B1790" s="544"/>
      <c r="C1790" s="544"/>
      <c r="E1790" s="544"/>
      <c r="F1790" s="544"/>
      <c r="G1790" s="544"/>
      <c r="H1790" s="544"/>
      <c r="I1790" s="544"/>
      <c r="J1790" s="544"/>
      <c r="K1790" s="544"/>
      <c r="L1790" s="544"/>
      <c r="M1790" s="544"/>
    </row>
    <row r="1791" spans="2:13" x14ac:dyDescent="0.35">
      <c r="B1791" s="544"/>
      <c r="C1791" s="544"/>
      <c r="E1791" s="544"/>
      <c r="F1791" s="544"/>
      <c r="G1791" s="544"/>
      <c r="H1791" s="544"/>
      <c r="I1791" s="544"/>
      <c r="J1791" s="544"/>
      <c r="K1791" s="544"/>
      <c r="L1791" s="544"/>
      <c r="M1791" s="544"/>
    </row>
    <row r="1792" spans="2:13" x14ac:dyDescent="0.35">
      <c r="B1792" s="544"/>
      <c r="C1792" s="544"/>
      <c r="E1792" s="544"/>
      <c r="F1792" s="544"/>
      <c r="G1792" s="544"/>
      <c r="H1792" s="544"/>
      <c r="I1792" s="544"/>
      <c r="J1792" s="544"/>
      <c r="K1792" s="544"/>
      <c r="L1792" s="544"/>
      <c r="M1792" s="544"/>
    </row>
    <row r="1793" spans="2:13" x14ac:dyDescent="0.35">
      <c r="B1793" s="544"/>
      <c r="C1793" s="544"/>
      <c r="E1793" s="544"/>
      <c r="F1793" s="544"/>
      <c r="G1793" s="544"/>
      <c r="H1793" s="544"/>
      <c r="I1793" s="544"/>
      <c r="J1793" s="544"/>
      <c r="K1793" s="544"/>
      <c r="L1793" s="544"/>
      <c r="M1793" s="544"/>
    </row>
    <row r="1794" spans="2:13" x14ac:dyDescent="0.35">
      <c r="B1794" s="544"/>
      <c r="C1794" s="544"/>
      <c r="E1794" s="544"/>
      <c r="F1794" s="544"/>
      <c r="G1794" s="544"/>
      <c r="H1794" s="544"/>
      <c r="I1794" s="544"/>
      <c r="J1794" s="544"/>
      <c r="K1794" s="544"/>
      <c r="L1794" s="544"/>
      <c r="M1794" s="544"/>
    </row>
    <row r="1795" spans="2:13" x14ac:dyDescent="0.35">
      <c r="B1795" s="544"/>
      <c r="C1795" s="544"/>
      <c r="E1795" s="544"/>
      <c r="F1795" s="544"/>
      <c r="G1795" s="544"/>
      <c r="H1795" s="544"/>
      <c r="I1795" s="544"/>
      <c r="J1795" s="544"/>
      <c r="K1795" s="544"/>
      <c r="L1795" s="544"/>
      <c r="M1795" s="544"/>
    </row>
    <row r="1796" spans="2:13" x14ac:dyDescent="0.35">
      <c r="B1796" s="544"/>
      <c r="C1796" s="544"/>
      <c r="E1796" s="544"/>
      <c r="F1796" s="544"/>
      <c r="G1796" s="544"/>
      <c r="H1796" s="544"/>
      <c r="I1796" s="544"/>
      <c r="J1796" s="544"/>
      <c r="K1796" s="544"/>
      <c r="L1796" s="544"/>
      <c r="M1796" s="544"/>
    </row>
    <row r="1797" spans="2:13" x14ac:dyDescent="0.35">
      <c r="B1797" s="544"/>
      <c r="C1797" s="544"/>
      <c r="E1797" s="544"/>
      <c r="F1797" s="544"/>
      <c r="G1797" s="544"/>
      <c r="H1797" s="544"/>
      <c r="I1797" s="544"/>
      <c r="J1797" s="544"/>
      <c r="K1797" s="544"/>
      <c r="L1797" s="544"/>
      <c r="M1797" s="544"/>
    </row>
    <row r="1798" spans="2:13" x14ac:dyDescent="0.35">
      <c r="B1798" s="544"/>
      <c r="C1798" s="544"/>
      <c r="E1798" s="544"/>
      <c r="F1798" s="544"/>
      <c r="G1798" s="544"/>
      <c r="H1798" s="544"/>
      <c r="I1798" s="544"/>
      <c r="J1798" s="544"/>
      <c r="K1798" s="544"/>
      <c r="L1798" s="544"/>
      <c r="M1798" s="544"/>
    </row>
    <row r="1799" spans="2:13" x14ac:dyDescent="0.35">
      <c r="B1799" s="544"/>
      <c r="C1799" s="544"/>
      <c r="E1799" s="544"/>
      <c r="F1799" s="544"/>
      <c r="G1799" s="544"/>
      <c r="H1799" s="544"/>
      <c r="I1799" s="544"/>
      <c r="J1799" s="544"/>
      <c r="K1799" s="544"/>
      <c r="L1799" s="544"/>
      <c r="M1799" s="544"/>
    </row>
    <row r="1800" spans="2:13" x14ac:dyDescent="0.35">
      <c r="B1800" s="544"/>
      <c r="C1800" s="544"/>
      <c r="E1800" s="544"/>
      <c r="F1800" s="544"/>
      <c r="G1800" s="544"/>
      <c r="H1800" s="544"/>
      <c r="I1800" s="544"/>
      <c r="J1800" s="544"/>
      <c r="K1800" s="544"/>
      <c r="L1800" s="544"/>
      <c r="M1800" s="544"/>
    </row>
    <row r="1801" spans="2:13" x14ac:dyDescent="0.35">
      <c r="B1801" s="544"/>
      <c r="C1801" s="544"/>
      <c r="E1801" s="544"/>
      <c r="F1801" s="544"/>
      <c r="G1801" s="544"/>
      <c r="H1801" s="544"/>
      <c r="I1801" s="544"/>
      <c r="J1801" s="544"/>
      <c r="K1801" s="544"/>
      <c r="L1801" s="544"/>
      <c r="M1801" s="544"/>
    </row>
    <row r="1802" spans="2:13" x14ac:dyDescent="0.35">
      <c r="B1802" s="544"/>
      <c r="C1802" s="544"/>
      <c r="E1802" s="544"/>
      <c r="F1802" s="544"/>
      <c r="G1802" s="544"/>
      <c r="H1802" s="544"/>
      <c r="I1802" s="544"/>
      <c r="J1802" s="544"/>
      <c r="K1802" s="544"/>
      <c r="L1802" s="544"/>
      <c r="M1802" s="544"/>
    </row>
    <row r="1803" spans="2:13" x14ac:dyDescent="0.35">
      <c r="B1803" s="544"/>
      <c r="C1803" s="544"/>
      <c r="E1803" s="544"/>
      <c r="F1803" s="544"/>
      <c r="G1803" s="544"/>
      <c r="H1803" s="544"/>
      <c r="I1803" s="544"/>
      <c r="J1803" s="544"/>
      <c r="K1803" s="544"/>
      <c r="L1803" s="544"/>
      <c r="M1803" s="544"/>
    </row>
    <row r="1804" spans="2:13" x14ac:dyDescent="0.35">
      <c r="B1804" s="544"/>
      <c r="C1804" s="544"/>
      <c r="E1804" s="544"/>
      <c r="F1804" s="544"/>
      <c r="G1804" s="544"/>
      <c r="H1804" s="544"/>
      <c r="I1804" s="544"/>
      <c r="J1804" s="544"/>
      <c r="K1804" s="544"/>
      <c r="L1804" s="544"/>
      <c r="M1804" s="544"/>
    </row>
    <row r="1805" spans="2:13" x14ac:dyDescent="0.35">
      <c r="B1805" s="544"/>
      <c r="C1805" s="544"/>
      <c r="E1805" s="544"/>
      <c r="F1805" s="544"/>
      <c r="G1805" s="544"/>
      <c r="H1805" s="544"/>
      <c r="I1805" s="544"/>
      <c r="J1805" s="544"/>
      <c r="K1805" s="544"/>
      <c r="L1805" s="544"/>
      <c r="M1805" s="544"/>
    </row>
    <row r="1806" spans="2:13" x14ac:dyDescent="0.35">
      <c r="B1806" s="544"/>
      <c r="C1806" s="544"/>
      <c r="E1806" s="544"/>
      <c r="F1806" s="544"/>
      <c r="G1806" s="544"/>
      <c r="H1806" s="544"/>
      <c r="I1806" s="544"/>
      <c r="J1806" s="544"/>
      <c r="K1806" s="544"/>
      <c r="L1806" s="544"/>
      <c r="M1806" s="544"/>
    </row>
    <row r="1807" spans="2:13" x14ac:dyDescent="0.35">
      <c r="B1807" s="544"/>
      <c r="C1807" s="544"/>
      <c r="E1807" s="544"/>
      <c r="F1807" s="544"/>
      <c r="G1807" s="544"/>
      <c r="H1807" s="544"/>
      <c r="I1807" s="544"/>
      <c r="J1807" s="544"/>
      <c r="K1807" s="544"/>
      <c r="L1807" s="544"/>
      <c r="M1807" s="544"/>
    </row>
    <row r="1808" spans="2:13" x14ac:dyDescent="0.35">
      <c r="B1808" s="544"/>
      <c r="C1808" s="544"/>
      <c r="E1808" s="544"/>
      <c r="F1808" s="544"/>
      <c r="G1808" s="544"/>
      <c r="H1808" s="544"/>
      <c r="I1808" s="544"/>
      <c r="J1808" s="544"/>
      <c r="K1808" s="544"/>
      <c r="L1808" s="544"/>
      <c r="M1808" s="544"/>
    </row>
    <row r="1809" spans="2:13" x14ac:dyDescent="0.35">
      <c r="B1809" s="544"/>
      <c r="C1809" s="544"/>
      <c r="E1809" s="544"/>
      <c r="F1809" s="544"/>
      <c r="G1809" s="544"/>
      <c r="H1809" s="544"/>
      <c r="I1809" s="544"/>
      <c r="J1809" s="544"/>
      <c r="K1809" s="544"/>
      <c r="L1809" s="544"/>
      <c r="M1809" s="544"/>
    </row>
    <row r="1810" spans="2:13" x14ac:dyDescent="0.35">
      <c r="B1810" s="544"/>
      <c r="C1810" s="544"/>
      <c r="E1810" s="544"/>
      <c r="F1810" s="544"/>
      <c r="G1810" s="544"/>
      <c r="H1810" s="544"/>
      <c r="I1810" s="544"/>
      <c r="J1810" s="544"/>
      <c r="K1810" s="544"/>
      <c r="L1810" s="544"/>
      <c r="M1810" s="544"/>
    </row>
    <row r="1811" spans="2:13" x14ac:dyDescent="0.35">
      <c r="B1811" s="544"/>
      <c r="C1811" s="544"/>
      <c r="E1811" s="544"/>
      <c r="F1811" s="544"/>
      <c r="G1811" s="544"/>
      <c r="H1811" s="544"/>
      <c r="I1811" s="544"/>
      <c r="J1811" s="544"/>
      <c r="K1811" s="544"/>
      <c r="L1811" s="544"/>
      <c r="M1811" s="544"/>
    </row>
    <row r="1812" spans="2:13" x14ac:dyDescent="0.35">
      <c r="B1812" s="544"/>
      <c r="C1812" s="544"/>
      <c r="E1812" s="544"/>
      <c r="F1812" s="544"/>
      <c r="G1812" s="544"/>
      <c r="H1812" s="544"/>
      <c r="I1812" s="544"/>
      <c r="J1812" s="544"/>
      <c r="K1812" s="544"/>
      <c r="L1812" s="544"/>
      <c r="M1812" s="544"/>
    </row>
    <row r="1813" spans="2:13" x14ac:dyDescent="0.35">
      <c r="B1813" s="544"/>
      <c r="C1813" s="544"/>
      <c r="E1813" s="544"/>
      <c r="F1813" s="544"/>
      <c r="G1813" s="544"/>
      <c r="H1813" s="544"/>
      <c r="I1813" s="544"/>
      <c r="J1813" s="544"/>
      <c r="K1813" s="544"/>
      <c r="L1813" s="544"/>
      <c r="M1813" s="544"/>
    </row>
    <row r="1814" spans="2:13" x14ac:dyDescent="0.35">
      <c r="B1814" s="544"/>
      <c r="C1814" s="544"/>
      <c r="E1814" s="544"/>
      <c r="F1814" s="544"/>
      <c r="G1814" s="544"/>
      <c r="H1814" s="544"/>
      <c r="I1814" s="544"/>
      <c r="J1814" s="544"/>
      <c r="K1814" s="544"/>
      <c r="L1814" s="544"/>
      <c r="M1814" s="544"/>
    </row>
    <row r="1815" spans="2:13" x14ac:dyDescent="0.35">
      <c r="B1815" s="544"/>
      <c r="C1815" s="544"/>
      <c r="E1815" s="544"/>
      <c r="F1815" s="544"/>
      <c r="G1815" s="544"/>
      <c r="H1815" s="544"/>
      <c r="I1815" s="544"/>
      <c r="J1815" s="544"/>
      <c r="K1815" s="544"/>
      <c r="L1815" s="544"/>
      <c r="M1815" s="544"/>
    </row>
    <row r="1816" spans="2:13" x14ac:dyDescent="0.35">
      <c r="B1816" s="544"/>
      <c r="C1816" s="544"/>
      <c r="E1816" s="544"/>
      <c r="F1816" s="544"/>
      <c r="G1816" s="544"/>
      <c r="H1816" s="544"/>
      <c r="I1816" s="544"/>
      <c r="J1816" s="544"/>
      <c r="K1816" s="544"/>
      <c r="L1816" s="544"/>
      <c r="M1816" s="544"/>
    </row>
    <row r="1817" spans="2:13" x14ac:dyDescent="0.35">
      <c r="B1817" s="544"/>
      <c r="C1817" s="544"/>
      <c r="E1817" s="544"/>
      <c r="F1817" s="544"/>
      <c r="G1817" s="544"/>
      <c r="H1817" s="544"/>
      <c r="I1817" s="544"/>
      <c r="J1817" s="544"/>
      <c r="K1817" s="544"/>
      <c r="L1817" s="544"/>
      <c r="M1817" s="544"/>
    </row>
    <row r="1818" spans="2:13" x14ac:dyDescent="0.35">
      <c r="B1818" s="544"/>
      <c r="C1818" s="544"/>
      <c r="E1818" s="544"/>
      <c r="F1818" s="544"/>
      <c r="G1818" s="544"/>
      <c r="H1818" s="544"/>
      <c r="I1818" s="544"/>
      <c r="J1818" s="544"/>
      <c r="K1818" s="544"/>
      <c r="L1818" s="544"/>
      <c r="M1818" s="544"/>
    </row>
    <row r="1819" spans="2:13" x14ac:dyDescent="0.35">
      <c r="B1819" s="544"/>
      <c r="C1819" s="544"/>
      <c r="E1819" s="544"/>
      <c r="F1819" s="544"/>
      <c r="G1819" s="544"/>
      <c r="H1819" s="544"/>
      <c r="I1819" s="544"/>
      <c r="J1819" s="544"/>
      <c r="K1819" s="544"/>
      <c r="L1819" s="544"/>
      <c r="M1819" s="544"/>
    </row>
    <row r="1820" spans="2:13" x14ac:dyDescent="0.35">
      <c r="B1820" s="544"/>
      <c r="C1820" s="544"/>
      <c r="E1820" s="544"/>
      <c r="F1820" s="544"/>
      <c r="G1820" s="544"/>
      <c r="H1820" s="544"/>
      <c r="I1820" s="544"/>
      <c r="J1820" s="544"/>
      <c r="K1820" s="544"/>
      <c r="L1820" s="544"/>
      <c r="M1820" s="544"/>
    </row>
    <row r="1821" spans="2:13" x14ac:dyDescent="0.35">
      <c r="B1821" s="544"/>
      <c r="C1821" s="544"/>
      <c r="E1821" s="544"/>
      <c r="F1821" s="544"/>
      <c r="G1821" s="544"/>
      <c r="H1821" s="544"/>
      <c r="I1821" s="544"/>
      <c r="J1821" s="544"/>
      <c r="K1821" s="544"/>
      <c r="L1821" s="544"/>
      <c r="M1821" s="544"/>
    </row>
    <row r="1822" spans="2:13" x14ac:dyDescent="0.35">
      <c r="B1822" s="544"/>
      <c r="C1822" s="544"/>
      <c r="E1822" s="544"/>
      <c r="F1822" s="544"/>
      <c r="G1822" s="544"/>
      <c r="H1822" s="544"/>
      <c r="I1822" s="544"/>
      <c r="J1822" s="544"/>
      <c r="K1822" s="544"/>
      <c r="L1822" s="544"/>
      <c r="M1822" s="544"/>
    </row>
    <row r="1823" spans="2:13" x14ac:dyDescent="0.35">
      <c r="B1823" s="544"/>
      <c r="C1823" s="544"/>
      <c r="E1823" s="544"/>
      <c r="F1823" s="544"/>
      <c r="G1823" s="544"/>
      <c r="H1823" s="544"/>
      <c r="I1823" s="544"/>
      <c r="J1823" s="544"/>
      <c r="K1823" s="544"/>
      <c r="L1823" s="544"/>
      <c r="M1823" s="544"/>
    </row>
    <row r="1824" spans="2:13" x14ac:dyDescent="0.35">
      <c r="B1824" s="544"/>
      <c r="C1824" s="544"/>
      <c r="E1824" s="544"/>
      <c r="F1824" s="544"/>
      <c r="G1824" s="544"/>
      <c r="H1824" s="544"/>
      <c r="I1824" s="544"/>
      <c r="J1824" s="544"/>
      <c r="K1824" s="544"/>
      <c r="L1824" s="544"/>
      <c r="M1824" s="544"/>
    </row>
    <row r="1825" spans="2:13" x14ac:dyDescent="0.35">
      <c r="B1825" s="544"/>
      <c r="C1825" s="544"/>
      <c r="E1825" s="544"/>
      <c r="F1825" s="544"/>
      <c r="G1825" s="544"/>
      <c r="H1825" s="544"/>
      <c r="I1825" s="544"/>
      <c r="J1825" s="544"/>
      <c r="K1825" s="544"/>
      <c r="L1825" s="544"/>
      <c r="M1825" s="544"/>
    </row>
    <row r="1826" spans="2:13" x14ac:dyDescent="0.35">
      <c r="B1826" s="544"/>
      <c r="C1826" s="544"/>
      <c r="E1826" s="544"/>
      <c r="F1826" s="544"/>
      <c r="G1826" s="544"/>
      <c r="H1826" s="544"/>
      <c r="I1826" s="544"/>
      <c r="J1826" s="544"/>
      <c r="K1826" s="544"/>
      <c r="L1826" s="544"/>
      <c r="M1826" s="544"/>
    </row>
    <row r="1827" spans="2:13" x14ac:dyDescent="0.35">
      <c r="B1827" s="544"/>
      <c r="C1827" s="544"/>
      <c r="E1827" s="544"/>
      <c r="F1827" s="544"/>
      <c r="G1827" s="544"/>
      <c r="H1827" s="544"/>
      <c r="I1827" s="544"/>
      <c r="J1827" s="544"/>
      <c r="K1827" s="544"/>
      <c r="L1827" s="544"/>
      <c r="M1827" s="544"/>
    </row>
    <row r="1828" spans="2:13" x14ac:dyDescent="0.35">
      <c r="B1828" s="544"/>
      <c r="C1828" s="544"/>
      <c r="E1828" s="544"/>
      <c r="F1828" s="544"/>
      <c r="G1828" s="544"/>
      <c r="H1828" s="544"/>
      <c r="I1828" s="544"/>
      <c r="J1828" s="544"/>
      <c r="K1828" s="544"/>
      <c r="L1828" s="544"/>
      <c r="M1828" s="544"/>
    </row>
    <row r="1829" spans="2:13" x14ac:dyDescent="0.35">
      <c r="B1829" s="544"/>
      <c r="C1829" s="544"/>
      <c r="E1829" s="544"/>
      <c r="F1829" s="544"/>
      <c r="G1829" s="544"/>
      <c r="H1829" s="544"/>
      <c r="I1829" s="544"/>
      <c r="J1829" s="544"/>
      <c r="K1829" s="544"/>
      <c r="L1829" s="544"/>
      <c r="M1829" s="544"/>
    </row>
    <row r="1830" spans="2:13" x14ac:dyDescent="0.35">
      <c r="B1830" s="544"/>
      <c r="C1830" s="544"/>
      <c r="E1830" s="544"/>
      <c r="F1830" s="544"/>
      <c r="G1830" s="544"/>
      <c r="H1830" s="544"/>
      <c r="I1830" s="544"/>
      <c r="J1830" s="544"/>
      <c r="K1830" s="544"/>
      <c r="L1830" s="544"/>
      <c r="M1830" s="544"/>
    </row>
    <row r="1831" spans="2:13" x14ac:dyDescent="0.35">
      <c r="B1831" s="544"/>
      <c r="C1831" s="544"/>
      <c r="E1831" s="544"/>
      <c r="F1831" s="544"/>
      <c r="G1831" s="544"/>
      <c r="H1831" s="544"/>
      <c r="I1831" s="544"/>
      <c r="J1831" s="544"/>
      <c r="K1831" s="544"/>
      <c r="L1831" s="544"/>
      <c r="M1831" s="544"/>
    </row>
    <row r="1832" spans="2:13" x14ac:dyDescent="0.35">
      <c r="B1832" s="544"/>
      <c r="C1832" s="544"/>
      <c r="E1832" s="544"/>
      <c r="F1832" s="544"/>
      <c r="G1832" s="544"/>
      <c r="H1832" s="544"/>
      <c r="I1832" s="544"/>
      <c r="J1832" s="544"/>
      <c r="K1832" s="544"/>
      <c r="L1832" s="544"/>
      <c r="M1832" s="544"/>
    </row>
    <row r="1833" spans="2:13" x14ac:dyDescent="0.35">
      <c r="B1833" s="544"/>
      <c r="C1833" s="544"/>
      <c r="E1833" s="544"/>
      <c r="F1833" s="544"/>
      <c r="G1833" s="544"/>
      <c r="H1833" s="544"/>
      <c r="I1833" s="544"/>
      <c r="J1833" s="544"/>
      <c r="K1833" s="544"/>
      <c r="L1833" s="544"/>
      <c r="M1833" s="544"/>
    </row>
    <row r="1834" spans="2:13" x14ac:dyDescent="0.35">
      <c r="B1834" s="544"/>
      <c r="C1834" s="544"/>
      <c r="E1834" s="544"/>
      <c r="F1834" s="544"/>
      <c r="G1834" s="544"/>
      <c r="H1834" s="544"/>
      <c r="I1834" s="544"/>
      <c r="J1834" s="544"/>
      <c r="K1834" s="544"/>
      <c r="L1834" s="544"/>
      <c r="M1834" s="544"/>
    </row>
    <row r="1835" spans="2:13" x14ac:dyDescent="0.35">
      <c r="B1835" s="544"/>
      <c r="C1835" s="544"/>
      <c r="E1835" s="544"/>
      <c r="F1835" s="544"/>
      <c r="G1835" s="544"/>
      <c r="H1835" s="544"/>
      <c r="I1835" s="544"/>
      <c r="J1835" s="544"/>
      <c r="K1835" s="544"/>
      <c r="L1835" s="544"/>
      <c r="M1835" s="544"/>
    </row>
    <row r="1836" spans="2:13" x14ac:dyDescent="0.35">
      <c r="B1836" s="544"/>
      <c r="C1836" s="544"/>
      <c r="E1836" s="544"/>
      <c r="F1836" s="544"/>
      <c r="G1836" s="544"/>
      <c r="H1836" s="544"/>
      <c r="I1836" s="544"/>
      <c r="J1836" s="544"/>
      <c r="K1836" s="544"/>
      <c r="L1836" s="544"/>
      <c r="M1836" s="544"/>
    </row>
    <row r="1837" spans="2:13" x14ac:dyDescent="0.35">
      <c r="B1837" s="544"/>
      <c r="C1837" s="544"/>
      <c r="E1837" s="544"/>
      <c r="F1837" s="544"/>
      <c r="G1837" s="544"/>
      <c r="H1837" s="544"/>
      <c r="I1837" s="544"/>
      <c r="J1837" s="544"/>
      <c r="K1837" s="544"/>
      <c r="L1837" s="544"/>
      <c r="M1837" s="544"/>
    </row>
    <row r="1838" spans="2:13" x14ac:dyDescent="0.35">
      <c r="B1838" s="544"/>
      <c r="C1838" s="544"/>
      <c r="E1838" s="544"/>
      <c r="F1838" s="544"/>
      <c r="G1838" s="544"/>
      <c r="H1838" s="544"/>
      <c r="I1838" s="544"/>
      <c r="J1838" s="544"/>
      <c r="K1838" s="544"/>
      <c r="L1838" s="544"/>
      <c r="M1838" s="544"/>
    </row>
    <row r="1839" spans="2:13" x14ac:dyDescent="0.35">
      <c r="B1839" s="544"/>
      <c r="C1839" s="544"/>
      <c r="E1839" s="544"/>
      <c r="F1839" s="544"/>
      <c r="G1839" s="544"/>
      <c r="H1839" s="544"/>
      <c r="I1839" s="544"/>
      <c r="J1839" s="544"/>
      <c r="K1839" s="544"/>
      <c r="L1839" s="544"/>
      <c r="M1839" s="544"/>
    </row>
    <row r="1840" spans="2:13" x14ac:dyDescent="0.35">
      <c r="B1840" s="544"/>
      <c r="C1840" s="544"/>
      <c r="E1840" s="544"/>
      <c r="F1840" s="544"/>
      <c r="G1840" s="544"/>
      <c r="H1840" s="544"/>
      <c r="I1840" s="544"/>
      <c r="J1840" s="544"/>
      <c r="K1840" s="544"/>
      <c r="L1840" s="544"/>
      <c r="M1840" s="544"/>
    </row>
    <row r="1841" spans="2:13" x14ac:dyDescent="0.35">
      <c r="B1841" s="544"/>
      <c r="C1841" s="544"/>
      <c r="E1841" s="544"/>
      <c r="F1841" s="544"/>
      <c r="G1841" s="544"/>
      <c r="H1841" s="544"/>
      <c r="I1841" s="544"/>
      <c r="J1841" s="544"/>
      <c r="K1841" s="544"/>
      <c r="L1841" s="544"/>
      <c r="M1841" s="544"/>
    </row>
    <row r="1842" spans="2:13" x14ac:dyDescent="0.35">
      <c r="B1842" s="544"/>
      <c r="C1842" s="544"/>
      <c r="E1842" s="544"/>
      <c r="F1842" s="544"/>
      <c r="G1842" s="544"/>
      <c r="H1842" s="544"/>
      <c r="I1842" s="544"/>
      <c r="J1842" s="544"/>
      <c r="K1842" s="544"/>
      <c r="L1842" s="544"/>
      <c r="M1842" s="544"/>
    </row>
    <row r="1843" spans="2:13" x14ac:dyDescent="0.35">
      <c r="B1843" s="544"/>
      <c r="C1843" s="544"/>
      <c r="E1843" s="544"/>
      <c r="F1843" s="544"/>
      <c r="G1843" s="544"/>
      <c r="H1843" s="544"/>
      <c r="I1843" s="544"/>
      <c r="J1843" s="544"/>
      <c r="K1843" s="544"/>
      <c r="L1843" s="544"/>
      <c r="M1843" s="544"/>
    </row>
    <row r="1844" spans="2:13" x14ac:dyDescent="0.35">
      <c r="B1844" s="544"/>
      <c r="C1844" s="544"/>
      <c r="E1844" s="544"/>
      <c r="F1844" s="544"/>
      <c r="G1844" s="544"/>
      <c r="H1844" s="544"/>
      <c r="I1844" s="544"/>
      <c r="J1844" s="544"/>
      <c r="K1844" s="544"/>
      <c r="L1844" s="544"/>
      <c r="M1844" s="544"/>
    </row>
    <row r="1845" spans="2:13" x14ac:dyDescent="0.35">
      <c r="B1845" s="544"/>
      <c r="C1845" s="544"/>
      <c r="E1845" s="544"/>
      <c r="F1845" s="544"/>
      <c r="G1845" s="544"/>
      <c r="H1845" s="544"/>
      <c r="I1845" s="544"/>
      <c r="J1845" s="544"/>
      <c r="K1845" s="544"/>
      <c r="L1845" s="544"/>
      <c r="M1845" s="544"/>
    </row>
    <row r="1846" spans="2:13" x14ac:dyDescent="0.35">
      <c r="B1846" s="544"/>
      <c r="C1846" s="544"/>
      <c r="E1846" s="544"/>
      <c r="F1846" s="544"/>
      <c r="G1846" s="544"/>
      <c r="H1846" s="544"/>
      <c r="I1846" s="544"/>
      <c r="J1846" s="544"/>
      <c r="K1846" s="544"/>
      <c r="L1846" s="544"/>
      <c r="M1846" s="544"/>
    </row>
    <row r="1847" spans="2:13" x14ac:dyDescent="0.35">
      <c r="B1847" s="544"/>
      <c r="C1847" s="544"/>
      <c r="E1847" s="544"/>
      <c r="F1847" s="544"/>
      <c r="G1847" s="544"/>
      <c r="H1847" s="544"/>
      <c r="I1847" s="544"/>
      <c r="J1847" s="544"/>
      <c r="K1847" s="544"/>
      <c r="L1847" s="544"/>
      <c r="M1847" s="544"/>
    </row>
    <row r="1848" spans="2:13" x14ac:dyDescent="0.35">
      <c r="B1848" s="544"/>
      <c r="C1848" s="544"/>
      <c r="E1848" s="544"/>
      <c r="F1848" s="544"/>
      <c r="G1848" s="544"/>
      <c r="H1848" s="544"/>
      <c r="I1848" s="544"/>
      <c r="J1848" s="544"/>
      <c r="K1848" s="544"/>
      <c r="L1848" s="544"/>
      <c r="M1848" s="544"/>
    </row>
    <row r="1849" spans="2:13" x14ac:dyDescent="0.35">
      <c r="B1849" s="544"/>
      <c r="C1849" s="544"/>
      <c r="E1849" s="544"/>
      <c r="F1849" s="544"/>
      <c r="G1849" s="544"/>
      <c r="H1849" s="544"/>
      <c r="I1849" s="544"/>
      <c r="J1849" s="544"/>
      <c r="K1849" s="544"/>
      <c r="L1849" s="544"/>
      <c r="M1849" s="544"/>
    </row>
    <row r="1850" spans="2:13" x14ac:dyDescent="0.35">
      <c r="B1850" s="544"/>
      <c r="C1850" s="544"/>
      <c r="E1850" s="544"/>
      <c r="F1850" s="544"/>
      <c r="G1850" s="544"/>
      <c r="H1850" s="544"/>
      <c r="I1850" s="544"/>
      <c r="J1850" s="544"/>
      <c r="K1850" s="544"/>
      <c r="L1850" s="544"/>
      <c r="M1850" s="544"/>
    </row>
    <row r="1851" spans="2:13" x14ac:dyDescent="0.35">
      <c r="B1851" s="544"/>
      <c r="C1851" s="544"/>
      <c r="E1851" s="544"/>
      <c r="F1851" s="544"/>
      <c r="G1851" s="544"/>
      <c r="H1851" s="544"/>
      <c r="I1851" s="544"/>
      <c r="J1851" s="544"/>
      <c r="K1851" s="544"/>
      <c r="L1851" s="544"/>
      <c r="M1851" s="544"/>
    </row>
    <row r="1852" spans="2:13" x14ac:dyDescent="0.35">
      <c r="B1852" s="544"/>
      <c r="C1852" s="544"/>
      <c r="E1852" s="544"/>
      <c r="F1852" s="544"/>
      <c r="G1852" s="544"/>
      <c r="H1852" s="544"/>
      <c r="I1852" s="544"/>
      <c r="J1852" s="544"/>
      <c r="K1852" s="544"/>
      <c r="L1852" s="544"/>
      <c r="M1852" s="544"/>
    </row>
    <row r="1853" spans="2:13" x14ac:dyDescent="0.35">
      <c r="B1853" s="544"/>
      <c r="C1853" s="544"/>
      <c r="E1853" s="544"/>
      <c r="F1853" s="544"/>
      <c r="G1853" s="544"/>
      <c r="H1853" s="544"/>
      <c r="I1853" s="544"/>
      <c r="J1853" s="544"/>
      <c r="K1853" s="544"/>
      <c r="L1853" s="544"/>
      <c r="M1853" s="544"/>
    </row>
    <row r="1854" spans="2:13" x14ac:dyDescent="0.35">
      <c r="B1854" s="544"/>
      <c r="C1854" s="544"/>
      <c r="E1854" s="544"/>
      <c r="F1854" s="544"/>
      <c r="G1854" s="544"/>
      <c r="H1854" s="544"/>
      <c r="I1854" s="544"/>
      <c r="J1854" s="544"/>
      <c r="K1854" s="544"/>
      <c r="L1854" s="544"/>
      <c r="M1854" s="544"/>
    </row>
    <row r="1855" spans="2:13" x14ac:dyDescent="0.35">
      <c r="B1855" s="544"/>
      <c r="C1855" s="544"/>
      <c r="E1855" s="544"/>
      <c r="F1855" s="544"/>
      <c r="G1855" s="544"/>
      <c r="H1855" s="544"/>
      <c r="I1855" s="544"/>
      <c r="J1855" s="544"/>
      <c r="K1855" s="544"/>
      <c r="L1855" s="544"/>
      <c r="M1855" s="544"/>
    </row>
    <row r="1856" spans="2:13" x14ac:dyDescent="0.35">
      <c r="B1856" s="544"/>
      <c r="C1856" s="544"/>
      <c r="E1856" s="544"/>
      <c r="F1856" s="544"/>
      <c r="G1856" s="544"/>
      <c r="H1856" s="544"/>
      <c r="I1856" s="544"/>
      <c r="J1856" s="544"/>
      <c r="K1856" s="544"/>
      <c r="L1856" s="544"/>
      <c r="M1856" s="544"/>
    </row>
    <row r="1857" spans="2:13" x14ac:dyDescent="0.35">
      <c r="B1857" s="544"/>
      <c r="C1857" s="544"/>
      <c r="E1857" s="544"/>
      <c r="F1857" s="544"/>
      <c r="G1857" s="544"/>
      <c r="H1857" s="544"/>
      <c r="I1857" s="544"/>
      <c r="J1857" s="544"/>
      <c r="K1857" s="544"/>
      <c r="L1857" s="544"/>
      <c r="M1857" s="544"/>
    </row>
    <row r="1858" spans="2:13" x14ac:dyDescent="0.35">
      <c r="B1858" s="544"/>
      <c r="C1858" s="544"/>
      <c r="E1858" s="544"/>
      <c r="F1858" s="544"/>
      <c r="G1858" s="544"/>
      <c r="H1858" s="544"/>
      <c r="I1858" s="544"/>
      <c r="J1858" s="544"/>
      <c r="K1858" s="544"/>
      <c r="L1858" s="544"/>
      <c r="M1858" s="544"/>
    </row>
    <row r="1859" spans="2:13" x14ac:dyDescent="0.35">
      <c r="B1859" s="544"/>
      <c r="C1859" s="544"/>
      <c r="E1859" s="544"/>
      <c r="F1859" s="544"/>
      <c r="G1859" s="544"/>
      <c r="H1859" s="544"/>
      <c r="I1859" s="544"/>
      <c r="J1859" s="544"/>
      <c r="K1859" s="544"/>
      <c r="L1859" s="544"/>
      <c r="M1859" s="544"/>
    </row>
    <row r="1860" spans="2:13" x14ac:dyDescent="0.35">
      <c r="B1860" s="544"/>
      <c r="C1860" s="544"/>
      <c r="E1860" s="544"/>
      <c r="F1860" s="544"/>
      <c r="G1860" s="544"/>
      <c r="H1860" s="544"/>
      <c r="I1860" s="544"/>
      <c r="J1860" s="544"/>
      <c r="K1860" s="544"/>
      <c r="L1860" s="544"/>
      <c r="M1860" s="544"/>
    </row>
    <row r="1861" spans="2:13" x14ac:dyDescent="0.35">
      <c r="B1861" s="544"/>
      <c r="C1861" s="544"/>
      <c r="E1861" s="544"/>
      <c r="F1861" s="544"/>
      <c r="G1861" s="544"/>
      <c r="H1861" s="544"/>
      <c r="I1861" s="544"/>
      <c r="J1861" s="544"/>
      <c r="K1861" s="544"/>
      <c r="L1861" s="544"/>
      <c r="M1861" s="544"/>
    </row>
    <row r="1862" spans="2:13" x14ac:dyDescent="0.35">
      <c r="B1862" s="544"/>
      <c r="C1862" s="544"/>
      <c r="E1862" s="544"/>
      <c r="F1862" s="544"/>
      <c r="G1862" s="544"/>
      <c r="H1862" s="544"/>
      <c r="I1862" s="544"/>
      <c r="J1862" s="544"/>
      <c r="K1862" s="544"/>
      <c r="L1862" s="544"/>
      <c r="M1862" s="544"/>
    </row>
    <row r="1863" spans="2:13" x14ac:dyDescent="0.35">
      <c r="B1863" s="544"/>
      <c r="C1863" s="544"/>
      <c r="E1863" s="544"/>
      <c r="F1863" s="544"/>
      <c r="G1863" s="544"/>
      <c r="H1863" s="544"/>
      <c r="I1863" s="544"/>
      <c r="J1863" s="544"/>
      <c r="K1863" s="544"/>
      <c r="L1863" s="544"/>
      <c r="M1863" s="544"/>
    </row>
    <row r="1864" spans="2:13" x14ac:dyDescent="0.35">
      <c r="B1864" s="544"/>
      <c r="C1864" s="544"/>
      <c r="E1864" s="544"/>
      <c r="F1864" s="544"/>
      <c r="G1864" s="544"/>
      <c r="H1864" s="544"/>
      <c r="I1864" s="544"/>
      <c r="J1864" s="544"/>
      <c r="K1864" s="544"/>
      <c r="L1864" s="544"/>
      <c r="M1864" s="544"/>
    </row>
    <row r="1865" spans="2:13" x14ac:dyDescent="0.35">
      <c r="B1865" s="544"/>
      <c r="C1865" s="544"/>
      <c r="E1865" s="544"/>
      <c r="F1865" s="544"/>
      <c r="G1865" s="544"/>
      <c r="H1865" s="544"/>
      <c r="I1865" s="544"/>
      <c r="J1865" s="544"/>
      <c r="K1865" s="544"/>
      <c r="L1865" s="544"/>
      <c r="M1865" s="544"/>
    </row>
    <row r="1866" spans="2:13" x14ac:dyDescent="0.35">
      <c r="B1866" s="544"/>
      <c r="C1866" s="544"/>
      <c r="E1866" s="544"/>
      <c r="F1866" s="544"/>
      <c r="G1866" s="544"/>
      <c r="H1866" s="544"/>
      <c r="I1866" s="544"/>
      <c r="J1866" s="544"/>
      <c r="K1866" s="544"/>
      <c r="L1866" s="544"/>
      <c r="M1866" s="544"/>
    </row>
    <row r="1867" spans="2:13" x14ac:dyDescent="0.35">
      <c r="B1867" s="544"/>
      <c r="C1867" s="544"/>
      <c r="E1867" s="544"/>
      <c r="F1867" s="544"/>
      <c r="G1867" s="544"/>
      <c r="H1867" s="544"/>
      <c r="I1867" s="544"/>
      <c r="J1867" s="544"/>
      <c r="K1867" s="544"/>
      <c r="L1867" s="544"/>
      <c r="M1867" s="544"/>
    </row>
    <row r="1868" spans="2:13" x14ac:dyDescent="0.35">
      <c r="B1868" s="544"/>
      <c r="C1868" s="544"/>
      <c r="E1868" s="544"/>
      <c r="F1868" s="544"/>
      <c r="G1868" s="544"/>
      <c r="H1868" s="544"/>
      <c r="I1868" s="544"/>
      <c r="J1868" s="544"/>
      <c r="K1868" s="544"/>
      <c r="L1868" s="544"/>
      <c r="M1868" s="544"/>
    </row>
    <row r="1869" spans="2:13" x14ac:dyDescent="0.35">
      <c r="B1869" s="544"/>
      <c r="C1869" s="544"/>
      <c r="E1869" s="544"/>
      <c r="F1869" s="544"/>
      <c r="G1869" s="544"/>
      <c r="H1869" s="544"/>
      <c r="I1869" s="544"/>
      <c r="J1869" s="544"/>
      <c r="K1869" s="544"/>
      <c r="L1869" s="544"/>
      <c r="M1869" s="544"/>
    </row>
    <row r="1870" spans="2:13" x14ac:dyDescent="0.35">
      <c r="B1870" s="544"/>
      <c r="C1870" s="544"/>
      <c r="E1870" s="544"/>
      <c r="F1870" s="544"/>
      <c r="G1870" s="544"/>
      <c r="H1870" s="544"/>
      <c r="I1870" s="544"/>
      <c r="J1870" s="544"/>
      <c r="K1870" s="544"/>
      <c r="L1870" s="544"/>
      <c r="M1870" s="544"/>
    </row>
    <row r="1871" spans="2:13" x14ac:dyDescent="0.35">
      <c r="B1871" s="544"/>
      <c r="C1871" s="544"/>
      <c r="E1871" s="544"/>
      <c r="F1871" s="544"/>
      <c r="G1871" s="544"/>
      <c r="H1871" s="544"/>
      <c r="I1871" s="544"/>
      <c r="J1871" s="544"/>
      <c r="K1871" s="544"/>
      <c r="L1871" s="544"/>
      <c r="M1871" s="544"/>
    </row>
    <row r="1872" spans="2:13" x14ac:dyDescent="0.35">
      <c r="B1872" s="544"/>
      <c r="C1872" s="544"/>
      <c r="E1872" s="544"/>
      <c r="F1872" s="544"/>
      <c r="G1872" s="544"/>
      <c r="H1872" s="544"/>
      <c r="I1872" s="544"/>
      <c r="J1872" s="544"/>
      <c r="K1872" s="544"/>
      <c r="L1872" s="544"/>
      <c r="M1872" s="544"/>
    </row>
    <row r="1873" spans="2:13" x14ac:dyDescent="0.35">
      <c r="B1873" s="544"/>
      <c r="C1873" s="544"/>
      <c r="E1873" s="544"/>
      <c r="F1873" s="544"/>
      <c r="G1873" s="544"/>
      <c r="H1873" s="544"/>
      <c r="I1873" s="544"/>
      <c r="J1873" s="544"/>
      <c r="K1873" s="544"/>
      <c r="L1873" s="544"/>
      <c r="M1873" s="544"/>
    </row>
    <row r="1874" spans="2:13" x14ac:dyDescent="0.35">
      <c r="B1874" s="544"/>
      <c r="C1874" s="544"/>
      <c r="E1874" s="544"/>
      <c r="F1874" s="544"/>
      <c r="G1874" s="544"/>
      <c r="H1874" s="544"/>
      <c r="I1874" s="544"/>
      <c r="J1874" s="544"/>
      <c r="K1874" s="544"/>
      <c r="L1874" s="544"/>
      <c r="M1874" s="544"/>
    </row>
    <row r="1875" spans="2:13" x14ac:dyDescent="0.35">
      <c r="B1875" s="544"/>
      <c r="C1875" s="544"/>
      <c r="E1875" s="544"/>
      <c r="F1875" s="544"/>
      <c r="G1875" s="544"/>
      <c r="H1875" s="544"/>
      <c r="I1875" s="544"/>
      <c r="J1875" s="544"/>
      <c r="K1875" s="544"/>
      <c r="L1875" s="544"/>
      <c r="M1875" s="544"/>
    </row>
    <row r="1876" spans="2:13" x14ac:dyDescent="0.35">
      <c r="B1876" s="544"/>
      <c r="C1876" s="544"/>
      <c r="E1876" s="544"/>
      <c r="F1876" s="544"/>
      <c r="G1876" s="544"/>
      <c r="H1876" s="544"/>
      <c r="I1876" s="544"/>
      <c r="J1876" s="544"/>
      <c r="K1876" s="544"/>
      <c r="L1876" s="544"/>
      <c r="M1876" s="544"/>
    </row>
    <row r="1877" spans="2:13" x14ac:dyDescent="0.35">
      <c r="B1877" s="544"/>
      <c r="C1877" s="544"/>
      <c r="E1877" s="544"/>
      <c r="F1877" s="544"/>
      <c r="G1877" s="544"/>
      <c r="H1877" s="544"/>
      <c r="I1877" s="544"/>
      <c r="J1877" s="544"/>
      <c r="K1877" s="544"/>
      <c r="L1877" s="544"/>
      <c r="M1877" s="544"/>
    </row>
    <row r="1878" spans="2:13" x14ac:dyDescent="0.35">
      <c r="B1878" s="544"/>
      <c r="C1878" s="544"/>
      <c r="E1878" s="544"/>
      <c r="F1878" s="544"/>
      <c r="G1878" s="544"/>
      <c r="H1878" s="544"/>
      <c r="I1878" s="544"/>
      <c r="J1878" s="544"/>
      <c r="K1878" s="544"/>
      <c r="L1878" s="544"/>
      <c r="M1878" s="544"/>
    </row>
    <row r="1879" spans="2:13" x14ac:dyDescent="0.35">
      <c r="B1879" s="544"/>
      <c r="C1879" s="544"/>
      <c r="E1879" s="544"/>
      <c r="F1879" s="544"/>
      <c r="G1879" s="544"/>
      <c r="H1879" s="544"/>
      <c r="I1879" s="544"/>
      <c r="J1879" s="544"/>
      <c r="K1879" s="544"/>
      <c r="L1879" s="544"/>
      <c r="M1879" s="544"/>
    </row>
    <row r="1880" spans="2:13" x14ac:dyDescent="0.35">
      <c r="B1880" s="544"/>
      <c r="C1880" s="544"/>
      <c r="E1880" s="544"/>
      <c r="F1880" s="544"/>
      <c r="G1880" s="544"/>
      <c r="H1880" s="544"/>
      <c r="I1880" s="544"/>
      <c r="J1880" s="544"/>
      <c r="K1880" s="544"/>
      <c r="L1880" s="544"/>
      <c r="M1880" s="544"/>
    </row>
    <row r="1881" spans="2:13" x14ac:dyDescent="0.35">
      <c r="B1881" s="544"/>
      <c r="C1881" s="544"/>
      <c r="E1881" s="544"/>
      <c r="F1881" s="544"/>
      <c r="G1881" s="544"/>
      <c r="H1881" s="544"/>
      <c r="I1881" s="544"/>
      <c r="J1881" s="544"/>
      <c r="K1881" s="544"/>
      <c r="L1881" s="544"/>
      <c r="M1881" s="544"/>
    </row>
    <row r="1882" spans="2:13" x14ac:dyDescent="0.35">
      <c r="B1882" s="544"/>
      <c r="C1882" s="544"/>
      <c r="E1882" s="544"/>
      <c r="F1882" s="544"/>
      <c r="G1882" s="544"/>
      <c r="H1882" s="544"/>
      <c r="I1882" s="544"/>
      <c r="J1882" s="544"/>
      <c r="K1882" s="544"/>
      <c r="L1882" s="544"/>
      <c r="M1882" s="544"/>
    </row>
    <row r="1883" spans="2:13" x14ac:dyDescent="0.35">
      <c r="B1883" s="544"/>
      <c r="C1883" s="544"/>
      <c r="E1883" s="544"/>
      <c r="F1883" s="544"/>
      <c r="G1883" s="544"/>
      <c r="H1883" s="544"/>
      <c r="I1883" s="544"/>
      <c r="J1883" s="544"/>
      <c r="K1883" s="544"/>
      <c r="L1883" s="544"/>
      <c r="M1883" s="544"/>
    </row>
    <row r="1884" spans="2:13" x14ac:dyDescent="0.35">
      <c r="B1884" s="544"/>
      <c r="C1884" s="544"/>
      <c r="E1884" s="544"/>
      <c r="F1884" s="544"/>
      <c r="G1884" s="544"/>
      <c r="H1884" s="544"/>
      <c r="I1884" s="544"/>
      <c r="J1884" s="544"/>
      <c r="K1884" s="544"/>
      <c r="L1884" s="544"/>
      <c r="M1884" s="544"/>
    </row>
    <row r="1885" spans="2:13" x14ac:dyDescent="0.35">
      <c r="B1885" s="544"/>
      <c r="C1885" s="544"/>
      <c r="E1885" s="544"/>
      <c r="F1885" s="544"/>
      <c r="G1885" s="544"/>
      <c r="H1885" s="544"/>
      <c r="I1885" s="544"/>
      <c r="J1885" s="544"/>
      <c r="K1885" s="544"/>
      <c r="L1885" s="544"/>
      <c r="M1885" s="544"/>
    </row>
    <row r="1886" spans="2:13" x14ac:dyDescent="0.35">
      <c r="B1886" s="544"/>
      <c r="C1886" s="544"/>
      <c r="E1886" s="544"/>
      <c r="F1886" s="544"/>
      <c r="G1886" s="544"/>
      <c r="H1886" s="544"/>
      <c r="I1886" s="544"/>
      <c r="J1886" s="544"/>
      <c r="K1886" s="544"/>
      <c r="L1886" s="544"/>
      <c r="M1886" s="544"/>
    </row>
    <row r="1887" spans="2:13" x14ac:dyDescent="0.35">
      <c r="B1887" s="544"/>
      <c r="C1887" s="544"/>
      <c r="E1887" s="544"/>
      <c r="F1887" s="544"/>
      <c r="G1887" s="544"/>
      <c r="H1887" s="544"/>
      <c r="I1887" s="544"/>
      <c r="J1887" s="544"/>
      <c r="K1887" s="544"/>
      <c r="L1887" s="544"/>
      <c r="M1887" s="544"/>
    </row>
    <row r="1888" spans="2:13" x14ac:dyDescent="0.35">
      <c r="B1888" s="544"/>
      <c r="C1888" s="544"/>
      <c r="E1888" s="544"/>
      <c r="F1888" s="544"/>
      <c r="G1888" s="544"/>
      <c r="H1888" s="544"/>
      <c r="I1888" s="544"/>
      <c r="J1888" s="544"/>
      <c r="K1888" s="544"/>
      <c r="L1888" s="544"/>
      <c r="M1888" s="544"/>
    </row>
    <row r="1889" spans="2:13" x14ac:dyDescent="0.35">
      <c r="B1889" s="544"/>
      <c r="C1889" s="544"/>
      <c r="E1889" s="544"/>
      <c r="F1889" s="544"/>
      <c r="G1889" s="544"/>
      <c r="H1889" s="544"/>
      <c r="I1889" s="544"/>
      <c r="J1889" s="544"/>
      <c r="K1889" s="544"/>
      <c r="L1889" s="544"/>
      <c r="M1889" s="544"/>
    </row>
    <row r="1890" spans="2:13" x14ac:dyDescent="0.35">
      <c r="B1890" s="544"/>
      <c r="C1890" s="544"/>
      <c r="E1890" s="544"/>
      <c r="F1890" s="544"/>
      <c r="G1890" s="544"/>
      <c r="H1890" s="544"/>
      <c r="I1890" s="544"/>
      <c r="J1890" s="544"/>
      <c r="K1890" s="544"/>
      <c r="L1890" s="544"/>
      <c r="M1890" s="544"/>
    </row>
    <row r="1891" spans="2:13" x14ac:dyDescent="0.35">
      <c r="B1891" s="544"/>
      <c r="C1891" s="544"/>
      <c r="E1891" s="544"/>
      <c r="F1891" s="544"/>
      <c r="G1891" s="544"/>
      <c r="H1891" s="544"/>
      <c r="I1891" s="544"/>
      <c r="J1891" s="544"/>
      <c r="K1891" s="544"/>
      <c r="L1891" s="544"/>
      <c r="M1891" s="544"/>
    </row>
    <row r="1892" spans="2:13" x14ac:dyDescent="0.35">
      <c r="B1892" s="544"/>
      <c r="C1892" s="544"/>
      <c r="E1892" s="544"/>
      <c r="F1892" s="544"/>
      <c r="G1892" s="544"/>
      <c r="H1892" s="544"/>
      <c r="I1892" s="544"/>
      <c r="J1892" s="544"/>
      <c r="K1892" s="544"/>
      <c r="L1892" s="544"/>
      <c r="M1892" s="544"/>
    </row>
    <row r="1893" spans="2:13" x14ac:dyDescent="0.35">
      <c r="B1893" s="544"/>
      <c r="C1893" s="544"/>
      <c r="E1893" s="544"/>
      <c r="F1893" s="544"/>
      <c r="G1893" s="544"/>
      <c r="H1893" s="544"/>
      <c r="I1893" s="544"/>
      <c r="J1893" s="544"/>
      <c r="K1893" s="544"/>
      <c r="L1893" s="544"/>
      <c r="M1893" s="544"/>
    </row>
    <row r="1894" spans="2:13" x14ac:dyDescent="0.35">
      <c r="B1894" s="544"/>
      <c r="C1894" s="544"/>
      <c r="E1894" s="544"/>
      <c r="F1894" s="544"/>
      <c r="G1894" s="544"/>
      <c r="H1894" s="544"/>
      <c r="I1894" s="544"/>
      <c r="J1894" s="544"/>
      <c r="K1894" s="544"/>
      <c r="L1894" s="544"/>
      <c r="M1894" s="544"/>
    </row>
    <row r="1895" spans="2:13" x14ac:dyDescent="0.35">
      <c r="B1895" s="544"/>
      <c r="C1895" s="544"/>
      <c r="E1895" s="544"/>
      <c r="F1895" s="544"/>
      <c r="G1895" s="544"/>
      <c r="H1895" s="544"/>
      <c r="I1895" s="544"/>
      <c r="J1895" s="544"/>
      <c r="K1895" s="544"/>
      <c r="L1895" s="544"/>
      <c r="M1895" s="544"/>
    </row>
    <row r="1896" spans="2:13" x14ac:dyDescent="0.35">
      <c r="B1896" s="544"/>
      <c r="C1896" s="544"/>
      <c r="E1896" s="544"/>
      <c r="F1896" s="544"/>
      <c r="G1896" s="544"/>
      <c r="H1896" s="544"/>
      <c r="I1896" s="544"/>
      <c r="J1896" s="544"/>
      <c r="K1896" s="544"/>
      <c r="L1896" s="544"/>
      <c r="M1896" s="544"/>
    </row>
    <row r="1897" spans="2:13" x14ac:dyDescent="0.35">
      <c r="B1897" s="544"/>
      <c r="C1897" s="544"/>
      <c r="E1897" s="544"/>
      <c r="F1897" s="544"/>
      <c r="G1897" s="544"/>
      <c r="H1897" s="544"/>
      <c r="I1897" s="544"/>
      <c r="J1897" s="544"/>
      <c r="K1897" s="544"/>
      <c r="L1897" s="544"/>
      <c r="M1897" s="544"/>
    </row>
    <row r="1898" spans="2:13" x14ac:dyDescent="0.35">
      <c r="B1898" s="544"/>
      <c r="C1898" s="544"/>
      <c r="E1898" s="544"/>
      <c r="F1898" s="544"/>
      <c r="G1898" s="544"/>
      <c r="H1898" s="544"/>
      <c r="I1898" s="544"/>
      <c r="J1898" s="544"/>
      <c r="K1898" s="544"/>
      <c r="L1898" s="544"/>
      <c r="M1898" s="544"/>
    </row>
    <row r="1899" spans="2:13" x14ac:dyDescent="0.35">
      <c r="B1899" s="544"/>
      <c r="C1899" s="544"/>
      <c r="E1899" s="544"/>
      <c r="F1899" s="544"/>
      <c r="G1899" s="544"/>
      <c r="H1899" s="544"/>
      <c r="I1899" s="544"/>
      <c r="J1899" s="544"/>
      <c r="K1899" s="544"/>
      <c r="L1899" s="544"/>
      <c r="M1899" s="544"/>
    </row>
    <row r="1900" spans="2:13" x14ac:dyDescent="0.35">
      <c r="B1900" s="544"/>
      <c r="C1900" s="544"/>
      <c r="E1900" s="544"/>
      <c r="F1900" s="544"/>
      <c r="G1900" s="544"/>
      <c r="H1900" s="544"/>
      <c r="I1900" s="544"/>
      <c r="J1900" s="544"/>
      <c r="K1900" s="544"/>
      <c r="L1900" s="544"/>
      <c r="M1900" s="544"/>
    </row>
    <row r="1901" spans="2:13" x14ac:dyDescent="0.35">
      <c r="B1901" s="544"/>
      <c r="C1901" s="544"/>
      <c r="E1901" s="544"/>
      <c r="F1901" s="544"/>
      <c r="G1901" s="544"/>
      <c r="H1901" s="544"/>
      <c r="I1901" s="544"/>
      <c r="J1901" s="544"/>
      <c r="K1901" s="544"/>
      <c r="L1901" s="544"/>
      <c r="M1901" s="544"/>
    </row>
    <row r="1902" spans="2:13" x14ac:dyDescent="0.35">
      <c r="B1902" s="544"/>
      <c r="C1902" s="544"/>
      <c r="E1902" s="544"/>
      <c r="F1902" s="544"/>
      <c r="G1902" s="544"/>
      <c r="H1902" s="544"/>
      <c r="I1902" s="544"/>
      <c r="J1902" s="544"/>
      <c r="K1902" s="544"/>
      <c r="L1902" s="544"/>
      <c r="M1902" s="544"/>
    </row>
    <row r="1903" spans="2:13" x14ac:dyDescent="0.35">
      <c r="B1903" s="544"/>
      <c r="C1903" s="544"/>
      <c r="E1903" s="544"/>
      <c r="F1903" s="544"/>
      <c r="G1903" s="544"/>
      <c r="H1903" s="544"/>
      <c r="I1903" s="544"/>
      <c r="J1903" s="544"/>
      <c r="K1903" s="544"/>
      <c r="L1903" s="544"/>
      <c r="M1903" s="544"/>
    </row>
    <row r="1904" spans="2:13" x14ac:dyDescent="0.35">
      <c r="B1904" s="544"/>
      <c r="C1904" s="544"/>
      <c r="E1904" s="544"/>
      <c r="F1904" s="544"/>
      <c r="G1904" s="544"/>
      <c r="H1904" s="544"/>
      <c r="I1904" s="544"/>
      <c r="J1904" s="544"/>
      <c r="K1904" s="544"/>
      <c r="L1904" s="544"/>
      <c r="M1904" s="544"/>
    </row>
    <row r="1905" spans="2:13" x14ac:dyDescent="0.35">
      <c r="B1905" s="544"/>
      <c r="C1905" s="544"/>
      <c r="E1905" s="544"/>
      <c r="F1905" s="544"/>
      <c r="G1905" s="544"/>
      <c r="H1905" s="544"/>
      <c r="I1905" s="544"/>
      <c r="J1905" s="544"/>
      <c r="K1905" s="544"/>
      <c r="L1905" s="544"/>
      <c r="M1905" s="544"/>
    </row>
    <row r="1906" spans="2:13" x14ac:dyDescent="0.35">
      <c r="B1906" s="544"/>
      <c r="C1906" s="544"/>
      <c r="E1906" s="544"/>
      <c r="F1906" s="544"/>
      <c r="G1906" s="544"/>
      <c r="H1906" s="544"/>
      <c r="I1906" s="544"/>
      <c r="J1906" s="544"/>
      <c r="K1906" s="544"/>
      <c r="L1906" s="544"/>
      <c r="M1906" s="544"/>
    </row>
    <row r="1907" spans="2:13" x14ac:dyDescent="0.35">
      <c r="B1907" s="544"/>
      <c r="C1907" s="544"/>
      <c r="E1907" s="544"/>
      <c r="F1907" s="544"/>
      <c r="G1907" s="544"/>
      <c r="H1907" s="544"/>
      <c r="I1907" s="544"/>
      <c r="J1907" s="544"/>
      <c r="K1907" s="544"/>
      <c r="L1907" s="544"/>
      <c r="M1907" s="544"/>
    </row>
    <row r="1908" spans="2:13" x14ac:dyDescent="0.35">
      <c r="B1908" s="544"/>
      <c r="C1908" s="544"/>
      <c r="E1908" s="544"/>
      <c r="F1908" s="544"/>
      <c r="G1908" s="544"/>
      <c r="H1908" s="544"/>
      <c r="I1908" s="544"/>
      <c r="J1908" s="544"/>
      <c r="K1908" s="544"/>
      <c r="L1908" s="544"/>
      <c r="M1908" s="544"/>
    </row>
    <row r="1909" spans="2:13" x14ac:dyDescent="0.35">
      <c r="B1909" s="544"/>
      <c r="C1909" s="544"/>
      <c r="E1909" s="544"/>
      <c r="F1909" s="544"/>
      <c r="G1909" s="544"/>
      <c r="H1909" s="544"/>
      <c r="I1909" s="544"/>
      <c r="J1909" s="544"/>
      <c r="K1909" s="544"/>
      <c r="L1909" s="544"/>
      <c r="M1909" s="544"/>
    </row>
    <row r="1910" spans="2:13" x14ac:dyDescent="0.35">
      <c r="B1910" s="544"/>
      <c r="C1910" s="544"/>
      <c r="E1910" s="544"/>
      <c r="F1910" s="544"/>
      <c r="G1910" s="544"/>
      <c r="H1910" s="544"/>
      <c r="I1910" s="544"/>
      <c r="J1910" s="544"/>
      <c r="K1910" s="544"/>
      <c r="L1910" s="544"/>
      <c r="M1910" s="544"/>
    </row>
    <row r="1911" spans="2:13" x14ac:dyDescent="0.35">
      <c r="B1911" s="544"/>
      <c r="C1911" s="544"/>
      <c r="E1911" s="544"/>
      <c r="F1911" s="544"/>
      <c r="G1911" s="544"/>
      <c r="H1911" s="544"/>
      <c r="I1911" s="544"/>
      <c r="J1911" s="544"/>
      <c r="K1911" s="544"/>
      <c r="L1911" s="544"/>
      <c r="M1911" s="544"/>
    </row>
    <row r="1912" spans="2:13" x14ac:dyDescent="0.35">
      <c r="B1912" s="544"/>
      <c r="C1912" s="544"/>
      <c r="E1912" s="544"/>
      <c r="F1912" s="544"/>
      <c r="G1912" s="544"/>
      <c r="H1912" s="544"/>
      <c r="I1912" s="544"/>
      <c r="J1912" s="544"/>
      <c r="K1912" s="544"/>
      <c r="L1912" s="544"/>
      <c r="M1912" s="544"/>
    </row>
    <row r="1913" spans="2:13" x14ac:dyDescent="0.35">
      <c r="B1913" s="544"/>
      <c r="C1913" s="544"/>
      <c r="E1913" s="544"/>
      <c r="F1913" s="544"/>
      <c r="G1913" s="544"/>
      <c r="H1913" s="544"/>
      <c r="I1913" s="544"/>
      <c r="J1913" s="544"/>
      <c r="K1913" s="544"/>
      <c r="L1913" s="544"/>
      <c r="M1913" s="544"/>
    </row>
    <row r="1914" spans="2:13" x14ac:dyDescent="0.35">
      <c r="B1914" s="544"/>
      <c r="C1914" s="544"/>
      <c r="E1914" s="544"/>
      <c r="F1914" s="544"/>
      <c r="G1914" s="544"/>
      <c r="H1914" s="544"/>
      <c r="I1914" s="544"/>
      <c r="J1914" s="544"/>
      <c r="K1914" s="544"/>
      <c r="L1914" s="544"/>
      <c r="M1914" s="544"/>
    </row>
    <row r="1915" spans="2:13" x14ac:dyDescent="0.35">
      <c r="B1915" s="544"/>
      <c r="C1915" s="544"/>
      <c r="E1915" s="544"/>
      <c r="F1915" s="544"/>
      <c r="G1915" s="544"/>
      <c r="H1915" s="544"/>
      <c r="I1915" s="544"/>
      <c r="J1915" s="544"/>
      <c r="K1915" s="544"/>
      <c r="L1915" s="544"/>
      <c r="M1915" s="544"/>
    </row>
    <row r="1916" spans="2:13" x14ac:dyDescent="0.35">
      <c r="B1916" s="544"/>
      <c r="C1916" s="544"/>
      <c r="E1916" s="544"/>
      <c r="F1916" s="544"/>
      <c r="G1916" s="544"/>
      <c r="H1916" s="544"/>
      <c r="I1916" s="544"/>
      <c r="J1916" s="544"/>
      <c r="K1916" s="544"/>
      <c r="L1916" s="544"/>
      <c r="M1916" s="544"/>
    </row>
    <row r="1917" spans="2:13" x14ac:dyDescent="0.35">
      <c r="B1917" s="544"/>
      <c r="C1917" s="544"/>
      <c r="E1917" s="544"/>
      <c r="F1917" s="544"/>
      <c r="G1917" s="544"/>
      <c r="H1917" s="544"/>
      <c r="I1917" s="544"/>
      <c r="J1917" s="544"/>
      <c r="K1917" s="544"/>
      <c r="L1917" s="544"/>
      <c r="M1917" s="544"/>
    </row>
    <row r="1918" spans="2:13" x14ac:dyDescent="0.35">
      <c r="B1918" s="544"/>
      <c r="C1918" s="544"/>
      <c r="E1918" s="544"/>
      <c r="F1918" s="544"/>
      <c r="G1918" s="544"/>
      <c r="H1918" s="544"/>
      <c r="I1918" s="544"/>
      <c r="J1918" s="544"/>
      <c r="K1918" s="544"/>
      <c r="L1918" s="544"/>
      <c r="M1918" s="544"/>
    </row>
    <row r="1919" spans="2:13" x14ac:dyDescent="0.35">
      <c r="B1919" s="544"/>
      <c r="C1919" s="544"/>
      <c r="E1919" s="544"/>
      <c r="F1919" s="544"/>
      <c r="G1919" s="544"/>
      <c r="H1919" s="544"/>
      <c r="I1919" s="544"/>
      <c r="J1919" s="544"/>
      <c r="K1919" s="544"/>
      <c r="L1919" s="544"/>
      <c r="M1919" s="544"/>
    </row>
    <row r="1920" spans="2:13" x14ac:dyDescent="0.35">
      <c r="B1920" s="544"/>
      <c r="C1920" s="544"/>
      <c r="E1920" s="544"/>
      <c r="F1920" s="544"/>
      <c r="G1920" s="544"/>
      <c r="H1920" s="544"/>
      <c r="I1920" s="544"/>
      <c r="J1920" s="544"/>
      <c r="K1920" s="544"/>
      <c r="L1920" s="544"/>
      <c r="M1920" s="544"/>
    </row>
    <row r="1921" spans="2:13" x14ac:dyDescent="0.35">
      <c r="B1921" s="544"/>
      <c r="C1921" s="544"/>
      <c r="E1921" s="544"/>
      <c r="F1921" s="544"/>
      <c r="G1921" s="544"/>
      <c r="H1921" s="544"/>
      <c r="I1921" s="544"/>
      <c r="J1921" s="544"/>
      <c r="K1921" s="544"/>
      <c r="L1921" s="544"/>
      <c r="M1921" s="544"/>
    </row>
    <row r="1922" spans="2:13" x14ac:dyDescent="0.35">
      <c r="B1922" s="544"/>
      <c r="C1922" s="544"/>
      <c r="E1922" s="544"/>
      <c r="F1922" s="544"/>
      <c r="G1922" s="544"/>
      <c r="H1922" s="544"/>
      <c r="I1922" s="544"/>
      <c r="J1922" s="544"/>
      <c r="K1922" s="544"/>
      <c r="L1922" s="544"/>
      <c r="M1922" s="544"/>
    </row>
    <row r="1923" spans="2:13" x14ac:dyDescent="0.35">
      <c r="B1923" s="544"/>
      <c r="C1923" s="544"/>
      <c r="E1923" s="544"/>
      <c r="F1923" s="544"/>
      <c r="G1923" s="544"/>
      <c r="H1923" s="544"/>
      <c r="I1923" s="544"/>
      <c r="J1923" s="544"/>
      <c r="K1923" s="544"/>
      <c r="L1923" s="544"/>
      <c r="M1923" s="544"/>
    </row>
    <row r="1924" spans="2:13" x14ac:dyDescent="0.35">
      <c r="B1924" s="544"/>
      <c r="C1924" s="544"/>
      <c r="E1924" s="544"/>
      <c r="F1924" s="544"/>
      <c r="G1924" s="544"/>
      <c r="H1924" s="544"/>
      <c r="I1924" s="544"/>
      <c r="J1924" s="544"/>
      <c r="K1924" s="544"/>
      <c r="L1924" s="544"/>
      <c r="M1924" s="544"/>
    </row>
    <row r="1925" spans="2:13" x14ac:dyDescent="0.35">
      <c r="B1925" s="544"/>
      <c r="C1925" s="544"/>
      <c r="E1925" s="544"/>
      <c r="F1925" s="544"/>
      <c r="G1925" s="544"/>
      <c r="H1925" s="544"/>
      <c r="I1925" s="544"/>
      <c r="J1925" s="544"/>
      <c r="K1925" s="544"/>
      <c r="L1925" s="544"/>
      <c r="M1925" s="544"/>
    </row>
    <row r="1926" spans="2:13" x14ac:dyDescent="0.35">
      <c r="B1926" s="544"/>
      <c r="C1926" s="544"/>
      <c r="E1926" s="544"/>
      <c r="F1926" s="544"/>
      <c r="G1926" s="544"/>
      <c r="H1926" s="544"/>
      <c r="I1926" s="544"/>
      <c r="J1926" s="544"/>
      <c r="K1926" s="544"/>
      <c r="L1926" s="544"/>
      <c r="M1926" s="544"/>
    </row>
    <row r="1927" spans="2:13" x14ac:dyDescent="0.35">
      <c r="B1927" s="544"/>
      <c r="C1927" s="544"/>
      <c r="E1927" s="544"/>
      <c r="F1927" s="544"/>
      <c r="G1927" s="544"/>
      <c r="H1927" s="544"/>
      <c r="I1927" s="544"/>
      <c r="J1927" s="544"/>
      <c r="K1927" s="544"/>
      <c r="L1927" s="544"/>
      <c r="M1927" s="544"/>
    </row>
    <row r="1928" spans="2:13" x14ac:dyDescent="0.35">
      <c r="B1928" s="544"/>
      <c r="C1928" s="544"/>
      <c r="E1928" s="544"/>
      <c r="F1928" s="544"/>
      <c r="G1928" s="544"/>
      <c r="H1928" s="544"/>
      <c r="I1928" s="544"/>
      <c r="J1928" s="544"/>
      <c r="K1928" s="544"/>
      <c r="L1928" s="544"/>
      <c r="M1928" s="544"/>
    </row>
    <row r="1929" spans="2:13" x14ac:dyDescent="0.35">
      <c r="B1929" s="544"/>
      <c r="C1929" s="544"/>
      <c r="E1929" s="544"/>
      <c r="F1929" s="544"/>
      <c r="G1929" s="544"/>
      <c r="H1929" s="544"/>
      <c r="I1929" s="544"/>
      <c r="J1929" s="544"/>
      <c r="K1929" s="544"/>
      <c r="L1929" s="544"/>
      <c r="M1929" s="544"/>
    </row>
    <row r="1930" spans="2:13" x14ac:dyDescent="0.35">
      <c r="B1930" s="544"/>
      <c r="C1930" s="544"/>
      <c r="E1930" s="544"/>
      <c r="F1930" s="544"/>
      <c r="G1930" s="544"/>
      <c r="H1930" s="544"/>
      <c r="I1930" s="544"/>
      <c r="J1930" s="544"/>
      <c r="K1930" s="544"/>
      <c r="L1930" s="544"/>
      <c r="M1930" s="544"/>
    </row>
    <row r="1931" spans="2:13" x14ac:dyDescent="0.35">
      <c r="B1931" s="544"/>
      <c r="C1931" s="544"/>
      <c r="E1931" s="544"/>
      <c r="F1931" s="544"/>
      <c r="G1931" s="544"/>
      <c r="H1931" s="544"/>
      <c r="I1931" s="544"/>
      <c r="J1931" s="544"/>
      <c r="K1931" s="544"/>
      <c r="L1931" s="544"/>
      <c r="M1931" s="544"/>
    </row>
    <row r="1932" spans="2:13" x14ac:dyDescent="0.35">
      <c r="B1932" s="544"/>
      <c r="C1932" s="544"/>
      <c r="E1932" s="544"/>
      <c r="F1932" s="544"/>
      <c r="G1932" s="544"/>
      <c r="H1932" s="544"/>
      <c r="I1932" s="544"/>
      <c r="J1932" s="544"/>
      <c r="K1932" s="544"/>
      <c r="L1932" s="544"/>
      <c r="M1932" s="544"/>
    </row>
    <row r="1933" spans="2:13" x14ac:dyDescent="0.35">
      <c r="B1933" s="544"/>
      <c r="C1933" s="544"/>
      <c r="E1933" s="544"/>
      <c r="F1933" s="544"/>
      <c r="G1933" s="544"/>
      <c r="H1933" s="544"/>
      <c r="I1933" s="544"/>
      <c r="J1933" s="544"/>
      <c r="K1933" s="544"/>
      <c r="L1933" s="544"/>
      <c r="M1933" s="544"/>
    </row>
    <row r="1934" spans="2:13" x14ac:dyDescent="0.35">
      <c r="B1934" s="544"/>
      <c r="C1934" s="544"/>
      <c r="E1934" s="544"/>
      <c r="F1934" s="544"/>
      <c r="G1934" s="544"/>
      <c r="H1934" s="544"/>
      <c r="I1934" s="544"/>
      <c r="J1934" s="544"/>
      <c r="K1934" s="544"/>
      <c r="L1934" s="544"/>
      <c r="M1934" s="544"/>
    </row>
    <row r="1935" spans="2:13" x14ac:dyDescent="0.35">
      <c r="B1935" s="544"/>
      <c r="C1935" s="544"/>
      <c r="E1935" s="544"/>
      <c r="F1935" s="544"/>
      <c r="G1935" s="544"/>
      <c r="H1935" s="544"/>
      <c r="I1935" s="544"/>
      <c r="J1935" s="544"/>
      <c r="K1935" s="544"/>
      <c r="L1935" s="544"/>
      <c r="M1935" s="544"/>
    </row>
    <row r="1936" spans="2:13" x14ac:dyDescent="0.35">
      <c r="B1936" s="544"/>
      <c r="C1936" s="544"/>
      <c r="E1936" s="544"/>
      <c r="F1936" s="544"/>
      <c r="G1936" s="544"/>
      <c r="H1936" s="544"/>
      <c r="I1936" s="544"/>
      <c r="J1936" s="544"/>
      <c r="K1936" s="544"/>
      <c r="L1936" s="544"/>
      <c r="M1936" s="544"/>
    </row>
    <row r="1937" spans="2:13" x14ac:dyDescent="0.35">
      <c r="B1937" s="544"/>
      <c r="C1937" s="544"/>
      <c r="E1937" s="544"/>
      <c r="F1937" s="544"/>
      <c r="G1937" s="544"/>
      <c r="H1937" s="544"/>
      <c r="I1937" s="544"/>
      <c r="J1937" s="544"/>
      <c r="K1937" s="544"/>
      <c r="L1937" s="544"/>
      <c r="M1937" s="544"/>
    </row>
    <row r="1938" spans="2:13" x14ac:dyDescent="0.35">
      <c r="B1938" s="544"/>
      <c r="C1938" s="544"/>
      <c r="E1938" s="544"/>
      <c r="F1938" s="544"/>
      <c r="G1938" s="544"/>
      <c r="H1938" s="544"/>
      <c r="I1938" s="544"/>
      <c r="J1938" s="544"/>
      <c r="K1938" s="544"/>
      <c r="L1938" s="544"/>
      <c r="M1938" s="544"/>
    </row>
    <row r="1939" spans="2:13" x14ac:dyDescent="0.35">
      <c r="B1939" s="544"/>
      <c r="C1939" s="544"/>
      <c r="E1939" s="544"/>
      <c r="F1939" s="544"/>
      <c r="G1939" s="544"/>
      <c r="H1939" s="544"/>
      <c r="I1939" s="544"/>
      <c r="J1939" s="544"/>
      <c r="K1939" s="544"/>
      <c r="L1939" s="544"/>
      <c r="M1939" s="544"/>
    </row>
    <row r="1940" spans="2:13" x14ac:dyDescent="0.35">
      <c r="B1940" s="544"/>
      <c r="C1940" s="544"/>
      <c r="E1940" s="544"/>
      <c r="F1940" s="544"/>
      <c r="G1940" s="544"/>
      <c r="H1940" s="544"/>
      <c r="I1940" s="544"/>
      <c r="J1940" s="544"/>
      <c r="K1940" s="544"/>
      <c r="L1940" s="544"/>
      <c r="M1940" s="544"/>
    </row>
    <row r="1941" spans="2:13" x14ac:dyDescent="0.35">
      <c r="B1941" s="544"/>
      <c r="C1941" s="544"/>
      <c r="E1941" s="544"/>
      <c r="F1941" s="544"/>
      <c r="G1941" s="544"/>
      <c r="H1941" s="544"/>
      <c r="I1941" s="544"/>
      <c r="J1941" s="544"/>
      <c r="K1941" s="544"/>
      <c r="L1941" s="544"/>
      <c r="M1941" s="544"/>
    </row>
    <row r="1942" spans="2:13" x14ac:dyDescent="0.35">
      <c r="B1942" s="544"/>
      <c r="C1942" s="544"/>
      <c r="E1942" s="544"/>
      <c r="F1942" s="544"/>
      <c r="G1942" s="544"/>
      <c r="H1942" s="544"/>
      <c r="I1942" s="544"/>
      <c r="J1942" s="544"/>
      <c r="K1942" s="544"/>
      <c r="L1942" s="544"/>
      <c r="M1942" s="544"/>
    </row>
    <row r="1943" spans="2:13" x14ac:dyDescent="0.35">
      <c r="B1943" s="544"/>
      <c r="C1943" s="544"/>
      <c r="E1943" s="544"/>
      <c r="F1943" s="544"/>
      <c r="G1943" s="544"/>
      <c r="H1943" s="544"/>
      <c r="I1943" s="544"/>
      <c r="J1943" s="544"/>
      <c r="K1943" s="544"/>
      <c r="L1943" s="544"/>
      <c r="M1943" s="544"/>
    </row>
    <row r="1944" spans="2:13" x14ac:dyDescent="0.35">
      <c r="B1944" s="544"/>
      <c r="C1944" s="544"/>
      <c r="E1944" s="544"/>
      <c r="F1944" s="544"/>
      <c r="G1944" s="544"/>
      <c r="H1944" s="544"/>
      <c r="I1944" s="544"/>
      <c r="J1944" s="544"/>
      <c r="K1944" s="544"/>
      <c r="L1944" s="544"/>
      <c r="M1944" s="544"/>
    </row>
    <row r="1945" spans="2:13" x14ac:dyDescent="0.35">
      <c r="B1945" s="544"/>
      <c r="C1945" s="544"/>
      <c r="E1945" s="544"/>
      <c r="F1945" s="544"/>
      <c r="G1945" s="544"/>
      <c r="H1945" s="544"/>
      <c r="I1945" s="544"/>
      <c r="J1945" s="544"/>
      <c r="K1945" s="544"/>
      <c r="L1945" s="544"/>
      <c r="M1945" s="544"/>
    </row>
    <row r="1946" spans="2:13" x14ac:dyDescent="0.35">
      <c r="B1946" s="544"/>
      <c r="C1946" s="544"/>
      <c r="E1946" s="544"/>
      <c r="F1946" s="544"/>
      <c r="G1946" s="544"/>
      <c r="H1946" s="544"/>
      <c r="I1946" s="544"/>
      <c r="J1946" s="544"/>
      <c r="K1946" s="544"/>
      <c r="L1946" s="544"/>
      <c r="M1946" s="544"/>
    </row>
    <row r="1947" spans="2:13" x14ac:dyDescent="0.35">
      <c r="B1947" s="544"/>
      <c r="C1947" s="544"/>
      <c r="E1947" s="544"/>
      <c r="F1947" s="544"/>
      <c r="G1947" s="544"/>
      <c r="H1947" s="544"/>
      <c r="I1947" s="544"/>
      <c r="J1947" s="544"/>
      <c r="K1947" s="544"/>
      <c r="L1947" s="544"/>
      <c r="M1947" s="544"/>
    </row>
    <row r="1948" spans="2:13" x14ac:dyDescent="0.35">
      <c r="B1948" s="544"/>
      <c r="C1948" s="544"/>
      <c r="E1948" s="544"/>
      <c r="F1948" s="544"/>
      <c r="G1948" s="544"/>
      <c r="H1948" s="544"/>
      <c r="I1948" s="544"/>
      <c r="J1948" s="544"/>
      <c r="K1948" s="544"/>
      <c r="L1948" s="544"/>
      <c r="M1948" s="544"/>
    </row>
    <row r="1949" spans="2:13" x14ac:dyDescent="0.35">
      <c r="B1949" s="544"/>
      <c r="C1949" s="544"/>
      <c r="E1949" s="544"/>
      <c r="F1949" s="544"/>
      <c r="G1949" s="544"/>
      <c r="H1949" s="544"/>
      <c r="I1949" s="544"/>
      <c r="J1949" s="544"/>
      <c r="K1949" s="544"/>
      <c r="L1949" s="544"/>
      <c r="M1949" s="544"/>
    </row>
    <row r="1950" spans="2:13" x14ac:dyDescent="0.35">
      <c r="B1950" s="544"/>
      <c r="C1950" s="544"/>
      <c r="E1950" s="544"/>
      <c r="F1950" s="544"/>
      <c r="G1950" s="544"/>
      <c r="H1950" s="544"/>
      <c r="I1950" s="544"/>
      <c r="J1950" s="544"/>
      <c r="K1950" s="544"/>
      <c r="L1950" s="544"/>
      <c r="M1950" s="544"/>
    </row>
    <row r="1951" spans="2:13" x14ac:dyDescent="0.35">
      <c r="B1951" s="544"/>
      <c r="C1951" s="544"/>
      <c r="E1951" s="544"/>
      <c r="F1951" s="544"/>
      <c r="G1951" s="544"/>
      <c r="H1951" s="544"/>
      <c r="I1951" s="544"/>
      <c r="J1951" s="544"/>
      <c r="K1951" s="544"/>
      <c r="L1951" s="544"/>
      <c r="M1951" s="544"/>
    </row>
    <row r="1952" spans="2:13" x14ac:dyDescent="0.35">
      <c r="B1952" s="544"/>
      <c r="C1952" s="544"/>
      <c r="E1952" s="544"/>
      <c r="F1952" s="544"/>
      <c r="G1952" s="544"/>
      <c r="H1952" s="544"/>
      <c r="I1952" s="544"/>
      <c r="J1952" s="544"/>
      <c r="K1952" s="544"/>
      <c r="L1952" s="544"/>
      <c r="M1952" s="544"/>
    </row>
    <row r="1953" spans="2:13" x14ac:dyDescent="0.35">
      <c r="B1953" s="544"/>
      <c r="C1953" s="544"/>
      <c r="E1953" s="544"/>
      <c r="F1953" s="544"/>
      <c r="G1953" s="544"/>
      <c r="H1953" s="544"/>
      <c r="I1953" s="544"/>
      <c r="J1953" s="544"/>
      <c r="K1953" s="544"/>
      <c r="L1953" s="544"/>
      <c r="M1953" s="544"/>
    </row>
    <row r="1954" spans="2:13" x14ac:dyDescent="0.35">
      <c r="B1954" s="544"/>
      <c r="C1954" s="544"/>
      <c r="E1954" s="544"/>
      <c r="F1954" s="544"/>
      <c r="G1954" s="544"/>
      <c r="H1954" s="544"/>
      <c r="I1954" s="544"/>
      <c r="J1954" s="544"/>
      <c r="K1954" s="544"/>
      <c r="L1954" s="544"/>
      <c r="M1954" s="544"/>
    </row>
    <row r="1955" spans="2:13" x14ac:dyDescent="0.35">
      <c r="B1955" s="544"/>
      <c r="C1955" s="544"/>
      <c r="E1955" s="544"/>
      <c r="F1955" s="544"/>
      <c r="G1955" s="544"/>
      <c r="H1955" s="544"/>
      <c r="I1955" s="544"/>
      <c r="J1955" s="544"/>
      <c r="K1955" s="544"/>
      <c r="L1955" s="544"/>
      <c r="M1955" s="544"/>
    </row>
    <row r="1956" spans="2:13" x14ac:dyDescent="0.35">
      <c r="B1956" s="544"/>
      <c r="C1956" s="544"/>
      <c r="E1956" s="544"/>
      <c r="F1956" s="544"/>
      <c r="G1956" s="544"/>
      <c r="H1956" s="544"/>
      <c r="I1956" s="544"/>
      <c r="J1956" s="544"/>
      <c r="K1956" s="544"/>
      <c r="L1956" s="544"/>
      <c r="M1956" s="544"/>
    </row>
    <row r="1957" spans="2:13" x14ac:dyDescent="0.35">
      <c r="B1957" s="544"/>
      <c r="C1957" s="544"/>
      <c r="E1957" s="544"/>
      <c r="F1957" s="544"/>
      <c r="G1957" s="544"/>
      <c r="H1957" s="544"/>
      <c r="I1957" s="544"/>
      <c r="J1957" s="544"/>
      <c r="K1957" s="544"/>
      <c r="L1957" s="544"/>
      <c r="M1957" s="544"/>
    </row>
    <row r="1958" spans="2:13" x14ac:dyDescent="0.35">
      <c r="B1958" s="544"/>
      <c r="C1958" s="544"/>
      <c r="E1958" s="544"/>
      <c r="F1958" s="544"/>
      <c r="G1958" s="544"/>
      <c r="H1958" s="544"/>
      <c r="I1958" s="544"/>
      <c r="J1958" s="544"/>
      <c r="K1958" s="544"/>
      <c r="L1958" s="544"/>
      <c r="M1958" s="544"/>
    </row>
    <row r="1959" spans="2:13" x14ac:dyDescent="0.35">
      <c r="B1959" s="544"/>
      <c r="C1959" s="544"/>
      <c r="E1959" s="544"/>
      <c r="F1959" s="544"/>
      <c r="G1959" s="544"/>
      <c r="H1959" s="544"/>
      <c r="I1959" s="544"/>
      <c r="J1959" s="544"/>
      <c r="K1959" s="544"/>
      <c r="L1959" s="544"/>
      <c r="M1959" s="544"/>
    </row>
    <row r="1960" spans="2:13" x14ac:dyDescent="0.35">
      <c r="B1960" s="544"/>
      <c r="C1960" s="544"/>
      <c r="E1960" s="544"/>
      <c r="F1960" s="544"/>
      <c r="G1960" s="544"/>
      <c r="H1960" s="544"/>
      <c r="I1960" s="544"/>
      <c r="J1960" s="544"/>
      <c r="K1960" s="544"/>
      <c r="L1960" s="544"/>
      <c r="M1960" s="544"/>
    </row>
    <row r="1961" spans="2:13" x14ac:dyDescent="0.35">
      <c r="B1961" s="544"/>
      <c r="C1961" s="544"/>
      <c r="E1961" s="544"/>
      <c r="F1961" s="544"/>
      <c r="G1961" s="544"/>
      <c r="H1961" s="544"/>
      <c r="I1961" s="544"/>
      <c r="J1961" s="544"/>
      <c r="K1961" s="544"/>
      <c r="L1961" s="544"/>
      <c r="M1961" s="544"/>
    </row>
    <row r="1962" spans="2:13" x14ac:dyDescent="0.35">
      <c r="B1962" s="544"/>
      <c r="C1962" s="544"/>
      <c r="E1962" s="544"/>
      <c r="F1962" s="544"/>
      <c r="G1962" s="544"/>
      <c r="H1962" s="544"/>
      <c r="I1962" s="544"/>
      <c r="J1962" s="544"/>
      <c r="K1962" s="544"/>
      <c r="L1962" s="544"/>
      <c r="M1962" s="544"/>
    </row>
    <row r="1963" spans="2:13" x14ac:dyDescent="0.35">
      <c r="B1963" s="544"/>
      <c r="C1963" s="544"/>
      <c r="E1963" s="544"/>
      <c r="F1963" s="544"/>
      <c r="G1963" s="544"/>
      <c r="H1963" s="544"/>
      <c r="I1963" s="544"/>
      <c r="J1963" s="544"/>
      <c r="K1963" s="544"/>
      <c r="L1963" s="544"/>
      <c r="M1963" s="544"/>
    </row>
    <row r="1964" spans="2:13" x14ac:dyDescent="0.35">
      <c r="B1964" s="544"/>
      <c r="C1964" s="544"/>
      <c r="E1964" s="544"/>
      <c r="F1964" s="544"/>
      <c r="G1964" s="544"/>
      <c r="H1964" s="544"/>
      <c r="I1964" s="544"/>
      <c r="J1964" s="544"/>
      <c r="K1964" s="544"/>
      <c r="L1964" s="544"/>
      <c r="M1964" s="544"/>
    </row>
    <row r="1965" spans="2:13" x14ac:dyDescent="0.35">
      <c r="B1965" s="544"/>
      <c r="C1965" s="544"/>
      <c r="E1965" s="544"/>
      <c r="F1965" s="544"/>
      <c r="G1965" s="544"/>
      <c r="H1965" s="544"/>
      <c r="I1965" s="544"/>
      <c r="J1965" s="544"/>
      <c r="K1965" s="544"/>
      <c r="L1965" s="544"/>
      <c r="M1965" s="544"/>
    </row>
    <row r="1966" spans="2:13" x14ac:dyDescent="0.35">
      <c r="B1966" s="544"/>
      <c r="C1966" s="544"/>
      <c r="E1966" s="544"/>
      <c r="F1966" s="544"/>
      <c r="G1966" s="544"/>
      <c r="H1966" s="544"/>
      <c r="I1966" s="544"/>
      <c r="J1966" s="544"/>
      <c r="K1966" s="544"/>
      <c r="L1966" s="544"/>
      <c r="M1966" s="544"/>
    </row>
    <row r="1967" spans="2:13" x14ac:dyDescent="0.35">
      <c r="B1967" s="544"/>
      <c r="C1967" s="544"/>
      <c r="E1967" s="544"/>
      <c r="F1967" s="544"/>
      <c r="G1967" s="544"/>
      <c r="H1967" s="544"/>
      <c r="I1967" s="544"/>
      <c r="J1967" s="544"/>
      <c r="K1967" s="544"/>
      <c r="L1967" s="544"/>
      <c r="M1967" s="544"/>
    </row>
    <row r="1968" spans="2:13" x14ac:dyDescent="0.35">
      <c r="B1968" s="544"/>
      <c r="C1968" s="544"/>
      <c r="E1968" s="544"/>
      <c r="F1968" s="544"/>
      <c r="G1968" s="544"/>
      <c r="H1968" s="544"/>
      <c r="I1968" s="544"/>
      <c r="J1968" s="544"/>
      <c r="K1968" s="544"/>
      <c r="L1968" s="544"/>
      <c r="M1968" s="544"/>
    </row>
    <row r="1969" spans="2:13" x14ac:dyDescent="0.35">
      <c r="B1969" s="544"/>
      <c r="C1969" s="544"/>
      <c r="E1969" s="544"/>
      <c r="F1969" s="544"/>
      <c r="G1969" s="544"/>
      <c r="H1969" s="544"/>
      <c r="I1969" s="544"/>
      <c r="J1969" s="544"/>
      <c r="K1969" s="544"/>
      <c r="L1969" s="544"/>
      <c r="M1969" s="544"/>
    </row>
    <row r="1970" spans="2:13" x14ac:dyDescent="0.35">
      <c r="B1970" s="544"/>
      <c r="C1970" s="544"/>
      <c r="E1970" s="544"/>
      <c r="F1970" s="544"/>
      <c r="G1970" s="544"/>
      <c r="H1970" s="544"/>
      <c r="I1970" s="544"/>
      <c r="J1970" s="544"/>
      <c r="K1970" s="544"/>
      <c r="L1970" s="544"/>
      <c r="M1970" s="544"/>
    </row>
    <row r="1971" spans="2:13" x14ac:dyDescent="0.35">
      <c r="B1971" s="544"/>
      <c r="C1971" s="544"/>
      <c r="E1971" s="544"/>
      <c r="F1971" s="544"/>
      <c r="G1971" s="544"/>
      <c r="H1971" s="544"/>
      <c r="I1971" s="544"/>
      <c r="J1971" s="544"/>
      <c r="K1971" s="544"/>
      <c r="L1971" s="544"/>
      <c r="M1971" s="544"/>
    </row>
    <row r="1972" spans="2:13" x14ac:dyDescent="0.35">
      <c r="B1972" s="544"/>
      <c r="C1972" s="544"/>
      <c r="E1972" s="544"/>
      <c r="F1972" s="544"/>
      <c r="G1972" s="544"/>
      <c r="H1972" s="544"/>
      <c r="I1972" s="544"/>
      <c r="J1972" s="544"/>
      <c r="K1972" s="544"/>
      <c r="L1972" s="544"/>
      <c r="M1972" s="544"/>
    </row>
    <row r="1973" spans="2:13" x14ac:dyDescent="0.35">
      <c r="B1973" s="544"/>
      <c r="C1973" s="544"/>
      <c r="E1973" s="544"/>
      <c r="F1973" s="544"/>
      <c r="G1973" s="544"/>
      <c r="H1973" s="544"/>
      <c r="I1973" s="544"/>
      <c r="J1973" s="544"/>
      <c r="K1973" s="544"/>
      <c r="L1973" s="544"/>
      <c r="M1973" s="544"/>
    </row>
    <row r="1974" spans="2:13" x14ac:dyDescent="0.35">
      <c r="B1974" s="544"/>
      <c r="C1974" s="544"/>
      <c r="E1974" s="544"/>
      <c r="F1974" s="544"/>
      <c r="G1974" s="544"/>
      <c r="H1974" s="544"/>
      <c r="I1974" s="544"/>
      <c r="J1974" s="544"/>
      <c r="K1974" s="544"/>
      <c r="L1974" s="544"/>
      <c r="M1974" s="544"/>
    </row>
    <row r="1975" spans="2:13" x14ac:dyDescent="0.35">
      <c r="B1975" s="544"/>
      <c r="C1975" s="544"/>
      <c r="E1975" s="544"/>
      <c r="F1975" s="544"/>
      <c r="G1975" s="544"/>
      <c r="H1975" s="544"/>
      <c r="I1975" s="544"/>
      <c r="J1975" s="544"/>
      <c r="K1975" s="544"/>
      <c r="L1975" s="544"/>
      <c r="M1975" s="544"/>
    </row>
    <row r="1976" spans="2:13" x14ac:dyDescent="0.35">
      <c r="B1976" s="544"/>
      <c r="C1976" s="544"/>
      <c r="E1976" s="544"/>
      <c r="F1976" s="544"/>
      <c r="G1976" s="544"/>
      <c r="H1976" s="544"/>
      <c r="I1976" s="544"/>
      <c r="J1976" s="544"/>
      <c r="K1976" s="544"/>
      <c r="L1976" s="544"/>
      <c r="M1976" s="544"/>
    </row>
    <row r="1977" spans="2:13" x14ac:dyDescent="0.35">
      <c r="B1977" s="544"/>
      <c r="C1977" s="544"/>
      <c r="E1977" s="544"/>
      <c r="F1977" s="544"/>
      <c r="G1977" s="544"/>
      <c r="H1977" s="544"/>
      <c r="I1977" s="544"/>
      <c r="J1977" s="544"/>
      <c r="K1977" s="544"/>
      <c r="L1977" s="544"/>
      <c r="M1977" s="544"/>
    </row>
    <row r="1978" spans="2:13" x14ac:dyDescent="0.35">
      <c r="B1978" s="544"/>
      <c r="C1978" s="544"/>
      <c r="E1978" s="544"/>
      <c r="F1978" s="544"/>
      <c r="G1978" s="544"/>
      <c r="H1978" s="544"/>
      <c r="I1978" s="544"/>
      <c r="J1978" s="544"/>
      <c r="K1978" s="544"/>
      <c r="L1978" s="544"/>
      <c r="M1978" s="544"/>
    </row>
    <row r="1979" spans="2:13" x14ac:dyDescent="0.35">
      <c r="B1979" s="544"/>
      <c r="C1979" s="544"/>
      <c r="E1979" s="544"/>
      <c r="F1979" s="544"/>
      <c r="G1979" s="544"/>
      <c r="H1979" s="544"/>
      <c r="I1979" s="544"/>
      <c r="J1979" s="544"/>
      <c r="K1979" s="544"/>
      <c r="L1979" s="544"/>
      <c r="M1979" s="544"/>
    </row>
    <row r="1980" spans="2:13" x14ac:dyDescent="0.35">
      <c r="B1980" s="544"/>
      <c r="C1980" s="544"/>
      <c r="E1980" s="544"/>
      <c r="F1980" s="544"/>
      <c r="G1980" s="544"/>
      <c r="H1980" s="544"/>
      <c r="I1980" s="544"/>
      <c r="J1980" s="544"/>
      <c r="K1980" s="544"/>
      <c r="L1980" s="544"/>
      <c r="M1980" s="544"/>
    </row>
    <row r="1981" spans="2:13" x14ac:dyDescent="0.35">
      <c r="B1981" s="544"/>
      <c r="C1981" s="544"/>
      <c r="E1981" s="544"/>
      <c r="F1981" s="544"/>
      <c r="G1981" s="544"/>
      <c r="H1981" s="544"/>
      <c r="I1981" s="544"/>
      <c r="J1981" s="544"/>
      <c r="K1981" s="544"/>
      <c r="L1981" s="544"/>
      <c r="M1981" s="544"/>
    </row>
    <row r="1982" spans="2:13" x14ac:dyDescent="0.35">
      <c r="B1982" s="544"/>
      <c r="C1982" s="544"/>
      <c r="E1982" s="544"/>
      <c r="F1982" s="544"/>
      <c r="G1982" s="544"/>
      <c r="H1982" s="544"/>
      <c r="I1982" s="544"/>
      <c r="J1982" s="544"/>
      <c r="K1982" s="544"/>
      <c r="L1982" s="544"/>
      <c r="M1982" s="544"/>
    </row>
    <row r="1983" spans="2:13" x14ac:dyDescent="0.35">
      <c r="B1983" s="544"/>
      <c r="C1983" s="544"/>
      <c r="E1983" s="544"/>
      <c r="F1983" s="544"/>
      <c r="G1983" s="544"/>
      <c r="H1983" s="544"/>
      <c r="I1983" s="544"/>
      <c r="J1983" s="544"/>
      <c r="K1983" s="544"/>
      <c r="L1983" s="544"/>
      <c r="M1983" s="544"/>
    </row>
    <row r="1984" spans="2:13" x14ac:dyDescent="0.35">
      <c r="B1984" s="544"/>
      <c r="C1984" s="544"/>
      <c r="E1984" s="544"/>
      <c r="F1984" s="544"/>
      <c r="G1984" s="544"/>
      <c r="H1984" s="544"/>
      <c r="I1984" s="544"/>
      <c r="J1984" s="544"/>
      <c r="K1984" s="544"/>
      <c r="L1984" s="544"/>
      <c r="M1984" s="544"/>
    </row>
    <row r="1985" spans="2:13" x14ac:dyDescent="0.35">
      <c r="B1985" s="544"/>
      <c r="C1985" s="544"/>
      <c r="E1985" s="544"/>
      <c r="F1985" s="544"/>
      <c r="G1985" s="544"/>
      <c r="H1985" s="544"/>
      <c r="I1985" s="544"/>
      <c r="J1985" s="544"/>
      <c r="K1985" s="544"/>
      <c r="L1985" s="544"/>
      <c r="M1985" s="544"/>
    </row>
    <row r="1986" spans="2:13" x14ac:dyDescent="0.35">
      <c r="B1986" s="544"/>
      <c r="C1986" s="544"/>
      <c r="E1986" s="544"/>
      <c r="F1986" s="544"/>
      <c r="G1986" s="544"/>
      <c r="H1986" s="544"/>
      <c r="I1986" s="544"/>
      <c r="J1986" s="544"/>
      <c r="K1986" s="544"/>
      <c r="L1986" s="544"/>
      <c r="M1986" s="544"/>
    </row>
    <row r="1987" spans="2:13" x14ac:dyDescent="0.35">
      <c r="B1987" s="544"/>
      <c r="C1987" s="544"/>
      <c r="E1987" s="544"/>
      <c r="F1987" s="544"/>
      <c r="G1987" s="544"/>
      <c r="H1987" s="544"/>
      <c r="I1987" s="544"/>
      <c r="J1987" s="544"/>
      <c r="K1987" s="544"/>
      <c r="L1987" s="544"/>
      <c r="M1987" s="544"/>
    </row>
    <row r="1988" spans="2:13" x14ac:dyDescent="0.35">
      <c r="B1988" s="544"/>
      <c r="C1988" s="544"/>
      <c r="E1988" s="544"/>
      <c r="F1988" s="544"/>
      <c r="G1988" s="544"/>
      <c r="H1988" s="544"/>
      <c r="I1988" s="544"/>
      <c r="J1988" s="544"/>
      <c r="K1988" s="544"/>
      <c r="L1988" s="544"/>
      <c r="M1988" s="544"/>
    </row>
    <row r="1989" spans="2:13" x14ac:dyDescent="0.35">
      <c r="B1989" s="544"/>
      <c r="C1989" s="544"/>
      <c r="E1989" s="544"/>
      <c r="F1989" s="544"/>
      <c r="G1989" s="544"/>
      <c r="H1989" s="544"/>
      <c r="I1989" s="544"/>
      <c r="J1989" s="544"/>
      <c r="K1989" s="544"/>
      <c r="L1989" s="544"/>
      <c r="M1989" s="544"/>
    </row>
    <row r="1990" spans="2:13" x14ac:dyDescent="0.35">
      <c r="B1990" s="544"/>
      <c r="C1990" s="544"/>
      <c r="E1990" s="544"/>
      <c r="F1990" s="544"/>
      <c r="G1990" s="544"/>
      <c r="H1990" s="544"/>
      <c r="I1990" s="544"/>
      <c r="J1990" s="544"/>
      <c r="K1990" s="544"/>
      <c r="L1990" s="544"/>
      <c r="M1990" s="544"/>
    </row>
    <row r="1991" spans="2:13" x14ac:dyDescent="0.35">
      <c r="B1991" s="544"/>
      <c r="C1991" s="544"/>
      <c r="E1991" s="544"/>
      <c r="F1991" s="544"/>
      <c r="G1991" s="544"/>
      <c r="H1991" s="544"/>
      <c r="I1991" s="544"/>
      <c r="J1991" s="544"/>
      <c r="K1991" s="544"/>
      <c r="L1991" s="544"/>
      <c r="M1991" s="544"/>
    </row>
    <row r="1992" spans="2:13" x14ac:dyDescent="0.35">
      <c r="B1992" s="544"/>
      <c r="C1992" s="544"/>
      <c r="E1992" s="544"/>
      <c r="F1992" s="544"/>
      <c r="G1992" s="544"/>
      <c r="H1992" s="544"/>
      <c r="I1992" s="544"/>
      <c r="J1992" s="544"/>
      <c r="K1992" s="544"/>
      <c r="L1992" s="544"/>
      <c r="M1992" s="544"/>
    </row>
    <row r="1993" spans="2:13" x14ac:dyDescent="0.35">
      <c r="B1993" s="544"/>
      <c r="C1993" s="544"/>
      <c r="E1993" s="544"/>
      <c r="F1993" s="544"/>
      <c r="G1993" s="544"/>
      <c r="H1993" s="544"/>
      <c r="I1993" s="544"/>
      <c r="J1993" s="544"/>
      <c r="K1993" s="544"/>
      <c r="L1993" s="544"/>
      <c r="M1993" s="544"/>
    </row>
  </sheetData>
  <sheetProtection password="C8C1" sheet="1" objects="1" scenarios="1" selectLockedCells="1"/>
  <mergeCells count="12">
    <mergeCell ref="I22:J22"/>
    <mergeCell ref="I8:J8"/>
    <mergeCell ref="I9:J9"/>
    <mergeCell ref="I10:J10"/>
    <mergeCell ref="I11:J11"/>
    <mergeCell ref="I12:J12"/>
    <mergeCell ref="I13:J13"/>
    <mergeCell ref="I17:J17"/>
    <mergeCell ref="I18:J18"/>
    <mergeCell ref="I19:J19"/>
    <mergeCell ref="I20:J20"/>
    <mergeCell ref="I21:J21"/>
  </mergeCells>
  <dataValidations count="1">
    <dataValidation type="whole" operator="equal" allowBlank="1" showInputMessage="1" showErrorMessage="1" sqref="C9:C13 C18:C22 C27:C31 C47:C51 C56:C60">
      <formula1>1</formula1>
    </dataValidation>
  </dataValidations>
  <pageMargins left="0.7" right="0.7" top="0.75" bottom="0.75" header="0.3" footer="0.3"/>
  <drawing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B050"/>
  </sheetPr>
  <dimension ref="A1:IS332"/>
  <sheetViews>
    <sheetView showGridLines="0" showRowColHeaders="0" topLeftCell="A2" zoomScale="80" zoomScaleNormal="80" workbookViewId="0">
      <pane ySplit="3" topLeftCell="A5" activePane="bottomLeft" state="frozen"/>
      <selection activeCell="A2" sqref="A2"/>
      <selection pane="bottomLeft" activeCell="C10" sqref="C10"/>
    </sheetView>
  </sheetViews>
  <sheetFormatPr defaultColWidth="9.1796875" defaultRowHeight="14.5" x14ac:dyDescent="0.35"/>
  <cols>
    <col min="1" max="1" width="3.26953125" style="17" customWidth="1"/>
    <col min="2" max="2" width="50.7265625" style="17" customWidth="1"/>
    <col min="3" max="3" width="10.7265625" style="17" customWidth="1"/>
    <col min="4" max="4" width="8.7265625" style="544" customWidth="1"/>
    <col min="5" max="7" width="35.7265625" style="17" customWidth="1"/>
    <col min="8" max="11" width="16.7265625" style="17" customWidth="1"/>
    <col min="12" max="12" width="16.7265625" style="544" customWidth="1"/>
    <col min="13" max="26" width="9.1796875" style="544"/>
    <col min="27" max="27" width="3.7265625" style="544" customWidth="1"/>
    <col min="28" max="50" width="9.1796875" style="544"/>
    <col min="51" max="16384" width="9.1796875" style="17"/>
  </cols>
  <sheetData>
    <row r="1" spans="1:253" ht="18.5" hidden="1" x14ac:dyDescent="0.35">
      <c r="B1" s="13" t="e">
        <f>Overview_SLUDGE!#REF!</f>
        <v>#REF!</v>
      </c>
    </row>
    <row r="2" spans="1:253" s="682" customFormat="1" ht="36.75" customHeight="1" x14ac:dyDescent="0.45">
      <c r="B2" s="824" t="str">
        <f>'User interface_RES'!AJ11</f>
        <v>Any city in , the world</v>
      </c>
    </row>
    <row r="3" spans="1:253" s="185" customFormat="1" ht="10.5" hidden="1" x14ac:dyDescent="0.35">
      <c r="D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c r="AK3" s="529"/>
      <c r="AL3" s="529"/>
      <c r="AM3" s="529"/>
      <c r="AN3" s="529"/>
      <c r="AO3" s="529"/>
      <c r="AP3" s="529"/>
      <c r="AQ3" s="529"/>
      <c r="AR3" s="529"/>
      <c r="AS3" s="529"/>
      <c r="AT3" s="529"/>
      <c r="AU3" s="529"/>
      <c r="AV3" s="529"/>
      <c r="AW3" s="529"/>
      <c r="AX3" s="529"/>
    </row>
    <row r="4" spans="1:253" s="685" customFormat="1" ht="57" customHeight="1" thickBot="1" x14ac:dyDescent="0.4">
      <c r="B4" s="1497" t="s">
        <v>640</v>
      </c>
    </row>
    <row r="5" spans="1:253" ht="17.149999999999999" customHeight="1" x14ac:dyDescent="0.35">
      <c r="A5" s="903"/>
      <c r="B5" s="544"/>
      <c r="C5" s="544"/>
      <c r="E5" s="544"/>
      <c r="F5" s="544"/>
      <c r="G5" s="544"/>
      <c r="H5" s="544"/>
      <c r="I5" s="544"/>
      <c r="J5" s="544"/>
      <c r="K5" s="544"/>
      <c r="AY5" s="544"/>
      <c r="AZ5" s="544"/>
      <c r="BA5" s="544"/>
      <c r="BB5" s="544"/>
      <c r="BC5" s="544"/>
      <c r="BD5" s="544"/>
      <c r="BE5" s="544"/>
      <c r="BF5" s="544"/>
      <c r="BG5" s="544"/>
      <c r="BH5" s="544"/>
      <c r="BI5" s="544"/>
      <c r="BJ5" s="544"/>
      <c r="BK5" s="544"/>
      <c r="BL5" s="544"/>
      <c r="BM5" s="544"/>
      <c r="BN5" s="544"/>
      <c r="BO5" s="544"/>
      <c r="BP5" s="544"/>
      <c r="BQ5" s="544"/>
      <c r="BR5" s="544"/>
      <c r="BS5" s="544"/>
      <c r="BT5" s="544"/>
      <c r="BU5" s="544"/>
      <c r="BV5" s="544"/>
      <c r="BW5" s="544"/>
      <c r="BX5" s="544"/>
      <c r="BY5" s="544"/>
      <c r="BZ5" s="544"/>
      <c r="CA5" s="544"/>
      <c r="CB5" s="544"/>
      <c r="CC5" s="544"/>
      <c r="CD5" s="544"/>
      <c r="CE5" s="544"/>
      <c r="CF5" s="544"/>
      <c r="CG5" s="544"/>
      <c r="CH5" s="544"/>
      <c r="CI5" s="544"/>
      <c r="CJ5" s="544"/>
      <c r="CK5" s="544"/>
      <c r="CL5" s="544"/>
      <c r="CM5" s="544"/>
      <c r="CN5" s="544"/>
      <c r="CO5" s="544"/>
      <c r="CP5" s="544"/>
      <c r="CQ5" s="544"/>
      <c r="CR5" s="544"/>
      <c r="CS5" s="544"/>
      <c r="CT5" s="544"/>
      <c r="CU5" s="544"/>
      <c r="CV5" s="544"/>
      <c r="CW5" s="544"/>
      <c r="CX5" s="544"/>
      <c r="CY5" s="544"/>
      <c r="CZ5" s="544"/>
      <c r="DA5" s="544"/>
      <c r="DB5" s="544"/>
      <c r="DC5" s="544"/>
      <c r="DD5" s="544"/>
      <c r="DE5" s="544"/>
      <c r="DF5" s="544"/>
      <c r="DG5" s="544"/>
      <c r="DH5" s="544"/>
      <c r="DI5" s="544"/>
      <c r="DJ5" s="544"/>
      <c r="DK5" s="544"/>
      <c r="DL5" s="544"/>
      <c r="DM5" s="544"/>
      <c r="DN5" s="544"/>
      <c r="DO5" s="544"/>
      <c r="DP5" s="544"/>
      <c r="DQ5" s="544"/>
      <c r="DR5" s="544"/>
      <c r="DS5" s="544"/>
      <c r="DT5" s="544"/>
      <c r="DU5" s="544"/>
      <c r="DV5" s="544"/>
      <c r="DW5" s="544"/>
      <c r="DX5" s="544"/>
      <c r="DY5" s="544"/>
      <c r="DZ5" s="544"/>
      <c r="EA5" s="544"/>
      <c r="EB5" s="544"/>
      <c r="EC5" s="544"/>
      <c r="ED5" s="544"/>
      <c r="EE5" s="544"/>
      <c r="EF5" s="544"/>
      <c r="EG5" s="544"/>
      <c r="EH5" s="544"/>
      <c r="EI5" s="544"/>
      <c r="EJ5" s="544"/>
      <c r="EK5" s="544"/>
      <c r="EL5" s="544"/>
      <c r="EM5" s="544"/>
      <c r="EN5" s="544"/>
      <c r="EO5" s="544"/>
      <c r="EP5" s="544"/>
      <c r="EQ5" s="544"/>
      <c r="ER5" s="544"/>
      <c r="ES5" s="544"/>
      <c r="ET5" s="544"/>
      <c r="EU5" s="544"/>
      <c r="EV5" s="544"/>
      <c r="EW5" s="544"/>
      <c r="EX5" s="544"/>
      <c r="EY5" s="544"/>
      <c r="EZ5" s="544"/>
      <c r="FA5" s="544"/>
      <c r="FB5" s="544"/>
      <c r="FC5" s="544"/>
      <c r="FD5" s="544"/>
      <c r="FE5" s="544"/>
      <c r="FF5" s="544"/>
      <c r="FG5" s="544"/>
      <c r="FH5" s="544"/>
      <c r="FI5" s="544"/>
      <c r="FJ5" s="544"/>
      <c r="FK5" s="544"/>
      <c r="FL5" s="544"/>
      <c r="FM5" s="544"/>
      <c r="FN5" s="544"/>
      <c r="FO5" s="544"/>
      <c r="FP5" s="544"/>
      <c r="FQ5" s="544"/>
      <c r="FR5" s="544"/>
      <c r="FS5" s="544"/>
      <c r="FT5" s="544"/>
      <c r="FU5" s="544"/>
      <c r="FV5" s="544"/>
      <c r="FW5" s="544"/>
      <c r="FX5" s="544"/>
      <c r="FY5" s="544"/>
      <c r="FZ5" s="544"/>
      <c r="GA5" s="544"/>
      <c r="GB5" s="544"/>
      <c r="GC5" s="544"/>
      <c r="GD5" s="544"/>
      <c r="GE5" s="544"/>
      <c r="GF5" s="544"/>
      <c r="GG5" s="544"/>
      <c r="GH5" s="544"/>
      <c r="GI5" s="544"/>
      <c r="GJ5" s="544"/>
      <c r="GK5" s="544"/>
      <c r="GL5" s="544"/>
      <c r="GM5" s="544"/>
      <c r="GN5" s="544"/>
      <c r="GO5" s="544"/>
      <c r="GP5" s="544"/>
      <c r="GQ5" s="544"/>
      <c r="GR5" s="544"/>
      <c r="GS5" s="544"/>
      <c r="GT5" s="544"/>
      <c r="GU5" s="544"/>
      <c r="GV5" s="544"/>
      <c r="GW5" s="544"/>
      <c r="GX5" s="544"/>
      <c r="GY5" s="544"/>
      <c r="GZ5" s="544"/>
      <c r="HA5" s="544"/>
      <c r="HB5" s="544"/>
      <c r="HC5" s="544"/>
      <c r="HD5" s="544"/>
      <c r="HE5" s="544"/>
      <c r="HF5" s="544"/>
      <c r="HG5" s="544"/>
      <c r="HH5" s="544"/>
      <c r="HI5" s="544"/>
      <c r="HJ5" s="544"/>
      <c r="HK5" s="544"/>
      <c r="HL5" s="544"/>
      <c r="HM5" s="544"/>
      <c r="HN5" s="544"/>
      <c r="HO5" s="544"/>
      <c r="HP5" s="544"/>
      <c r="HQ5" s="544"/>
      <c r="HR5" s="544"/>
      <c r="HS5" s="544"/>
      <c r="HT5" s="544"/>
      <c r="HU5" s="544"/>
      <c r="HV5" s="544"/>
      <c r="HW5" s="544"/>
      <c r="HX5" s="544"/>
      <c r="HY5" s="544"/>
      <c r="HZ5" s="544"/>
      <c r="IA5" s="544"/>
      <c r="IB5" s="544"/>
      <c r="IC5" s="544"/>
      <c r="ID5" s="544"/>
      <c r="IE5" s="544"/>
      <c r="IF5" s="544"/>
      <c r="IG5" s="544"/>
      <c r="IH5" s="544"/>
      <c r="II5" s="544"/>
      <c r="IJ5" s="544"/>
      <c r="IK5" s="544"/>
      <c r="IL5" s="544"/>
      <c r="IM5" s="544"/>
      <c r="IN5" s="544"/>
      <c r="IO5" s="544"/>
      <c r="IP5" s="544"/>
      <c r="IQ5" s="544"/>
      <c r="IR5" s="544"/>
      <c r="IS5" s="544"/>
    </row>
    <row r="6" spans="1:253" ht="17.149999999999999" customHeight="1" x14ac:dyDescent="0.35">
      <c r="A6" s="903"/>
      <c r="B6" s="695" t="s">
        <v>641</v>
      </c>
      <c r="C6" s="1087"/>
      <c r="D6" s="1087"/>
      <c r="E6" s="1087"/>
      <c r="F6" s="1087"/>
      <c r="G6" s="1087"/>
      <c r="H6" s="1088"/>
      <c r="I6" s="697"/>
      <c r="J6" s="697"/>
      <c r="K6" s="697"/>
      <c r="L6" s="697"/>
      <c r="AY6" s="544"/>
      <c r="AZ6" s="544"/>
      <c r="BA6" s="544"/>
      <c r="BB6" s="544"/>
      <c r="BC6" s="544"/>
      <c r="BD6" s="544"/>
      <c r="BE6" s="544"/>
      <c r="BF6" s="544"/>
      <c r="BG6" s="544"/>
      <c r="BH6" s="544"/>
      <c r="BI6" s="544"/>
      <c r="BJ6" s="544"/>
      <c r="BK6" s="544"/>
      <c r="BL6" s="544"/>
      <c r="BM6" s="544"/>
      <c r="BN6" s="544"/>
      <c r="BO6" s="544"/>
      <c r="BP6" s="544"/>
      <c r="BQ6" s="544"/>
      <c r="BR6" s="544"/>
      <c r="BS6" s="544"/>
      <c r="BT6" s="544"/>
      <c r="BU6" s="544"/>
      <c r="BV6" s="544"/>
      <c r="BW6" s="544"/>
      <c r="BX6" s="544"/>
      <c r="BY6" s="544"/>
      <c r="BZ6" s="544"/>
      <c r="CA6" s="544"/>
      <c r="CB6" s="544"/>
      <c r="CC6" s="544"/>
      <c r="CD6" s="544"/>
      <c r="CE6" s="544"/>
      <c r="CF6" s="544"/>
      <c r="CG6" s="544"/>
      <c r="CH6" s="544"/>
      <c r="CI6" s="544"/>
      <c r="CJ6" s="544"/>
      <c r="CK6" s="544"/>
      <c r="CL6" s="544"/>
      <c r="CM6" s="544"/>
      <c r="CN6" s="544"/>
      <c r="CO6" s="544"/>
      <c r="CP6" s="544"/>
      <c r="CQ6" s="544"/>
      <c r="CR6" s="544"/>
      <c r="CS6" s="544"/>
      <c r="CT6" s="544"/>
      <c r="CU6" s="544"/>
      <c r="CV6" s="544"/>
      <c r="CW6" s="544"/>
      <c r="CX6" s="544"/>
      <c r="CY6" s="544"/>
      <c r="CZ6" s="544"/>
      <c r="DA6" s="544"/>
      <c r="DB6" s="544"/>
      <c r="DC6" s="544"/>
      <c r="DD6" s="544"/>
      <c r="DE6" s="544"/>
      <c r="DF6" s="544"/>
      <c r="DG6" s="544"/>
      <c r="DH6" s="544"/>
      <c r="DI6" s="544"/>
      <c r="DJ6" s="544"/>
      <c r="DK6" s="544"/>
      <c r="DL6" s="544"/>
      <c r="DM6" s="544"/>
      <c r="DN6" s="544"/>
      <c r="DO6" s="544"/>
      <c r="DP6" s="544"/>
      <c r="DQ6" s="544"/>
      <c r="DR6" s="544"/>
      <c r="DS6" s="544"/>
      <c r="DT6" s="544"/>
      <c r="DU6" s="544"/>
      <c r="DV6" s="544"/>
      <c r="DW6" s="544"/>
      <c r="DX6" s="544"/>
      <c r="DY6" s="544"/>
      <c r="DZ6" s="544"/>
      <c r="EA6" s="544"/>
      <c r="EB6" s="544"/>
      <c r="EC6" s="544"/>
      <c r="ED6" s="544"/>
      <c r="EE6" s="544"/>
      <c r="EF6" s="544"/>
      <c r="EG6" s="544"/>
      <c r="EH6" s="544"/>
      <c r="EI6" s="544"/>
      <c r="EJ6" s="544"/>
      <c r="EK6" s="544"/>
      <c r="EL6" s="544"/>
      <c r="EM6" s="544"/>
      <c r="EN6" s="544"/>
      <c r="EO6" s="544"/>
      <c r="EP6" s="544"/>
      <c r="EQ6" s="544"/>
      <c r="ER6" s="544"/>
      <c r="ES6" s="544"/>
      <c r="ET6" s="544"/>
      <c r="EU6" s="544"/>
      <c r="EV6" s="544"/>
      <c r="EW6" s="544"/>
      <c r="EX6" s="544"/>
      <c r="EY6" s="544"/>
      <c r="EZ6" s="544"/>
      <c r="FA6" s="544"/>
      <c r="FB6" s="544"/>
      <c r="FC6" s="544"/>
      <c r="FD6" s="544"/>
      <c r="FE6" s="544"/>
      <c r="FF6" s="544"/>
      <c r="FG6" s="544"/>
      <c r="FH6" s="544"/>
      <c r="FI6" s="544"/>
      <c r="FJ6" s="544"/>
      <c r="FK6" s="544"/>
      <c r="FL6" s="544"/>
      <c r="FM6" s="544"/>
      <c r="FN6" s="544"/>
      <c r="FO6" s="544"/>
      <c r="FP6" s="544"/>
      <c r="FQ6" s="544"/>
      <c r="FR6" s="544"/>
      <c r="FS6" s="544"/>
      <c r="FT6" s="544"/>
      <c r="FU6" s="544"/>
      <c r="FV6" s="544"/>
      <c r="FW6" s="544"/>
      <c r="FX6" s="544"/>
      <c r="FY6" s="544"/>
      <c r="FZ6" s="544"/>
      <c r="GA6" s="544"/>
      <c r="GB6" s="544"/>
      <c r="GC6" s="544"/>
      <c r="GD6" s="544"/>
      <c r="GE6" s="544"/>
      <c r="GF6" s="544"/>
      <c r="GG6" s="544"/>
      <c r="GH6" s="544"/>
      <c r="GI6" s="544"/>
      <c r="GJ6" s="544"/>
      <c r="GK6" s="544"/>
      <c r="GL6" s="544"/>
      <c r="GM6" s="544"/>
      <c r="GN6" s="544"/>
      <c r="GO6" s="544"/>
      <c r="GP6" s="544"/>
      <c r="GQ6" s="544"/>
      <c r="GR6" s="544"/>
      <c r="GS6" s="544"/>
      <c r="GT6" s="544"/>
      <c r="GU6" s="544"/>
      <c r="GV6" s="544"/>
      <c r="GW6" s="544"/>
      <c r="GX6" s="544"/>
      <c r="GY6" s="544"/>
      <c r="GZ6" s="544"/>
      <c r="HA6" s="544"/>
      <c r="HB6" s="544"/>
      <c r="HC6" s="544"/>
      <c r="HD6" s="544"/>
      <c r="HE6" s="544"/>
      <c r="HF6" s="544"/>
      <c r="HG6" s="544"/>
      <c r="HH6" s="544"/>
      <c r="HI6" s="544"/>
      <c r="HJ6" s="544"/>
      <c r="HK6" s="544"/>
      <c r="HL6" s="544"/>
      <c r="HM6" s="544"/>
      <c r="HN6" s="544"/>
      <c r="HO6" s="544"/>
      <c r="HP6" s="544"/>
      <c r="HQ6" s="544"/>
      <c r="HR6" s="544"/>
      <c r="HS6" s="544"/>
      <c r="HT6" s="544"/>
      <c r="HU6" s="544"/>
      <c r="HV6" s="544"/>
      <c r="HW6" s="544"/>
      <c r="HX6" s="544"/>
      <c r="HY6" s="544"/>
      <c r="HZ6" s="544"/>
      <c r="IA6" s="544"/>
      <c r="IB6" s="544"/>
      <c r="IC6" s="544"/>
      <c r="ID6" s="544"/>
      <c r="IE6" s="544"/>
      <c r="IF6" s="544"/>
      <c r="IG6" s="544"/>
      <c r="IH6" s="544"/>
      <c r="II6" s="544"/>
      <c r="IJ6" s="544"/>
      <c r="IK6" s="544"/>
      <c r="IL6" s="544"/>
      <c r="IM6" s="544"/>
      <c r="IN6" s="544"/>
      <c r="IO6" s="544"/>
      <c r="IP6" s="544"/>
      <c r="IQ6" s="544"/>
      <c r="IR6" s="544"/>
      <c r="IS6" s="544"/>
    </row>
    <row r="7" spans="1:253" ht="17.149999999999999" customHeight="1" x14ac:dyDescent="0.35">
      <c r="A7" s="544"/>
      <c r="B7" s="544"/>
      <c r="C7" s="544"/>
      <c r="E7" s="544"/>
      <c r="F7" s="544"/>
      <c r="G7" s="544"/>
      <c r="H7" s="544"/>
      <c r="I7" s="544"/>
      <c r="J7" s="544"/>
      <c r="K7" s="544"/>
      <c r="AY7" s="544"/>
      <c r="AZ7" s="544"/>
      <c r="BA7" s="544"/>
      <c r="BB7" s="544"/>
      <c r="BC7" s="544"/>
      <c r="BD7" s="544"/>
      <c r="BE7" s="544"/>
      <c r="BF7" s="544"/>
      <c r="BG7" s="544"/>
      <c r="BH7" s="544"/>
      <c r="BI7" s="544"/>
      <c r="BJ7" s="544"/>
      <c r="BK7" s="544"/>
      <c r="BL7" s="544"/>
      <c r="BM7" s="544"/>
      <c r="BN7" s="544"/>
      <c r="BO7" s="544"/>
      <c r="BP7" s="544"/>
      <c r="BQ7" s="544"/>
      <c r="BR7" s="544"/>
      <c r="BS7" s="544"/>
      <c r="BT7" s="544"/>
      <c r="BU7" s="544"/>
      <c r="BV7" s="544"/>
      <c r="BW7" s="544"/>
      <c r="BX7" s="544"/>
      <c r="BY7" s="544"/>
      <c r="BZ7" s="544"/>
      <c r="CA7" s="544"/>
      <c r="CB7" s="544"/>
      <c r="CC7" s="544"/>
      <c r="CD7" s="544"/>
      <c r="CE7" s="544"/>
      <c r="CF7" s="544"/>
      <c r="CG7" s="544"/>
      <c r="CH7" s="544"/>
      <c r="CI7" s="544"/>
      <c r="CJ7" s="544"/>
      <c r="CK7" s="544"/>
      <c r="CL7" s="544"/>
      <c r="CM7" s="544"/>
      <c r="CN7" s="544"/>
      <c r="CO7" s="544"/>
      <c r="CP7" s="544"/>
      <c r="CQ7" s="544"/>
      <c r="CR7" s="544"/>
      <c r="CS7" s="544"/>
      <c r="CT7" s="544"/>
      <c r="CU7" s="544"/>
      <c r="CV7" s="544"/>
      <c r="CW7" s="544"/>
      <c r="CX7" s="544"/>
      <c r="CY7" s="544"/>
      <c r="CZ7" s="544"/>
      <c r="DA7" s="544"/>
      <c r="DB7" s="544"/>
      <c r="DC7" s="544"/>
      <c r="DD7" s="544"/>
      <c r="DE7" s="544"/>
      <c r="DF7" s="544"/>
      <c r="DG7" s="544"/>
      <c r="DH7" s="544"/>
      <c r="DI7" s="544"/>
      <c r="DJ7" s="544"/>
      <c r="DK7" s="544"/>
      <c r="DL7" s="544"/>
      <c r="DM7" s="544"/>
      <c r="DN7" s="544"/>
      <c r="DO7" s="544"/>
      <c r="DP7" s="544"/>
      <c r="DQ7" s="544"/>
      <c r="DR7" s="544"/>
      <c r="DS7" s="544"/>
      <c r="DT7" s="544"/>
      <c r="DU7" s="544"/>
      <c r="DV7" s="544"/>
      <c r="DW7" s="544"/>
      <c r="DX7" s="544"/>
      <c r="DY7" s="544"/>
      <c r="DZ7" s="544"/>
      <c r="EA7" s="544"/>
      <c r="EB7" s="544"/>
      <c r="EC7" s="544"/>
      <c r="ED7" s="544"/>
      <c r="EE7" s="544"/>
      <c r="EF7" s="544"/>
      <c r="EG7" s="544"/>
      <c r="EH7" s="544"/>
      <c r="EI7" s="544"/>
      <c r="EJ7" s="544"/>
      <c r="EK7" s="544"/>
      <c r="EL7" s="544"/>
      <c r="EM7" s="544"/>
      <c r="EN7" s="544"/>
      <c r="EO7" s="544"/>
      <c r="EP7" s="544"/>
      <c r="EQ7" s="544"/>
      <c r="ER7" s="544"/>
      <c r="ES7" s="544"/>
      <c r="ET7" s="544"/>
      <c r="EU7" s="544"/>
      <c r="EV7" s="544"/>
      <c r="EW7" s="544"/>
      <c r="EX7" s="544"/>
      <c r="EY7" s="544"/>
      <c r="EZ7" s="544"/>
      <c r="FA7" s="544"/>
      <c r="FB7" s="544"/>
      <c r="FC7" s="544"/>
      <c r="FD7" s="544"/>
      <c r="FE7" s="544"/>
      <c r="FF7" s="544"/>
      <c r="FG7" s="544"/>
      <c r="FH7" s="544"/>
      <c r="FI7" s="544"/>
      <c r="FJ7" s="544"/>
      <c r="FK7" s="544"/>
      <c r="FL7" s="544"/>
      <c r="FM7" s="544"/>
      <c r="FN7" s="544"/>
      <c r="FO7" s="544"/>
      <c r="FP7" s="544"/>
      <c r="FQ7" s="544"/>
      <c r="FR7" s="544"/>
      <c r="FS7" s="544"/>
      <c r="FT7" s="544"/>
      <c r="FU7" s="544"/>
      <c r="FV7" s="544"/>
      <c r="FW7" s="544"/>
      <c r="FX7" s="544"/>
      <c r="FY7" s="544"/>
      <c r="FZ7" s="544"/>
      <c r="GA7" s="544"/>
      <c r="GB7" s="544"/>
      <c r="GC7" s="544"/>
      <c r="GD7" s="544"/>
      <c r="GE7" s="544"/>
      <c r="GF7" s="544"/>
      <c r="GG7" s="544"/>
      <c r="GH7" s="544"/>
      <c r="GI7" s="544"/>
      <c r="GJ7" s="544"/>
      <c r="GK7" s="544"/>
      <c r="GL7" s="544"/>
      <c r="GM7" s="544"/>
      <c r="GN7" s="544"/>
      <c r="GO7" s="544"/>
      <c r="GP7" s="544"/>
      <c r="GQ7" s="544"/>
      <c r="GR7" s="544"/>
      <c r="GS7" s="544"/>
      <c r="GT7" s="544"/>
      <c r="GU7" s="544"/>
      <c r="GV7" s="544"/>
      <c r="GW7" s="544"/>
      <c r="GX7" s="544"/>
      <c r="GY7" s="544"/>
      <c r="GZ7" s="544"/>
      <c r="HA7" s="544"/>
      <c r="HB7" s="544"/>
      <c r="HC7" s="544"/>
      <c r="HD7" s="544"/>
      <c r="HE7" s="544"/>
      <c r="HF7" s="544"/>
      <c r="HG7" s="544"/>
      <c r="HH7" s="544"/>
      <c r="HI7" s="544"/>
      <c r="HJ7" s="544"/>
      <c r="HK7" s="544"/>
      <c r="HL7" s="544"/>
      <c r="HM7" s="544"/>
      <c r="HN7" s="544"/>
      <c r="HO7" s="544"/>
      <c r="HP7" s="544"/>
      <c r="HQ7" s="544"/>
      <c r="HR7" s="544"/>
      <c r="HS7" s="544"/>
      <c r="HT7" s="544"/>
      <c r="HU7" s="544"/>
      <c r="HV7" s="544"/>
      <c r="HW7" s="544"/>
      <c r="HX7" s="544"/>
      <c r="HY7" s="544"/>
      <c r="HZ7" s="544"/>
      <c r="IA7" s="544"/>
      <c r="IB7" s="544"/>
      <c r="IC7" s="544"/>
      <c r="ID7" s="544"/>
      <c r="IE7" s="544"/>
      <c r="IF7" s="544"/>
      <c r="IG7" s="544"/>
      <c r="IH7" s="544"/>
      <c r="II7" s="544"/>
      <c r="IJ7" s="544"/>
      <c r="IK7" s="544"/>
      <c r="IL7" s="544"/>
      <c r="IM7" s="544"/>
      <c r="IN7" s="544"/>
      <c r="IO7" s="544"/>
      <c r="IP7" s="544"/>
      <c r="IQ7" s="544"/>
      <c r="IR7" s="544"/>
      <c r="IS7" s="544"/>
    </row>
    <row r="8" spans="1:253" ht="28" customHeight="1" x14ac:dyDescent="0.35">
      <c r="A8" s="544"/>
      <c r="B8" s="1092" t="s">
        <v>642</v>
      </c>
      <c r="C8" s="680"/>
      <c r="D8" s="677"/>
      <c r="E8" s="677"/>
      <c r="F8" s="677"/>
      <c r="G8" s="677"/>
      <c r="H8" s="1752" t="s">
        <v>643</v>
      </c>
      <c r="I8" s="1752"/>
      <c r="J8" s="1752"/>
      <c r="K8" s="1752"/>
      <c r="L8" s="1752"/>
      <c r="AY8" s="544"/>
      <c r="AZ8" s="544"/>
      <c r="BA8" s="544"/>
      <c r="BB8" s="544"/>
      <c r="BC8" s="544"/>
      <c r="BD8" s="544"/>
      <c r="BE8" s="544"/>
      <c r="BF8" s="544"/>
      <c r="BG8" s="544"/>
      <c r="BH8" s="544"/>
      <c r="BI8" s="544"/>
      <c r="BJ8" s="544"/>
      <c r="BK8" s="544"/>
      <c r="BL8" s="544"/>
      <c r="BM8" s="544"/>
      <c r="BN8" s="544"/>
      <c r="BO8" s="544"/>
      <c r="BP8" s="544"/>
      <c r="BQ8" s="544"/>
      <c r="BR8" s="544"/>
      <c r="BS8" s="544"/>
      <c r="BT8" s="544"/>
      <c r="BU8" s="544"/>
      <c r="BV8" s="544"/>
      <c r="BW8" s="544"/>
      <c r="BX8" s="544"/>
      <c r="BY8" s="544"/>
      <c r="BZ8" s="544"/>
      <c r="CA8" s="544"/>
      <c r="CB8" s="544"/>
      <c r="CC8" s="544"/>
      <c r="CD8" s="544"/>
      <c r="CE8" s="544"/>
      <c r="CF8" s="544"/>
      <c r="CG8" s="544"/>
      <c r="CH8" s="544"/>
      <c r="CI8" s="544"/>
      <c r="CJ8" s="544"/>
      <c r="CK8" s="544"/>
      <c r="CL8" s="544"/>
      <c r="CM8" s="544"/>
      <c r="CN8" s="544"/>
      <c r="CO8" s="544"/>
      <c r="CP8" s="544"/>
      <c r="CQ8" s="544"/>
      <c r="CR8" s="544"/>
      <c r="CS8" s="544"/>
      <c r="CT8" s="544"/>
      <c r="CU8" s="544"/>
      <c r="CV8" s="544"/>
      <c r="CW8" s="544"/>
      <c r="CX8" s="544"/>
      <c r="CY8" s="544"/>
      <c r="CZ8" s="544"/>
      <c r="DA8" s="544"/>
      <c r="DB8" s="544"/>
      <c r="DC8" s="544"/>
      <c r="DD8" s="544"/>
      <c r="DE8" s="544"/>
      <c r="DF8" s="544"/>
      <c r="DG8" s="544"/>
      <c r="DH8" s="544"/>
      <c r="DI8" s="544"/>
      <c r="DJ8" s="544"/>
      <c r="DK8" s="544"/>
      <c r="DL8" s="544"/>
      <c r="DM8" s="544"/>
      <c r="DN8" s="544"/>
      <c r="DO8" s="544"/>
      <c r="DP8" s="544"/>
      <c r="DQ8" s="544"/>
      <c r="DR8" s="544"/>
      <c r="DS8" s="544"/>
      <c r="DT8" s="544"/>
      <c r="DU8" s="544"/>
      <c r="DV8" s="544"/>
      <c r="DW8" s="544"/>
      <c r="DX8" s="544"/>
      <c r="DY8" s="544"/>
      <c r="DZ8" s="544"/>
      <c r="EA8" s="544"/>
      <c r="EB8" s="544"/>
      <c r="EC8" s="544"/>
      <c r="ED8" s="544"/>
      <c r="EE8" s="544"/>
      <c r="EF8" s="544"/>
      <c r="EG8" s="544"/>
      <c r="EH8" s="544"/>
      <c r="EI8" s="544"/>
      <c r="EJ8" s="544"/>
      <c r="EK8" s="544"/>
      <c r="EL8" s="544"/>
      <c r="EM8" s="544"/>
      <c r="EN8" s="544"/>
      <c r="EO8" s="544"/>
      <c r="EP8" s="544"/>
      <c r="EQ8" s="544"/>
      <c r="ER8" s="544"/>
      <c r="ES8" s="544"/>
      <c r="ET8" s="544"/>
      <c r="EU8" s="544"/>
      <c r="EV8" s="544"/>
      <c r="EW8" s="544"/>
      <c r="EX8" s="544"/>
      <c r="EY8" s="544"/>
      <c r="EZ8" s="544"/>
      <c r="FA8" s="544"/>
      <c r="FB8" s="544"/>
      <c r="FC8" s="544"/>
      <c r="FD8" s="544"/>
      <c r="FE8" s="544"/>
      <c r="FF8" s="544"/>
      <c r="FG8" s="544"/>
      <c r="FH8" s="544"/>
      <c r="FI8" s="544"/>
      <c r="FJ8" s="544"/>
      <c r="FK8" s="544"/>
      <c r="FL8" s="544"/>
      <c r="FM8" s="544"/>
      <c r="FN8" s="544"/>
      <c r="FO8" s="544"/>
      <c r="FP8" s="544"/>
      <c r="FQ8" s="544"/>
      <c r="FR8" s="544"/>
      <c r="FS8" s="544"/>
      <c r="FT8" s="544"/>
      <c r="FU8" s="544"/>
      <c r="FV8" s="544"/>
      <c r="FW8" s="544"/>
      <c r="FX8" s="544"/>
      <c r="FY8" s="544"/>
      <c r="FZ8" s="544"/>
      <c r="GA8" s="544"/>
      <c r="GB8" s="544"/>
      <c r="GC8" s="544"/>
      <c r="GD8" s="544"/>
      <c r="GE8" s="544"/>
      <c r="GF8" s="544"/>
      <c r="GG8" s="544"/>
      <c r="GH8" s="544"/>
      <c r="GI8" s="544"/>
      <c r="GJ8" s="544"/>
      <c r="GK8" s="544"/>
      <c r="GL8" s="544"/>
      <c r="GM8" s="544"/>
      <c r="GN8" s="544"/>
      <c r="GO8" s="544"/>
      <c r="GP8" s="544"/>
      <c r="GQ8" s="544"/>
      <c r="GR8" s="544"/>
      <c r="GS8" s="544"/>
      <c r="GT8" s="544"/>
      <c r="GU8" s="544"/>
      <c r="GV8" s="544"/>
      <c r="GW8" s="544"/>
      <c r="GX8" s="544"/>
      <c r="GY8" s="544"/>
      <c r="GZ8" s="544"/>
      <c r="HA8" s="544"/>
      <c r="HB8" s="544"/>
      <c r="HC8" s="544"/>
      <c r="HD8" s="544"/>
      <c r="HE8" s="544"/>
      <c r="HF8" s="544"/>
      <c r="HG8" s="544"/>
      <c r="HH8" s="544"/>
      <c r="HI8" s="544"/>
      <c r="HJ8" s="544"/>
      <c r="HK8" s="544"/>
      <c r="HL8" s="544"/>
      <c r="HM8" s="544"/>
      <c r="HN8" s="544"/>
      <c r="HO8" s="544"/>
      <c r="HP8" s="544"/>
      <c r="HQ8" s="544"/>
      <c r="HR8" s="544"/>
      <c r="HS8" s="544"/>
      <c r="HT8" s="544"/>
      <c r="HU8" s="544"/>
      <c r="HV8" s="544"/>
      <c r="HW8" s="544"/>
      <c r="HX8" s="544"/>
      <c r="HY8" s="544"/>
      <c r="HZ8" s="544"/>
      <c r="IA8" s="544"/>
      <c r="IB8" s="544"/>
      <c r="IC8" s="544"/>
      <c r="ID8" s="544"/>
      <c r="IE8" s="544"/>
      <c r="IF8" s="544"/>
      <c r="IG8" s="544"/>
      <c r="IH8" s="544"/>
      <c r="II8" s="544"/>
      <c r="IJ8" s="544"/>
      <c r="IK8" s="544"/>
      <c r="IL8" s="544"/>
      <c r="IM8" s="544"/>
      <c r="IN8" s="544"/>
      <c r="IO8" s="544"/>
      <c r="IP8" s="544"/>
      <c r="IQ8" s="544"/>
      <c r="IR8" s="544"/>
      <c r="IS8" s="544"/>
    </row>
    <row r="9" spans="1:253" ht="28" customHeight="1" x14ac:dyDescent="0.35">
      <c r="A9" s="544"/>
      <c r="B9" s="1484" t="s">
        <v>594</v>
      </c>
      <c r="C9" s="684" t="s">
        <v>374</v>
      </c>
      <c r="D9" s="677"/>
      <c r="E9" s="667" t="s">
        <v>521</v>
      </c>
      <c r="F9" s="1476"/>
      <c r="G9" s="860" t="s">
        <v>644</v>
      </c>
      <c r="H9" s="1146"/>
      <c r="I9" s="1146"/>
      <c r="J9" s="1146"/>
      <c r="K9" s="1475" t="s">
        <v>208</v>
      </c>
      <c r="L9" s="1475" t="s">
        <v>645</v>
      </c>
      <c r="AY9" s="544"/>
      <c r="AZ9" s="544"/>
      <c r="BA9" s="544"/>
      <c r="BB9" s="544"/>
      <c r="BC9" s="544"/>
      <c r="BD9" s="544"/>
      <c r="BE9" s="544"/>
      <c r="BF9" s="544"/>
      <c r="BG9" s="544"/>
      <c r="BH9" s="544"/>
      <c r="BI9" s="544"/>
      <c r="BJ9" s="544"/>
      <c r="BK9" s="544"/>
      <c r="BL9" s="544"/>
      <c r="BM9" s="544"/>
      <c r="BN9" s="544"/>
      <c r="BO9" s="544"/>
      <c r="BP9" s="544"/>
      <c r="BQ9" s="544"/>
      <c r="BR9" s="544"/>
      <c r="BS9" s="544"/>
      <c r="BT9" s="544"/>
      <c r="BU9" s="544"/>
      <c r="BV9" s="544"/>
      <c r="BW9" s="544"/>
      <c r="BX9" s="544"/>
      <c r="BY9" s="544"/>
      <c r="BZ9" s="544"/>
      <c r="CA9" s="544"/>
      <c r="CB9" s="544"/>
      <c r="CC9" s="544"/>
      <c r="CD9" s="544"/>
      <c r="CE9" s="544"/>
      <c r="CF9" s="544"/>
      <c r="CG9" s="544"/>
      <c r="CH9" s="544"/>
      <c r="CI9" s="544"/>
      <c r="CJ9" s="544"/>
      <c r="CK9" s="544"/>
      <c r="CL9" s="544"/>
      <c r="CM9" s="544"/>
      <c r="CN9" s="544"/>
      <c r="CO9" s="544"/>
      <c r="CP9" s="544"/>
      <c r="CQ9" s="544"/>
      <c r="CR9" s="544"/>
      <c r="CS9" s="544"/>
      <c r="CT9" s="544"/>
      <c r="CU9" s="544"/>
      <c r="CV9" s="544"/>
      <c r="CW9" s="544"/>
      <c r="CX9" s="544"/>
      <c r="CY9" s="544"/>
      <c r="CZ9" s="544"/>
      <c r="DA9" s="544"/>
      <c r="DB9" s="544"/>
      <c r="DC9" s="544"/>
      <c r="DD9" s="544"/>
      <c r="DE9" s="544"/>
      <c r="DF9" s="544"/>
      <c r="DG9" s="544"/>
      <c r="DH9" s="544"/>
      <c r="DI9" s="544"/>
      <c r="DJ9" s="544"/>
      <c r="DK9" s="544"/>
      <c r="DL9" s="544"/>
      <c r="DM9" s="544"/>
      <c r="DN9" s="544"/>
      <c r="DO9" s="544"/>
      <c r="DP9" s="544"/>
      <c r="DQ9" s="544"/>
      <c r="DR9" s="544"/>
      <c r="DS9" s="544"/>
      <c r="DT9" s="544"/>
      <c r="DU9" s="544"/>
      <c r="DV9" s="544"/>
      <c r="DW9" s="544"/>
      <c r="DX9" s="544"/>
      <c r="DY9" s="544"/>
      <c r="DZ9" s="544"/>
      <c r="EA9" s="544"/>
      <c r="EB9" s="544"/>
      <c r="EC9" s="544"/>
      <c r="ED9" s="544"/>
      <c r="EE9" s="544"/>
      <c r="EF9" s="544"/>
      <c r="EG9" s="544"/>
      <c r="EH9" s="544"/>
      <c r="EI9" s="544"/>
      <c r="EJ9" s="544"/>
      <c r="EK9" s="544"/>
      <c r="EL9" s="544"/>
      <c r="EM9" s="544"/>
      <c r="EN9" s="544"/>
      <c r="EO9" s="544"/>
      <c r="EP9" s="544"/>
      <c r="EQ9" s="544"/>
      <c r="ER9" s="544"/>
      <c r="ES9" s="544"/>
      <c r="ET9" s="544"/>
      <c r="EU9" s="544"/>
      <c r="EV9" s="544"/>
      <c r="EW9" s="544"/>
      <c r="EX9" s="544"/>
      <c r="EY9" s="544"/>
      <c r="EZ9" s="544"/>
      <c r="FA9" s="544"/>
      <c r="FB9" s="544"/>
      <c r="FC9" s="544"/>
      <c r="FD9" s="544"/>
      <c r="FE9" s="544"/>
      <c r="FF9" s="544"/>
      <c r="FG9" s="544"/>
      <c r="FH9" s="544"/>
      <c r="FI9" s="544"/>
      <c r="FJ9" s="544"/>
      <c r="FK9" s="544"/>
      <c r="FL9" s="544"/>
      <c r="FM9" s="544"/>
      <c r="FN9" s="544"/>
      <c r="FO9" s="544"/>
      <c r="FP9" s="544"/>
      <c r="FQ9" s="544"/>
      <c r="FR9" s="544"/>
      <c r="FS9" s="544"/>
      <c r="FT9" s="544"/>
      <c r="FU9" s="544"/>
      <c r="FV9" s="544"/>
      <c r="FW9" s="544"/>
      <c r="FX9" s="544"/>
      <c r="FY9" s="544"/>
      <c r="FZ9" s="544"/>
      <c r="GA9" s="544"/>
      <c r="GB9" s="544"/>
      <c r="GC9" s="544"/>
      <c r="GD9" s="544"/>
      <c r="GE9" s="544"/>
      <c r="GF9" s="544"/>
      <c r="GG9" s="544"/>
      <c r="GH9" s="544"/>
      <c r="GI9" s="544"/>
      <c r="GJ9" s="544"/>
      <c r="GK9" s="544"/>
      <c r="GL9" s="544"/>
      <c r="GM9" s="544"/>
      <c r="GN9" s="544"/>
      <c r="GO9" s="544"/>
      <c r="GP9" s="544"/>
      <c r="GQ9" s="544"/>
      <c r="GR9" s="544"/>
      <c r="GS9" s="544"/>
      <c r="GT9" s="544"/>
      <c r="GU9" s="544"/>
      <c r="GV9" s="544"/>
      <c r="GW9" s="544"/>
      <c r="GX9" s="544"/>
      <c r="GY9" s="544"/>
      <c r="GZ9" s="544"/>
      <c r="HA9" s="544"/>
      <c r="HB9" s="544"/>
      <c r="HC9" s="544"/>
      <c r="HD9" s="544"/>
      <c r="HE9" s="544"/>
      <c r="HF9" s="544"/>
      <c r="HG9" s="544"/>
      <c r="HH9" s="544"/>
      <c r="HI9" s="544"/>
      <c r="HJ9" s="544"/>
      <c r="HK9" s="544"/>
      <c r="HL9" s="544"/>
      <c r="HM9" s="544"/>
      <c r="HN9" s="544"/>
      <c r="HO9" s="544"/>
      <c r="HP9" s="544"/>
      <c r="HQ9" s="544"/>
      <c r="HR9" s="544"/>
      <c r="HS9" s="544"/>
      <c r="HT9" s="544"/>
      <c r="HU9" s="544"/>
      <c r="HV9" s="544"/>
      <c r="HW9" s="544"/>
      <c r="HX9" s="544"/>
      <c r="HY9" s="544"/>
      <c r="HZ9" s="544"/>
      <c r="IA9" s="544"/>
      <c r="IB9" s="544"/>
      <c r="IC9" s="544"/>
      <c r="ID9" s="544"/>
      <c r="IE9" s="544"/>
      <c r="IF9" s="544"/>
      <c r="IG9" s="544"/>
      <c r="IH9" s="544"/>
      <c r="II9" s="544"/>
      <c r="IJ9" s="544"/>
      <c r="IK9" s="544"/>
      <c r="IL9" s="544"/>
      <c r="IM9" s="544"/>
      <c r="IN9" s="544"/>
      <c r="IO9" s="544"/>
      <c r="IP9" s="544"/>
      <c r="IQ9" s="544"/>
      <c r="IR9" s="544"/>
      <c r="IS9" s="544"/>
    </row>
    <row r="10" spans="1:253" ht="28" customHeight="1" x14ac:dyDescent="0.35">
      <c r="A10" s="544"/>
      <c r="B10" s="600" t="s">
        <v>646</v>
      </c>
      <c r="C10" s="881">
        <v>1</v>
      </c>
      <c r="E10" s="1145"/>
      <c r="F10" s="544"/>
      <c r="G10" s="544"/>
      <c r="H10" s="1147"/>
      <c r="I10" s="1147"/>
      <c r="J10" s="1147"/>
      <c r="K10" s="1147"/>
      <c r="L10" s="1147"/>
      <c r="AY10" s="544"/>
      <c r="AZ10" s="544"/>
      <c r="BA10" s="544"/>
      <c r="BB10" s="544"/>
      <c r="BC10" s="544"/>
      <c r="BD10" s="544"/>
      <c r="BE10" s="544"/>
      <c r="BF10" s="544"/>
      <c r="BG10" s="544"/>
      <c r="BH10" s="544"/>
      <c r="BI10" s="544"/>
      <c r="BJ10" s="544"/>
      <c r="BK10" s="544"/>
      <c r="BL10" s="544"/>
      <c r="BM10" s="544"/>
      <c r="BN10" s="544"/>
      <c r="BO10" s="544"/>
      <c r="BP10" s="544"/>
      <c r="BQ10" s="544"/>
      <c r="BR10" s="544"/>
      <c r="BS10" s="544"/>
      <c r="BT10" s="544"/>
      <c r="BU10" s="544"/>
      <c r="BV10" s="544"/>
      <c r="BW10" s="544"/>
      <c r="BX10" s="544"/>
      <c r="BY10" s="544"/>
      <c r="BZ10" s="544"/>
      <c r="CA10" s="544"/>
      <c r="CB10" s="544"/>
      <c r="CC10" s="544"/>
      <c r="CD10" s="544"/>
      <c r="CE10" s="544"/>
      <c r="CF10" s="544"/>
      <c r="CG10" s="544"/>
      <c r="CH10" s="544"/>
      <c r="CI10" s="544"/>
      <c r="CJ10" s="544"/>
      <c r="CK10" s="544"/>
      <c r="CL10" s="544"/>
      <c r="CM10" s="544"/>
      <c r="CN10" s="544"/>
      <c r="CO10" s="544"/>
      <c r="CP10" s="544"/>
      <c r="CQ10" s="544"/>
      <c r="CR10" s="544"/>
      <c r="CS10" s="544"/>
      <c r="CT10" s="544"/>
      <c r="CU10" s="544"/>
      <c r="CV10" s="544"/>
      <c r="CW10" s="544"/>
      <c r="CX10" s="544"/>
      <c r="CY10" s="544"/>
      <c r="CZ10" s="544"/>
      <c r="DA10" s="544"/>
      <c r="DB10" s="544"/>
      <c r="DC10" s="544"/>
      <c r="DD10" s="544"/>
      <c r="DE10" s="544"/>
      <c r="DF10" s="544"/>
      <c r="DG10" s="544"/>
      <c r="DH10" s="544"/>
      <c r="DI10" s="544"/>
      <c r="DJ10" s="544"/>
      <c r="DK10" s="544"/>
      <c r="DL10" s="544"/>
      <c r="DM10" s="544"/>
      <c r="DN10" s="544"/>
      <c r="DO10" s="544"/>
      <c r="DP10" s="544"/>
      <c r="DQ10" s="544"/>
      <c r="DR10" s="544"/>
      <c r="DS10" s="544"/>
      <c r="DT10" s="544"/>
      <c r="DU10" s="544"/>
      <c r="DV10" s="544"/>
      <c r="DW10" s="544"/>
      <c r="DX10" s="544"/>
      <c r="DY10" s="544"/>
      <c r="DZ10" s="544"/>
      <c r="EA10" s="544"/>
      <c r="EB10" s="544"/>
      <c r="EC10" s="544"/>
      <c r="ED10" s="544"/>
      <c r="EE10" s="544"/>
      <c r="EF10" s="544"/>
      <c r="EG10" s="544"/>
      <c r="EH10" s="544"/>
      <c r="EI10" s="544"/>
      <c r="EJ10" s="544"/>
      <c r="EK10" s="544"/>
      <c r="EL10" s="544"/>
      <c r="EM10" s="544"/>
      <c r="EN10" s="544"/>
      <c r="EO10" s="544"/>
      <c r="EP10" s="544"/>
      <c r="EQ10" s="544"/>
      <c r="ER10" s="544"/>
      <c r="ES10" s="544"/>
      <c r="ET10" s="544"/>
      <c r="EU10" s="544"/>
      <c r="EV10" s="544"/>
      <c r="EW10" s="544"/>
      <c r="EX10" s="544"/>
      <c r="EY10" s="544"/>
      <c r="EZ10" s="544"/>
      <c r="FA10" s="544"/>
      <c r="FB10" s="544"/>
      <c r="FC10" s="544"/>
      <c r="FD10" s="544"/>
      <c r="FE10" s="544"/>
      <c r="FF10" s="544"/>
      <c r="FG10" s="544"/>
      <c r="FH10" s="544"/>
      <c r="FI10" s="544"/>
      <c r="FJ10" s="544"/>
      <c r="FK10" s="544"/>
      <c r="FL10" s="544"/>
      <c r="FM10" s="544"/>
      <c r="FN10" s="544"/>
      <c r="FO10" s="544"/>
      <c r="FP10" s="544"/>
      <c r="FQ10" s="544"/>
      <c r="FR10" s="544"/>
      <c r="FS10" s="544"/>
      <c r="FT10" s="544"/>
      <c r="FU10" s="544"/>
      <c r="FV10" s="544"/>
      <c r="FW10" s="544"/>
      <c r="FX10" s="544"/>
      <c r="FY10" s="544"/>
      <c r="FZ10" s="544"/>
      <c r="GA10" s="544"/>
      <c r="GB10" s="544"/>
      <c r="GC10" s="544"/>
      <c r="GD10" s="544"/>
      <c r="GE10" s="544"/>
      <c r="GF10" s="544"/>
      <c r="GG10" s="544"/>
      <c r="GH10" s="544"/>
      <c r="GI10" s="544"/>
      <c r="GJ10" s="544"/>
      <c r="GK10" s="544"/>
      <c r="GL10" s="544"/>
      <c r="GM10" s="544"/>
      <c r="GN10" s="544"/>
      <c r="GO10" s="544"/>
      <c r="GP10" s="544"/>
      <c r="GQ10" s="544"/>
      <c r="GR10" s="544"/>
      <c r="GS10" s="544"/>
      <c r="GT10" s="544"/>
      <c r="GU10" s="544"/>
      <c r="GV10" s="544"/>
      <c r="GW10" s="544"/>
      <c r="GX10" s="544"/>
      <c r="GY10" s="544"/>
      <c r="GZ10" s="544"/>
      <c r="HA10" s="544"/>
      <c r="HB10" s="544"/>
      <c r="HC10" s="544"/>
      <c r="HD10" s="544"/>
      <c r="HE10" s="544"/>
      <c r="HF10" s="544"/>
      <c r="HG10" s="544"/>
      <c r="HH10" s="544"/>
      <c r="HI10" s="544"/>
      <c r="HJ10" s="544"/>
      <c r="HK10" s="544"/>
      <c r="HL10" s="544"/>
      <c r="HM10" s="544"/>
      <c r="HN10" s="544"/>
      <c r="HO10" s="544"/>
      <c r="HP10" s="544"/>
      <c r="HQ10" s="544"/>
      <c r="HR10" s="544"/>
      <c r="HS10" s="544"/>
      <c r="HT10" s="544"/>
      <c r="HU10" s="544"/>
      <c r="HV10" s="544"/>
      <c r="HW10" s="544"/>
      <c r="HX10" s="544"/>
      <c r="HY10" s="544"/>
      <c r="HZ10" s="544"/>
      <c r="IA10" s="544"/>
      <c r="IB10" s="544"/>
      <c r="IC10" s="544"/>
      <c r="ID10" s="544"/>
      <c r="IE10" s="544"/>
      <c r="IF10" s="544"/>
      <c r="IG10" s="544"/>
      <c r="IH10" s="544"/>
      <c r="II10" s="544"/>
      <c r="IJ10" s="544"/>
      <c r="IK10" s="544"/>
      <c r="IL10" s="544"/>
      <c r="IM10" s="544"/>
      <c r="IN10" s="544"/>
      <c r="IO10" s="544"/>
      <c r="IP10" s="544"/>
      <c r="IQ10" s="544"/>
      <c r="IR10" s="544"/>
      <c r="IS10" s="544"/>
    </row>
    <row r="11" spans="1:253" s="3" customFormat="1" ht="31" x14ac:dyDescent="0.35">
      <c r="A11" s="544"/>
      <c r="B11" s="1090" t="s">
        <v>647</v>
      </c>
      <c r="C11" s="881"/>
      <c r="D11" s="678"/>
      <c r="E11" s="907"/>
      <c r="F11" s="908"/>
      <c r="G11" s="909"/>
      <c r="H11" s="913"/>
      <c r="I11" s="913"/>
      <c r="J11" s="913"/>
      <c r="K11" s="651">
        <f>SUM(H11:J11)</f>
        <v>0</v>
      </c>
      <c r="L11" s="913"/>
      <c r="M11" s="917" t="s">
        <v>648</v>
      </c>
      <c r="N11" s="478"/>
      <c r="O11" s="478"/>
      <c r="P11" s="478"/>
      <c r="Q11" s="478"/>
      <c r="R11" s="478"/>
      <c r="S11" s="478"/>
      <c r="T11" s="478"/>
      <c r="U11" s="478"/>
      <c r="V11" s="478"/>
      <c r="W11" s="478"/>
      <c r="X11" s="478"/>
      <c r="Y11" s="478"/>
      <c r="Z11" s="478"/>
      <c r="AA11" s="1089" t="s">
        <v>601</v>
      </c>
      <c r="AB11" s="478"/>
      <c r="AC11" s="478"/>
      <c r="AD11" s="478"/>
      <c r="AE11" s="478"/>
      <c r="AF11" s="478"/>
      <c r="AG11" s="478"/>
      <c r="AH11" s="478"/>
      <c r="AI11" s="478"/>
      <c r="AJ11" s="478"/>
      <c r="AK11" s="478"/>
      <c r="AL11" s="478"/>
      <c r="AM11" s="478"/>
      <c r="AN11" s="478"/>
      <c r="AO11" s="478"/>
      <c r="AP11" s="478"/>
      <c r="AQ11" s="478"/>
      <c r="AR11" s="478"/>
      <c r="AS11" s="478"/>
      <c r="AT11" s="478"/>
      <c r="AU11" s="478"/>
      <c r="AV11" s="478"/>
      <c r="AW11" s="478"/>
      <c r="AX11" s="478"/>
      <c r="AY11" s="478"/>
      <c r="AZ11" s="478"/>
      <c r="BA11" s="478"/>
      <c r="BB11" s="478"/>
      <c r="BC11" s="478"/>
      <c r="BD11" s="478"/>
      <c r="BE11" s="478"/>
      <c r="BF11" s="478"/>
      <c r="BG11" s="478"/>
      <c r="BH11" s="478"/>
      <c r="BI11" s="478"/>
      <c r="BJ11" s="478"/>
      <c r="BK11" s="478"/>
      <c r="BL11" s="478"/>
      <c r="BM11" s="478"/>
      <c r="BN11" s="478"/>
      <c r="BO11" s="478"/>
      <c r="BP11" s="478"/>
      <c r="BQ11" s="478"/>
      <c r="BR11" s="478"/>
      <c r="BS11" s="478"/>
      <c r="BT11" s="478"/>
      <c r="BU11" s="478"/>
      <c r="BV11" s="478"/>
      <c r="BW11" s="478"/>
      <c r="BX11" s="478"/>
      <c r="BY11" s="478"/>
      <c r="BZ11" s="478"/>
      <c r="CA11" s="478"/>
      <c r="CB11" s="478"/>
      <c r="CC11" s="478"/>
      <c r="CD11" s="478"/>
      <c r="CE11" s="478"/>
      <c r="CF11" s="478"/>
      <c r="CG11" s="478"/>
      <c r="CH11" s="478"/>
      <c r="CI11" s="478"/>
      <c r="CJ11" s="478"/>
      <c r="CK11" s="478"/>
      <c r="CL11" s="478"/>
      <c r="CM11" s="478"/>
      <c r="CN11" s="478"/>
      <c r="CO11" s="478"/>
      <c r="CP11" s="478"/>
      <c r="CQ11" s="478"/>
      <c r="CR11" s="478"/>
      <c r="CS11" s="478"/>
      <c r="CT11" s="478"/>
      <c r="CU11" s="478"/>
      <c r="CV11" s="478"/>
      <c r="CW11" s="478"/>
      <c r="CX11" s="478"/>
      <c r="CY11" s="478"/>
      <c r="CZ11" s="478"/>
      <c r="DA11" s="478"/>
      <c r="DB11" s="478"/>
      <c r="DC11" s="478"/>
      <c r="DD11" s="478"/>
      <c r="DE11" s="478"/>
      <c r="DF11" s="478"/>
      <c r="DG11" s="478"/>
      <c r="DH11" s="478"/>
      <c r="DI11" s="478"/>
      <c r="DJ11" s="478"/>
      <c r="DK11" s="478"/>
      <c r="DL11" s="478"/>
      <c r="DM11" s="478"/>
      <c r="DN11" s="478"/>
      <c r="DO11" s="478"/>
      <c r="DP11" s="478"/>
      <c r="DQ11" s="478"/>
      <c r="DR11" s="478"/>
      <c r="DS11" s="478"/>
      <c r="DT11" s="478"/>
      <c r="DU11" s="478"/>
      <c r="DV11" s="478"/>
      <c r="DW11" s="478"/>
      <c r="DX11" s="478"/>
      <c r="DY11" s="478"/>
      <c r="DZ11" s="478"/>
      <c r="EA11" s="478"/>
      <c r="EB11" s="478"/>
      <c r="EC11" s="478"/>
      <c r="ED11" s="478"/>
      <c r="EE11" s="478"/>
      <c r="EF11" s="478"/>
      <c r="EG11" s="478"/>
      <c r="EH11" s="478"/>
      <c r="EI11" s="478"/>
      <c r="EJ11" s="478"/>
      <c r="EK11" s="478"/>
      <c r="EL11" s="478"/>
      <c r="EM11" s="478"/>
      <c r="EN11" s="478"/>
      <c r="EO11" s="478"/>
      <c r="EP11" s="478"/>
      <c r="EQ11" s="478"/>
      <c r="ER11" s="478"/>
      <c r="ES11" s="478"/>
      <c r="ET11" s="478"/>
      <c r="EU11" s="478"/>
      <c r="EV11" s="478"/>
      <c r="EW11" s="478"/>
      <c r="EX11" s="478"/>
      <c r="EY11" s="478"/>
      <c r="EZ11" s="478"/>
      <c r="FA11" s="478"/>
      <c r="FB11" s="478"/>
      <c r="FC11" s="478"/>
      <c r="FD11" s="478"/>
      <c r="FE11" s="478"/>
      <c r="FF11" s="478"/>
      <c r="FG11" s="478"/>
      <c r="FH11" s="478"/>
      <c r="FI11" s="478"/>
      <c r="FJ11" s="478"/>
      <c r="FK11" s="478"/>
      <c r="FL11" s="478"/>
      <c r="FM11" s="478"/>
      <c r="FN11" s="478"/>
      <c r="FO11" s="478"/>
      <c r="FP11" s="478"/>
      <c r="FQ11" s="478"/>
      <c r="FR11" s="478"/>
      <c r="FS11" s="478"/>
      <c r="FT11" s="478"/>
      <c r="FU11" s="478"/>
      <c r="FV11" s="478"/>
      <c r="FW11" s="478"/>
      <c r="FX11" s="478"/>
      <c r="FY11" s="478"/>
      <c r="FZ11" s="478"/>
      <c r="GA11" s="478"/>
      <c r="GB11" s="478"/>
      <c r="GC11" s="478"/>
      <c r="GD11" s="478"/>
      <c r="GE11" s="478"/>
      <c r="GF11" s="478"/>
      <c r="GG11" s="478"/>
      <c r="GH11" s="478"/>
      <c r="GI11" s="478"/>
      <c r="GJ11" s="478"/>
      <c r="GK11" s="478"/>
      <c r="GL11" s="478"/>
      <c r="GM11" s="478"/>
      <c r="GN11" s="478"/>
      <c r="GO11" s="478"/>
      <c r="GP11" s="478"/>
      <c r="GQ11" s="478"/>
      <c r="GR11" s="478"/>
      <c r="GS11" s="478"/>
      <c r="GT11" s="478"/>
      <c r="GU11" s="478"/>
      <c r="GV11" s="478"/>
      <c r="GW11" s="478"/>
      <c r="GX11" s="478"/>
      <c r="GY11" s="478"/>
      <c r="GZ11" s="478"/>
      <c r="HA11" s="478"/>
      <c r="HB11" s="478"/>
      <c r="HC11" s="478"/>
      <c r="HD11" s="478"/>
      <c r="HE11" s="478"/>
      <c r="HF11" s="478"/>
      <c r="HG11" s="478"/>
      <c r="HH11" s="478"/>
      <c r="HI11" s="478"/>
      <c r="HJ11" s="478"/>
      <c r="HK11" s="478"/>
      <c r="HL11" s="478"/>
      <c r="HM11" s="478"/>
      <c r="HN11" s="478"/>
      <c r="HO11" s="478"/>
      <c r="HP11" s="478"/>
      <c r="HQ11" s="478"/>
      <c r="HR11" s="478"/>
      <c r="HS11" s="478"/>
      <c r="HT11" s="478"/>
      <c r="HU11" s="478"/>
      <c r="HV11" s="478"/>
      <c r="HW11" s="478"/>
      <c r="HX11" s="478"/>
      <c r="HY11" s="478"/>
      <c r="HZ11" s="478"/>
      <c r="IA11" s="478"/>
      <c r="IB11" s="478"/>
      <c r="IC11" s="478"/>
      <c r="ID11" s="478"/>
      <c r="IE11" s="478"/>
      <c r="IF11" s="478"/>
      <c r="IG11" s="478"/>
      <c r="IH11" s="478"/>
      <c r="II11" s="478"/>
      <c r="IJ11" s="478"/>
      <c r="IK11" s="478"/>
      <c r="IL11" s="478"/>
      <c r="IM11" s="478"/>
      <c r="IN11" s="478"/>
      <c r="IO11" s="478"/>
      <c r="IP11" s="478"/>
      <c r="IQ11" s="478"/>
      <c r="IR11" s="478"/>
      <c r="IS11" s="478"/>
    </row>
    <row r="12" spans="1:253" s="3" customFormat="1" ht="31" x14ac:dyDescent="0.35">
      <c r="A12" s="544"/>
      <c r="B12" s="1090" t="s">
        <v>649</v>
      </c>
      <c r="C12" s="881"/>
      <c r="D12" s="678"/>
      <c r="E12" s="907"/>
      <c r="F12" s="908"/>
      <c r="G12" s="909"/>
      <c r="H12" s="894"/>
      <c r="I12" s="894"/>
      <c r="J12" s="894"/>
      <c r="K12" s="651">
        <f>SUM(H12:J12)</f>
        <v>0</v>
      </c>
      <c r="L12" s="913"/>
      <c r="M12" s="478"/>
      <c r="N12" s="478"/>
      <c r="O12" s="478"/>
      <c r="P12" s="478"/>
      <c r="Q12" s="478"/>
      <c r="R12" s="478"/>
      <c r="S12" s="478"/>
      <c r="T12" s="478"/>
      <c r="U12" s="478"/>
      <c r="V12" s="478"/>
      <c r="W12" s="478"/>
      <c r="X12" s="478"/>
      <c r="Y12" s="478"/>
      <c r="Z12" s="478"/>
      <c r="AA12" s="1089" t="s">
        <v>601</v>
      </c>
      <c r="AB12" s="478"/>
      <c r="AC12" s="478"/>
      <c r="AD12" s="478"/>
      <c r="AE12" s="478"/>
      <c r="AF12" s="478"/>
      <c r="AG12" s="478"/>
      <c r="AH12" s="478"/>
      <c r="AI12" s="478"/>
      <c r="AJ12" s="478"/>
      <c r="AK12" s="478"/>
      <c r="AL12" s="478"/>
      <c r="AM12" s="478"/>
      <c r="AN12" s="478"/>
      <c r="AO12" s="478"/>
      <c r="AP12" s="478"/>
      <c r="AQ12" s="478"/>
      <c r="AR12" s="478"/>
      <c r="AS12" s="478"/>
      <c r="AT12" s="478"/>
      <c r="AU12" s="478"/>
      <c r="AV12" s="478"/>
      <c r="AW12" s="478"/>
      <c r="AX12" s="478"/>
      <c r="AY12" s="478"/>
      <c r="AZ12" s="478"/>
      <c r="BA12" s="478"/>
      <c r="BB12" s="478"/>
      <c r="BC12" s="478"/>
      <c r="BD12" s="478"/>
      <c r="BE12" s="478"/>
      <c r="BF12" s="478"/>
      <c r="BG12" s="478"/>
      <c r="BH12" s="478"/>
      <c r="BI12" s="478"/>
      <c r="BJ12" s="478"/>
      <c r="BK12" s="478"/>
      <c r="BL12" s="478"/>
      <c r="BM12" s="478"/>
      <c r="BN12" s="478"/>
      <c r="BO12" s="478"/>
      <c r="BP12" s="478"/>
      <c r="BQ12" s="478"/>
      <c r="BR12" s="478"/>
      <c r="BS12" s="478"/>
      <c r="BT12" s="478"/>
      <c r="BU12" s="478"/>
      <c r="BV12" s="478"/>
      <c r="BW12" s="478"/>
      <c r="BX12" s="478"/>
      <c r="BY12" s="478"/>
      <c r="BZ12" s="478"/>
      <c r="CA12" s="478"/>
      <c r="CB12" s="478"/>
      <c r="CC12" s="478"/>
      <c r="CD12" s="478"/>
      <c r="CE12" s="478"/>
      <c r="CF12" s="478"/>
      <c r="CG12" s="478"/>
      <c r="CH12" s="478"/>
      <c r="CI12" s="478"/>
      <c r="CJ12" s="478"/>
      <c r="CK12" s="478"/>
      <c r="CL12" s="478"/>
      <c r="CM12" s="478"/>
      <c r="CN12" s="478"/>
      <c r="CO12" s="478"/>
      <c r="CP12" s="478"/>
      <c r="CQ12" s="478"/>
      <c r="CR12" s="478"/>
      <c r="CS12" s="478"/>
      <c r="CT12" s="478"/>
      <c r="CU12" s="478"/>
      <c r="CV12" s="478"/>
      <c r="CW12" s="478"/>
      <c r="CX12" s="478"/>
      <c r="CY12" s="478"/>
      <c r="CZ12" s="478"/>
      <c r="DA12" s="478"/>
      <c r="DB12" s="478"/>
      <c r="DC12" s="478"/>
      <c r="DD12" s="478"/>
      <c r="DE12" s="478"/>
      <c r="DF12" s="478"/>
      <c r="DG12" s="478"/>
      <c r="DH12" s="478"/>
      <c r="DI12" s="478"/>
      <c r="DJ12" s="478"/>
      <c r="DK12" s="478"/>
      <c r="DL12" s="478"/>
      <c r="DM12" s="478"/>
      <c r="DN12" s="478"/>
      <c r="DO12" s="478"/>
      <c r="DP12" s="478"/>
      <c r="DQ12" s="478"/>
      <c r="DR12" s="478"/>
      <c r="DS12" s="478"/>
      <c r="DT12" s="478"/>
      <c r="DU12" s="478"/>
      <c r="DV12" s="478"/>
      <c r="DW12" s="478"/>
      <c r="DX12" s="478"/>
      <c r="DY12" s="478"/>
      <c r="DZ12" s="478"/>
      <c r="EA12" s="478"/>
      <c r="EB12" s="478"/>
      <c r="EC12" s="478"/>
      <c r="ED12" s="478"/>
      <c r="EE12" s="478"/>
      <c r="EF12" s="478"/>
      <c r="EG12" s="478"/>
      <c r="EH12" s="478"/>
      <c r="EI12" s="478"/>
      <c r="EJ12" s="478"/>
      <c r="EK12" s="478"/>
      <c r="EL12" s="478"/>
      <c r="EM12" s="478"/>
      <c r="EN12" s="478"/>
      <c r="EO12" s="478"/>
      <c r="EP12" s="478"/>
      <c r="EQ12" s="478"/>
      <c r="ER12" s="478"/>
      <c r="ES12" s="478"/>
      <c r="ET12" s="478"/>
      <c r="EU12" s="478"/>
      <c r="EV12" s="478"/>
      <c r="EW12" s="478"/>
      <c r="EX12" s="478"/>
      <c r="EY12" s="478"/>
      <c r="EZ12" s="478"/>
      <c r="FA12" s="478"/>
      <c r="FB12" s="478"/>
      <c r="FC12" s="478"/>
      <c r="FD12" s="478"/>
      <c r="FE12" s="478"/>
      <c r="FF12" s="478"/>
      <c r="FG12" s="478"/>
      <c r="FH12" s="478"/>
      <c r="FI12" s="478"/>
      <c r="FJ12" s="478"/>
      <c r="FK12" s="478"/>
      <c r="FL12" s="478"/>
      <c r="FM12" s="478"/>
      <c r="FN12" s="478"/>
      <c r="FO12" s="478"/>
      <c r="FP12" s="478"/>
      <c r="FQ12" s="478"/>
      <c r="FR12" s="478"/>
      <c r="FS12" s="478"/>
      <c r="FT12" s="478"/>
      <c r="FU12" s="478"/>
      <c r="FV12" s="478"/>
      <c r="FW12" s="478"/>
      <c r="FX12" s="478"/>
      <c r="FY12" s="478"/>
      <c r="FZ12" s="478"/>
      <c r="GA12" s="478"/>
      <c r="GB12" s="478"/>
      <c r="GC12" s="478"/>
      <c r="GD12" s="478"/>
      <c r="GE12" s="478"/>
      <c r="GF12" s="478"/>
      <c r="GG12" s="478"/>
      <c r="GH12" s="478"/>
      <c r="GI12" s="478"/>
      <c r="GJ12" s="478"/>
      <c r="GK12" s="478"/>
      <c r="GL12" s="478"/>
      <c r="GM12" s="478"/>
      <c r="GN12" s="478"/>
      <c r="GO12" s="478"/>
      <c r="GP12" s="478"/>
      <c r="GQ12" s="478"/>
      <c r="GR12" s="478"/>
      <c r="GS12" s="478"/>
      <c r="GT12" s="478"/>
      <c r="GU12" s="478"/>
      <c r="GV12" s="478"/>
      <c r="GW12" s="478"/>
      <c r="GX12" s="478"/>
      <c r="GY12" s="478"/>
      <c r="GZ12" s="478"/>
      <c r="HA12" s="478"/>
      <c r="HB12" s="478"/>
      <c r="HC12" s="478"/>
      <c r="HD12" s="478"/>
      <c r="HE12" s="478"/>
      <c r="HF12" s="478"/>
      <c r="HG12" s="478"/>
      <c r="HH12" s="478"/>
      <c r="HI12" s="478"/>
      <c r="HJ12" s="478"/>
      <c r="HK12" s="478"/>
      <c r="HL12" s="478"/>
      <c r="HM12" s="478"/>
      <c r="HN12" s="478"/>
      <c r="HO12" s="478"/>
      <c r="HP12" s="478"/>
      <c r="HQ12" s="478"/>
      <c r="HR12" s="478"/>
      <c r="HS12" s="478"/>
      <c r="HT12" s="478"/>
      <c r="HU12" s="478"/>
      <c r="HV12" s="478"/>
      <c r="HW12" s="478"/>
      <c r="HX12" s="478"/>
      <c r="HY12" s="478"/>
      <c r="HZ12" s="478"/>
      <c r="IA12" s="478"/>
      <c r="IB12" s="478"/>
      <c r="IC12" s="478"/>
      <c r="ID12" s="478"/>
      <c r="IE12" s="478"/>
      <c r="IF12" s="478"/>
      <c r="IG12" s="478"/>
      <c r="IH12" s="478"/>
      <c r="II12" s="478"/>
      <c r="IJ12" s="478"/>
      <c r="IK12" s="478"/>
      <c r="IL12" s="478"/>
      <c r="IM12" s="478"/>
      <c r="IN12" s="478"/>
      <c r="IO12" s="478"/>
      <c r="IP12" s="478"/>
      <c r="IQ12" s="478"/>
      <c r="IR12" s="478"/>
      <c r="IS12" s="478"/>
    </row>
    <row r="13" spans="1:253" s="3" customFormat="1" ht="31" x14ac:dyDescent="0.35">
      <c r="A13" s="544"/>
      <c r="B13" s="1090" t="s">
        <v>650</v>
      </c>
      <c r="C13" s="881"/>
      <c r="D13" s="678"/>
      <c r="E13" s="907"/>
      <c r="F13" s="908"/>
      <c r="G13" s="909"/>
      <c r="H13" s="683">
        <f>IF(H11=0,0,H12/H11)</f>
        <v>0</v>
      </c>
      <c r="I13" s="683">
        <f>IF(I11=0,0,I12/I11)</f>
        <v>0</v>
      </c>
      <c r="J13" s="683">
        <f>IF(J11=0,0,J12/J11)</f>
        <v>0</v>
      </c>
      <c r="K13" s="683">
        <f>IF(K11=0,0,K12/K11)</f>
        <v>0</v>
      </c>
      <c r="L13" s="535"/>
      <c r="M13" s="478"/>
      <c r="N13" s="478"/>
      <c r="O13" s="478"/>
      <c r="P13" s="478"/>
      <c r="Q13" s="478"/>
      <c r="R13" s="478"/>
      <c r="S13" s="478"/>
      <c r="T13" s="478"/>
      <c r="U13" s="478"/>
      <c r="V13" s="478"/>
      <c r="W13" s="478"/>
      <c r="X13" s="478"/>
      <c r="Y13" s="478"/>
      <c r="Z13" s="478"/>
      <c r="AA13" s="1089" t="s">
        <v>601</v>
      </c>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c r="BJ13" s="478"/>
      <c r="BK13" s="478"/>
      <c r="BL13" s="478"/>
      <c r="BM13" s="478"/>
      <c r="BN13" s="478"/>
      <c r="BO13" s="478"/>
      <c r="BP13" s="478"/>
      <c r="BQ13" s="478"/>
      <c r="BR13" s="478"/>
      <c r="BS13" s="478"/>
      <c r="BT13" s="478"/>
      <c r="BU13" s="478"/>
      <c r="BV13" s="478"/>
      <c r="BW13" s="478"/>
      <c r="BX13" s="478"/>
      <c r="BY13" s="478"/>
      <c r="BZ13" s="478"/>
      <c r="CA13" s="478"/>
      <c r="CB13" s="478"/>
      <c r="CC13" s="478"/>
      <c r="CD13" s="478"/>
      <c r="CE13" s="478"/>
      <c r="CF13" s="478"/>
      <c r="CG13" s="478"/>
      <c r="CH13" s="478"/>
      <c r="CI13" s="478"/>
      <c r="CJ13" s="478"/>
      <c r="CK13" s="478"/>
      <c r="CL13" s="478"/>
      <c r="CM13" s="478"/>
      <c r="CN13" s="478"/>
      <c r="CO13" s="478"/>
      <c r="CP13" s="478"/>
      <c r="CQ13" s="478"/>
      <c r="CR13" s="478"/>
      <c r="CS13" s="478"/>
      <c r="CT13" s="478"/>
      <c r="CU13" s="478"/>
      <c r="CV13" s="478"/>
      <c r="CW13" s="478"/>
      <c r="CX13" s="478"/>
      <c r="CY13" s="478"/>
      <c r="CZ13" s="478"/>
      <c r="DA13" s="478"/>
      <c r="DB13" s="478"/>
      <c r="DC13" s="478"/>
      <c r="DD13" s="478"/>
      <c r="DE13" s="478"/>
      <c r="DF13" s="478"/>
      <c r="DG13" s="478"/>
      <c r="DH13" s="478"/>
      <c r="DI13" s="478"/>
      <c r="DJ13" s="478"/>
      <c r="DK13" s="478"/>
      <c r="DL13" s="478"/>
      <c r="DM13" s="478"/>
      <c r="DN13" s="478"/>
      <c r="DO13" s="478"/>
      <c r="DP13" s="478"/>
      <c r="DQ13" s="478"/>
      <c r="DR13" s="478"/>
      <c r="DS13" s="478"/>
      <c r="DT13" s="478"/>
      <c r="DU13" s="478"/>
      <c r="DV13" s="478"/>
      <c r="DW13" s="478"/>
      <c r="DX13" s="478"/>
      <c r="DY13" s="478"/>
      <c r="DZ13" s="478"/>
      <c r="EA13" s="478"/>
      <c r="EB13" s="478"/>
      <c r="EC13" s="478"/>
      <c r="ED13" s="478"/>
      <c r="EE13" s="478"/>
      <c r="EF13" s="478"/>
      <c r="EG13" s="478"/>
      <c r="EH13" s="478"/>
      <c r="EI13" s="478"/>
      <c r="EJ13" s="478"/>
      <c r="EK13" s="478"/>
      <c r="EL13" s="478"/>
      <c r="EM13" s="478"/>
      <c r="EN13" s="478"/>
      <c r="EO13" s="478"/>
      <c r="EP13" s="478"/>
      <c r="EQ13" s="478"/>
      <c r="ER13" s="478"/>
      <c r="ES13" s="478"/>
      <c r="ET13" s="478"/>
      <c r="EU13" s="478"/>
      <c r="EV13" s="478"/>
      <c r="EW13" s="478"/>
      <c r="EX13" s="478"/>
      <c r="EY13" s="478"/>
      <c r="EZ13" s="478"/>
      <c r="FA13" s="478"/>
      <c r="FB13" s="478"/>
      <c r="FC13" s="478"/>
      <c r="FD13" s="478"/>
      <c r="FE13" s="478"/>
      <c r="FF13" s="478"/>
      <c r="FG13" s="478"/>
      <c r="FH13" s="478"/>
      <c r="FI13" s="478"/>
      <c r="FJ13" s="478"/>
      <c r="FK13" s="478"/>
      <c r="FL13" s="478"/>
      <c r="FM13" s="478"/>
      <c r="FN13" s="478"/>
      <c r="FO13" s="478"/>
      <c r="FP13" s="478"/>
      <c r="FQ13" s="478"/>
      <c r="FR13" s="478"/>
      <c r="FS13" s="478"/>
      <c r="FT13" s="478"/>
      <c r="FU13" s="478"/>
      <c r="FV13" s="478"/>
      <c r="FW13" s="478"/>
      <c r="FX13" s="478"/>
      <c r="FY13" s="478"/>
      <c r="FZ13" s="478"/>
      <c r="GA13" s="478"/>
      <c r="GB13" s="478"/>
      <c r="GC13" s="478"/>
      <c r="GD13" s="478"/>
      <c r="GE13" s="478"/>
      <c r="GF13" s="478"/>
      <c r="GG13" s="478"/>
      <c r="GH13" s="478"/>
      <c r="GI13" s="478"/>
      <c r="GJ13" s="478"/>
      <c r="GK13" s="478"/>
      <c r="GL13" s="478"/>
      <c r="GM13" s="478"/>
      <c r="GN13" s="478"/>
      <c r="GO13" s="478"/>
      <c r="GP13" s="478"/>
      <c r="GQ13" s="478"/>
      <c r="GR13" s="478"/>
      <c r="GS13" s="478"/>
      <c r="GT13" s="478"/>
      <c r="GU13" s="478"/>
      <c r="GV13" s="478"/>
      <c r="GW13" s="478"/>
      <c r="GX13" s="478"/>
      <c r="GY13" s="478"/>
      <c r="GZ13" s="478"/>
      <c r="HA13" s="478"/>
      <c r="HB13" s="478"/>
      <c r="HC13" s="478"/>
      <c r="HD13" s="478"/>
      <c r="HE13" s="478"/>
      <c r="HF13" s="478"/>
      <c r="HG13" s="478"/>
      <c r="HH13" s="478"/>
      <c r="HI13" s="478"/>
      <c r="HJ13" s="478"/>
      <c r="HK13" s="478"/>
      <c r="HL13" s="478"/>
      <c r="HM13" s="478"/>
      <c r="HN13" s="478"/>
      <c r="HO13" s="478"/>
      <c r="HP13" s="478"/>
      <c r="HQ13" s="478"/>
      <c r="HR13" s="478"/>
      <c r="HS13" s="478"/>
      <c r="HT13" s="478"/>
      <c r="HU13" s="478"/>
      <c r="HV13" s="478"/>
      <c r="HW13" s="478"/>
      <c r="HX13" s="478"/>
      <c r="HY13" s="478"/>
      <c r="HZ13" s="478"/>
      <c r="IA13" s="478"/>
      <c r="IB13" s="478"/>
      <c r="IC13" s="478"/>
      <c r="ID13" s="478"/>
      <c r="IE13" s="478"/>
      <c r="IF13" s="478"/>
      <c r="IG13" s="478"/>
      <c r="IH13" s="478"/>
      <c r="II13" s="478"/>
      <c r="IJ13" s="478"/>
      <c r="IK13" s="478"/>
      <c r="IL13" s="478"/>
      <c r="IM13" s="478"/>
      <c r="IN13" s="478"/>
      <c r="IO13" s="478"/>
      <c r="IP13" s="478"/>
      <c r="IQ13" s="478"/>
      <c r="IR13" s="478"/>
      <c r="IS13" s="478"/>
    </row>
    <row r="14" spans="1:253" s="3" customFormat="1" ht="31" x14ac:dyDescent="0.35">
      <c r="A14" s="544"/>
      <c r="B14" s="1090" t="s">
        <v>651</v>
      </c>
      <c r="C14" s="881"/>
      <c r="D14" s="678"/>
      <c r="E14" s="907"/>
      <c r="F14" s="908"/>
      <c r="G14" s="909"/>
      <c r="H14" s="523"/>
      <c r="I14" s="523"/>
      <c r="J14" s="523"/>
      <c r="K14" s="523"/>
      <c r="L14" s="478"/>
      <c r="M14" s="478"/>
      <c r="N14" s="478"/>
      <c r="O14" s="478"/>
      <c r="P14" s="478"/>
      <c r="Q14" s="478"/>
      <c r="R14" s="478"/>
      <c r="S14" s="478"/>
      <c r="T14" s="478"/>
      <c r="U14" s="478"/>
      <c r="V14" s="478"/>
      <c r="W14" s="478"/>
      <c r="X14" s="478"/>
      <c r="Y14" s="478"/>
      <c r="Z14" s="478"/>
      <c r="AA14" s="1089" t="s">
        <v>601</v>
      </c>
      <c r="AB14" s="478"/>
      <c r="AC14" s="478"/>
      <c r="AD14" s="478"/>
      <c r="AE14" s="478"/>
      <c r="AF14" s="478"/>
      <c r="AG14" s="478"/>
      <c r="AH14" s="478"/>
      <c r="AI14" s="478"/>
      <c r="AJ14" s="478"/>
      <c r="AK14" s="478"/>
      <c r="AL14" s="478"/>
      <c r="AM14" s="478"/>
      <c r="AN14" s="478"/>
      <c r="AO14" s="478"/>
      <c r="AP14" s="478"/>
      <c r="AQ14" s="478"/>
      <c r="AR14" s="478"/>
      <c r="AS14" s="478"/>
      <c r="AT14" s="478"/>
      <c r="AU14" s="478"/>
      <c r="AV14" s="478"/>
      <c r="AW14" s="478"/>
      <c r="AX14" s="478"/>
      <c r="AY14" s="478"/>
      <c r="AZ14" s="478"/>
      <c r="BA14" s="478"/>
      <c r="BB14" s="478"/>
      <c r="BC14" s="478"/>
      <c r="BD14" s="478"/>
      <c r="BE14" s="478"/>
      <c r="BF14" s="478"/>
      <c r="BG14" s="478"/>
      <c r="BH14" s="478"/>
      <c r="BI14" s="478"/>
      <c r="BJ14" s="478"/>
      <c r="BK14" s="478"/>
      <c r="BL14" s="478"/>
      <c r="BM14" s="478"/>
      <c r="BN14" s="478"/>
      <c r="BO14" s="478"/>
      <c r="BP14" s="478"/>
      <c r="BQ14" s="478"/>
      <c r="BR14" s="478"/>
      <c r="BS14" s="478"/>
      <c r="BT14" s="478"/>
      <c r="BU14" s="478"/>
      <c r="BV14" s="478"/>
      <c r="BW14" s="478"/>
      <c r="BX14" s="478"/>
      <c r="BY14" s="478"/>
      <c r="BZ14" s="478"/>
      <c r="CA14" s="478"/>
      <c r="CB14" s="478"/>
      <c r="CC14" s="478"/>
      <c r="CD14" s="478"/>
      <c r="CE14" s="478"/>
      <c r="CF14" s="478"/>
      <c r="CG14" s="478"/>
      <c r="CH14" s="478"/>
      <c r="CI14" s="478"/>
      <c r="CJ14" s="478"/>
      <c r="CK14" s="478"/>
      <c r="CL14" s="478"/>
      <c r="CM14" s="478"/>
      <c r="CN14" s="478"/>
      <c r="CO14" s="478"/>
      <c r="CP14" s="478"/>
      <c r="CQ14" s="478"/>
      <c r="CR14" s="478"/>
      <c r="CS14" s="478"/>
      <c r="CT14" s="478"/>
      <c r="CU14" s="478"/>
      <c r="CV14" s="478"/>
      <c r="CW14" s="478"/>
      <c r="CX14" s="478"/>
      <c r="CY14" s="478"/>
      <c r="CZ14" s="478"/>
      <c r="DA14" s="478"/>
      <c r="DB14" s="478"/>
      <c r="DC14" s="478"/>
      <c r="DD14" s="478"/>
      <c r="DE14" s="478"/>
      <c r="DF14" s="478"/>
      <c r="DG14" s="478"/>
      <c r="DH14" s="478"/>
      <c r="DI14" s="478"/>
      <c r="DJ14" s="478"/>
      <c r="DK14" s="478"/>
      <c r="DL14" s="478"/>
      <c r="DM14" s="478"/>
      <c r="DN14" s="478"/>
      <c r="DO14" s="478"/>
      <c r="DP14" s="478"/>
      <c r="DQ14" s="478"/>
      <c r="DR14" s="478"/>
      <c r="DS14" s="478"/>
      <c r="DT14" s="478"/>
      <c r="DU14" s="478"/>
      <c r="DV14" s="478"/>
      <c r="DW14" s="478"/>
      <c r="DX14" s="478"/>
      <c r="DY14" s="478"/>
      <c r="DZ14" s="478"/>
      <c r="EA14" s="478"/>
      <c r="EB14" s="478"/>
      <c r="EC14" s="478"/>
      <c r="ED14" s="478"/>
      <c r="EE14" s="478"/>
      <c r="EF14" s="478"/>
      <c r="EG14" s="478"/>
      <c r="EH14" s="478"/>
      <c r="EI14" s="478"/>
      <c r="EJ14" s="478"/>
      <c r="EK14" s="478"/>
      <c r="EL14" s="478"/>
      <c r="EM14" s="478"/>
      <c r="EN14" s="478"/>
      <c r="EO14" s="478"/>
      <c r="EP14" s="478"/>
      <c r="EQ14" s="478"/>
      <c r="ER14" s="478"/>
      <c r="ES14" s="478"/>
      <c r="ET14" s="478"/>
      <c r="EU14" s="478"/>
      <c r="EV14" s="478"/>
      <c r="EW14" s="478"/>
      <c r="EX14" s="478"/>
      <c r="EY14" s="478"/>
      <c r="EZ14" s="478"/>
      <c r="FA14" s="478"/>
      <c r="FB14" s="478"/>
      <c r="FC14" s="478"/>
      <c r="FD14" s="478"/>
      <c r="FE14" s="478"/>
      <c r="FF14" s="478"/>
      <c r="FG14" s="478"/>
      <c r="FH14" s="478"/>
      <c r="FI14" s="478"/>
      <c r="FJ14" s="478"/>
      <c r="FK14" s="478"/>
      <c r="FL14" s="478"/>
      <c r="FM14" s="478"/>
      <c r="FN14" s="478"/>
      <c r="FO14" s="478"/>
      <c r="FP14" s="478"/>
      <c r="FQ14" s="478"/>
      <c r="FR14" s="478"/>
      <c r="FS14" s="478"/>
      <c r="FT14" s="478"/>
      <c r="FU14" s="478"/>
      <c r="FV14" s="478"/>
      <c r="FW14" s="478"/>
      <c r="FX14" s="478"/>
      <c r="FY14" s="478"/>
      <c r="FZ14" s="478"/>
      <c r="GA14" s="478"/>
      <c r="GB14" s="478"/>
      <c r="GC14" s="478"/>
      <c r="GD14" s="478"/>
      <c r="GE14" s="478"/>
      <c r="GF14" s="478"/>
      <c r="GG14" s="478"/>
      <c r="GH14" s="478"/>
      <c r="GI14" s="478"/>
      <c r="GJ14" s="478"/>
      <c r="GK14" s="478"/>
      <c r="GL14" s="478"/>
      <c r="GM14" s="478"/>
      <c r="GN14" s="478"/>
      <c r="GO14" s="478"/>
      <c r="GP14" s="478"/>
      <c r="GQ14" s="478"/>
      <c r="GR14" s="478"/>
      <c r="GS14" s="478"/>
      <c r="GT14" s="478"/>
      <c r="GU14" s="478"/>
      <c r="GV14" s="478"/>
      <c r="GW14" s="478"/>
      <c r="GX14" s="478"/>
      <c r="GY14" s="478"/>
      <c r="GZ14" s="478"/>
      <c r="HA14" s="478"/>
      <c r="HB14" s="478"/>
      <c r="HC14" s="478"/>
      <c r="HD14" s="478"/>
      <c r="HE14" s="478"/>
      <c r="HF14" s="478"/>
      <c r="HG14" s="478"/>
      <c r="HH14" s="478"/>
      <c r="HI14" s="478"/>
      <c r="HJ14" s="478"/>
      <c r="HK14" s="478"/>
      <c r="HL14" s="478"/>
      <c r="HM14" s="478"/>
      <c r="HN14" s="478"/>
      <c r="HO14" s="478"/>
      <c r="HP14" s="478"/>
      <c r="HQ14" s="478"/>
      <c r="HR14" s="478"/>
      <c r="HS14" s="478"/>
      <c r="HT14" s="478"/>
      <c r="HU14" s="478"/>
      <c r="HV14" s="478"/>
      <c r="HW14" s="478"/>
      <c r="HX14" s="478"/>
      <c r="HY14" s="478"/>
      <c r="HZ14" s="478"/>
      <c r="IA14" s="478"/>
      <c r="IB14" s="478"/>
      <c r="IC14" s="478"/>
      <c r="ID14" s="478"/>
      <c r="IE14" s="478"/>
      <c r="IF14" s="478"/>
      <c r="IG14" s="478"/>
      <c r="IH14" s="478"/>
      <c r="II14" s="478"/>
      <c r="IJ14" s="478"/>
      <c r="IK14" s="478"/>
      <c r="IL14" s="478"/>
      <c r="IM14" s="478"/>
      <c r="IN14" s="478"/>
      <c r="IO14" s="478"/>
      <c r="IP14" s="478"/>
      <c r="IQ14" s="478"/>
      <c r="IR14" s="478"/>
      <c r="IS14" s="478"/>
    </row>
    <row r="15" spans="1:253" s="3" customFormat="1" ht="31" x14ac:dyDescent="0.35">
      <c r="A15" s="544"/>
      <c r="B15" s="1090" t="s">
        <v>652</v>
      </c>
      <c r="C15" s="881"/>
      <c r="D15" s="678"/>
      <c r="E15" s="907"/>
      <c r="F15" s="908"/>
      <c r="G15" s="909"/>
      <c r="H15" s="523"/>
      <c r="I15" s="523"/>
      <c r="J15" s="523"/>
      <c r="K15" s="523"/>
      <c r="L15" s="478"/>
      <c r="M15" s="478"/>
      <c r="N15" s="478"/>
      <c r="O15" s="478"/>
      <c r="P15" s="478"/>
      <c r="Q15" s="478"/>
      <c r="R15" s="478"/>
      <c r="S15" s="478"/>
      <c r="T15" s="478"/>
      <c r="U15" s="478"/>
      <c r="V15" s="478"/>
      <c r="W15" s="478"/>
      <c r="X15" s="478"/>
      <c r="Y15" s="478"/>
      <c r="Z15" s="478"/>
      <c r="AA15" s="1089" t="s">
        <v>601</v>
      </c>
      <c r="AB15" s="478"/>
      <c r="AC15" s="478"/>
      <c r="AD15" s="478"/>
      <c r="AE15" s="478"/>
      <c r="AF15" s="478"/>
      <c r="AG15" s="478"/>
      <c r="AH15" s="478"/>
      <c r="AI15" s="478"/>
      <c r="AJ15" s="478"/>
      <c r="AK15" s="478"/>
      <c r="AL15" s="478"/>
      <c r="AM15" s="478"/>
      <c r="AN15" s="478"/>
      <c r="AO15" s="478"/>
      <c r="AP15" s="478"/>
      <c r="AQ15" s="478"/>
      <c r="AR15" s="478"/>
      <c r="AS15" s="478"/>
      <c r="AT15" s="478"/>
      <c r="AU15" s="478"/>
      <c r="AV15" s="478"/>
      <c r="AW15" s="478"/>
      <c r="AX15" s="478"/>
      <c r="AY15" s="478"/>
      <c r="AZ15" s="478"/>
      <c r="BA15" s="478"/>
      <c r="BB15" s="478"/>
      <c r="BC15" s="478"/>
      <c r="BD15" s="478"/>
      <c r="BE15" s="478"/>
      <c r="BF15" s="478"/>
      <c r="BG15" s="478"/>
      <c r="BH15" s="478"/>
      <c r="BI15" s="478"/>
      <c r="BJ15" s="478"/>
      <c r="BK15" s="478"/>
      <c r="BL15" s="478"/>
      <c r="BM15" s="478"/>
      <c r="BN15" s="478"/>
      <c r="BO15" s="478"/>
      <c r="BP15" s="478"/>
      <c r="BQ15" s="478"/>
      <c r="BR15" s="478"/>
      <c r="BS15" s="478"/>
      <c r="BT15" s="478"/>
      <c r="BU15" s="478"/>
      <c r="BV15" s="478"/>
      <c r="BW15" s="478"/>
      <c r="BX15" s="478"/>
      <c r="BY15" s="478"/>
      <c r="BZ15" s="478"/>
      <c r="CA15" s="478"/>
      <c r="CB15" s="478"/>
      <c r="CC15" s="478"/>
      <c r="CD15" s="478"/>
      <c r="CE15" s="478"/>
      <c r="CF15" s="478"/>
      <c r="CG15" s="478"/>
      <c r="CH15" s="478"/>
      <c r="CI15" s="478"/>
      <c r="CJ15" s="478"/>
      <c r="CK15" s="478"/>
      <c r="CL15" s="478"/>
      <c r="CM15" s="478"/>
      <c r="CN15" s="478"/>
      <c r="CO15" s="478"/>
      <c r="CP15" s="478"/>
      <c r="CQ15" s="478"/>
      <c r="CR15" s="478"/>
      <c r="CS15" s="478"/>
      <c r="CT15" s="478"/>
      <c r="CU15" s="478"/>
      <c r="CV15" s="478"/>
      <c r="CW15" s="478"/>
      <c r="CX15" s="478"/>
      <c r="CY15" s="478"/>
      <c r="CZ15" s="478"/>
      <c r="DA15" s="478"/>
      <c r="DB15" s="478"/>
      <c r="DC15" s="478"/>
      <c r="DD15" s="478"/>
      <c r="DE15" s="478"/>
      <c r="DF15" s="478"/>
      <c r="DG15" s="478"/>
      <c r="DH15" s="478"/>
      <c r="DI15" s="478"/>
      <c r="DJ15" s="478"/>
      <c r="DK15" s="478"/>
      <c r="DL15" s="478"/>
      <c r="DM15" s="478"/>
      <c r="DN15" s="478"/>
      <c r="DO15" s="478"/>
      <c r="DP15" s="478"/>
      <c r="DQ15" s="478"/>
      <c r="DR15" s="478"/>
      <c r="DS15" s="478"/>
      <c r="DT15" s="478"/>
      <c r="DU15" s="478"/>
      <c r="DV15" s="478"/>
      <c r="DW15" s="478"/>
      <c r="DX15" s="478"/>
      <c r="DY15" s="478"/>
      <c r="DZ15" s="478"/>
      <c r="EA15" s="478"/>
      <c r="EB15" s="478"/>
      <c r="EC15" s="478"/>
      <c r="ED15" s="478"/>
      <c r="EE15" s="478"/>
      <c r="EF15" s="478"/>
      <c r="EG15" s="478"/>
      <c r="EH15" s="478"/>
      <c r="EI15" s="478"/>
      <c r="EJ15" s="478"/>
      <c r="EK15" s="478"/>
      <c r="EL15" s="478"/>
      <c r="EM15" s="478"/>
      <c r="EN15" s="478"/>
      <c r="EO15" s="478"/>
      <c r="EP15" s="478"/>
      <c r="EQ15" s="478"/>
      <c r="ER15" s="478"/>
      <c r="ES15" s="478"/>
      <c r="ET15" s="478"/>
      <c r="EU15" s="478"/>
      <c r="EV15" s="478"/>
      <c r="EW15" s="478"/>
      <c r="EX15" s="478"/>
      <c r="EY15" s="478"/>
      <c r="EZ15" s="478"/>
      <c r="FA15" s="478"/>
      <c r="FB15" s="478"/>
      <c r="FC15" s="478"/>
      <c r="FD15" s="478"/>
      <c r="FE15" s="478"/>
      <c r="FF15" s="478"/>
      <c r="FG15" s="478"/>
      <c r="FH15" s="478"/>
      <c r="FI15" s="478"/>
      <c r="FJ15" s="478"/>
      <c r="FK15" s="478"/>
      <c r="FL15" s="478"/>
      <c r="FM15" s="478"/>
      <c r="FN15" s="478"/>
      <c r="FO15" s="478"/>
      <c r="FP15" s="478"/>
      <c r="FQ15" s="478"/>
      <c r="FR15" s="478"/>
      <c r="FS15" s="478"/>
      <c r="FT15" s="478"/>
      <c r="FU15" s="478"/>
      <c r="FV15" s="478"/>
      <c r="FW15" s="478"/>
      <c r="FX15" s="478"/>
      <c r="FY15" s="478"/>
      <c r="FZ15" s="478"/>
      <c r="GA15" s="478"/>
      <c r="GB15" s="478"/>
      <c r="GC15" s="478"/>
      <c r="GD15" s="478"/>
      <c r="GE15" s="478"/>
      <c r="GF15" s="478"/>
      <c r="GG15" s="478"/>
      <c r="GH15" s="478"/>
      <c r="GI15" s="478"/>
      <c r="GJ15" s="478"/>
      <c r="GK15" s="478"/>
      <c r="GL15" s="478"/>
      <c r="GM15" s="478"/>
      <c r="GN15" s="478"/>
      <c r="GO15" s="478"/>
      <c r="GP15" s="478"/>
      <c r="GQ15" s="478"/>
      <c r="GR15" s="478"/>
      <c r="GS15" s="478"/>
      <c r="GT15" s="478"/>
      <c r="GU15" s="478"/>
      <c r="GV15" s="478"/>
      <c r="GW15" s="478"/>
      <c r="GX15" s="478"/>
      <c r="GY15" s="478"/>
      <c r="GZ15" s="478"/>
      <c r="HA15" s="478"/>
      <c r="HB15" s="478"/>
      <c r="HC15" s="478"/>
      <c r="HD15" s="478"/>
      <c r="HE15" s="478"/>
      <c r="HF15" s="478"/>
      <c r="HG15" s="478"/>
      <c r="HH15" s="478"/>
      <c r="HI15" s="478"/>
      <c r="HJ15" s="478"/>
      <c r="HK15" s="478"/>
      <c r="HL15" s="478"/>
      <c r="HM15" s="478"/>
      <c r="HN15" s="478"/>
      <c r="HO15" s="478"/>
      <c r="HP15" s="478"/>
      <c r="HQ15" s="478"/>
      <c r="HR15" s="478"/>
      <c r="HS15" s="478"/>
      <c r="HT15" s="478"/>
      <c r="HU15" s="478"/>
      <c r="HV15" s="478"/>
      <c r="HW15" s="478"/>
      <c r="HX15" s="478"/>
      <c r="HY15" s="478"/>
      <c r="HZ15" s="478"/>
      <c r="IA15" s="478"/>
      <c r="IB15" s="478"/>
      <c r="IC15" s="478"/>
      <c r="ID15" s="478"/>
      <c r="IE15" s="478"/>
      <c r="IF15" s="478"/>
      <c r="IG15" s="478"/>
      <c r="IH15" s="478"/>
      <c r="II15" s="478"/>
      <c r="IJ15" s="478"/>
      <c r="IK15" s="478"/>
      <c r="IL15" s="478"/>
      <c r="IM15" s="478"/>
      <c r="IN15" s="478"/>
      <c r="IO15" s="478"/>
      <c r="IP15" s="478"/>
      <c r="IQ15" s="478"/>
      <c r="IR15" s="478"/>
      <c r="IS15" s="478"/>
    </row>
    <row r="16" spans="1:253" s="3" customFormat="1" ht="31" x14ac:dyDescent="0.35">
      <c r="A16" s="544"/>
      <c r="B16" s="1090" t="s">
        <v>653</v>
      </c>
      <c r="C16" s="881"/>
      <c r="D16" s="678"/>
      <c r="E16" s="907"/>
      <c r="F16" s="908"/>
      <c r="G16" s="909"/>
      <c r="H16" s="523"/>
      <c r="I16" s="523"/>
      <c r="J16" s="523"/>
      <c r="K16" s="523"/>
      <c r="L16" s="478"/>
      <c r="M16" s="478"/>
      <c r="N16" s="478"/>
      <c r="O16" s="478"/>
      <c r="P16" s="478"/>
      <c r="Q16" s="478"/>
      <c r="R16" s="478"/>
      <c r="S16" s="478"/>
      <c r="T16" s="478"/>
      <c r="U16" s="478"/>
      <c r="V16" s="478"/>
      <c r="W16" s="478"/>
      <c r="X16" s="478"/>
      <c r="Y16" s="478"/>
      <c r="Z16" s="478"/>
      <c r="AA16" s="1089" t="s">
        <v>601</v>
      </c>
      <c r="AB16" s="478"/>
      <c r="AC16" s="478"/>
      <c r="AD16" s="478"/>
      <c r="AE16" s="478"/>
      <c r="AF16" s="478"/>
      <c r="AG16" s="478"/>
      <c r="AH16" s="478"/>
      <c r="AI16" s="478"/>
      <c r="AJ16" s="478"/>
      <c r="AK16" s="478"/>
      <c r="AL16" s="478"/>
      <c r="AM16" s="478"/>
      <c r="AN16" s="478"/>
      <c r="AO16" s="478"/>
      <c r="AP16" s="478"/>
      <c r="AQ16" s="478"/>
      <c r="AR16" s="478"/>
      <c r="AS16" s="478"/>
      <c r="AT16" s="478"/>
      <c r="AU16" s="478"/>
      <c r="AV16" s="478"/>
      <c r="AW16" s="478"/>
      <c r="AX16" s="478"/>
      <c r="AY16" s="478"/>
      <c r="AZ16" s="478"/>
      <c r="BA16" s="478"/>
      <c r="BB16" s="478"/>
      <c r="BC16" s="478"/>
      <c r="BD16" s="478"/>
      <c r="BE16" s="478"/>
      <c r="BF16" s="478"/>
      <c r="BG16" s="478"/>
      <c r="BH16" s="478"/>
      <c r="BI16" s="478"/>
      <c r="BJ16" s="478"/>
      <c r="BK16" s="478"/>
      <c r="BL16" s="478"/>
      <c r="BM16" s="478"/>
      <c r="BN16" s="478"/>
      <c r="BO16" s="478"/>
      <c r="BP16" s="478"/>
      <c r="BQ16" s="478"/>
      <c r="BR16" s="478"/>
      <c r="BS16" s="478"/>
      <c r="BT16" s="478"/>
      <c r="BU16" s="478"/>
      <c r="BV16" s="478"/>
      <c r="BW16" s="478"/>
      <c r="BX16" s="478"/>
      <c r="BY16" s="478"/>
      <c r="BZ16" s="478"/>
      <c r="CA16" s="478"/>
      <c r="CB16" s="478"/>
      <c r="CC16" s="478"/>
      <c r="CD16" s="478"/>
      <c r="CE16" s="478"/>
      <c r="CF16" s="478"/>
      <c r="CG16" s="478"/>
      <c r="CH16" s="478"/>
      <c r="CI16" s="478"/>
      <c r="CJ16" s="478"/>
      <c r="CK16" s="478"/>
      <c r="CL16" s="478"/>
      <c r="CM16" s="478"/>
      <c r="CN16" s="478"/>
      <c r="CO16" s="478"/>
      <c r="CP16" s="478"/>
      <c r="CQ16" s="478"/>
      <c r="CR16" s="478"/>
      <c r="CS16" s="478"/>
      <c r="CT16" s="478"/>
      <c r="CU16" s="478"/>
      <c r="CV16" s="478"/>
      <c r="CW16" s="478"/>
      <c r="CX16" s="478"/>
      <c r="CY16" s="478"/>
      <c r="CZ16" s="478"/>
      <c r="DA16" s="478"/>
      <c r="DB16" s="478"/>
      <c r="DC16" s="478"/>
      <c r="DD16" s="478"/>
      <c r="DE16" s="478"/>
      <c r="DF16" s="478"/>
      <c r="DG16" s="478"/>
      <c r="DH16" s="478"/>
      <c r="DI16" s="478"/>
      <c r="DJ16" s="478"/>
      <c r="DK16" s="478"/>
      <c r="DL16" s="478"/>
      <c r="DM16" s="478"/>
      <c r="DN16" s="478"/>
      <c r="DO16" s="478"/>
      <c r="DP16" s="478"/>
      <c r="DQ16" s="478"/>
      <c r="DR16" s="478"/>
      <c r="DS16" s="478"/>
      <c r="DT16" s="478"/>
      <c r="DU16" s="478"/>
      <c r="DV16" s="478"/>
      <c r="DW16" s="478"/>
      <c r="DX16" s="478"/>
      <c r="DY16" s="478"/>
      <c r="DZ16" s="478"/>
      <c r="EA16" s="478"/>
      <c r="EB16" s="478"/>
      <c r="EC16" s="478"/>
      <c r="ED16" s="478"/>
      <c r="EE16" s="478"/>
      <c r="EF16" s="478"/>
      <c r="EG16" s="478"/>
      <c r="EH16" s="478"/>
      <c r="EI16" s="478"/>
      <c r="EJ16" s="478"/>
      <c r="EK16" s="478"/>
      <c r="EL16" s="478"/>
      <c r="EM16" s="478"/>
      <c r="EN16" s="478"/>
      <c r="EO16" s="478"/>
      <c r="EP16" s="478"/>
      <c r="EQ16" s="478"/>
      <c r="ER16" s="478"/>
      <c r="ES16" s="478"/>
      <c r="ET16" s="478"/>
      <c r="EU16" s="478"/>
      <c r="EV16" s="478"/>
      <c r="EW16" s="478"/>
      <c r="EX16" s="478"/>
      <c r="EY16" s="478"/>
      <c r="EZ16" s="478"/>
      <c r="FA16" s="478"/>
      <c r="FB16" s="478"/>
      <c r="FC16" s="478"/>
      <c r="FD16" s="478"/>
      <c r="FE16" s="478"/>
      <c r="FF16" s="478"/>
      <c r="FG16" s="478"/>
      <c r="FH16" s="478"/>
      <c r="FI16" s="478"/>
      <c r="FJ16" s="478"/>
      <c r="FK16" s="478"/>
      <c r="FL16" s="478"/>
      <c r="FM16" s="478"/>
      <c r="FN16" s="478"/>
      <c r="FO16" s="478"/>
      <c r="FP16" s="478"/>
      <c r="FQ16" s="478"/>
      <c r="FR16" s="478"/>
      <c r="FS16" s="478"/>
      <c r="FT16" s="478"/>
      <c r="FU16" s="478"/>
      <c r="FV16" s="478"/>
      <c r="FW16" s="478"/>
      <c r="FX16" s="478"/>
      <c r="FY16" s="478"/>
      <c r="FZ16" s="478"/>
      <c r="GA16" s="478"/>
      <c r="GB16" s="478"/>
      <c r="GC16" s="478"/>
      <c r="GD16" s="478"/>
      <c r="GE16" s="478"/>
      <c r="GF16" s="478"/>
      <c r="GG16" s="478"/>
      <c r="GH16" s="478"/>
      <c r="GI16" s="478"/>
      <c r="GJ16" s="478"/>
      <c r="GK16" s="478"/>
      <c r="GL16" s="478"/>
      <c r="GM16" s="478"/>
      <c r="GN16" s="478"/>
      <c r="GO16" s="478"/>
      <c r="GP16" s="478"/>
      <c r="GQ16" s="478"/>
      <c r="GR16" s="478"/>
      <c r="GS16" s="478"/>
      <c r="GT16" s="478"/>
      <c r="GU16" s="478"/>
      <c r="GV16" s="478"/>
      <c r="GW16" s="478"/>
      <c r="GX16" s="478"/>
      <c r="GY16" s="478"/>
      <c r="GZ16" s="478"/>
      <c r="HA16" s="478"/>
      <c r="HB16" s="478"/>
      <c r="HC16" s="478"/>
      <c r="HD16" s="478"/>
      <c r="HE16" s="478"/>
      <c r="HF16" s="478"/>
      <c r="HG16" s="478"/>
      <c r="HH16" s="478"/>
      <c r="HI16" s="478"/>
      <c r="HJ16" s="478"/>
      <c r="HK16" s="478"/>
      <c r="HL16" s="478"/>
      <c r="HM16" s="478"/>
      <c r="HN16" s="478"/>
      <c r="HO16" s="478"/>
      <c r="HP16" s="478"/>
      <c r="HQ16" s="478"/>
      <c r="HR16" s="478"/>
      <c r="HS16" s="478"/>
      <c r="HT16" s="478"/>
      <c r="HU16" s="478"/>
      <c r="HV16" s="478"/>
      <c r="HW16" s="478"/>
      <c r="HX16" s="478"/>
      <c r="HY16" s="478"/>
      <c r="HZ16" s="478"/>
      <c r="IA16" s="478"/>
      <c r="IB16" s="478"/>
      <c r="IC16" s="478"/>
      <c r="ID16" s="478"/>
      <c r="IE16" s="478"/>
      <c r="IF16" s="478"/>
      <c r="IG16" s="478"/>
      <c r="IH16" s="478"/>
      <c r="II16" s="478"/>
      <c r="IJ16" s="478"/>
      <c r="IK16" s="478"/>
      <c r="IL16" s="478"/>
      <c r="IM16" s="478"/>
      <c r="IN16" s="478"/>
      <c r="IO16" s="478"/>
      <c r="IP16" s="478"/>
      <c r="IQ16" s="478"/>
      <c r="IR16" s="478"/>
      <c r="IS16" s="478"/>
    </row>
    <row r="17" spans="1:253" s="3" customFormat="1" ht="31" x14ac:dyDescent="0.35">
      <c r="A17" s="544"/>
      <c r="B17" s="1090" t="s">
        <v>654</v>
      </c>
      <c r="C17" s="881"/>
      <c r="D17" s="678"/>
      <c r="E17" s="907"/>
      <c r="F17" s="908"/>
      <c r="G17" s="909"/>
      <c r="H17" s="523"/>
      <c r="I17" s="523"/>
      <c r="J17" s="523"/>
      <c r="K17" s="523"/>
      <c r="L17" s="478"/>
      <c r="M17" s="478"/>
      <c r="N17" s="478"/>
      <c r="O17" s="478"/>
      <c r="P17" s="478"/>
      <c r="Q17" s="478"/>
      <c r="R17" s="478"/>
      <c r="S17" s="478"/>
      <c r="T17" s="478"/>
      <c r="U17" s="478"/>
      <c r="V17" s="478"/>
      <c r="W17" s="478"/>
      <c r="X17" s="478"/>
      <c r="Y17" s="478"/>
      <c r="Z17" s="478"/>
      <c r="AA17" s="1089" t="s">
        <v>601</v>
      </c>
      <c r="AB17" s="478"/>
      <c r="AC17" s="478"/>
      <c r="AD17" s="478"/>
      <c r="AE17" s="478"/>
      <c r="AF17" s="478"/>
      <c r="AG17" s="478"/>
      <c r="AH17" s="478"/>
      <c r="AI17" s="478"/>
      <c r="AJ17" s="478"/>
      <c r="AK17" s="478"/>
      <c r="AL17" s="478"/>
      <c r="AM17" s="478"/>
      <c r="AN17" s="478"/>
      <c r="AO17" s="478"/>
      <c r="AP17" s="478"/>
      <c r="AQ17" s="478"/>
      <c r="AR17" s="478"/>
      <c r="AS17" s="478"/>
      <c r="AT17" s="478"/>
      <c r="AU17" s="478"/>
      <c r="AV17" s="478"/>
      <c r="AW17" s="478"/>
      <c r="AX17" s="478"/>
      <c r="AY17" s="478"/>
      <c r="AZ17" s="478"/>
      <c r="BA17" s="478"/>
      <c r="BB17" s="478"/>
      <c r="BC17" s="478"/>
      <c r="BD17" s="478"/>
      <c r="BE17" s="478"/>
      <c r="BF17" s="478"/>
      <c r="BG17" s="478"/>
      <c r="BH17" s="478"/>
      <c r="BI17" s="478"/>
      <c r="BJ17" s="478"/>
      <c r="BK17" s="478"/>
      <c r="BL17" s="478"/>
      <c r="BM17" s="478"/>
      <c r="BN17" s="478"/>
      <c r="BO17" s="478"/>
      <c r="BP17" s="478"/>
      <c r="BQ17" s="478"/>
      <c r="BR17" s="478"/>
      <c r="BS17" s="478"/>
      <c r="BT17" s="478"/>
      <c r="BU17" s="478"/>
      <c r="BV17" s="478"/>
      <c r="BW17" s="478"/>
      <c r="BX17" s="478"/>
      <c r="BY17" s="478"/>
      <c r="BZ17" s="478"/>
      <c r="CA17" s="478"/>
      <c r="CB17" s="478"/>
      <c r="CC17" s="478"/>
      <c r="CD17" s="478"/>
      <c r="CE17" s="478"/>
      <c r="CF17" s="478"/>
      <c r="CG17" s="478"/>
      <c r="CH17" s="478"/>
      <c r="CI17" s="478"/>
      <c r="CJ17" s="478"/>
      <c r="CK17" s="478"/>
      <c r="CL17" s="478"/>
      <c r="CM17" s="478"/>
      <c r="CN17" s="478"/>
      <c r="CO17" s="478"/>
      <c r="CP17" s="478"/>
      <c r="CQ17" s="478"/>
      <c r="CR17" s="478"/>
      <c r="CS17" s="478"/>
      <c r="CT17" s="478"/>
      <c r="CU17" s="478"/>
      <c r="CV17" s="478"/>
      <c r="CW17" s="478"/>
      <c r="CX17" s="478"/>
      <c r="CY17" s="478"/>
      <c r="CZ17" s="478"/>
      <c r="DA17" s="478"/>
      <c r="DB17" s="478"/>
      <c r="DC17" s="478"/>
      <c r="DD17" s="478"/>
      <c r="DE17" s="478"/>
      <c r="DF17" s="478"/>
      <c r="DG17" s="478"/>
      <c r="DH17" s="478"/>
      <c r="DI17" s="478"/>
      <c r="DJ17" s="478"/>
      <c r="DK17" s="478"/>
      <c r="DL17" s="478"/>
      <c r="DM17" s="478"/>
      <c r="DN17" s="478"/>
      <c r="DO17" s="478"/>
      <c r="DP17" s="478"/>
      <c r="DQ17" s="478"/>
      <c r="DR17" s="478"/>
      <c r="DS17" s="478"/>
      <c r="DT17" s="478"/>
      <c r="DU17" s="478"/>
      <c r="DV17" s="478"/>
      <c r="DW17" s="478"/>
      <c r="DX17" s="478"/>
      <c r="DY17" s="478"/>
      <c r="DZ17" s="478"/>
      <c r="EA17" s="478"/>
      <c r="EB17" s="478"/>
      <c r="EC17" s="478"/>
      <c r="ED17" s="478"/>
      <c r="EE17" s="478"/>
      <c r="EF17" s="478"/>
      <c r="EG17" s="478"/>
      <c r="EH17" s="478"/>
      <c r="EI17" s="478"/>
      <c r="EJ17" s="478"/>
      <c r="EK17" s="478"/>
      <c r="EL17" s="478"/>
      <c r="EM17" s="478"/>
      <c r="EN17" s="478"/>
      <c r="EO17" s="478"/>
      <c r="EP17" s="478"/>
      <c r="EQ17" s="478"/>
      <c r="ER17" s="478"/>
      <c r="ES17" s="478"/>
      <c r="ET17" s="478"/>
      <c r="EU17" s="478"/>
      <c r="EV17" s="478"/>
      <c r="EW17" s="478"/>
      <c r="EX17" s="478"/>
      <c r="EY17" s="478"/>
      <c r="EZ17" s="478"/>
      <c r="FA17" s="478"/>
      <c r="FB17" s="478"/>
      <c r="FC17" s="478"/>
      <c r="FD17" s="478"/>
      <c r="FE17" s="478"/>
      <c r="FF17" s="478"/>
      <c r="FG17" s="478"/>
      <c r="FH17" s="478"/>
      <c r="FI17" s="478"/>
      <c r="FJ17" s="478"/>
      <c r="FK17" s="478"/>
      <c r="FL17" s="478"/>
      <c r="FM17" s="478"/>
      <c r="FN17" s="478"/>
      <c r="FO17" s="478"/>
      <c r="FP17" s="478"/>
      <c r="FQ17" s="478"/>
      <c r="FR17" s="478"/>
      <c r="FS17" s="478"/>
      <c r="FT17" s="478"/>
      <c r="FU17" s="478"/>
      <c r="FV17" s="478"/>
      <c r="FW17" s="478"/>
      <c r="FX17" s="478"/>
      <c r="FY17" s="478"/>
      <c r="FZ17" s="478"/>
      <c r="GA17" s="478"/>
      <c r="GB17" s="478"/>
      <c r="GC17" s="478"/>
      <c r="GD17" s="478"/>
      <c r="GE17" s="478"/>
      <c r="GF17" s="478"/>
      <c r="GG17" s="478"/>
      <c r="GH17" s="478"/>
      <c r="GI17" s="478"/>
      <c r="GJ17" s="478"/>
      <c r="GK17" s="478"/>
      <c r="GL17" s="478"/>
      <c r="GM17" s="478"/>
      <c r="GN17" s="478"/>
      <c r="GO17" s="478"/>
      <c r="GP17" s="478"/>
      <c r="GQ17" s="478"/>
      <c r="GR17" s="478"/>
      <c r="GS17" s="478"/>
      <c r="GT17" s="478"/>
      <c r="GU17" s="478"/>
      <c r="GV17" s="478"/>
      <c r="GW17" s="478"/>
      <c r="GX17" s="478"/>
      <c r="GY17" s="478"/>
      <c r="GZ17" s="478"/>
      <c r="HA17" s="478"/>
      <c r="HB17" s="478"/>
      <c r="HC17" s="478"/>
      <c r="HD17" s="478"/>
      <c r="HE17" s="478"/>
      <c r="HF17" s="478"/>
      <c r="HG17" s="478"/>
      <c r="HH17" s="478"/>
      <c r="HI17" s="478"/>
      <c r="HJ17" s="478"/>
      <c r="HK17" s="478"/>
      <c r="HL17" s="478"/>
      <c r="HM17" s="478"/>
      <c r="HN17" s="478"/>
      <c r="HO17" s="478"/>
      <c r="HP17" s="478"/>
      <c r="HQ17" s="478"/>
      <c r="HR17" s="478"/>
      <c r="HS17" s="478"/>
      <c r="HT17" s="478"/>
      <c r="HU17" s="478"/>
      <c r="HV17" s="478"/>
      <c r="HW17" s="478"/>
      <c r="HX17" s="478"/>
      <c r="HY17" s="478"/>
      <c r="HZ17" s="478"/>
      <c r="IA17" s="478"/>
      <c r="IB17" s="478"/>
      <c r="IC17" s="478"/>
      <c r="ID17" s="478"/>
      <c r="IE17" s="478"/>
      <c r="IF17" s="478"/>
      <c r="IG17" s="478"/>
      <c r="IH17" s="478"/>
      <c r="II17" s="478"/>
      <c r="IJ17" s="478"/>
      <c r="IK17" s="478"/>
      <c r="IL17" s="478"/>
      <c r="IM17" s="478"/>
      <c r="IN17" s="478"/>
      <c r="IO17" s="478"/>
      <c r="IP17" s="478"/>
      <c r="IQ17" s="478"/>
      <c r="IR17" s="478"/>
      <c r="IS17" s="478"/>
    </row>
    <row r="18" spans="1:253" ht="17.149999999999999" customHeight="1" x14ac:dyDescent="0.35">
      <c r="A18" s="544"/>
      <c r="B18" s="601"/>
      <c r="C18" s="601"/>
      <c r="D18" s="523"/>
      <c r="E18" s="523"/>
      <c r="F18" s="523"/>
      <c r="G18" s="523"/>
      <c r="H18" s="678"/>
      <c r="I18" s="489"/>
      <c r="J18" s="489"/>
      <c r="K18" s="489"/>
      <c r="L18" s="489"/>
      <c r="M18" s="478"/>
      <c r="AY18" s="544"/>
      <c r="AZ18" s="544"/>
      <c r="BA18" s="544"/>
      <c r="BB18" s="544"/>
      <c r="BC18" s="544"/>
      <c r="BD18" s="544"/>
      <c r="BE18" s="544"/>
      <c r="BF18" s="544"/>
      <c r="BG18" s="544"/>
      <c r="BH18" s="544"/>
      <c r="BI18" s="544"/>
      <c r="BJ18" s="544"/>
      <c r="BK18" s="544"/>
      <c r="BL18" s="544"/>
      <c r="BM18" s="544"/>
      <c r="BN18" s="544"/>
      <c r="BO18" s="544"/>
      <c r="BP18" s="544"/>
      <c r="BQ18" s="544"/>
      <c r="BR18" s="544"/>
      <c r="BS18" s="544"/>
      <c r="BT18" s="544"/>
      <c r="BU18" s="544"/>
      <c r="BV18" s="544"/>
      <c r="BW18" s="544"/>
      <c r="BX18" s="544"/>
      <c r="BY18" s="544"/>
      <c r="BZ18" s="544"/>
      <c r="CA18" s="544"/>
      <c r="CB18" s="544"/>
      <c r="CC18" s="544"/>
      <c r="CD18" s="544"/>
      <c r="CE18" s="544"/>
      <c r="CF18" s="544"/>
      <c r="CG18" s="544"/>
      <c r="CH18" s="544"/>
      <c r="CI18" s="544"/>
      <c r="CJ18" s="544"/>
      <c r="CK18" s="544"/>
      <c r="CL18" s="544"/>
      <c r="CM18" s="544"/>
      <c r="CN18" s="544"/>
      <c r="CO18" s="544"/>
      <c r="CP18" s="544"/>
      <c r="CQ18" s="544"/>
      <c r="CR18" s="544"/>
      <c r="CS18" s="544"/>
      <c r="CT18" s="544"/>
      <c r="CU18" s="544"/>
      <c r="CV18" s="544"/>
      <c r="CW18" s="544"/>
      <c r="CX18" s="544"/>
      <c r="CY18" s="544"/>
      <c r="CZ18" s="544"/>
      <c r="DA18" s="544"/>
      <c r="DB18" s="544"/>
      <c r="DC18" s="544"/>
      <c r="DD18" s="544"/>
      <c r="DE18" s="544"/>
      <c r="DF18" s="544"/>
      <c r="DG18" s="544"/>
      <c r="DH18" s="544"/>
      <c r="DI18" s="544"/>
      <c r="DJ18" s="544"/>
      <c r="DK18" s="544"/>
      <c r="DL18" s="544"/>
      <c r="DM18" s="544"/>
      <c r="DN18" s="544"/>
      <c r="DO18" s="544"/>
      <c r="DP18" s="544"/>
      <c r="DQ18" s="544"/>
      <c r="DR18" s="544"/>
      <c r="DS18" s="544"/>
      <c r="DT18" s="544"/>
      <c r="DU18" s="544"/>
      <c r="DV18" s="544"/>
      <c r="DW18" s="544"/>
      <c r="DX18" s="544"/>
      <c r="DY18" s="544"/>
      <c r="DZ18" s="544"/>
      <c r="EA18" s="544"/>
      <c r="EB18" s="544"/>
      <c r="EC18" s="544"/>
      <c r="ED18" s="544"/>
      <c r="EE18" s="544"/>
      <c r="EF18" s="544"/>
      <c r="EG18" s="544"/>
      <c r="EH18" s="544"/>
      <c r="EI18" s="544"/>
      <c r="EJ18" s="544"/>
      <c r="EK18" s="544"/>
      <c r="EL18" s="544"/>
      <c r="EM18" s="544"/>
      <c r="EN18" s="544"/>
      <c r="EO18" s="544"/>
      <c r="EP18" s="544"/>
      <c r="EQ18" s="544"/>
      <c r="ER18" s="544"/>
      <c r="ES18" s="544"/>
      <c r="ET18" s="544"/>
      <c r="EU18" s="544"/>
      <c r="EV18" s="544"/>
      <c r="EW18" s="544"/>
      <c r="EX18" s="544"/>
      <c r="EY18" s="544"/>
      <c r="EZ18" s="544"/>
      <c r="FA18" s="544"/>
      <c r="FB18" s="544"/>
      <c r="FC18" s="544"/>
      <c r="FD18" s="544"/>
      <c r="FE18" s="544"/>
      <c r="FF18" s="544"/>
      <c r="FG18" s="544"/>
      <c r="FH18" s="544"/>
      <c r="FI18" s="544"/>
      <c r="FJ18" s="544"/>
      <c r="FK18" s="544"/>
      <c r="FL18" s="544"/>
      <c r="FM18" s="544"/>
      <c r="FN18" s="544"/>
      <c r="FO18" s="544"/>
      <c r="FP18" s="544"/>
      <c r="FQ18" s="544"/>
      <c r="FR18" s="544"/>
      <c r="FS18" s="544"/>
      <c r="FT18" s="544"/>
      <c r="FU18" s="544"/>
      <c r="FV18" s="544"/>
      <c r="FW18" s="544"/>
      <c r="FX18" s="544"/>
      <c r="FY18" s="544"/>
      <c r="FZ18" s="544"/>
      <c r="GA18" s="544"/>
      <c r="GB18" s="544"/>
      <c r="GC18" s="544"/>
      <c r="GD18" s="544"/>
      <c r="GE18" s="544"/>
      <c r="GF18" s="544"/>
      <c r="GG18" s="544"/>
      <c r="GH18" s="544"/>
      <c r="GI18" s="544"/>
      <c r="GJ18" s="544"/>
      <c r="GK18" s="544"/>
      <c r="GL18" s="544"/>
      <c r="GM18" s="544"/>
      <c r="GN18" s="544"/>
      <c r="GO18" s="544"/>
      <c r="GP18" s="544"/>
      <c r="GQ18" s="544"/>
      <c r="GR18" s="544"/>
      <c r="GS18" s="544"/>
      <c r="GT18" s="544"/>
      <c r="GU18" s="544"/>
      <c r="GV18" s="544"/>
      <c r="GW18" s="544"/>
      <c r="GX18" s="544"/>
      <c r="GY18" s="544"/>
      <c r="GZ18" s="544"/>
      <c r="HA18" s="544"/>
      <c r="HB18" s="544"/>
      <c r="HC18" s="544"/>
      <c r="HD18" s="544"/>
      <c r="HE18" s="544"/>
      <c r="HF18" s="544"/>
      <c r="HG18" s="544"/>
      <c r="HH18" s="544"/>
      <c r="HI18" s="544"/>
      <c r="HJ18" s="544"/>
      <c r="HK18" s="544"/>
      <c r="HL18" s="544"/>
      <c r="HM18" s="544"/>
      <c r="HN18" s="544"/>
      <c r="HO18" s="544"/>
      <c r="HP18" s="544"/>
      <c r="HQ18" s="544"/>
      <c r="HR18" s="544"/>
      <c r="HS18" s="544"/>
      <c r="HT18" s="544"/>
      <c r="HU18" s="544"/>
      <c r="HV18" s="544"/>
      <c r="HW18" s="544"/>
      <c r="HX18" s="544"/>
      <c r="HY18" s="544"/>
      <c r="HZ18" s="544"/>
      <c r="IA18" s="544"/>
      <c r="IB18" s="544"/>
      <c r="IC18" s="544"/>
      <c r="ID18" s="544"/>
      <c r="IE18" s="544"/>
      <c r="IF18" s="544"/>
      <c r="IG18" s="544"/>
      <c r="IH18" s="544"/>
      <c r="II18" s="544"/>
      <c r="IJ18" s="544"/>
      <c r="IK18" s="544"/>
      <c r="IL18" s="544"/>
      <c r="IM18" s="544"/>
      <c r="IN18" s="544"/>
      <c r="IO18" s="544"/>
      <c r="IP18" s="544"/>
      <c r="IQ18" s="544"/>
      <c r="IR18" s="544"/>
      <c r="IS18" s="544"/>
    </row>
    <row r="19" spans="1:253" ht="17.149999999999999" customHeight="1" x14ac:dyDescent="0.35">
      <c r="A19" s="544"/>
      <c r="B19" s="645"/>
      <c r="C19" s="1091"/>
      <c r="D19" s="661"/>
      <c r="E19" s="661"/>
      <c r="F19" s="661"/>
      <c r="G19" s="661"/>
      <c r="H19" s="678"/>
      <c r="I19" s="489"/>
      <c r="J19" s="489"/>
      <c r="K19" s="489"/>
      <c r="L19" s="489"/>
      <c r="M19" s="478"/>
      <c r="AY19" s="544"/>
      <c r="AZ19" s="544"/>
      <c r="BA19" s="544"/>
      <c r="BB19" s="544"/>
      <c r="BC19" s="544"/>
      <c r="BD19" s="544"/>
      <c r="BE19" s="544"/>
      <c r="BF19" s="544"/>
      <c r="BG19" s="544"/>
      <c r="BH19" s="544"/>
      <c r="BI19" s="544"/>
      <c r="BJ19" s="544"/>
      <c r="BK19" s="544"/>
      <c r="BL19" s="544"/>
      <c r="BM19" s="544"/>
      <c r="BN19" s="544"/>
      <c r="BO19" s="544"/>
      <c r="BP19" s="544"/>
      <c r="BQ19" s="544"/>
      <c r="BR19" s="544"/>
      <c r="BS19" s="544"/>
      <c r="BT19" s="544"/>
      <c r="BU19" s="544"/>
      <c r="BV19" s="544"/>
      <c r="BW19" s="544"/>
      <c r="BX19" s="544"/>
      <c r="BY19" s="544"/>
      <c r="BZ19" s="544"/>
      <c r="CA19" s="544"/>
      <c r="CB19" s="544"/>
      <c r="CC19" s="544"/>
      <c r="CD19" s="544"/>
      <c r="CE19" s="544"/>
      <c r="CF19" s="544"/>
      <c r="CG19" s="544"/>
      <c r="CH19" s="544"/>
      <c r="CI19" s="544"/>
      <c r="CJ19" s="544"/>
      <c r="CK19" s="544"/>
      <c r="CL19" s="544"/>
      <c r="CM19" s="544"/>
      <c r="CN19" s="544"/>
      <c r="CO19" s="544"/>
      <c r="CP19" s="544"/>
      <c r="CQ19" s="544"/>
      <c r="CR19" s="544"/>
      <c r="CS19" s="544"/>
      <c r="CT19" s="544"/>
      <c r="CU19" s="544"/>
      <c r="CV19" s="544"/>
      <c r="CW19" s="544"/>
      <c r="CX19" s="544"/>
      <c r="CY19" s="544"/>
      <c r="CZ19" s="544"/>
      <c r="DA19" s="544"/>
      <c r="DB19" s="544"/>
      <c r="DC19" s="544"/>
      <c r="DD19" s="544"/>
      <c r="DE19" s="544"/>
      <c r="DF19" s="544"/>
      <c r="DG19" s="544"/>
      <c r="DH19" s="544"/>
      <c r="DI19" s="544"/>
      <c r="DJ19" s="544"/>
      <c r="DK19" s="544"/>
      <c r="DL19" s="544"/>
      <c r="DM19" s="544"/>
      <c r="DN19" s="544"/>
      <c r="DO19" s="544"/>
      <c r="DP19" s="544"/>
      <c r="DQ19" s="544"/>
      <c r="DR19" s="544"/>
      <c r="DS19" s="544"/>
      <c r="DT19" s="544"/>
      <c r="DU19" s="544"/>
      <c r="DV19" s="544"/>
      <c r="DW19" s="544"/>
      <c r="DX19" s="544"/>
      <c r="DY19" s="544"/>
      <c r="DZ19" s="544"/>
      <c r="EA19" s="544"/>
      <c r="EB19" s="544"/>
      <c r="EC19" s="544"/>
      <c r="ED19" s="544"/>
      <c r="EE19" s="544"/>
      <c r="EF19" s="544"/>
      <c r="EG19" s="544"/>
      <c r="EH19" s="544"/>
      <c r="EI19" s="544"/>
      <c r="EJ19" s="544"/>
      <c r="EK19" s="544"/>
      <c r="EL19" s="544"/>
      <c r="EM19" s="544"/>
      <c r="EN19" s="544"/>
      <c r="EO19" s="544"/>
      <c r="EP19" s="544"/>
      <c r="EQ19" s="544"/>
      <c r="ER19" s="544"/>
      <c r="ES19" s="544"/>
      <c r="ET19" s="544"/>
      <c r="EU19" s="544"/>
      <c r="EV19" s="544"/>
      <c r="EW19" s="544"/>
      <c r="EX19" s="544"/>
      <c r="EY19" s="544"/>
      <c r="EZ19" s="544"/>
      <c r="FA19" s="544"/>
      <c r="FB19" s="544"/>
      <c r="FC19" s="544"/>
      <c r="FD19" s="544"/>
      <c r="FE19" s="544"/>
      <c r="FF19" s="544"/>
      <c r="FG19" s="544"/>
      <c r="FH19" s="544"/>
      <c r="FI19" s="544"/>
      <c r="FJ19" s="544"/>
      <c r="FK19" s="544"/>
      <c r="FL19" s="544"/>
      <c r="FM19" s="544"/>
      <c r="FN19" s="544"/>
      <c r="FO19" s="544"/>
      <c r="FP19" s="544"/>
      <c r="FQ19" s="544"/>
      <c r="FR19" s="544"/>
      <c r="FS19" s="544"/>
      <c r="FT19" s="544"/>
      <c r="FU19" s="544"/>
      <c r="FV19" s="544"/>
      <c r="FW19" s="544"/>
      <c r="FX19" s="544"/>
      <c r="FY19" s="544"/>
      <c r="FZ19" s="544"/>
      <c r="GA19" s="544"/>
      <c r="GB19" s="544"/>
      <c r="GC19" s="544"/>
      <c r="GD19" s="544"/>
      <c r="GE19" s="544"/>
      <c r="GF19" s="544"/>
      <c r="GG19" s="544"/>
      <c r="GH19" s="544"/>
      <c r="GI19" s="544"/>
      <c r="GJ19" s="544"/>
      <c r="GK19" s="544"/>
      <c r="GL19" s="544"/>
      <c r="GM19" s="544"/>
      <c r="GN19" s="544"/>
      <c r="GO19" s="544"/>
      <c r="GP19" s="544"/>
      <c r="GQ19" s="544"/>
      <c r="GR19" s="544"/>
      <c r="GS19" s="544"/>
      <c r="GT19" s="544"/>
      <c r="GU19" s="544"/>
      <c r="GV19" s="544"/>
      <c r="GW19" s="544"/>
      <c r="GX19" s="544"/>
      <c r="GY19" s="544"/>
      <c r="GZ19" s="544"/>
      <c r="HA19" s="544"/>
      <c r="HB19" s="544"/>
      <c r="HC19" s="544"/>
      <c r="HD19" s="544"/>
      <c r="HE19" s="544"/>
      <c r="HF19" s="544"/>
      <c r="HG19" s="544"/>
      <c r="HH19" s="544"/>
      <c r="HI19" s="544"/>
      <c r="HJ19" s="544"/>
      <c r="HK19" s="544"/>
      <c r="HL19" s="544"/>
      <c r="HM19" s="544"/>
      <c r="HN19" s="544"/>
      <c r="HO19" s="544"/>
      <c r="HP19" s="544"/>
      <c r="HQ19" s="544"/>
      <c r="HR19" s="544"/>
      <c r="HS19" s="544"/>
      <c r="HT19" s="544"/>
      <c r="HU19" s="544"/>
      <c r="HV19" s="544"/>
      <c r="HW19" s="544"/>
      <c r="HX19" s="544"/>
      <c r="HY19" s="544"/>
      <c r="HZ19" s="544"/>
      <c r="IA19" s="544"/>
      <c r="IB19" s="544"/>
      <c r="IC19" s="544"/>
      <c r="ID19" s="544"/>
      <c r="IE19" s="544"/>
      <c r="IF19" s="544"/>
      <c r="IG19" s="544"/>
      <c r="IH19" s="544"/>
      <c r="II19" s="544"/>
      <c r="IJ19" s="544"/>
      <c r="IK19" s="544"/>
      <c r="IL19" s="544"/>
      <c r="IM19" s="544"/>
      <c r="IN19" s="544"/>
      <c r="IO19" s="544"/>
      <c r="IP19" s="544"/>
      <c r="IQ19" s="544"/>
      <c r="IR19" s="544"/>
      <c r="IS19" s="544"/>
    </row>
    <row r="20" spans="1:253" ht="17.149999999999999" customHeight="1" x14ac:dyDescent="0.35">
      <c r="A20" s="544"/>
      <c r="B20" s="592" t="s">
        <v>655</v>
      </c>
      <c r="C20" s="1091"/>
      <c r="D20" s="661"/>
      <c r="E20" s="661"/>
      <c r="F20" s="661"/>
      <c r="G20" s="665"/>
      <c r="H20" s="678"/>
      <c r="I20" s="489"/>
      <c r="J20" s="489"/>
      <c r="K20" s="489"/>
      <c r="L20" s="489"/>
      <c r="M20" s="478"/>
      <c r="AY20" s="544"/>
      <c r="AZ20" s="544"/>
      <c r="BA20" s="544"/>
      <c r="BB20" s="544"/>
      <c r="BC20" s="544"/>
      <c r="BD20" s="544"/>
      <c r="BE20" s="544"/>
      <c r="BF20" s="544"/>
      <c r="BG20" s="544"/>
      <c r="BH20" s="544"/>
      <c r="BI20" s="544"/>
      <c r="BJ20" s="544"/>
      <c r="BK20" s="544"/>
      <c r="BL20" s="544"/>
      <c r="BM20" s="544"/>
      <c r="BN20" s="544"/>
      <c r="BO20" s="544"/>
      <c r="BP20" s="544"/>
      <c r="BQ20" s="544"/>
      <c r="BR20" s="544"/>
      <c r="BS20" s="544"/>
      <c r="BT20" s="544"/>
      <c r="BU20" s="544"/>
      <c r="BV20" s="544"/>
      <c r="BW20" s="544"/>
      <c r="BX20" s="544"/>
      <c r="BY20" s="544"/>
      <c r="BZ20" s="544"/>
      <c r="CA20" s="544"/>
      <c r="CB20" s="544"/>
      <c r="CC20" s="544"/>
      <c r="CD20" s="544"/>
      <c r="CE20" s="544"/>
      <c r="CF20" s="544"/>
      <c r="CG20" s="544"/>
      <c r="CH20" s="544"/>
      <c r="CI20" s="544"/>
      <c r="CJ20" s="544"/>
      <c r="CK20" s="544"/>
      <c r="CL20" s="544"/>
      <c r="CM20" s="544"/>
      <c r="CN20" s="544"/>
      <c r="CO20" s="544"/>
      <c r="CP20" s="544"/>
      <c r="CQ20" s="544"/>
      <c r="CR20" s="544"/>
      <c r="CS20" s="544"/>
      <c r="CT20" s="544"/>
      <c r="CU20" s="544"/>
      <c r="CV20" s="544"/>
      <c r="CW20" s="544"/>
      <c r="CX20" s="544"/>
      <c r="CY20" s="544"/>
      <c r="CZ20" s="544"/>
      <c r="DA20" s="544"/>
      <c r="DB20" s="544"/>
      <c r="DC20" s="544"/>
      <c r="DD20" s="544"/>
      <c r="DE20" s="544"/>
      <c r="DF20" s="544"/>
      <c r="DG20" s="544"/>
      <c r="DH20" s="544"/>
      <c r="DI20" s="544"/>
      <c r="DJ20" s="544"/>
      <c r="DK20" s="544"/>
      <c r="DL20" s="544"/>
      <c r="DM20" s="544"/>
      <c r="DN20" s="544"/>
      <c r="DO20" s="544"/>
      <c r="DP20" s="544"/>
      <c r="DQ20" s="544"/>
      <c r="DR20" s="544"/>
      <c r="DS20" s="544"/>
      <c r="DT20" s="544"/>
      <c r="DU20" s="544"/>
      <c r="DV20" s="544"/>
      <c r="DW20" s="544"/>
      <c r="DX20" s="544"/>
      <c r="DY20" s="544"/>
      <c r="DZ20" s="544"/>
      <c r="EA20" s="544"/>
      <c r="EB20" s="544"/>
      <c r="EC20" s="544"/>
      <c r="ED20" s="544"/>
      <c r="EE20" s="544"/>
      <c r="EF20" s="544"/>
      <c r="EG20" s="544"/>
      <c r="EH20" s="544"/>
      <c r="EI20" s="544"/>
      <c r="EJ20" s="544"/>
      <c r="EK20" s="544"/>
      <c r="EL20" s="544"/>
      <c r="EM20" s="544"/>
      <c r="EN20" s="544"/>
      <c r="EO20" s="544"/>
      <c r="EP20" s="544"/>
      <c r="EQ20" s="544"/>
      <c r="ER20" s="544"/>
      <c r="ES20" s="544"/>
      <c r="ET20" s="544"/>
      <c r="EU20" s="544"/>
      <c r="EV20" s="544"/>
      <c r="EW20" s="544"/>
      <c r="EX20" s="544"/>
      <c r="EY20" s="544"/>
      <c r="EZ20" s="544"/>
      <c r="FA20" s="544"/>
      <c r="FB20" s="544"/>
      <c r="FC20" s="544"/>
      <c r="FD20" s="544"/>
      <c r="FE20" s="544"/>
      <c r="FF20" s="544"/>
      <c r="FG20" s="544"/>
      <c r="FH20" s="544"/>
      <c r="FI20" s="544"/>
      <c r="FJ20" s="544"/>
      <c r="FK20" s="544"/>
      <c r="FL20" s="544"/>
      <c r="FM20" s="544"/>
      <c r="FN20" s="544"/>
      <c r="FO20" s="544"/>
      <c r="FP20" s="544"/>
      <c r="FQ20" s="544"/>
      <c r="FR20" s="544"/>
      <c r="FS20" s="544"/>
      <c r="FT20" s="544"/>
      <c r="FU20" s="544"/>
      <c r="FV20" s="544"/>
      <c r="FW20" s="544"/>
      <c r="FX20" s="544"/>
      <c r="FY20" s="544"/>
      <c r="FZ20" s="544"/>
      <c r="GA20" s="544"/>
      <c r="GB20" s="544"/>
      <c r="GC20" s="544"/>
      <c r="GD20" s="544"/>
      <c r="GE20" s="544"/>
      <c r="GF20" s="544"/>
      <c r="GG20" s="544"/>
      <c r="GH20" s="544"/>
      <c r="GI20" s="544"/>
      <c r="GJ20" s="544"/>
      <c r="GK20" s="544"/>
      <c r="GL20" s="544"/>
      <c r="GM20" s="544"/>
      <c r="GN20" s="544"/>
      <c r="GO20" s="544"/>
      <c r="GP20" s="544"/>
      <c r="GQ20" s="544"/>
      <c r="GR20" s="544"/>
      <c r="GS20" s="544"/>
      <c r="GT20" s="544"/>
      <c r="GU20" s="544"/>
      <c r="GV20" s="544"/>
      <c r="GW20" s="544"/>
      <c r="GX20" s="544"/>
      <c r="GY20" s="544"/>
      <c r="GZ20" s="544"/>
      <c r="HA20" s="544"/>
      <c r="HB20" s="544"/>
      <c r="HC20" s="544"/>
      <c r="HD20" s="544"/>
      <c r="HE20" s="544"/>
      <c r="HF20" s="544"/>
      <c r="HG20" s="544"/>
      <c r="HH20" s="544"/>
      <c r="HI20" s="544"/>
      <c r="HJ20" s="544"/>
      <c r="HK20" s="544"/>
      <c r="HL20" s="544"/>
      <c r="HM20" s="544"/>
      <c r="HN20" s="544"/>
      <c r="HO20" s="544"/>
      <c r="HP20" s="544"/>
      <c r="HQ20" s="544"/>
      <c r="HR20" s="544"/>
      <c r="HS20" s="544"/>
      <c r="HT20" s="544"/>
      <c r="HU20" s="544"/>
      <c r="HV20" s="544"/>
      <c r="HW20" s="544"/>
      <c r="HX20" s="544"/>
      <c r="HY20" s="544"/>
      <c r="HZ20" s="544"/>
      <c r="IA20" s="544"/>
      <c r="IB20" s="544"/>
      <c r="IC20" s="544"/>
      <c r="ID20" s="544"/>
      <c r="IE20" s="544"/>
      <c r="IF20" s="544"/>
      <c r="IG20" s="544"/>
      <c r="IH20" s="544"/>
      <c r="II20" s="544"/>
      <c r="IJ20" s="544"/>
      <c r="IK20" s="544"/>
      <c r="IL20" s="544"/>
      <c r="IM20" s="544"/>
      <c r="IN20" s="544"/>
      <c r="IO20" s="544"/>
      <c r="IP20" s="544"/>
      <c r="IQ20" s="544"/>
      <c r="IR20" s="544"/>
      <c r="IS20" s="544"/>
    </row>
    <row r="21" spans="1:253" ht="28" customHeight="1" x14ac:dyDescent="0.35">
      <c r="A21" s="544"/>
      <c r="B21" s="1484" t="s">
        <v>594</v>
      </c>
      <c r="C21" s="684" t="s">
        <v>607</v>
      </c>
      <c r="D21" s="677"/>
      <c r="E21" s="667" t="s">
        <v>521</v>
      </c>
      <c r="F21" s="1480"/>
      <c r="G21" s="1481"/>
      <c r="H21" s="1474" t="s">
        <v>656</v>
      </c>
      <c r="I21" s="1474" t="s">
        <v>645</v>
      </c>
      <c r="J21" s="544"/>
      <c r="K21" s="544"/>
      <c r="AY21" s="544"/>
      <c r="AZ21" s="544"/>
      <c r="BA21" s="544"/>
      <c r="BB21" s="544"/>
      <c r="BC21" s="544"/>
      <c r="BD21" s="544"/>
      <c r="BE21" s="544"/>
      <c r="BF21" s="544"/>
      <c r="BG21" s="544"/>
      <c r="BH21" s="544"/>
      <c r="BI21" s="544"/>
      <c r="BJ21" s="544"/>
      <c r="BK21" s="544"/>
      <c r="BL21" s="544"/>
      <c r="BM21" s="544"/>
      <c r="BN21" s="544"/>
      <c r="BO21" s="544"/>
      <c r="BP21" s="544"/>
      <c r="BQ21" s="544"/>
      <c r="BR21" s="544"/>
      <c r="BS21" s="544"/>
      <c r="BT21" s="544"/>
      <c r="BU21" s="544"/>
      <c r="BV21" s="544"/>
      <c r="BW21" s="544"/>
      <c r="BX21" s="544"/>
      <c r="BY21" s="544"/>
      <c r="BZ21" s="544"/>
      <c r="CA21" s="544"/>
      <c r="CB21" s="544"/>
      <c r="CC21" s="544"/>
      <c r="CD21" s="544"/>
      <c r="CE21" s="544"/>
      <c r="CF21" s="544"/>
      <c r="CG21" s="544"/>
      <c r="CH21" s="544"/>
      <c r="CI21" s="544"/>
      <c r="CJ21" s="544"/>
      <c r="CK21" s="544"/>
      <c r="CL21" s="544"/>
      <c r="CM21" s="544"/>
      <c r="CN21" s="544"/>
      <c r="CO21" s="544"/>
      <c r="CP21" s="544"/>
      <c r="CQ21" s="544"/>
      <c r="CR21" s="544"/>
      <c r="CS21" s="544"/>
      <c r="CT21" s="544"/>
      <c r="CU21" s="544"/>
      <c r="CV21" s="544"/>
      <c r="CW21" s="544"/>
      <c r="CX21" s="544"/>
      <c r="CY21" s="544"/>
      <c r="CZ21" s="544"/>
      <c r="DA21" s="544"/>
      <c r="DB21" s="544"/>
      <c r="DC21" s="544"/>
      <c r="DD21" s="544"/>
      <c r="DE21" s="544"/>
      <c r="DF21" s="544"/>
      <c r="DG21" s="544"/>
      <c r="DH21" s="544"/>
      <c r="DI21" s="544"/>
      <c r="DJ21" s="544"/>
      <c r="DK21" s="544"/>
      <c r="DL21" s="544"/>
      <c r="DM21" s="544"/>
      <c r="DN21" s="544"/>
      <c r="DO21" s="544"/>
      <c r="DP21" s="544"/>
      <c r="DQ21" s="544"/>
      <c r="DR21" s="544"/>
      <c r="DS21" s="544"/>
      <c r="DT21" s="544"/>
      <c r="DU21" s="544"/>
      <c r="DV21" s="544"/>
      <c r="DW21" s="544"/>
      <c r="DX21" s="544"/>
      <c r="DY21" s="544"/>
      <c r="DZ21" s="544"/>
      <c r="EA21" s="544"/>
      <c r="EB21" s="544"/>
      <c r="EC21" s="544"/>
      <c r="ED21" s="544"/>
      <c r="EE21" s="544"/>
      <c r="EF21" s="544"/>
      <c r="EG21" s="544"/>
      <c r="EH21" s="544"/>
      <c r="EI21" s="544"/>
      <c r="EJ21" s="544"/>
      <c r="EK21" s="544"/>
      <c r="EL21" s="544"/>
      <c r="EM21" s="544"/>
      <c r="EN21" s="544"/>
      <c r="EO21" s="544"/>
      <c r="EP21" s="544"/>
      <c r="EQ21" s="544"/>
      <c r="ER21" s="544"/>
      <c r="ES21" s="544"/>
      <c r="ET21" s="544"/>
      <c r="EU21" s="544"/>
      <c r="EV21" s="544"/>
      <c r="EW21" s="544"/>
      <c r="EX21" s="544"/>
      <c r="EY21" s="544"/>
      <c r="EZ21" s="544"/>
      <c r="FA21" s="544"/>
      <c r="FB21" s="544"/>
      <c r="FC21" s="544"/>
      <c r="FD21" s="544"/>
      <c r="FE21" s="544"/>
      <c r="FF21" s="544"/>
      <c r="FG21" s="544"/>
      <c r="FH21" s="544"/>
      <c r="FI21" s="544"/>
      <c r="FJ21" s="544"/>
      <c r="FK21" s="544"/>
      <c r="FL21" s="544"/>
      <c r="FM21" s="544"/>
      <c r="FN21" s="544"/>
      <c r="FO21" s="544"/>
      <c r="FP21" s="544"/>
      <c r="FQ21" s="544"/>
      <c r="FR21" s="544"/>
      <c r="FS21" s="544"/>
      <c r="FT21" s="544"/>
      <c r="FU21" s="544"/>
      <c r="FV21" s="544"/>
      <c r="FW21" s="544"/>
      <c r="FX21" s="544"/>
      <c r="FY21" s="544"/>
      <c r="FZ21" s="544"/>
      <c r="GA21" s="544"/>
      <c r="GB21" s="544"/>
      <c r="GC21" s="544"/>
      <c r="GD21" s="544"/>
      <c r="GE21" s="544"/>
      <c r="GF21" s="544"/>
      <c r="GG21" s="544"/>
      <c r="GH21" s="544"/>
      <c r="GI21" s="544"/>
      <c r="GJ21" s="544"/>
      <c r="GK21" s="544"/>
      <c r="GL21" s="544"/>
      <c r="GM21" s="544"/>
      <c r="GN21" s="544"/>
      <c r="GO21" s="544"/>
      <c r="GP21" s="544"/>
      <c r="GQ21" s="544"/>
      <c r="GR21" s="544"/>
      <c r="GS21" s="544"/>
      <c r="GT21" s="544"/>
      <c r="GU21" s="544"/>
      <c r="GV21" s="544"/>
      <c r="GW21" s="544"/>
      <c r="GX21" s="544"/>
      <c r="GY21" s="544"/>
      <c r="GZ21" s="544"/>
      <c r="HA21" s="544"/>
      <c r="HB21" s="544"/>
      <c r="HC21" s="544"/>
      <c r="HD21" s="544"/>
      <c r="HE21" s="544"/>
      <c r="HF21" s="544"/>
      <c r="HG21" s="544"/>
      <c r="HH21" s="544"/>
      <c r="HI21" s="544"/>
      <c r="HJ21" s="544"/>
      <c r="HK21" s="544"/>
      <c r="HL21" s="544"/>
      <c r="HM21" s="544"/>
      <c r="HN21" s="544"/>
      <c r="HO21" s="544"/>
      <c r="HP21" s="544"/>
      <c r="HQ21" s="544"/>
      <c r="HR21" s="544"/>
      <c r="HS21" s="544"/>
      <c r="HT21" s="544"/>
      <c r="HU21" s="544"/>
      <c r="HV21" s="544"/>
      <c r="HW21" s="544"/>
      <c r="HX21" s="544"/>
      <c r="HY21" s="544"/>
      <c r="HZ21" s="544"/>
      <c r="IA21" s="544"/>
      <c r="IB21" s="544"/>
      <c r="IC21" s="544"/>
      <c r="ID21" s="544"/>
      <c r="IE21" s="544"/>
      <c r="IF21" s="544"/>
      <c r="IG21" s="544"/>
      <c r="IH21" s="544"/>
      <c r="II21" s="544"/>
      <c r="IJ21" s="544"/>
      <c r="IK21" s="544"/>
      <c r="IL21" s="544"/>
      <c r="IM21" s="544"/>
      <c r="IN21" s="544"/>
      <c r="IO21" s="544"/>
      <c r="IP21" s="544"/>
      <c r="IQ21" s="544"/>
      <c r="IR21" s="544"/>
      <c r="IS21" s="544"/>
    </row>
    <row r="22" spans="1:253" ht="28" customHeight="1" x14ac:dyDescent="0.35">
      <c r="A22" s="544"/>
      <c r="B22" s="600" t="s">
        <v>646</v>
      </c>
      <c r="C22" s="881">
        <v>1</v>
      </c>
      <c r="E22" s="1145"/>
      <c r="F22" s="544"/>
      <c r="G22" s="544"/>
      <c r="H22" s="1147"/>
      <c r="I22" s="1147"/>
      <c r="J22" s="544"/>
      <c r="K22" s="544"/>
      <c r="AY22" s="544"/>
      <c r="AZ22" s="544"/>
      <c r="BA22" s="544"/>
      <c r="BB22" s="544"/>
      <c r="BC22" s="544"/>
      <c r="BD22" s="544"/>
      <c r="BE22" s="544"/>
      <c r="BF22" s="544"/>
      <c r="BG22" s="544"/>
      <c r="BH22" s="544"/>
      <c r="BI22" s="544"/>
      <c r="BJ22" s="544"/>
      <c r="BK22" s="544"/>
      <c r="BL22" s="544"/>
      <c r="BM22" s="544"/>
      <c r="BN22" s="544"/>
      <c r="BO22" s="544"/>
      <c r="BP22" s="544"/>
      <c r="BQ22" s="544"/>
      <c r="BR22" s="544"/>
      <c r="BS22" s="544"/>
      <c r="BT22" s="544"/>
      <c r="BU22" s="544"/>
      <c r="BV22" s="544"/>
      <c r="BW22" s="544"/>
      <c r="BX22" s="544"/>
      <c r="BY22" s="544"/>
      <c r="BZ22" s="544"/>
      <c r="CA22" s="544"/>
      <c r="CB22" s="544"/>
      <c r="CC22" s="544"/>
      <c r="CD22" s="544"/>
      <c r="CE22" s="544"/>
      <c r="CF22" s="544"/>
      <c r="CG22" s="544"/>
      <c r="CH22" s="544"/>
      <c r="CI22" s="544"/>
      <c r="CJ22" s="544"/>
      <c r="CK22" s="544"/>
      <c r="CL22" s="544"/>
      <c r="CM22" s="544"/>
      <c r="CN22" s="544"/>
      <c r="CO22" s="544"/>
      <c r="CP22" s="544"/>
      <c r="CQ22" s="544"/>
      <c r="CR22" s="544"/>
      <c r="CS22" s="544"/>
      <c r="CT22" s="544"/>
      <c r="CU22" s="544"/>
      <c r="CV22" s="544"/>
      <c r="CW22" s="544"/>
      <c r="CX22" s="544"/>
      <c r="CY22" s="544"/>
      <c r="CZ22" s="544"/>
      <c r="DA22" s="544"/>
      <c r="DB22" s="544"/>
      <c r="DC22" s="544"/>
      <c r="DD22" s="544"/>
      <c r="DE22" s="544"/>
      <c r="DF22" s="544"/>
      <c r="DG22" s="544"/>
      <c r="DH22" s="544"/>
      <c r="DI22" s="544"/>
      <c r="DJ22" s="544"/>
      <c r="DK22" s="544"/>
      <c r="DL22" s="544"/>
      <c r="DM22" s="544"/>
      <c r="DN22" s="544"/>
      <c r="DO22" s="544"/>
      <c r="DP22" s="544"/>
      <c r="DQ22" s="544"/>
      <c r="DR22" s="544"/>
      <c r="DS22" s="544"/>
      <c r="DT22" s="544"/>
      <c r="DU22" s="544"/>
      <c r="DV22" s="544"/>
      <c r="DW22" s="544"/>
      <c r="DX22" s="544"/>
      <c r="DY22" s="544"/>
      <c r="DZ22" s="544"/>
      <c r="EA22" s="544"/>
      <c r="EB22" s="544"/>
      <c r="EC22" s="544"/>
      <c r="ED22" s="544"/>
      <c r="EE22" s="544"/>
      <c r="EF22" s="544"/>
      <c r="EG22" s="544"/>
      <c r="EH22" s="544"/>
      <c r="EI22" s="544"/>
      <c r="EJ22" s="544"/>
      <c r="EK22" s="544"/>
      <c r="EL22" s="544"/>
      <c r="EM22" s="544"/>
      <c r="EN22" s="544"/>
      <c r="EO22" s="544"/>
      <c r="EP22" s="544"/>
      <c r="EQ22" s="544"/>
      <c r="ER22" s="544"/>
      <c r="ES22" s="544"/>
      <c r="ET22" s="544"/>
      <c r="EU22" s="544"/>
      <c r="EV22" s="544"/>
      <c r="EW22" s="544"/>
      <c r="EX22" s="544"/>
      <c r="EY22" s="544"/>
      <c r="EZ22" s="544"/>
      <c r="FA22" s="544"/>
      <c r="FB22" s="544"/>
      <c r="FC22" s="544"/>
      <c r="FD22" s="544"/>
      <c r="FE22" s="544"/>
      <c r="FF22" s="544"/>
      <c r="FG22" s="544"/>
      <c r="FH22" s="544"/>
      <c r="FI22" s="544"/>
      <c r="FJ22" s="544"/>
      <c r="FK22" s="544"/>
      <c r="FL22" s="544"/>
      <c r="FM22" s="544"/>
      <c r="FN22" s="544"/>
      <c r="FO22" s="544"/>
      <c r="FP22" s="544"/>
      <c r="FQ22" s="544"/>
      <c r="FR22" s="544"/>
      <c r="FS22" s="544"/>
      <c r="FT22" s="544"/>
      <c r="FU22" s="544"/>
      <c r="FV22" s="544"/>
      <c r="FW22" s="544"/>
      <c r="FX22" s="544"/>
      <c r="FY22" s="544"/>
      <c r="FZ22" s="544"/>
      <c r="GA22" s="544"/>
      <c r="GB22" s="544"/>
      <c r="GC22" s="544"/>
      <c r="GD22" s="544"/>
      <c r="GE22" s="544"/>
      <c r="GF22" s="544"/>
      <c r="GG22" s="544"/>
      <c r="GH22" s="544"/>
      <c r="GI22" s="544"/>
      <c r="GJ22" s="544"/>
      <c r="GK22" s="544"/>
      <c r="GL22" s="544"/>
      <c r="GM22" s="544"/>
      <c r="GN22" s="544"/>
      <c r="GO22" s="544"/>
      <c r="GP22" s="544"/>
      <c r="GQ22" s="544"/>
      <c r="GR22" s="544"/>
      <c r="GS22" s="544"/>
      <c r="GT22" s="544"/>
      <c r="GU22" s="544"/>
      <c r="GV22" s="544"/>
      <c r="GW22" s="544"/>
      <c r="GX22" s="544"/>
      <c r="GY22" s="544"/>
      <c r="GZ22" s="544"/>
      <c r="HA22" s="544"/>
      <c r="HB22" s="544"/>
      <c r="HC22" s="544"/>
      <c r="HD22" s="544"/>
      <c r="HE22" s="544"/>
      <c r="HF22" s="544"/>
      <c r="HG22" s="544"/>
      <c r="HH22" s="544"/>
      <c r="HI22" s="544"/>
      <c r="HJ22" s="544"/>
      <c r="HK22" s="544"/>
      <c r="HL22" s="544"/>
      <c r="HM22" s="544"/>
      <c r="HN22" s="544"/>
      <c r="HO22" s="544"/>
      <c r="HP22" s="544"/>
      <c r="HQ22" s="544"/>
      <c r="HR22" s="544"/>
      <c r="HS22" s="544"/>
      <c r="HT22" s="544"/>
      <c r="HU22" s="544"/>
      <c r="HV22" s="544"/>
      <c r="HW22" s="544"/>
      <c r="HX22" s="544"/>
      <c r="HY22" s="544"/>
      <c r="HZ22" s="544"/>
      <c r="IA22" s="544"/>
      <c r="IB22" s="544"/>
      <c r="IC22" s="544"/>
      <c r="ID22" s="544"/>
      <c r="IE22" s="544"/>
      <c r="IF22" s="544"/>
      <c r="IG22" s="544"/>
      <c r="IH22" s="544"/>
      <c r="II22" s="544"/>
      <c r="IJ22" s="544"/>
      <c r="IK22" s="544"/>
      <c r="IL22" s="544"/>
      <c r="IM22" s="544"/>
      <c r="IN22" s="544"/>
      <c r="IO22" s="544"/>
      <c r="IP22" s="544"/>
      <c r="IQ22" s="544"/>
      <c r="IR22" s="544"/>
      <c r="IS22" s="544"/>
    </row>
    <row r="23" spans="1:253" ht="31" x14ac:dyDescent="0.35">
      <c r="A23" s="544"/>
      <c r="B23" s="1090" t="s">
        <v>657</v>
      </c>
      <c r="C23" s="881"/>
      <c r="D23" s="678"/>
      <c r="E23" s="907"/>
      <c r="F23" s="908"/>
      <c r="G23" s="909"/>
      <c r="H23" s="913"/>
      <c r="I23" s="913"/>
      <c r="J23" s="917" t="s">
        <v>648</v>
      </c>
      <c r="K23" s="544"/>
      <c r="AA23" s="1089" t="s">
        <v>601</v>
      </c>
      <c r="AY23" s="544"/>
      <c r="AZ23" s="544"/>
      <c r="BA23" s="544"/>
      <c r="BB23" s="544"/>
      <c r="BC23" s="544"/>
      <c r="BD23" s="544"/>
      <c r="BE23" s="544"/>
      <c r="BF23" s="544"/>
      <c r="BG23" s="544"/>
      <c r="BH23" s="544"/>
      <c r="BI23" s="544"/>
      <c r="BJ23" s="544"/>
      <c r="BK23" s="544"/>
      <c r="BL23" s="544"/>
      <c r="BM23" s="544"/>
      <c r="BN23" s="544"/>
      <c r="BO23" s="544"/>
      <c r="BP23" s="544"/>
      <c r="BQ23" s="544"/>
      <c r="BR23" s="544"/>
      <c r="BS23" s="544"/>
      <c r="BT23" s="544"/>
      <c r="BU23" s="544"/>
      <c r="BV23" s="544"/>
      <c r="BW23" s="544"/>
      <c r="BX23" s="544"/>
      <c r="BY23" s="544"/>
      <c r="BZ23" s="544"/>
      <c r="CA23" s="544"/>
      <c r="CB23" s="544"/>
      <c r="CC23" s="544"/>
      <c r="CD23" s="544"/>
      <c r="CE23" s="544"/>
      <c r="CF23" s="544"/>
      <c r="CG23" s="544"/>
      <c r="CH23" s="544"/>
      <c r="CI23" s="544"/>
      <c r="CJ23" s="544"/>
      <c r="CK23" s="544"/>
      <c r="CL23" s="544"/>
      <c r="CM23" s="544"/>
      <c r="CN23" s="544"/>
      <c r="CO23" s="544"/>
      <c r="CP23" s="544"/>
      <c r="CQ23" s="544"/>
      <c r="CR23" s="544"/>
      <c r="CS23" s="544"/>
      <c r="CT23" s="544"/>
      <c r="CU23" s="544"/>
      <c r="CV23" s="544"/>
      <c r="CW23" s="544"/>
      <c r="CX23" s="544"/>
      <c r="CY23" s="544"/>
      <c r="CZ23" s="544"/>
      <c r="DA23" s="544"/>
      <c r="DB23" s="544"/>
      <c r="DC23" s="544"/>
      <c r="DD23" s="544"/>
      <c r="DE23" s="544"/>
      <c r="DF23" s="544"/>
      <c r="DG23" s="544"/>
      <c r="DH23" s="544"/>
      <c r="DI23" s="544"/>
      <c r="DJ23" s="544"/>
      <c r="DK23" s="544"/>
      <c r="DL23" s="544"/>
      <c r="DM23" s="544"/>
      <c r="DN23" s="544"/>
      <c r="DO23" s="544"/>
      <c r="DP23" s="544"/>
      <c r="DQ23" s="544"/>
      <c r="DR23" s="544"/>
      <c r="DS23" s="544"/>
      <c r="DT23" s="544"/>
      <c r="DU23" s="544"/>
      <c r="DV23" s="544"/>
      <c r="DW23" s="544"/>
      <c r="DX23" s="544"/>
      <c r="DY23" s="544"/>
      <c r="DZ23" s="544"/>
      <c r="EA23" s="544"/>
      <c r="EB23" s="544"/>
      <c r="EC23" s="544"/>
      <c r="ED23" s="544"/>
      <c r="EE23" s="544"/>
      <c r="EF23" s="544"/>
      <c r="EG23" s="544"/>
      <c r="EH23" s="544"/>
      <c r="EI23" s="544"/>
      <c r="EJ23" s="544"/>
      <c r="EK23" s="544"/>
      <c r="EL23" s="544"/>
      <c r="EM23" s="544"/>
      <c r="EN23" s="544"/>
      <c r="EO23" s="544"/>
      <c r="EP23" s="544"/>
      <c r="EQ23" s="544"/>
      <c r="ER23" s="544"/>
      <c r="ES23" s="544"/>
      <c r="ET23" s="544"/>
      <c r="EU23" s="544"/>
      <c r="EV23" s="544"/>
      <c r="EW23" s="544"/>
      <c r="EX23" s="544"/>
      <c r="EY23" s="544"/>
      <c r="EZ23" s="544"/>
      <c r="FA23" s="544"/>
      <c r="FB23" s="544"/>
      <c r="FC23" s="544"/>
      <c r="FD23" s="544"/>
      <c r="FE23" s="544"/>
      <c r="FF23" s="544"/>
      <c r="FG23" s="544"/>
      <c r="FH23" s="544"/>
      <c r="FI23" s="544"/>
      <c r="FJ23" s="544"/>
      <c r="FK23" s="544"/>
      <c r="FL23" s="544"/>
      <c r="FM23" s="544"/>
      <c r="FN23" s="544"/>
      <c r="FO23" s="544"/>
      <c r="FP23" s="544"/>
      <c r="FQ23" s="544"/>
      <c r="FR23" s="544"/>
      <c r="FS23" s="544"/>
      <c r="FT23" s="544"/>
      <c r="FU23" s="544"/>
      <c r="FV23" s="544"/>
      <c r="FW23" s="544"/>
      <c r="FX23" s="544"/>
      <c r="FY23" s="544"/>
      <c r="FZ23" s="544"/>
      <c r="GA23" s="544"/>
      <c r="GB23" s="544"/>
      <c r="GC23" s="544"/>
      <c r="GD23" s="544"/>
      <c r="GE23" s="544"/>
      <c r="GF23" s="544"/>
      <c r="GG23" s="544"/>
      <c r="GH23" s="544"/>
      <c r="GI23" s="544"/>
      <c r="GJ23" s="544"/>
      <c r="GK23" s="544"/>
      <c r="GL23" s="544"/>
      <c r="GM23" s="544"/>
      <c r="GN23" s="544"/>
      <c r="GO23" s="544"/>
      <c r="GP23" s="544"/>
      <c r="GQ23" s="544"/>
      <c r="GR23" s="544"/>
      <c r="GS23" s="544"/>
      <c r="GT23" s="544"/>
      <c r="GU23" s="544"/>
      <c r="GV23" s="544"/>
      <c r="GW23" s="544"/>
      <c r="GX23" s="544"/>
      <c r="GY23" s="544"/>
      <c r="GZ23" s="544"/>
      <c r="HA23" s="544"/>
      <c r="HB23" s="544"/>
      <c r="HC23" s="544"/>
      <c r="HD23" s="544"/>
      <c r="HE23" s="544"/>
      <c r="HF23" s="544"/>
      <c r="HG23" s="544"/>
      <c r="HH23" s="544"/>
      <c r="HI23" s="544"/>
      <c r="HJ23" s="544"/>
      <c r="HK23" s="544"/>
      <c r="HL23" s="544"/>
      <c r="HM23" s="544"/>
      <c r="HN23" s="544"/>
      <c r="HO23" s="544"/>
      <c r="HP23" s="544"/>
      <c r="HQ23" s="544"/>
      <c r="HR23" s="544"/>
      <c r="HS23" s="544"/>
      <c r="HT23" s="544"/>
      <c r="HU23" s="544"/>
      <c r="HV23" s="544"/>
      <c r="HW23" s="544"/>
      <c r="HX23" s="544"/>
      <c r="HY23" s="544"/>
      <c r="HZ23" s="544"/>
      <c r="IA23" s="544"/>
      <c r="IB23" s="544"/>
      <c r="IC23" s="544"/>
      <c r="ID23" s="544"/>
      <c r="IE23" s="544"/>
      <c r="IF23" s="544"/>
      <c r="IG23" s="544"/>
      <c r="IH23" s="544"/>
      <c r="II23" s="544"/>
      <c r="IJ23" s="544"/>
      <c r="IK23" s="544"/>
      <c r="IL23" s="544"/>
      <c r="IM23" s="544"/>
      <c r="IN23" s="544"/>
      <c r="IO23" s="544"/>
      <c r="IP23" s="544"/>
      <c r="IQ23" s="544"/>
      <c r="IR23" s="544"/>
      <c r="IS23" s="544"/>
    </row>
    <row r="24" spans="1:253" ht="31" x14ac:dyDescent="0.35">
      <c r="A24" s="544"/>
      <c r="B24" s="1090" t="s">
        <v>649</v>
      </c>
      <c r="C24" s="881"/>
      <c r="D24" s="678"/>
      <c r="E24" s="907"/>
      <c r="F24" s="908"/>
      <c r="G24" s="909"/>
      <c r="H24" s="913"/>
      <c r="I24" s="913"/>
      <c r="J24" s="544"/>
      <c r="K24" s="544"/>
      <c r="AA24" s="1089" t="s">
        <v>601</v>
      </c>
      <c r="AY24" s="544"/>
      <c r="AZ24" s="544"/>
      <c r="BA24" s="544"/>
      <c r="BB24" s="544"/>
      <c r="BC24" s="544"/>
      <c r="BD24" s="544"/>
      <c r="BE24" s="544"/>
      <c r="BF24" s="544"/>
      <c r="BG24" s="544"/>
      <c r="BH24" s="544"/>
      <c r="BI24" s="544"/>
      <c r="BJ24" s="544"/>
      <c r="BK24" s="544"/>
      <c r="BL24" s="544"/>
      <c r="BM24" s="544"/>
      <c r="BN24" s="544"/>
      <c r="BO24" s="544"/>
      <c r="BP24" s="544"/>
      <c r="BQ24" s="544"/>
      <c r="BR24" s="544"/>
      <c r="BS24" s="544"/>
      <c r="BT24" s="544"/>
      <c r="BU24" s="544"/>
      <c r="BV24" s="544"/>
      <c r="BW24" s="544"/>
      <c r="BX24" s="544"/>
      <c r="BY24" s="544"/>
      <c r="BZ24" s="544"/>
      <c r="CA24" s="544"/>
      <c r="CB24" s="544"/>
      <c r="CC24" s="544"/>
      <c r="CD24" s="544"/>
      <c r="CE24" s="544"/>
      <c r="CF24" s="544"/>
      <c r="CG24" s="544"/>
      <c r="CH24" s="544"/>
      <c r="CI24" s="544"/>
      <c r="CJ24" s="544"/>
      <c r="CK24" s="544"/>
      <c r="CL24" s="544"/>
      <c r="CM24" s="544"/>
      <c r="CN24" s="544"/>
      <c r="CO24" s="544"/>
      <c r="CP24" s="544"/>
      <c r="CQ24" s="544"/>
      <c r="CR24" s="544"/>
      <c r="CS24" s="544"/>
      <c r="CT24" s="544"/>
      <c r="CU24" s="544"/>
      <c r="CV24" s="544"/>
      <c r="CW24" s="544"/>
      <c r="CX24" s="544"/>
      <c r="CY24" s="544"/>
      <c r="CZ24" s="544"/>
      <c r="DA24" s="544"/>
      <c r="DB24" s="544"/>
      <c r="DC24" s="544"/>
      <c r="DD24" s="544"/>
      <c r="DE24" s="544"/>
      <c r="DF24" s="544"/>
      <c r="DG24" s="544"/>
      <c r="DH24" s="544"/>
      <c r="DI24" s="544"/>
      <c r="DJ24" s="544"/>
      <c r="DK24" s="544"/>
      <c r="DL24" s="544"/>
      <c r="DM24" s="544"/>
      <c r="DN24" s="544"/>
      <c r="DO24" s="544"/>
      <c r="DP24" s="544"/>
      <c r="DQ24" s="544"/>
      <c r="DR24" s="544"/>
      <c r="DS24" s="544"/>
      <c r="DT24" s="544"/>
      <c r="DU24" s="544"/>
      <c r="DV24" s="544"/>
      <c r="DW24" s="544"/>
      <c r="DX24" s="544"/>
      <c r="DY24" s="544"/>
      <c r="DZ24" s="544"/>
      <c r="EA24" s="544"/>
      <c r="EB24" s="544"/>
      <c r="EC24" s="544"/>
      <c r="ED24" s="544"/>
      <c r="EE24" s="544"/>
      <c r="EF24" s="544"/>
      <c r="EG24" s="544"/>
      <c r="EH24" s="544"/>
      <c r="EI24" s="544"/>
      <c r="EJ24" s="544"/>
      <c r="EK24" s="544"/>
      <c r="EL24" s="544"/>
      <c r="EM24" s="544"/>
      <c r="EN24" s="544"/>
      <c r="EO24" s="544"/>
      <c r="EP24" s="544"/>
      <c r="EQ24" s="544"/>
      <c r="ER24" s="544"/>
      <c r="ES24" s="544"/>
      <c r="ET24" s="544"/>
      <c r="EU24" s="544"/>
      <c r="EV24" s="544"/>
      <c r="EW24" s="544"/>
      <c r="EX24" s="544"/>
      <c r="EY24" s="544"/>
      <c r="EZ24" s="544"/>
      <c r="FA24" s="544"/>
      <c r="FB24" s="544"/>
      <c r="FC24" s="544"/>
      <c r="FD24" s="544"/>
      <c r="FE24" s="544"/>
      <c r="FF24" s="544"/>
      <c r="FG24" s="544"/>
      <c r="FH24" s="544"/>
      <c r="FI24" s="544"/>
      <c r="FJ24" s="544"/>
      <c r="FK24" s="544"/>
      <c r="FL24" s="544"/>
      <c r="FM24" s="544"/>
      <c r="FN24" s="544"/>
      <c r="FO24" s="544"/>
      <c r="FP24" s="544"/>
      <c r="FQ24" s="544"/>
      <c r="FR24" s="544"/>
      <c r="FS24" s="544"/>
      <c r="FT24" s="544"/>
      <c r="FU24" s="544"/>
      <c r="FV24" s="544"/>
      <c r="FW24" s="544"/>
      <c r="FX24" s="544"/>
      <c r="FY24" s="544"/>
      <c r="FZ24" s="544"/>
      <c r="GA24" s="544"/>
      <c r="GB24" s="544"/>
      <c r="GC24" s="544"/>
      <c r="GD24" s="544"/>
      <c r="GE24" s="544"/>
      <c r="GF24" s="544"/>
      <c r="GG24" s="544"/>
      <c r="GH24" s="544"/>
      <c r="GI24" s="544"/>
      <c r="GJ24" s="544"/>
      <c r="GK24" s="544"/>
      <c r="GL24" s="544"/>
      <c r="GM24" s="544"/>
      <c r="GN24" s="544"/>
      <c r="GO24" s="544"/>
      <c r="GP24" s="544"/>
      <c r="GQ24" s="544"/>
      <c r="GR24" s="544"/>
      <c r="GS24" s="544"/>
      <c r="GT24" s="544"/>
      <c r="GU24" s="544"/>
      <c r="GV24" s="544"/>
      <c r="GW24" s="544"/>
      <c r="GX24" s="544"/>
      <c r="GY24" s="544"/>
      <c r="GZ24" s="544"/>
      <c r="HA24" s="544"/>
      <c r="HB24" s="544"/>
      <c r="HC24" s="544"/>
      <c r="HD24" s="544"/>
      <c r="HE24" s="544"/>
      <c r="HF24" s="544"/>
      <c r="HG24" s="544"/>
      <c r="HH24" s="544"/>
      <c r="HI24" s="544"/>
      <c r="HJ24" s="544"/>
      <c r="HK24" s="544"/>
      <c r="HL24" s="544"/>
      <c r="HM24" s="544"/>
      <c r="HN24" s="544"/>
      <c r="HO24" s="544"/>
      <c r="HP24" s="544"/>
      <c r="HQ24" s="544"/>
      <c r="HR24" s="544"/>
      <c r="HS24" s="544"/>
      <c r="HT24" s="544"/>
      <c r="HU24" s="544"/>
      <c r="HV24" s="544"/>
      <c r="HW24" s="544"/>
      <c r="HX24" s="544"/>
      <c r="HY24" s="544"/>
      <c r="HZ24" s="544"/>
      <c r="IA24" s="544"/>
      <c r="IB24" s="544"/>
      <c r="IC24" s="544"/>
      <c r="ID24" s="544"/>
      <c r="IE24" s="544"/>
      <c r="IF24" s="544"/>
      <c r="IG24" s="544"/>
      <c r="IH24" s="544"/>
      <c r="II24" s="544"/>
      <c r="IJ24" s="544"/>
      <c r="IK24" s="544"/>
      <c r="IL24" s="544"/>
      <c r="IM24" s="544"/>
      <c r="IN24" s="544"/>
      <c r="IO24" s="544"/>
      <c r="IP24" s="544"/>
      <c r="IQ24" s="544"/>
      <c r="IR24" s="544"/>
      <c r="IS24" s="544"/>
    </row>
    <row r="25" spans="1:253" ht="31" x14ac:dyDescent="0.35">
      <c r="A25" s="544"/>
      <c r="B25" s="1090" t="s">
        <v>658</v>
      </c>
      <c r="C25" s="881"/>
      <c r="D25" s="678"/>
      <c r="E25" s="907"/>
      <c r="F25" s="908"/>
      <c r="G25" s="909"/>
      <c r="H25" s="544"/>
      <c r="I25" s="544"/>
      <c r="J25" s="544"/>
      <c r="K25" s="544"/>
      <c r="AA25" s="1089" t="s">
        <v>601</v>
      </c>
      <c r="AY25" s="544"/>
      <c r="AZ25" s="544"/>
      <c r="BA25" s="544"/>
      <c r="BB25" s="544"/>
      <c r="BC25" s="544"/>
      <c r="BD25" s="544"/>
      <c r="BE25" s="544"/>
      <c r="BF25" s="544"/>
      <c r="BG25" s="544"/>
      <c r="BH25" s="544"/>
      <c r="BI25" s="544"/>
      <c r="BJ25" s="544"/>
      <c r="BK25" s="544"/>
      <c r="BL25" s="544"/>
      <c r="BM25" s="544"/>
      <c r="BN25" s="544"/>
      <c r="BO25" s="544"/>
      <c r="BP25" s="544"/>
      <c r="BQ25" s="544"/>
      <c r="BR25" s="544"/>
      <c r="BS25" s="544"/>
      <c r="BT25" s="544"/>
      <c r="BU25" s="544"/>
      <c r="BV25" s="544"/>
      <c r="BW25" s="544"/>
      <c r="BX25" s="544"/>
      <c r="BY25" s="544"/>
      <c r="BZ25" s="544"/>
      <c r="CA25" s="544"/>
      <c r="CB25" s="544"/>
      <c r="CC25" s="544"/>
      <c r="CD25" s="544"/>
      <c r="CE25" s="544"/>
      <c r="CF25" s="544"/>
      <c r="CG25" s="544"/>
      <c r="CH25" s="544"/>
      <c r="CI25" s="544"/>
      <c r="CJ25" s="544"/>
      <c r="CK25" s="544"/>
      <c r="CL25" s="544"/>
      <c r="CM25" s="544"/>
      <c r="CN25" s="544"/>
      <c r="CO25" s="544"/>
      <c r="CP25" s="544"/>
      <c r="CQ25" s="544"/>
      <c r="CR25" s="544"/>
      <c r="CS25" s="544"/>
      <c r="CT25" s="544"/>
      <c r="CU25" s="544"/>
      <c r="CV25" s="544"/>
      <c r="CW25" s="544"/>
      <c r="CX25" s="544"/>
      <c r="CY25" s="544"/>
      <c r="CZ25" s="544"/>
      <c r="DA25" s="544"/>
      <c r="DB25" s="544"/>
      <c r="DC25" s="544"/>
      <c r="DD25" s="544"/>
      <c r="DE25" s="544"/>
      <c r="DF25" s="544"/>
      <c r="DG25" s="544"/>
      <c r="DH25" s="544"/>
      <c r="DI25" s="544"/>
      <c r="DJ25" s="544"/>
      <c r="DK25" s="544"/>
      <c r="DL25" s="544"/>
      <c r="DM25" s="544"/>
      <c r="DN25" s="544"/>
      <c r="DO25" s="544"/>
      <c r="DP25" s="544"/>
      <c r="DQ25" s="544"/>
      <c r="DR25" s="544"/>
      <c r="DS25" s="544"/>
      <c r="DT25" s="544"/>
      <c r="DU25" s="544"/>
      <c r="DV25" s="544"/>
      <c r="DW25" s="544"/>
      <c r="DX25" s="544"/>
      <c r="DY25" s="544"/>
      <c r="DZ25" s="544"/>
      <c r="EA25" s="544"/>
      <c r="EB25" s="544"/>
      <c r="EC25" s="544"/>
      <c r="ED25" s="544"/>
      <c r="EE25" s="544"/>
      <c r="EF25" s="544"/>
      <c r="EG25" s="544"/>
      <c r="EH25" s="544"/>
      <c r="EI25" s="544"/>
      <c r="EJ25" s="544"/>
      <c r="EK25" s="544"/>
      <c r="EL25" s="544"/>
      <c r="EM25" s="544"/>
      <c r="EN25" s="544"/>
      <c r="EO25" s="544"/>
      <c r="EP25" s="544"/>
      <c r="EQ25" s="544"/>
      <c r="ER25" s="544"/>
      <c r="ES25" s="544"/>
      <c r="ET25" s="544"/>
      <c r="EU25" s="544"/>
      <c r="EV25" s="544"/>
      <c r="EW25" s="544"/>
      <c r="EX25" s="544"/>
      <c r="EY25" s="544"/>
      <c r="EZ25" s="544"/>
      <c r="FA25" s="544"/>
      <c r="FB25" s="544"/>
      <c r="FC25" s="544"/>
      <c r="FD25" s="544"/>
      <c r="FE25" s="544"/>
      <c r="FF25" s="544"/>
      <c r="FG25" s="544"/>
      <c r="FH25" s="544"/>
      <c r="FI25" s="544"/>
      <c r="FJ25" s="544"/>
      <c r="FK25" s="544"/>
      <c r="FL25" s="544"/>
      <c r="FM25" s="544"/>
      <c r="FN25" s="544"/>
      <c r="FO25" s="544"/>
      <c r="FP25" s="544"/>
      <c r="FQ25" s="544"/>
      <c r="FR25" s="544"/>
      <c r="FS25" s="544"/>
      <c r="FT25" s="544"/>
      <c r="FU25" s="544"/>
      <c r="FV25" s="544"/>
      <c r="FW25" s="544"/>
      <c r="FX25" s="544"/>
      <c r="FY25" s="544"/>
      <c r="FZ25" s="544"/>
      <c r="GA25" s="544"/>
      <c r="GB25" s="544"/>
      <c r="GC25" s="544"/>
      <c r="GD25" s="544"/>
      <c r="GE25" s="544"/>
      <c r="GF25" s="544"/>
      <c r="GG25" s="544"/>
      <c r="GH25" s="544"/>
      <c r="GI25" s="544"/>
      <c r="GJ25" s="544"/>
      <c r="GK25" s="544"/>
      <c r="GL25" s="544"/>
      <c r="GM25" s="544"/>
      <c r="GN25" s="544"/>
      <c r="GO25" s="544"/>
      <c r="GP25" s="544"/>
      <c r="GQ25" s="544"/>
      <c r="GR25" s="544"/>
      <c r="GS25" s="544"/>
      <c r="GT25" s="544"/>
      <c r="GU25" s="544"/>
      <c r="GV25" s="544"/>
      <c r="GW25" s="544"/>
      <c r="GX25" s="544"/>
      <c r="GY25" s="544"/>
      <c r="GZ25" s="544"/>
      <c r="HA25" s="544"/>
      <c r="HB25" s="544"/>
      <c r="HC25" s="544"/>
      <c r="HD25" s="544"/>
      <c r="HE25" s="544"/>
      <c r="HF25" s="544"/>
      <c r="HG25" s="544"/>
      <c r="HH25" s="544"/>
      <c r="HI25" s="544"/>
      <c r="HJ25" s="544"/>
      <c r="HK25" s="544"/>
      <c r="HL25" s="544"/>
      <c r="HM25" s="544"/>
      <c r="HN25" s="544"/>
      <c r="HO25" s="544"/>
      <c r="HP25" s="544"/>
      <c r="HQ25" s="544"/>
      <c r="HR25" s="544"/>
      <c r="HS25" s="544"/>
      <c r="HT25" s="544"/>
      <c r="HU25" s="544"/>
      <c r="HV25" s="544"/>
      <c r="HW25" s="544"/>
      <c r="HX25" s="544"/>
      <c r="HY25" s="544"/>
      <c r="HZ25" s="544"/>
      <c r="IA25" s="544"/>
      <c r="IB25" s="544"/>
      <c r="IC25" s="544"/>
      <c r="ID25" s="544"/>
      <c r="IE25" s="544"/>
      <c r="IF25" s="544"/>
      <c r="IG25" s="544"/>
      <c r="IH25" s="544"/>
      <c r="II25" s="544"/>
      <c r="IJ25" s="544"/>
      <c r="IK25" s="544"/>
      <c r="IL25" s="544"/>
      <c r="IM25" s="544"/>
      <c r="IN25" s="544"/>
      <c r="IO25" s="544"/>
      <c r="IP25" s="544"/>
      <c r="IQ25" s="544"/>
      <c r="IR25" s="544"/>
      <c r="IS25" s="544"/>
    </row>
    <row r="26" spans="1:253" ht="31" x14ac:dyDescent="0.35">
      <c r="A26" s="544"/>
      <c r="B26" s="1090" t="s">
        <v>651</v>
      </c>
      <c r="C26" s="881"/>
      <c r="D26" s="678"/>
      <c r="E26" s="907"/>
      <c r="F26" s="908"/>
      <c r="G26" s="909"/>
      <c r="H26" s="544"/>
      <c r="I26" s="544"/>
      <c r="J26" s="544"/>
      <c r="K26" s="544"/>
      <c r="AA26" s="1089" t="s">
        <v>601</v>
      </c>
      <c r="AY26" s="544"/>
      <c r="AZ26" s="544"/>
      <c r="BA26" s="544"/>
      <c r="BB26" s="544"/>
      <c r="BC26" s="544"/>
      <c r="BD26" s="544"/>
      <c r="BE26" s="544"/>
      <c r="BF26" s="544"/>
      <c r="BG26" s="544"/>
      <c r="BH26" s="544"/>
      <c r="BI26" s="544"/>
      <c r="BJ26" s="544"/>
      <c r="BK26" s="544"/>
      <c r="BL26" s="544"/>
      <c r="BM26" s="544"/>
      <c r="BN26" s="544"/>
      <c r="BO26" s="544"/>
      <c r="BP26" s="544"/>
      <c r="BQ26" s="544"/>
      <c r="BR26" s="544"/>
      <c r="BS26" s="544"/>
      <c r="BT26" s="544"/>
      <c r="BU26" s="544"/>
      <c r="BV26" s="544"/>
      <c r="BW26" s="544"/>
      <c r="BX26" s="544"/>
      <c r="BY26" s="544"/>
      <c r="BZ26" s="544"/>
      <c r="CA26" s="544"/>
      <c r="CB26" s="544"/>
      <c r="CC26" s="544"/>
      <c r="CD26" s="544"/>
      <c r="CE26" s="544"/>
      <c r="CF26" s="544"/>
      <c r="CG26" s="544"/>
      <c r="CH26" s="544"/>
      <c r="CI26" s="544"/>
      <c r="CJ26" s="544"/>
      <c r="CK26" s="544"/>
      <c r="CL26" s="544"/>
      <c r="CM26" s="544"/>
      <c r="CN26" s="544"/>
      <c r="CO26" s="544"/>
      <c r="CP26" s="544"/>
      <c r="CQ26" s="544"/>
      <c r="CR26" s="544"/>
      <c r="CS26" s="544"/>
      <c r="CT26" s="544"/>
      <c r="CU26" s="544"/>
      <c r="CV26" s="544"/>
      <c r="CW26" s="544"/>
      <c r="CX26" s="544"/>
      <c r="CY26" s="544"/>
      <c r="CZ26" s="544"/>
      <c r="DA26" s="544"/>
      <c r="DB26" s="544"/>
      <c r="DC26" s="544"/>
      <c r="DD26" s="544"/>
      <c r="DE26" s="544"/>
      <c r="DF26" s="544"/>
      <c r="DG26" s="544"/>
      <c r="DH26" s="544"/>
      <c r="DI26" s="544"/>
      <c r="DJ26" s="544"/>
      <c r="DK26" s="544"/>
      <c r="DL26" s="544"/>
      <c r="DM26" s="544"/>
      <c r="DN26" s="544"/>
      <c r="DO26" s="544"/>
      <c r="DP26" s="544"/>
      <c r="DQ26" s="544"/>
      <c r="DR26" s="544"/>
      <c r="DS26" s="544"/>
      <c r="DT26" s="544"/>
      <c r="DU26" s="544"/>
      <c r="DV26" s="544"/>
      <c r="DW26" s="544"/>
      <c r="DX26" s="544"/>
      <c r="DY26" s="544"/>
      <c r="DZ26" s="544"/>
      <c r="EA26" s="544"/>
      <c r="EB26" s="544"/>
      <c r="EC26" s="544"/>
      <c r="ED26" s="544"/>
      <c r="EE26" s="544"/>
      <c r="EF26" s="544"/>
      <c r="EG26" s="544"/>
      <c r="EH26" s="544"/>
      <c r="EI26" s="544"/>
      <c r="EJ26" s="544"/>
      <c r="EK26" s="544"/>
      <c r="EL26" s="544"/>
      <c r="EM26" s="544"/>
      <c r="EN26" s="544"/>
      <c r="EO26" s="544"/>
      <c r="EP26" s="544"/>
      <c r="EQ26" s="544"/>
      <c r="ER26" s="544"/>
      <c r="ES26" s="544"/>
      <c r="ET26" s="544"/>
      <c r="EU26" s="544"/>
      <c r="EV26" s="544"/>
      <c r="EW26" s="544"/>
      <c r="EX26" s="544"/>
      <c r="EY26" s="544"/>
      <c r="EZ26" s="544"/>
      <c r="FA26" s="544"/>
      <c r="FB26" s="544"/>
      <c r="FC26" s="544"/>
      <c r="FD26" s="544"/>
      <c r="FE26" s="544"/>
      <c r="FF26" s="544"/>
      <c r="FG26" s="544"/>
      <c r="FH26" s="544"/>
      <c r="FI26" s="544"/>
      <c r="FJ26" s="544"/>
      <c r="FK26" s="544"/>
      <c r="FL26" s="544"/>
      <c r="FM26" s="544"/>
      <c r="FN26" s="544"/>
      <c r="FO26" s="544"/>
      <c r="FP26" s="544"/>
      <c r="FQ26" s="544"/>
      <c r="FR26" s="544"/>
      <c r="FS26" s="544"/>
      <c r="FT26" s="544"/>
      <c r="FU26" s="544"/>
      <c r="FV26" s="544"/>
      <c r="FW26" s="544"/>
      <c r="FX26" s="544"/>
      <c r="FY26" s="544"/>
      <c r="FZ26" s="544"/>
      <c r="GA26" s="544"/>
      <c r="GB26" s="544"/>
      <c r="GC26" s="544"/>
      <c r="GD26" s="544"/>
      <c r="GE26" s="544"/>
      <c r="GF26" s="544"/>
      <c r="GG26" s="544"/>
      <c r="GH26" s="544"/>
      <c r="GI26" s="544"/>
      <c r="GJ26" s="544"/>
      <c r="GK26" s="544"/>
      <c r="GL26" s="544"/>
      <c r="GM26" s="544"/>
      <c r="GN26" s="544"/>
      <c r="GO26" s="544"/>
      <c r="GP26" s="544"/>
      <c r="GQ26" s="544"/>
      <c r="GR26" s="544"/>
      <c r="GS26" s="544"/>
      <c r="GT26" s="544"/>
      <c r="GU26" s="544"/>
      <c r="GV26" s="544"/>
      <c r="GW26" s="544"/>
      <c r="GX26" s="544"/>
      <c r="GY26" s="544"/>
      <c r="GZ26" s="544"/>
      <c r="HA26" s="544"/>
      <c r="HB26" s="544"/>
      <c r="HC26" s="544"/>
      <c r="HD26" s="544"/>
      <c r="HE26" s="544"/>
      <c r="HF26" s="544"/>
      <c r="HG26" s="544"/>
      <c r="HH26" s="544"/>
      <c r="HI26" s="544"/>
      <c r="HJ26" s="544"/>
      <c r="HK26" s="544"/>
      <c r="HL26" s="544"/>
      <c r="HM26" s="544"/>
      <c r="HN26" s="544"/>
      <c r="HO26" s="544"/>
      <c r="HP26" s="544"/>
      <c r="HQ26" s="544"/>
      <c r="HR26" s="544"/>
      <c r="HS26" s="544"/>
      <c r="HT26" s="544"/>
      <c r="HU26" s="544"/>
      <c r="HV26" s="544"/>
      <c r="HW26" s="544"/>
      <c r="HX26" s="544"/>
      <c r="HY26" s="544"/>
      <c r="HZ26" s="544"/>
      <c r="IA26" s="544"/>
      <c r="IB26" s="544"/>
      <c r="IC26" s="544"/>
      <c r="ID26" s="544"/>
      <c r="IE26" s="544"/>
      <c r="IF26" s="544"/>
      <c r="IG26" s="544"/>
      <c r="IH26" s="544"/>
      <c r="II26" s="544"/>
      <c r="IJ26" s="544"/>
      <c r="IK26" s="544"/>
      <c r="IL26" s="544"/>
      <c r="IM26" s="544"/>
      <c r="IN26" s="544"/>
      <c r="IO26" s="544"/>
      <c r="IP26" s="544"/>
      <c r="IQ26" s="544"/>
      <c r="IR26" s="544"/>
      <c r="IS26" s="544"/>
    </row>
    <row r="27" spans="1:253" ht="31" x14ac:dyDescent="0.35">
      <c r="A27" s="544"/>
      <c r="B27" s="1090" t="s">
        <v>652</v>
      </c>
      <c r="C27" s="881"/>
      <c r="D27" s="678"/>
      <c r="E27" s="907"/>
      <c r="F27" s="908"/>
      <c r="G27" s="909"/>
      <c r="H27" s="544"/>
      <c r="I27" s="544"/>
      <c r="J27" s="544"/>
      <c r="K27" s="544"/>
      <c r="AA27" s="1089" t="s">
        <v>601</v>
      </c>
      <c r="AY27" s="544"/>
      <c r="AZ27" s="544"/>
      <c r="BA27" s="544"/>
      <c r="BB27" s="544"/>
      <c r="BC27" s="544"/>
      <c r="BD27" s="544"/>
      <c r="BE27" s="544"/>
      <c r="BF27" s="544"/>
      <c r="BG27" s="544"/>
      <c r="BH27" s="544"/>
      <c r="BI27" s="544"/>
      <c r="BJ27" s="544"/>
      <c r="BK27" s="544"/>
      <c r="BL27" s="544"/>
      <c r="BM27" s="544"/>
      <c r="BN27" s="544"/>
      <c r="BO27" s="544"/>
      <c r="BP27" s="544"/>
      <c r="BQ27" s="544"/>
      <c r="BR27" s="544"/>
      <c r="BS27" s="544"/>
      <c r="BT27" s="544"/>
      <c r="BU27" s="544"/>
      <c r="BV27" s="544"/>
      <c r="BW27" s="544"/>
      <c r="BX27" s="544"/>
      <c r="BY27" s="544"/>
      <c r="BZ27" s="544"/>
      <c r="CA27" s="544"/>
      <c r="CB27" s="544"/>
      <c r="CC27" s="544"/>
      <c r="CD27" s="544"/>
      <c r="CE27" s="544"/>
      <c r="CF27" s="544"/>
      <c r="CG27" s="544"/>
      <c r="CH27" s="544"/>
      <c r="CI27" s="544"/>
      <c r="CJ27" s="544"/>
      <c r="CK27" s="544"/>
      <c r="CL27" s="544"/>
      <c r="CM27" s="544"/>
      <c r="CN27" s="544"/>
      <c r="CO27" s="544"/>
      <c r="CP27" s="544"/>
      <c r="CQ27" s="544"/>
      <c r="CR27" s="544"/>
      <c r="CS27" s="544"/>
      <c r="CT27" s="544"/>
      <c r="CU27" s="544"/>
      <c r="CV27" s="544"/>
      <c r="CW27" s="544"/>
      <c r="CX27" s="544"/>
      <c r="CY27" s="544"/>
      <c r="CZ27" s="544"/>
      <c r="DA27" s="544"/>
      <c r="DB27" s="544"/>
      <c r="DC27" s="544"/>
      <c r="DD27" s="544"/>
      <c r="DE27" s="544"/>
      <c r="DF27" s="544"/>
      <c r="DG27" s="544"/>
      <c r="DH27" s="544"/>
      <c r="DI27" s="544"/>
      <c r="DJ27" s="544"/>
      <c r="DK27" s="544"/>
      <c r="DL27" s="544"/>
      <c r="DM27" s="544"/>
      <c r="DN27" s="544"/>
      <c r="DO27" s="544"/>
      <c r="DP27" s="544"/>
      <c r="DQ27" s="544"/>
      <c r="DR27" s="544"/>
      <c r="DS27" s="544"/>
      <c r="DT27" s="544"/>
      <c r="DU27" s="544"/>
      <c r="DV27" s="544"/>
      <c r="DW27" s="544"/>
      <c r="DX27" s="544"/>
      <c r="DY27" s="544"/>
      <c r="DZ27" s="544"/>
      <c r="EA27" s="544"/>
      <c r="EB27" s="544"/>
      <c r="EC27" s="544"/>
      <c r="ED27" s="544"/>
      <c r="EE27" s="544"/>
      <c r="EF27" s="544"/>
      <c r="EG27" s="544"/>
      <c r="EH27" s="544"/>
      <c r="EI27" s="544"/>
      <c r="EJ27" s="544"/>
      <c r="EK27" s="544"/>
      <c r="EL27" s="544"/>
      <c r="EM27" s="544"/>
      <c r="EN27" s="544"/>
      <c r="EO27" s="544"/>
      <c r="EP27" s="544"/>
      <c r="EQ27" s="544"/>
      <c r="ER27" s="544"/>
      <c r="ES27" s="544"/>
      <c r="ET27" s="544"/>
      <c r="EU27" s="544"/>
      <c r="EV27" s="544"/>
      <c r="EW27" s="544"/>
      <c r="EX27" s="544"/>
      <c r="EY27" s="544"/>
      <c r="EZ27" s="544"/>
      <c r="FA27" s="544"/>
      <c r="FB27" s="544"/>
      <c r="FC27" s="544"/>
      <c r="FD27" s="544"/>
      <c r="FE27" s="544"/>
      <c r="FF27" s="544"/>
      <c r="FG27" s="544"/>
      <c r="FH27" s="544"/>
      <c r="FI27" s="544"/>
      <c r="FJ27" s="544"/>
      <c r="FK27" s="544"/>
      <c r="FL27" s="544"/>
      <c r="FM27" s="544"/>
      <c r="FN27" s="544"/>
      <c r="FO27" s="544"/>
      <c r="FP27" s="544"/>
      <c r="FQ27" s="544"/>
      <c r="FR27" s="544"/>
      <c r="FS27" s="544"/>
      <c r="FT27" s="544"/>
      <c r="FU27" s="544"/>
      <c r="FV27" s="544"/>
      <c r="FW27" s="544"/>
      <c r="FX27" s="544"/>
      <c r="FY27" s="544"/>
      <c r="FZ27" s="544"/>
      <c r="GA27" s="544"/>
      <c r="GB27" s="544"/>
      <c r="GC27" s="544"/>
      <c r="GD27" s="544"/>
      <c r="GE27" s="544"/>
      <c r="GF27" s="544"/>
      <c r="GG27" s="544"/>
      <c r="GH27" s="544"/>
      <c r="GI27" s="544"/>
      <c r="GJ27" s="544"/>
      <c r="GK27" s="544"/>
      <c r="GL27" s="544"/>
      <c r="GM27" s="544"/>
      <c r="GN27" s="544"/>
      <c r="GO27" s="544"/>
      <c r="GP27" s="544"/>
      <c r="GQ27" s="544"/>
      <c r="GR27" s="544"/>
      <c r="GS27" s="544"/>
      <c r="GT27" s="544"/>
      <c r="GU27" s="544"/>
      <c r="GV27" s="544"/>
      <c r="GW27" s="544"/>
      <c r="GX27" s="544"/>
      <c r="GY27" s="544"/>
      <c r="GZ27" s="544"/>
      <c r="HA27" s="544"/>
      <c r="HB27" s="544"/>
      <c r="HC27" s="544"/>
      <c r="HD27" s="544"/>
      <c r="HE27" s="544"/>
      <c r="HF27" s="544"/>
      <c r="HG27" s="544"/>
      <c r="HH27" s="544"/>
      <c r="HI27" s="544"/>
      <c r="HJ27" s="544"/>
      <c r="HK27" s="544"/>
      <c r="HL27" s="544"/>
      <c r="HM27" s="544"/>
      <c r="HN27" s="544"/>
      <c r="HO27" s="544"/>
      <c r="HP27" s="544"/>
      <c r="HQ27" s="544"/>
      <c r="HR27" s="544"/>
      <c r="HS27" s="544"/>
      <c r="HT27" s="544"/>
      <c r="HU27" s="544"/>
      <c r="HV27" s="544"/>
      <c r="HW27" s="544"/>
      <c r="HX27" s="544"/>
      <c r="HY27" s="544"/>
      <c r="HZ27" s="544"/>
      <c r="IA27" s="544"/>
      <c r="IB27" s="544"/>
      <c r="IC27" s="544"/>
      <c r="ID27" s="544"/>
      <c r="IE27" s="544"/>
      <c r="IF27" s="544"/>
      <c r="IG27" s="544"/>
      <c r="IH27" s="544"/>
      <c r="II27" s="544"/>
      <c r="IJ27" s="544"/>
      <c r="IK27" s="544"/>
      <c r="IL27" s="544"/>
      <c r="IM27" s="544"/>
      <c r="IN27" s="544"/>
      <c r="IO27" s="544"/>
      <c r="IP27" s="544"/>
      <c r="IQ27" s="544"/>
      <c r="IR27" s="544"/>
      <c r="IS27" s="544"/>
    </row>
    <row r="28" spans="1:253" ht="31" x14ac:dyDescent="0.35">
      <c r="A28" s="544"/>
      <c r="B28" s="1090" t="s">
        <v>653</v>
      </c>
      <c r="C28" s="881"/>
      <c r="D28" s="678"/>
      <c r="E28" s="907"/>
      <c r="F28" s="908"/>
      <c r="G28" s="909"/>
      <c r="H28" s="544"/>
      <c r="I28" s="544"/>
      <c r="J28" s="544"/>
      <c r="K28" s="544"/>
      <c r="AA28" s="1089" t="s">
        <v>601</v>
      </c>
      <c r="AY28" s="544"/>
      <c r="AZ28" s="544"/>
      <c r="BA28" s="544"/>
      <c r="BB28" s="544"/>
      <c r="BC28" s="544"/>
      <c r="BD28" s="544"/>
      <c r="BE28" s="544"/>
      <c r="BF28" s="544"/>
      <c r="BG28" s="544"/>
      <c r="BH28" s="544"/>
      <c r="BI28" s="544"/>
      <c r="BJ28" s="544"/>
      <c r="BK28" s="544"/>
      <c r="BL28" s="544"/>
      <c r="BM28" s="544"/>
      <c r="BN28" s="544"/>
      <c r="BO28" s="544"/>
      <c r="BP28" s="544"/>
      <c r="BQ28" s="544"/>
      <c r="BR28" s="544"/>
      <c r="BS28" s="544"/>
      <c r="BT28" s="544"/>
      <c r="BU28" s="544"/>
      <c r="BV28" s="544"/>
      <c r="BW28" s="544"/>
      <c r="BX28" s="544"/>
      <c r="BY28" s="544"/>
      <c r="BZ28" s="544"/>
      <c r="CA28" s="544"/>
      <c r="CB28" s="544"/>
      <c r="CC28" s="544"/>
      <c r="CD28" s="544"/>
      <c r="CE28" s="544"/>
      <c r="CF28" s="544"/>
      <c r="CG28" s="544"/>
      <c r="CH28" s="544"/>
      <c r="CI28" s="544"/>
      <c r="CJ28" s="544"/>
      <c r="CK28" s="544"/>
      <c r="CL28" s="544"/>
      <c r="CM28" s="544"/>
      <c r="CN28" s="544"/>
      <c r="CO28" s="544"/>
      <c r="CP28" s="544"/>
      <c r="CQ28" s="544"/>
      <c r="CR28" s="544"/>
      <c r="CS28" s="544"/>
      <c r="CT28" s="544"/>
      <c r="CU28" s="544"/>
      <c r="CV28" s="544"/>
      <c r="CW28" s="544"/>
      <c r="CX28" s="544"/>
      <c r="CY28" s="544"/>
      <c r="CZ28" s="544"/>
      <c r="DA28" s="544"/>
      <c r="DB28" s="544"/>
      <c r="DC28" s="544"/>
      <c r="DD28" s="544"/>
      <c r="DE28" s="544"/>
      <c r="DF28" s="544"/>
      <c r="DG28" s="544"/>
      <c r="DH28" s="544"/>
      <c r="DI28" s="544"/>
      <c r="DJ28" s="544"/>
      <c r="DK28" s="544"/>
      <c r="DL28" s="544"/>
      <c r="DM28" s="544"/>
      <c r="DN28" s="544"/>
      <c r="DO28" s="544"/>
      <c r="DP28" s="544"/>
      <c r="DQ28" s="544"/>
      <c r="DR28" s="544"/>
      <c r="DS28" s="544"/>
      <c r="DT28" s="544"/>
      <c r="DU28" s="544"/>
      <c r="DV28" s="544"/>
      <c r="DW28" s="544"/>
      <c r="DX28" s="544"/>
      <c r="DY28" s="544"/>
      <c r="DZ28" s="544"/>
      <c r="EA28" s="544"/>
      <c r="EB28" s="544"/>
      <c r="EC28" s="544"/>
      <c r="ED28" s="544"/>
      <c r="EE28" s="544"/>
      <c r="EF28" s="544"/>
      <c r="EG28" s="544"/>
      <c r="EH28" s="544"/>
      <c r="EI28" s="544"/>
      <c r="EJ28" s="544"/>
      <c r="EK28" s="544"/>
      <c r="EL28" s="544"/>
      <c r="EM28" s="544"/>
      <c r="EN28" s="544"/>
      <c r="EO28" s="544"/>
      <c r="EP28" s="544"/>
      <c r="EQ28" s="544"/>
      <c r="ER28" s="544"/>
      <c r="ES28" s="544"/>
      <c r="ET28" s="544"/>
      <c r="EU28" s="544"/>
      <c r="EV28" s="544"/>
      <c r="EW28" s="544"/>
      <c r="EX28" s="544"/>
      <c r="EY28" s="544"/>
      <c r="EZ28" s="544"/>
      <c r="FA28" s="544"/>
      <c r="FB28" s="544"/>
      <c r="FC28" s="544"/>
      <c r="FD28" s="544"/>
      <c r="FE28" s="544"/>
      <c r="FF28" s="544"/>
      <c r="FG28" s="544"/>
      <c r="FH28" s="544"/>
      <c r="FI28" s="544"/>
      <c r="FJ28" s="544"/>
      <c r="FK28" s="544"/>
      <c r="FL28" s="544"/>
      <c r="FM28" s="544"/>
      <c r="FN28" s="544"/>
      <c r="FO28" s="544"/>
      <c r="FP28" s="544"/>
      <c r="FQ28" s="544"/>
      <c r="FR28" s="544"/>
      <c r="FS28" s="544"/>
      <c r="FT28" s="544"/>
      <c r="FU28" s="544"/>
      <c r="FV28" s="544"/>
      <c r="FW28" s="544"/>
      <c r="FX28" s="544"/>
      <c r="FY28" s="544"/>
      <c r="FZ28" s="544"/>
      <c r="GA28" s="544"/>
      <c r="GB28" s="544"/>
      <c r="GC28" s="544"/>
      <c r="GD28" s="544"/>
      <c r="GE28" s="544"/>
      <c r="GF28" s="544"/>
      <c r="GG28" s="544"/>
      <c r="GH28" s="544"/>
      <c r="GI28" s="544"/>
      <c r="GJ28" s="544"/>
      <c r="GK28" s="544"/>
      <c r="GL28" s="544"/>
      <c r="GM28" s="544"/>
      <c r="GN28" s="544"/>
      <c r="GO28" s="544"/>
      <c r="GP28" s="544"/>
      <c r="GQ28" s="544"/>
      <c r="GR28" s="544"/>
      <c r="GS28" s="544"/>
      <c r="GT28" s="544"/>
      <c r="GU28" s="544"/>
      <c r="GV28" s="544"/>
      <c r="GW28" s="544"/>
      <c r="GX28" s="544"/>
      <c r="GY28" s="544"/>
      <c r="GZ28" s="544"/>
      <c r="HA28" s="544"/>
      <c r="HB28" s="544"/>
      <c r="HC28" s="544"/>
      <c r="HD28" s="544"/>
      <c r="HE28" s="544"/>
      <c r="HF28" s="544"/>
      <c r="HG28" s="544"/>
      <c r="HH28" s="544"/>
      <c r="HI28" s="544"/>
      <c r="HJ28" s="544"/>
      <c r="HK28" s="544"/>
      <c r="HL28" s="544"/>
      <c r="HM28" s="544"/>
      <c r="HN28" s="544"/>
      <c r="HO28" s="544"/>
      <c r="HP28" s="544"/>
      <c r="HQ28" s="544"/>
      <c r="HR28" s="544"/>
      <c r="HS28" s="544"/>
      <c r="HT28" s="544"/>
      <c r="HU28" s="544"/>
      <c r="HV28" s="544"/>
      <c r="HW28" s="544"/>
      <c r="HX28" s="544"/>
      <c r="HY28" s="544"/>
      <c r="HZ28" s="544"/>
      <c r="IA28" s="544"/>
      <c r="IB28" s="544"/>
      <c r="IC28" s="544"/>
      <c r="ID28" s="544"/>
      <c r="IE28" s="544"/>
      <c r="IF28" s="544"/>
      <c r="IG28" s="544"/>
      <c r="IH28" s="544"/>
      <c r="II28" s="544"/>
      <c r="IJ28" s="544"/>
      <c r="IK28" s="544"/>
      <c r="IL28" s="544"/>
      <c r="IM28" s="544"/>
      <c r="IN28" s="544"/>
      <c r="IO28" s="544"/>
      <c r="IP28" s="544"/>
      <c r="IQ28" s="544"/>
      <c r="IR28" s="544"/>
      <c r="IS28" s="544"/>
    </row>
    <row r="29" spans="1:253" ht="31" x14ac:dyDescent="0.35">
      <c r="A29" s="544"/>
      <c r="B29" s="1090" t="s">
        <v>654</v>
      </c>
      <c r="C29" s="881"/>
      <c r="D29" s="678"/>
      <c r="E29" s="907"/>
      <c r="F29" s="908"/>
      <c r="G29" s="909"/>
      <c r="H29" s="544"/>
      <c r="I29" s="544"/>
      <c r="J29" s="544"/>
      <c r="K29" s="544"/>
      <c r="AA29" s="1089" t="s">
        <v>601</v>
      </c>
      <c r="AY29" s="544"/>
      <c r="AZ29" s="544"/>
      <c r="BA29" s="544"/>
      <c r="BB29" s="544"/>
      <c r="BC29" s="544"/>
      <c r="BD29" s="544"/>
      <c r="BE29" s="544"/>
      <c r="BF29" s="544"/>
      <c r="BG29" s="544"/>
      <c r="BH29" s="544"/>
      <c r="BI29" s="544"/>
      <c r="BJ29" s="544"/>
      <c r="BK29" s="544"/>
      <c r="BL29" s="544"/>
      <c r="BM29" s="544"/>
      <c r="BN29" s="544"/>
      <c r="BO29" s="544"/>
      <c r="BP29" s="544"/>
      <c r="BQ29" s="544"/>
      <c r="BR29" s="544"/>
      <c r="BS29" s="544"/>
      <c r="BT29" s="544"/>
      <c r="BU29" s="544"/>
      <c r="BV29" s="544"/>
      <c r="BW29" s="544"/>
      <c r="BX29" s="544"/>
      <c r="BY29" s="544"/>
      <c r="BZ29" s="544"/>
      <c r="CA29" s="544"/>
      <c r="CB29" s="544"/>
      <c r="CC29" s="544"/>
      <c r="CD29" s="544"/>
      <c r="CE29" s="544"/>
      <c r="CF29" s="544"/>
      <c r="CG29" s="544"/>
      <c r="CH29" s="544"/>
      <c r="CI29" s="544"/>
      <c r="CJ29" s="544"/>
      <c r="CK29" s="544"/>
      <c r="CL29" s="544"/>
      <c r="CM29" s="544"/>
      <c r="CN29" s="544"/>
      <c r="CO29" s="544"/>
      <c r="CP29" s="544"/>
      <c r="CQ29" s="544"/>
      <c r="CR29" s="544"/>
      <c r="CS29" s="544"/>
      <c r="CT29" s="544"/>
      <c r="CU29" s="544"/>
      <c r="CV29" s="544"/>
      <c r="CW29" s="544"/>
      <c r="CX29" s="544"/>
      <c r="CY29" s="544"/>
      <c r="CZ29" s="544"/>
      <c r="DA29" s="544"/>
      <c r="DB29" s="544"/>
      <c r="DC29" s="544"/>
      <c r="DD29" s="544"/>
      <c r="DE29" s="544"/>
      <c r="DF29" s="544"/>
      <c r="DG29" s="544"/>
      <c r="DH29" s="544"/>
      <c r="DI29" s="544"/>
      <c r="DJ29" s="544"/>
      <c r="DK29" s="544"/>
      <c r="DL29" s="544"/>
      <c r="DM29" s="544"/>
      <c r="DN29" s="544"/>
      <c r="DO29" s="544"/>
      <c r="DP29" s="544"/>
      <c r="DQ29" s="544"/>
      <c r="DR29" s="544"/>
      <c r="DS29" s="544"/>
      <c r="DT29" s="544"/>
      <c r="DU29" s="544"/>
      <c r="DV29" s="544"/>
      <c r="DW29" s="544"/>
      <c r="DX29" s="544"/>
      <c r="DY29" s="544"/>
      <c r="DZ29" s="544"/>
      <c r="EA29" s="544"/>
      <c r="EB29" s="544"/>
      <c r="EC29" s="544"/>
      <c r="ED29" s="544"/>
      <c r="EE29" s="544"/>
      <c r="EF29" s="544"/>
      <c r="EG29" s="544"/>
      <c r="EH29" s="544"/>
      <c r="EI29" s="544"/>
      <c r="EJ29" s="544"/>
      <c r="EK29" s="544"/>
      <c r="EL29" s="544"/>
      <c r="EM29" s="544"/>
      <c r="EN29" s="544"/>
      <c r="EO29" s="544"/>
      <c r="EP29" s="544"/>
      <c r="EQ29" s="544"/>
      <c r="ER29" s="544"/>
      <c r="ES29" s="544"/>
      <c r="ET29" s="544"/>
      <c r="EU29" s="544"/>
      <c r="EV29" s="544"/>
      <c r="EW29" s="544"/>
      <c r="EX29" s="544"/>
      <c r="EY29" s="544"/>
      <c r="EZ29" s="544"/>
      <c r="FA29" s="544"/>
      <c r="FB29" s="544"/>
      <c r="FC29" s="544"/>
      <c r="FD29" s="544"/>
      <c r="FE29" s="544"/>
      <c r="FF29" s="544"/>
      <c r="FG29" s="544"/>
      <c r="FH29" s="544"/>
      <c r="FI29" s="544"/>
      <c r="FJ29" s="544"/>
      <c r="FK29" s="544"/>
      <c r="FL29" s="544"/>
      <c r="FM29" s="544"/>
      <c r="FN29" s="544"/>
      <c r="FO29" s="544"/>
      <c r="FP29" s="544"/>
      <c r="FQ29" s="544"/>
      <c r="FR29" s="544"/>
      <c r="FS29" s="544"/>
      <c r="FT29" s="544"/>
      <c r="FU29" s="544"/>
      <c r="FV29" s="544"/>
      <c r="FW29" s="544"/>
      <c r="FX29" s="544"/>
      <c r="FY29" s="544"/>
      <c r="FZ29" s="544"/>
      <c r="GA29" s="544"/>
      <c r="GB29" s="544"/>
      <c r="GC29" s="544"/>
      <c r="GD29" s="544"/>
      <c r="GE29" s="544"/>
      <c r="GF29" s="544"/>
      <c r="GG29" s="544"/>
      <c r="GH29" s="544"/>
      <c r="GI29" s="544"/>
      <c r="GJ29" s="544"/>
      <c r="GK29" s="544"/>
      <c r="GL29" s="544"/>
      <c r="GM29" s="544"/>
      <c r="GN29" s="544"/>
      <c r="GO29" s="544"/>
      <c r="GP29" s="544"/>
      <c r="GQ29" s="544"/>
      <c r="GR29" s="544"/>
      <c r="GS29" s="544"/>
      <c r="GT29" s="544"/>
      <c r="GU29" s="544"/>
      <c r="GV29" s="544"/>
      <c r="GW29" s="544"/>
      <c r="GX29" s="544"/>
      <c r="GY29" s="544"/>
      <c r="GZ29" s="544"/>
      <c r="HA29" s="544"/>
      <c r="HB29" s="544"/>
      <c r="HC29" s="544"/>
      <c r="HD29" s="544"/>
      <c r="HE29" s="544"/>
      <c r="HF29" s="544"/>
      <c r="HG29" s="544"/>
      <c r="HH29" s="544"/>
      <c r="HI29" s="544"/>
      <c r="HJ29" s="544"/>
      <c r="HK29" s="544"/>
      <c r="HL29" s="544"/>
      <c r="HM29" s="544"/>
      <c r="HN29" s="544"/>
      <c r="HO29" s="544"/>
      <c r="HP29" s="544"/>
      <c r="HQ29" s="544"/>
      <c r="HR29" s="544"/>
      <c r="HS29" s="544"/>
      <c r="HT29" s="544"/>
      <c r="HU29" s="544"/>
      <c r="HV29" s="544"/>
      <c r="HW29" s="544"/>
      <c r="HX29" s="544"/>
      <c r="HY29" s="544"/>
      <c r="HZ29" s="544"/>
      <c r="IA29" s="544"/>
      <c r="IB29" s="544"/>
      <c r="IC29" s="544"/>
      <c r="ID29" s="544"/>
      <c r="IE29" s="544"/>
      <c r="IF29" s="544"/>
      <c r="IG29" s="544"/>
      <c r="IH29" s="544"/>
      <c r="II29" s="544"/>
      <c r="IJ29" s="544"/>
      <c r="IK29" s="544"/>
      <c r="IL29" s="544"/>
      <c r="IM29" s="544"/>
      <c r="IN29" s="544"/>
      <c r="IO29" s="544"/>
      <c r="IP29" s="544"/>
      <c r="IQ29" s="544"/>
      <c r="IR29" s="544"/>
      <c r="IS29" s="544"/>
    </row>
    <row r="30" spans="1:253" s="544" customFormat="1" ht="17.149999999999999" customHeight="1" x14ac:dyDescent="0.35">
      <c r="B30" s="601"/>
      <c r="C30" s="601"/>
      <c r="D30" s="523"/>
      <c r="E30" s="523"/>
      <c r="F30" s="523"/>
      <c r="G30" s="523"/>
      <c r="H30" s="678"/>
      <c r="I30" s="489"/>
      <c r="J30" s="489"/>
      <c r="K30" s="489"/>
      <c r="L30" s="489"/>
      <c r="M30" s="478"/>
    </row>
    <row r="31" spans="1:253" s="544" customFormat="1" ht="17.149999999999999" customHeight="1" x14ac:dyDescent="0.35">
      <c r="B31" s="572"/>
      <c r="C31" s="572"/>
    </row>
    <row r="32" spans="1:253" s="544" customFormat="1" ht="17.149999999999999" customHeight="1" x14ac:dyDescent="0.35">
      <c r="B32" s="695" t="s">
        <v>659</v>
      </c>
      <c r="C32" s="696"/>
      <c r="D32" s="697"/>
      <c r="E32" s="697"/>
      <c r="F32" s="697"/>
      <c r="G32" s="697"/>
      <c r="H32" s="697"/>
      <c r="I32" s="697"/>
    </row>
    <row r="33" spans="1:253" s="544" customFormat="1" ht="17.149999999999999" customHeight="1" x14ac:dyDescent="0.35">
      <c r="B33" s="572"/>
      <c r="C33" s="572"/>
    </row>
    <row r="34" spans="1:253" s="544" customFormat="1" ht="17.149999999999999" customHeight="1" x14ac:dyDescent="0.35">
      <c r="B34" s="592" t="s">
        <v>660</v>
      </c>
      <c r="C34" s="1091"/>
      <c r="D34" s="679"/>
    </row>
    <row r="35" spans="1:253" ht="28" customHeight="1" x14ac:dyDescent="0.35">
      <c r="A35" s="544"/>
      <c r="B35" s="1484" t="s">
        <v>594</v>
      </c>
      <c r="C35" s="684" t="s">
        <v>374</v>
      </c>
      <c r="E35" s="667" t="s">
        <v>521</v>
      </c>
      <c r="F35" s="1480"/>
      <c r="G35" s="1481"/>
      <c r="H35" s="1474" t="s">
        <v>656</v>
      </c>
      <c r="I35" s="1474" t="s">
        <v>645</v>
      </c>
      <c r="J35" s="544"/>
      <c r="K35" s="544"/>
      <c r="AY35" s="544"/>
      <c r="AZ35" s="544"/>
      <c r="BA35" s="544"/>
      <c r="BB35" s="544"/>
      <c r="BC35" s="544"/>
      <c r="BD35" s="544"/>
      <c r="BE35" s="544"/>
      <c r="BF35" s="544"/>
      <c r="BG35" s="544"/>
      <c r="BH35" s="544"/>
      <c r="BI35" s="544"/>
      <c r="BJ35" s="544"/>
      <c r="BK35" s="544"/>
      <c r="BL35" s="544"/>
      <c r="BM35" s="544"/>
      <c r="BN35" s="544"/>
      <c r="BO35" s="544"/>
      <c r="BP35" s="544"/>
      <c r="BQ35" s="544"/>
      <c r="BR35" s="544"/>
      <c r="BS35" s="544"/>
      <c r="BT35" s="544"/>
      <c r="BU35" s="544"/>
      <c r="BV35" s="544"/>
      <c r="BW35" s="544"/>
      <c r="BX35" s="544"/>
      <c r="BY35" s="544"/>
      <c r="BZ35" s="544"/>
      <c r="CA35" s="544"/>
      <c r="CB35" s="544"/>
      <c r="CC35" s="544"/>
      <c r="CD35" s="544"/>
      <c r="CE35" s="544"/>
      <c r="CF35" s="544"/>
      <c r="CG35" s="544"/>
      <c r="CH35" s="544"/>
      <c r="CI35" s="544"/>
      <c r="CJ35" s="544"/>
      <c r="CK35" s="544"/>
      <c r="CL35" s="544"/>
      <c r="CM35" s="544"/>
      <c r="CN35" s="544"/>
      <c r="CO35" s="544"/>
      <c r="CP35" s="544"/>
      <c r="CQ35" s="544"/>
      <c r="CR35" s="544"/>
      <c r="CS35" s="544"/>
      <c r="CT35" s="544"/>
      <c r="CU35" s="544"/>
      <c r="CV35" s="544"/>
      <c r="CW35" s="544"/>
      <c r="CX35" s="544"/>
      <c r="CY35" s="544"/>
      <c r="CZ35" s="544"/>
      <c r="DA35" s="544"/>
      <c r="DB35" s="544"/>
      <c r="DC35" s="544"/>
      <c r="DD35" s="544"/>
      <c r="DE35" s="544"/>
      <c r="DF35" s="544"/>
      <c r="DG35" s="544"/>
      <c r="DH35" s="544"/>
      <c r="DI35" s="544"/>
      <c r="DJ35" s="544"/>
      <c r="DK35" s="544"/>
      <c r="DL35" s="544"/>
      <c r="DM35" s="544"/>
      <c r="DN35" s="544"/>
      <c r="DO35" s="544"/>
      <c r="DP35" s="544"/>
      <c r="DQ35" s="544"/>
      <c r="DR35" s="544"/>
      <c r="DS35" s="544"/>
      <c r="DT35" s="544"/>
      <c r="DU35" s="544"/>
      <c r="DV35" s="544"/>
      <c r="DW35" s="544"/>
      <c r="DX35" s="544"/>
      <c r="DY35" s="544"/>
      <c r="DZ35" s="544"/>
      <c r="EA35" s="544"/>
      <c r="EB35" s="544"/>
      <c r="EC35" s="544"/>
      <c r="ED35" s="544"/>
      <c r="EE35" s="544"/>
      <c r="EF35" s="544"/>
      <c r="EG35" s="544"/>
      <c r="EH35" s="544"/>
      <c r="EI35" s="544"/>
      <c r="EJ35" s="544"/>
      <c r="EK35" s="544"/>
      <c r="EL35" s="544"/>
      <c r="EM35" s="544"/>
      <c r="EN35" s="544"/>
      <c r="EO35" s="544"/>
      <c r="EP35" s="544"/>
      <c r="EQ35" s="544"/>
      <c r="ER35" s="544"/>
      <c r="ES35" s="544"/>
      <c r="ET35" s="544"/>
      <c r="EU35" s="544"/>
      <c r="EV35" s="544"/>
      <c r="EW35" s="544"/>
      <c r="EX35" s="544"/>
      <c r="EY35" s="544"/>
      <c r="EZ35" s="544"/>
      <c r="FA35" s="544"/>
      <c r="FB35" s="544"/>
      <c r="FC35" s="544"/>
      <c r="FD35" s="544"/>
      <c r="FE35" s="544"/>
      <c r="FF35" s="544"/>
      <c r="FG35" s="544"/>
      <c r="FH35" s="544"/>
      <c r="FI35" s="544"/>
      <c r="FJ35" s="544"/>
      <c r="FK35" s="544"/>
      <c r="FL35" s="544"/>
      <c r="FM35" s="544"/>
      <c r="FN35" s="544"/>
      <c r="FO35" s="544"/>
      <c r="FP35" s="544"/>
      <c r="FQ35" s="544"/>
      <c r="FR35" s="544"/>
      <c r="FS35" s="544"/>
      <c r="FT35" s="544"/>
      <c r="FU35" s="544"/>
      <c r="FV35" s="544"/>
      <c r="FW35" s="544"/>
      <c r="FX35" s="544"/>
      <c r="FY35" s="544"/>
      <c r="FZ35" s="544"/>
      <c r="GA35" s="544"/>
      <c r="GB35" s="544"/>
      <c r="GC35" s="544"/>
      <c r="GD35" s="544"/>
      <c r="GE35" s="544"/>
      <c r="GF35" s="544"/>
      <c r="GG35" s="544"/>
      <c r="GH35" s="544"/>
      <c r="GI35" s="544"/>
      <c r="GJ35" s="544"/>
      <c r="GK35" s="544"/>
      <c r="GL35" s="544"/>
      <c r="GM35" s="544"/>
      <c r="GN35" s="544"/>
      <c r="GO35" s="544"/>
      <c r="GP35" s="544"/>
      <c r="GQ35" s="544"/>
      <c r="GR35" s="544"/>
      <c r="GS35" s="544"/>
      <c r="GT35" s="544"/>
      <c r="GU35" s="544"/>
      <c r="GV35" s="544"/>
      <c r="GW35" s="544"/>
      <c r="GX35" s="544"/>
      <c r="GY35" s="544"/>
      <c r="GZ35" s="544"/>
      <c r="HA35" s="544"/>
      <c r="HB35" s="544"/>
      <c r="HC35" s="544"/>
      <c r="HD35" s="544"/>
      <c r="HE35" s="544"/>
      <c r="HF35" s="544"/>
      <c r="HG35" s="544"/>
      <c r="HH35" s="544"/>
      <c r="HI35" s="544"/>
      <c r="HJ35" s="544"/>
      <c r="HK35" s="544"/>
      <c r="HL35" s="544"/>
      <c r="HM35" s="544"/>
      <c r="HN35" s="544"/>
      <c r="HO35" s="544"/>
      <c r="HP35" s="544"/>
      <c r="HQ35" s="544"/>
      <c r="HR35" s="544"/>
      <c r="HS35" s="544"/>
      <c r="HT35" s="544"/>
      <c r="HU35" s="544"/>
      <c r="HV35" s="544"/>
      <c r="HW35" s="544"/>
      <c r="HX35" s="544"/>
      <c r="HY35" s="544"/>
      <c r="HZ35" s="544"/>
      <c r="IA35" s="544"/>
      <c r="IB35" s="544"/>
      <c r="IC35" s="544"/>
      <c r="ID35" s="544"/>
      <c r="IE35" s="544"/>
      <c r="IF35" s="544"/>
      <c r="IG35" s="544"/>
      <c r="IH35" s="544"/>
      <c r="II35" s="544"/>
      <c r="IJ35" s="544"/>
      <c r="IK35" s="544"/>
      <c r="IL35" s="544"/>
      <c r="IM35" s="544"/>
      <c r="IN35" s="544"/>
      <c r="IO35" s="544"/>
      <c r="IP35" s="544"/>
      <c r="IQ35" s="544"/>
      <c r="IR35" s="544"/>
      <c r="IS35" s="544"/>
    </row>
    <row r="36" spans="1:253" ht="28" customHeight="1" x14ac:dyDescent="0.35">
      <c r="A36" s="544"/>
      <c r="B36" s="600" t="s">
        <v>646</v>
      </c>
      <c r="C36" s="881">
        <v>1</v>
      </c>
      <c r="E36" s="544"/>
      <c r="F36" s="544"/>
      <c r="G36" s="544"/>
      <c r="H36" s="544"/>
      <c r="I36" s="544"/>
      <c r="J36" s="544"/>
      <c r="K36" s="544"/>
      <c r="AY36" s="544"/>
      <c r="AZ36" s="544"/>
      <c r="BA36" s="544"/>
      <c r="BB36" s="544"/>
      <c r="BC36" s="544"/>
      <c r="BD36" s="544"/>
      <c r="BE36" s="544"/>
      <c r="BF36" s="544"/>
      <c r="BG36" s="544"/>
      <c r="BH36" s="544"/>
      <c r="BI36" s="544"/>
      <c r="BJ36" s="544"/>
      <c r="BK36" s="544"/>
      <c r="BL36" s="544"/>
      <c r="BM36" s="544"/>
      <c r="BN36" s="544"/>
      <c r="BO36" s="544"/>
      <c r="BP36" s="544"/>
      <c r="BQ36" s="544"/>
      <c r="BR36" s="544"/>
      <c r="BS36" s="544"/>
      <c r="BT36" s="544"/>
      <c r="BU36" s="544"/>
      <c r="BV36" s="544"/>
      <c r="BW36" s="544"/>
      <c r="BX36" s="544"/>
      <c r="BY36" s="544"/>
      <c r="BZ36" s="544"/>
      <c r="CA36" s="544"/>
      <c r="CB36" s="544"/>
      <c r="CC36" s="544"/>
      <c r="CD36" s="544"/>
      <c r="CE36" s="544"/>
      <c r="CF36" s="544"/>
      <c r="CG36" s="544"/>
      <c r="CH36" s="544"/>
      <c r="CI36" s="544"/>
      <c r="CJ36" s="544"/>
      <c r="CK36" s="544"/>
      <c r="CL36" s="544"/>
      <c r="CM36" s="544"/>
      <c r="CN36" s="544"/>
      <c r="CO36" s="544"/>
      <c r="CP36" s="544"/>
      <c r="CQ36" s="544"/>
      <c r="CR36" s="544"/>
      <c r="CS36" s="544"/>
      <c r="CT36" s="544"/>
      <c r="CU36" s="544"/>
      <c r="CV36" s="544"/>
      <c r="CW36" s="544"/>
      <c r="CX36" s="544"/>
      <c r="CY36" s="544"/>
      <c r="CZ36" s="544"/>
      <c r="DA36" s="544"/>
      <c r="DB36" s="544"/>
      <c r="DC36" s="544"/>
      <c r="DD36" s="544"/>
      <c r="DE36" s="544"/>
      <c r="DF36" s="544"/>
      <c r="DG36" s="544"/>
      <c r="DH36" s="544"/>
      <c r="DI36" s="544"/>
      <c r="DJ36" s="544"/>
      <c r="DK36" s="544"/>
      <c r="DL36" s="544"/>
      <c r="DM36" s="544"/>
      <c r="DN36" s="544"/>
      <c r="DO36" s="544"/>
      <c r="DP36" s="544"/>
      <c r="DQ36" s="544"/>
      <c r="DR36" s="544"/>
      <c r="DS36" s="544"/>
      <c r="DT36" s="544"/>
      <c r="DU36" s="544"/>
      <c r="DV36" s="544"/>
      <c r="DW36" s="544"/>
      <c r="DX36" s="544"/>
      <c r="DY36" s="544"/>
      <c r="DZ36" s="544"/>
      <c r="EA36" s="544"/>
      <c r="EB36" s="544"/>
      <c r="EC36" s="544"/>
      <c r="ED36" s="544"/>
      <c r="EE36" s="544"/>
      <c r="EF36" s="544"/>
      <c r="EG36" s="544"/>
      <c r="EH36" s="544"/>
      <c r="EI36" s="544"/>
      <c r="EJ36" s="544"/>
      <c r="EK36" s="544"/>
      <c r="EL36" s="544"/>
      <c r="EM36" s="544"/>
      <c r="EN36" s="544"/>
      <c r="EO36" s="544"/>
      <c r="EP36" s="544"/>
      <c r="EQ36" s="544"/>
      <c r="ER36" s="544"/>
      <c r="ES36" s="544"/>
      <c r="ET36" s="544"/>
      <c r="EU36" s="544"/>
      <c r="EV36" s="544"/>
      <c r="EW36" s="544"/>
      <c r="EX36" s="544"/>
      <c r="EY36" s="544"/>
      <c r="EZ36" s="544"/>
      <c r="FA36" s="544"/>
      <c r="FB36" s="544"/>
      <c r="FC36" s="544"/>
      <c r="FD36" s="544"/>
      <c r="FE36" s="544"/>
      <c r="FF36" s="544"/>
      <c r="FG36" s="544"/>
      <c r="FH36" s="544"/>
      <c r="FI36" s="544"/>
      <c r="FJ36" s="544"/>
      <c r="FK36" s="544"/>
      <c r="FL36" s="544"/>
      <c r="FM36" s="544"/>
      <c r="FN36" s="544"/>
      <c r="FO36" s="544"/>
      <c r="FP36" s="544"/>
      <c r="FQ36" s="544"/>
      <c r="FR36" s="544"/>
      <c r="FS36" s="544"/>
      <c r="FT36" s="544"/>
      <c r="FU36" s="544"/>
      <c r="FV36" s="544"/>
      <c r="FW36" s="544"/>
      <c r="FX36" s="544"/>
      <c r="FY36" s="544"/>
      <c r="FZ36" s="544"/>
      <c r="GA36" s="544"/>
      <c r="GB36" s="544"/>
      <c r="GC36" s="544"/>
      <c r="GD36" s="544"/>
      <c r="GE36" s="544"/>
      <c r="GF36" s="544"/>
      <c r="GG36" s="544"/>
      <c r="GH36" s="544"/>
      <c r="GI36" s="544"/>
      <c r="GJ36" s="544"/>
      <c r="GK36" s="544"/>
      <c r="GL36" s="544"/>
      <c r="GM36" s="544"/>
      <c r="GN36" s="544"/>
      <c r="GO36" s="544"/>
      <c r="GP36" s="544"/>
      <c r="GQ36" s="544"/>
      <c r="GR36" s="544"/>
      <c r="GS36" s="544"/>
      <c r="GT36" s="544"/>
      <c r="GU36" s="544"/>
      <c r="GV36" s="544"/>
      <c r="GW36" s="544"/>
      <c r="GX36" s="544"/>
      <c r="GY36" s="544"/>
      <c r="GZ36" s="544"/>
      <c r="HA36" s="544"/>
      <c r="HB36" s="544"/>
      <c r="HC36" s="544"/>
      <c r="HD36" s="544"/>
      <c r="HE36" s="544"/>
      <c r="HF36" s="544"/>
      <c r="HG36" s="544"/>
      <c r="HH36" s="544"/>
      <c r="HI36" s="544"/>
      <c r="HJ36" s="544"/>
      <c r="HK36" s="544"/>
      <c r="HL36" s="544"/>
      <c r="HM36" s="544"/>
      <c r="HN36" s="544"/>
      <c r="HO36" s="544"/>
      <c r="HP36" s="544"/>
      <c r="HQ36" s="544"/>
      <c r="HR36" s="544"/>
      <c r="HS36" s="544"/>
      <c r="HT36" s="544"/>
      <c r="HU36" s="544"/>
      <c r="HV36" s="544"/>
      <c r="HW36" s="544"/>
      <c r="HX36" s="544"/>
      <c r="HY36" s="544"/>
      <c r="HZ36" s="544"/>
      <c r="IA36" s="544"/>
      <c r="IB36" s="544"/>
      <c r="IC36" s="544"/>
      <c r="ID36" s="544"/>
      <c r="IE36" s="544"/>
      <c r="IF36" s="544"/>
      <c r="IG36" s="544"/>
      <c r="IH36" s="544"/>
      <c r="II36" s="544"/>
      <c r="IJ36" s="544"/>
      <c r="IK36" s="544"/>
      <c r="IL36" s="544"/>
      <c r="IM36" s="544"/>
      <c r="IN36" s="544"/>
      <c r="IO36" s="544"/>
      <c r="IP36" s="544"/>
      <c r="IQ36" s="544"/>
      <c r="IR36" s="544"/>
      <c r="IS36" s="544"/>
    </row>
    <row r="37" spans="1:253" ht="31" x14ac:dyDescent="0.35">
      <c r="A37" s="544"/>
      <c r="B37" s="1090" t="s">
        <v>661</v>
      </c>
      <c r="C37" s="881"/>
      <c r="E37" s="907"/>
      <c r="F37" s="908"/>
      <c r="G37" s="909"/>
      <c r="H37" s="913"/>
      <c r="I37" s="913"/>
      <c r="J37" s="917" t="s">
        <v>648</v>
      </c>
      <c r="K37" s="544"/>
      <c r="AA37" s="1089" t="s">
        <v>601</v>
      </c>
      <c r="AY37" s="544"/>
      <c r="AZ37" s="544"/>
      <c r="BA37" s="544"/>
      <c r="BB37" s="544"/>
      <c r="BC37" s="544"/>
      <c r="BD37" s="544"/>
      <c r="BE37" s="544"/>
      <c r="BF37" s="544"/>
      <c r="BG37" s="544"/>
      <c r="BH37" s="544"/>
      <c r="BI37" s="544"/>
      <c r="BJ37" s="544"/>
      <c r="BK37" s="544"/>
      <c r="BL37" s="544"/>
      <c r="BM37" s="544"/>
      <c r="BN37" s="544"/>
      <c r="BO37" s="544"/>
      <c r="BP37" s="544"/>
      <c r="BQ37" s="544"/>
      <c r="BR37" s="544"/>
      <c r="BS37" s="544"/>
      <c r="BT37" s="544"/>
      <c r="BU37" s="544"/>
      <c r="BV37" s="544"/>
      <c r="BW37" s="544"/>
      <c r="BX37" s="544"/>
      <c r="BY37" s="544"/>
      <c r="BZ37" s="544"/>
      <c r="CA37" s="544"/>
      <c r="CB37" s="544"/>
      <c r="CC37" s="544"/>
      <c r="CD37" s="544"/>
      <c r="CE37" s="544"/>
      <c r="CF37" s="544"/>
      <c r="CG37" s="544"/>
      <c r="CH37" s="544"/>
      <c r="CI37" s="544"/>
      <c r="CJ37" s="544"/>
      <c r="CK37" s="544"/>
      <c r="CL37" s="544"/>
      <c r="CM37" s="544"/>
      <c r="CN37" s="544"/>
      <c r="CO37" s="544"/>
      <c r="CP37" s="544"/>
      <c r="CQ37" s="544"/>
      <c r="CR37" s="544"/>
      <c r="CS37" s="544"/>
      <c r="CT37" s="544"/>
      <c r="CU37" s="544"/>
      <c r="CV37" s="544"/>
      <c r="CW37" s="544"/>
      <c r="CX37" s="544"/>
      <c r="CY37" s="544"/>
      <c r="CZ37" s="544"/>
      <c r="DA37" s="544"/>
      <c r="DB37" s="544"/>
      <c r="DC37" s="544"/>
      <c r="DD37" s="544"/>
      <c r="DE37" s="544"/>
      <c r="DF37" s="544"/>
      <c r="DG37" s="544"/>
      <c r="DH37" s="544"/>
      <c r="DI37" s="544"/>
      <c r="DJ37" s="544"/>
      <c r="DK37" s="544"/>
      <c r="DL37" s="544"/>
      <c r="DM37" s="544"/>
      <c r="DN37" s="544"/>
      <c r="DO37" s="544"/>
      <c r="DP37" s="544"/>
      <c r="DQ37" s="544"/>
      <c r="DR37" s="544"/>
      <c r="DS37" s="544"/>
      <c r="DT37" s="544"/>
      <c r="DU37" s="544"/>
      <c r="DV37" s="544"/>
      <c r="DW37" s="544"/>
      <c r="DX37" s="544"/>
      <c r="DY37" s="544"/>
      <c r="DZ37" s="544"/>
      <c r="EA37" s="544"/>
      <c r="EB37" s="544"/>
      <c r="EC37" s="544"/>
      <c r="ED37" s="544"/>
      <c r="EE37" s="544"/>
      <c r="EF37" s="544"/>
      <c r="EG37" s="544"/>
      <c r="EH37" s="544"/>
      <c r="EI37" s="544"/>
      <c r="EJ37" s="544"/>
      <c r="EK37" s="544"/>
      <c r="EL37" s="544"/>
      <c r="EM37" s="544"/>
      <c r="EN37" s="544"/>
      <c r="EO37" s="544"/>
      <c r="EP37" s="544"/>
      <c r="EQ37" s="544"/>
      <c r="ER37" s="544"/>
      <c r="ES37" s="544"/>
      <c r="ET37" s="544"/>
      <c r="EU37" s="544"/>
      <c r="EV37" s="544"/>
      <c r="EW37" s="544"/>
      <c r="EX37" s="544"/>
      <c r="EY37" s="544"/>
      <c r="EZ37" s="544"/>
      <c r="FA37" s="544"/>
      <c r="FB37" s="544"/>
      <c r="FC37" s="544"/>
      <c r="FD37" s="544"/>
      <c r="FE37" s="544"/>
      <c r="FF37" s="544"/>
      <c r="FG37" s="544"/>
      <c r="FH37" s="544"/>
      <c r="FI37" s="544"/>
      <c r="FJ37" s="544"/>
      <c r="FK37" s="544"/>
      <c r="FL37" s="544"/>
      <c r="FM37" s="544"/>
      <c r="FN37" s="544"/>
      <c r="FO37" s="544"/>
      <c r="FP37" s="544"/>
      <c r="FQ37" s="544"/>
      <c r="FR37" s="544"/>
      <c r="FS37" s="544"/>
      <c r="FT37" s="544"/>
      <c r="FU37" s="544"/>
      <c r="FV37" s="544"/>
      <c r="FW37" s="544"/>
      <c r="FX37" s="544"/>
      <c r="FY37" s="544"/>
      <c r="FZ37" s="544"/>
      <c r="GA37" s="544"/>
      <c r="GB37" s="544"/>
      <c r="GC37" s="544"/>
      <c r="GD37" s="544"/>
      <c r="GE37" s="544"/>
      <c r="GF37" s="544"/>
      <c r="GG37" s="544"/>
      <c r="GH37" s="544"/>
      <c r="GI37" s="544"/>
      <c r="GJ37" s="544"/>
      <c r="GK37" s="544"/>
      <c r="GL37" s="544"/>
      <c r="GM37" s="544"/>
      <c r="GN37" s="544"/>
      <c r="GO37" s="544"/>
      <c r="GP37" s="544"/>
      <c r="GQ37" s="544"/>
      <c r="GR37" s="544"/>
      <c r="GS37" s="544"/>
      <c r="GT37" s="544"/>
      <c r="GU37" s="544"/>
      <c r="GV37" s="544"/>
      <c r="GW37" s="544"/>
      <c r="GX37" s="544"/>
      <c r="GY37" s="544"/>
      <c r="GZ37" s="544"/>
      <c r="HA37" s="544"/>
      <c r="HB37" s="544"/>
      <c r="HC37" s="544"/>
      <c r="HD37" s="544"/>
      <c r="HE37" s="544"/>
      <c r="HF37" s="544"/>
      <c r="HG37" s="544"/>
      <c r="HH37" s="544"/>
      <c r="HI37" s="544"/>
      <c r="HJ37" s="544"/>
      <c r="HK37" s="544"/>
      <c r="HL37" s="544"/>
      <c r="HM37" s="544"/>
      <c r="HN37" s="544"/>
      <c r="HO37" s="544"/>
      <c r="HP37" s="544"/>
      <c r="HQ37" s="544"/>
      <c r="HR37" s="544"/>
      <c r="HS37" s="544"/>
      <c r="HT37" s="544"/>
      <c r="HU37" s="544"/>
      <c r="HV37" s="544"/>
      <c r="HW37" s="544"/>
      <c r="HX37" s="544"/>
      <c r="HY37" s="544"/>
      <c r="HZ37" s="544"/>
      <c r="IA37" s="544"/>
      <c r="IB37" s="544"/>
      <c r="IC37" s="544"/>
      <c r="ID37" s="544"/>
      <c r="IE37" s="544"/>
      <c r="IF37" s="544"/>
      <c r="IG37" s="544"/>
      <c r="IH37" s="544"/>
      <c r="II37" s="544"/>
      <c r="IJ37" s="544"/>
      <c r="IK37" s="544"/>
      <c r="IL37" s="544"/>
      <c r="IM37" s="544"/>
      <c r="IN37" s="544"/>
      <c r="IO37" s="544"/>
      <c r="IP37" s="544"/>
      <c r="IQ37" s="544"/>
      <c r="IR37" s="544"/>
      <c r="IS37" s="544"/>
    </row>
    <row r="38" spans="1:253" ht="31" x14ac:dyDescent="0.35">
      <c r="A38" s="544"/>
      <c r="B38" s="1090" t="s">
        <v>649</v>
      </c>
      <c r="C38" s="881"/>
      <c r="E38" s="907"/>
      <c r="F38" s="908"/>
      <c r="G38" s="909"/>
      <c r="H38" s="913"/>
      <c r="I38" s="913"/>
      <c r="J38" s="544"/>
      <c r="K38" s="544"/>
      <c r="AA38" s="1089" t="s">
        <v>601</v>
      </c>
      <c r="AY38" s="544"/>
      <c r="AZ38" s="544"/>
      <c r="BA38" s="544"/>
      <c r="BB38" s="544"/>
      <c r="BC38" s="544"/>
      <c r="BD38" s="544"/>
      <c r="BE38" s="544"/>
      <c r="BF38" s="544"/>
      <c r="BG38" s="544"/>
      <c r="BH38" s="544"/>
      <c r="BI38" s="544"/>
      <c r="BJ38" s="544"/>
      <c r="BK38" s="544"/>
      <c r="BL38" s="544"/>
      <c r="BM38" s="544"/>
      <c r="BN38" s="544"/>
      <c r="BO38" s="544"/>
      <c r="BP38" s="544"/>
      <c r="BQ38" s="544"/>
      <c r="BR38" s="544"/>
      <c r="BS38" s="544"/>
      <c r="BT38" s="544"/>
      <c r="BU38" s="544"/>
      <c r="BV38" s="544"/>
      <c r="BW38" s="544"/>
      <c r="BX38" s="544"/>
      <c r="BY38" s="544"/>
      <c r="BZ38" s="544"/>
      <c r="CA38" s="544"/>
      <c r="CB38" s="544"/>
      <c r="CC38" s="544"/>
      <c r="CD38" s="544"/>
      <c r="CE38" s="544"/>
      <c r="CF38" s="544"/>
      <c r="CG38" s="544"/>
      <c r="CH38" s="544"/>
      <c r="CI38" s="544"/>
      <c r="CJ38" s="544"/>
      <c r="CK38" s="544"/>
      <c r="CL38" s="544"/>
      <c r="CM38" s="544"/>
      <c r="CN38" s="544"/>
      <c r="CO38" s="544"/>
      <c r="CP38" s="544"/>
      <c r="CQ38" s="544"/>
      <c r="CR38" s="544"/>
      <c r="CS38" s="544"/>
      <c r="CT38" s="544"/>
      <c r="CU38" s="544"/>
      <c r="CV38" s="544"/>
      <c r="CW38" s="544"/>
      <c r="CX38" s="544"/>
      <c r="CY38" s="544"/>
      <c r="CZ38" s="544"/>
      <c r="DA38" s="544"/>
      <c r="DB38" s="544"/>
      <c r="DC38" s="544"/>
      <c r="DD38" s="544"/>
      <c r="DE38" s="544"/>
      <c r="DF38" s="544"/>
      <c r="DG38" s="544"/>
      <c r="DH38" s="544"/>
      <c r="DI38" s="544"/>
      <c r="DJ38" s="544"/>
      <c r="DK38" s="544"/>
      <c r="DL38" s="544"/>
      <c r="DM38" s="544"/>
      <c r="DN38" s="544"/>
      <c r="DO38" s="544"/>
      <c r="DP38" s="544"/>
      <c r="DQ38" s="544"/>
      <c r="DR38" s="544"/>
      <c r="DS38" s="544"/>
      <c r="DT38" s="544"/>
      <c r="DU38" s="544"/>
      <c r="DV38" s="544"/>
      <c r="DW38" s="544"/>
      <c r="DX38" s="544"/>
      <c r="DY38" s="544"/>
      <c r="DZ38" s="544"/>
      <c r="EA38" s="544"/>
      <c r="EB38" s="544"/>
      <c r="EC38" s="544"/>
      <c r="ED38" s="544"/>
      <c r="EE38" s="544"/>
      <c r="EF38" s="544"/>
      <c r="EG38" s="544"/>
      <c r="EH38" s="544"/>
      <c r="EI38" s="544"/>
      <c r="EJ38" s="544"/>
      <c r="EK38" s="544"/>
      <c r="EL38" s="544"/>
      <c r="EM38" s="544"/>
      <c r="EN38" s="544"/>
      <c r="EO38" s="544"/>
      <c r="EP38" s="544"/>
      <c r="EQ38" s="544"/>
      <c r="ER38" s="544"/>
      <c r="ES38" s="544"/>
      <c r="ET38" s="544"/>
      <c r="EU38" s="544"/>
      <c r="EV38" s="544"/>
      <c r="EW38" s="544"/>
      <c r="EX38" s="544"/>
      <c r="EY38" s="544"/>
      <c r="EZ38" s="544"/>
      <c r="FA38" s="544"/>
      <c r="FB38" s="544"/>
      <c r="FC38" s="544"/>
      <c r="FD38" s="544"/>
      <c r="FE38" s="544"/>
      <c r="FF38" s="544"/>
      <c r="FG38" s="544"/>
      <c r="FH38" s="544"/>
      <c r="FI38" s="544"/>
      <c r="FJ38" s="544"/>
      <c r="FK38" s="544"/>
      <c r="FL38" s="544"/>
      <c r="FM38" s="544"/>
      <c r="FN38" s="544"/>
      <c r="FO38" s="544"/>
      <c r="FP38" s="544"/>
      <c r="FQ38" s="544"/>
      <c r="FR38" s="544"/>
      <c r="FS38" s="544"/>
      <c r="FT38" s="544"/>
      <c r="FU38" s="544"/>
      <c r="FV38" s="544"/>
      <c r="FW38" s="544"/>
      <c r="FX38" s="544"/>
      <c r="FY38" s="544"/>
      <c r="FZ38" s="544"/>
      <c r="GA38" s="544"/>
      <c r="GB38" s="544"/>
      <c r="GC38" s="544"/>
      <c r="GD38" s="544"/>
      <c r="GE38" s="544"/>
      <c r="GF38" s="544"/>
      <c r="GG38" s="544"/>
      <c r="GH38" s="544"/>
      <c r="GI38" s="544"/>
      <c r="GJ38" s="544"/>
      <c r="GK38" s="544"/>
      <c r="GL38" s="544"/>
      <c r="GM38" s="544"/>
      <c r="GN38" s="544"/>
      <c r="GO38" s="544"/>
      <c r="GP38" s="544"/>
      <c r="GQ38" s="544"/>
      <c r="GR38" s="544"/>
      <c r="GS38" s="544"/>
      <c r="GT38" s="544"/>
      <c r="GU38" s="544"/>
      <c r="GV38" s="544"/>
      <c r="GW38" s="544"/>
      <c r="GX38" s="544"/>
      <c r="GY38" s="544"/>
      <c r="GZ38" s="544"/>
      <c r="HA38" s="544"/>
      <c r="HB38" s="544"/>
      <c r="HC38" s="544"/>
      <c r="HD38" s="544"/>
      <c r="HE38" s="544"/>
      <c r="HF38" s="544"/>
      <c r="HG38" s="544"/>
      <c r="HH38" s="544"/>
      <c r="HI38" s="544"/>
      <c r="HJ38" s="544"/>
      <c r="HK38" s="544"/>
      <c r="HL38" s="544"/>
      <c r="HM38" s="544"/>
      <c r="HN38" s="544"/>
      <c r="HO38" s="544"/>
      <c r="HP38" s="544"/>
      <c r="HQ38" s="544"/>
      <c r="HR38" s="544"/>
      <c r="HS38" s="544"/>
      <c r="HT38" s="544"/>
      <c r="HU38" s="544"/>
      <c r="HV38" s="544"/>
      <c r="HW38" s="544"/>
      <c r="HX38" s="544"/>
      <c r="HY38" s="544"/>
      <c r="HZ38" s="544"/>
      <c r="IA38" s="544"/>
      <c r="IB38" s="544"/>
      <c r="IC38" s="544"/>
      <c r="ID38" s="544"/>
      <c r="IE38" s="544"/>
      <c r="IF38" s="544"/>
      <c r="IG38" s="544"/>
      <c r="IH38" s="544"/>
      <c r="II38" s="544"/>
      <c r="IJ38" s="544"/>
      <c r="IK38" s="544"/>
      <c r="IL38" s="544"/>
      <c r="IM38" s="544"/>
      <c r="IN38" s="544"/>
      <c r="IO38" s="544"/>
      <c r="IP38" s="544"/>
      <c r="IQ38" s="544"/>
      <c r="IR38" s="544"/>
      <c r="IS38" s="544"/>
    </row>
    <row r="39" spans="1:253" ht="31" x14ac:dyDescent="0.35">
      <c r="A39" s="544"/>
      <c r="B39" s="1090" t="s">
        <v>658</v>
      </c>
      <c r="C39" s="881"/>
      <c r="E39" s="907"/>
      <c r="F39" s="908"/>
      <c r="G39" s="909"/>
      <c r="H39" s="544"/>
      <c r="I39" s="544"/>
      <c r="J39" s="544"/>
      <c r="K39" s="544"/>
      <c r="AA39" s="1089" t="s">
        <v>601</v>
      </c>
      <c r="AY39" s="544"/>
      <c r="AZ39" s="544"/>
      <c r="BA39" s="544"/>
      <c r="BB39" s="544"/>
      <c r="BC39" s="544"/>
      <c r="BD39" s="544"/>
      <c r="BE39" s="544"/>
      <c r="BF39" s="544"/>
      <c r="BG39" s="544"/>
      <c r="BH39" s="544"/>
      <c r="BI39" s="544"/>
      <c r="BJ39" s="544"/>
      <c r="BK39" s="544"/>
      <c r="BL39" s="544"/>
      <c r="BM39" s="544"/>
      <c r="BN39" s="544"/>
      <c r="BO39" s="544"/>
      <c r="BP39" s="544"/>
      <c r="BQ39" s="544"/>
      <c r="BR39" s="544"/>
      <c r="BS39" s="544"/>
      <c r="BT39" s="544"/>
      <c r="BU39" s="544"/>
      <c r="BV39" s="544"/>
      <c r="BW39" s="544"/>
      <c r="BX39" s="544"/>
      <c r="BY39" s="544"/>
      <c r="BZ39" s="544"/>
      <c r="CA39" s="544"/>
      <c r="CB39" s="544"/>
      <c r="CC39" s="544"/>
      <c r="CD39" s="544"/>
      <c r="CE39" s="544"/>
      <c r="CF39" s="544"/>
      <c r="CG39" s="544"/>
      <c r="CH39" s="544"/>
      <c r="CI39" s="544"/>
      <c r="CJ39" s="544"/>
      <c r="CK39" s="544"/>
      <c r="CL39" s="544"/>
      <c r="CM39" s="544"/>
      <c r="CN39" s="544"/>
      <c r="CO39" s="544"/>
      <c r="CP39" s="544"/>
      <c r="CQ39" s="544"/>
      <c r="CR39" s="544"/>
      <c r="CS39" s="544"/>
      <c r="CT39" s="544"/>
      <c r="CU39" s="544"/>
      <c r="CV39" s="544"/>
      <c r="CW39" s="544"/>
      <c r="CX39" s="544"/>
      <c r="CY39" s="544"/>
      <c r="CZ39" s="544"/>
      <c r="DA39" s="544"/>
      <c r="DB39" s="544"/>
      <c r="DC39" s="544"/>
      <c r="DD39" s="544"/>
      <c r="DE39" s="544"/>
      <c r="DF39" s="544"/>
      <c r="DG39" s="544"/>
      <c r="DH39" s="544"/>
      <c r="DI39" s="544"/>
      <c r="DJ39" s="544"/>
      <c r="DK39" s="544"/>
      <c r="DL39" s="544"/>
      <c r="DM39" s="544"/>
      <c r="DN39" s="544"/>
      <c r="DO39" s="544"/>
      <c r="DP39" s="544"/>
      <c r="DQ39" s="544"/>
      <c r="DR39" s="544"/>
      <c r="DS39" s="544"/>
      <c r="DT39" s="544"/>
      <c r="DU39" s="544"/>
      <c r="DV39" s="544"/>
      <c r="DW39" s="544"/>
      <c r="DX39" s="544"/>
      <c r="DY39" s="544"/>
      <c r="DZ39" s="544"/>
      <c r="EA39" s="544"/>
      <c r="EB39" s="544"/>
      <c r="EC39" s="544"/>
      <c r="ED39" s="544"/>
      <c r="EE39" s="544"/>
      <c r="EF39" s="544"/>
      <c r="EG39" s="544"/>
      <c r="EH39" s="544"/>
      <c r="EI39" s="544"/>
      <c r="EJ39" s="544"/>
      <c r="EK39" s="544"/>
      <c r="EL39" s="544"/>
      <c r="EM39" s="544"/>
      <c r="EN39" s="544"/>
      <c r="EO39" s="544"/>
      <c r="EP39" s="544"/>
      <c r="EQ39" s="544"/>
      <c r="ER39" s="544"/>
      <c r="ES39" s="544"/>
      <c r="ET39" s="544"/>
      <c r="EU39" s="544"/>
      <c r="EV39" s="544"/>
      <c r="EW39" s="544"/>
      <c r="EX39" s="544"/>
      <c r="EY39" s="544"/>
      <c r="EZ39" s="544"/>
      <c r="FA39" s="544"/>
      <c r="FB39" s="544"/>
      <c r="FC39" s="544"/>
      <c r="FD39" s="544"/>
      <c r="FE39" s="544"/>
      <c r="FF39" s="544"/>
      <c r="FG39" s="544"/>
      <c r="FH39" s="544"/>
      <c r="FI39" s="544"/>
      <c r="FJ39" s="544"/>
      <c r="FK39" s="544"/>
      <c r="FL39" s="544"/>
      <c r="FM39" s="544"/>
      <c r="FN39" s="544"/>
      <c r="FO39" s="544"/>
      <c r="FP39" s="544"/>
      <c r="FQ39" s="544"/>
      <c r="FR39" s="544"/>
      <c r="FS39" s="544"/>
      <c r="FT39" s="544"/>
      <c r="FU39" s="544"/>
      <c r="FV39" s="544"/>
      <c r="FW39" s="544"/>
      <c r="FX39" s="544"/>
      <c r="FY39" s="544"/>
      <c r="FZ39" s="544"/>
      <c r="GA39" s="544"/>
      <c r="GB39" s="544"/>
      <c r="GC39" s="544"/>
      <c r="GD39" s="544"/>
      <c r="GE39" s="544"/>
      <c r="GF39" s="544"/>
      <c r="GG39" s="544"/>
      <c r="GH39" s="544"/>
      <c r="GI39" s="544"/>
      <c r="GJ39" s="544"/>
      <c r="GK39" s="544"/>
      <c r="GL39" s="544"/>
      <c r="GM39" s="544"/>
      <c r="GN39" s="544"/>
      <c r="GO39" s="544"/>
      <c r="GP39" s="544"/>
      <c r="GQ39" s="544"/>
      <c r="GR39" s="544"/>
      <c r="GS39" s="544"/>
      <c r="GT39" s="544"/>
      <c r="GU39" s="544"/>
      <c r="GV39" s="544"/>
      <c r="GW39" s="544"/>
      <c r="GX39" s="544"/>
      <c r="GY39" s="544"/>
      <c r="GZ39" s="544"/>
      <c r="HA39" s="544"/>
      <c r="HB39" s="544"/>
      <c r="HC39" s="544"/>
      <c r="HD39" s="544"/>
      <c r="HE39" s="544"/>
      <c r="HF39" s="544"/>
      <c r="HG39" s="544"/>
      <c r="HH39" s="544"/>
      <c r="HI39" s="544"/>
      <c r="HJ39" s="544"/>
      <c r="HK39" s="544"/>
      <c r="HL39" s="544"/>
      <c r="HM39" s="544"/>
      <c r="HN39" s="544"/>
      <c r="HO39" s="544"/>
      <c r="HP39" s="544"/>
      <c r="HQ39" s="544"/>
      <c r="HR39" s="544"/>
      <c r="HS39" s="544"/>
      <c r="HT39" s="544"/>
      <c r="HU39" s="544"/>
      <c r="HV39" s="544"/>
      <c r="HW39" s="544"/>
      <c r="HX39" s="544"/>
      <c r="HY39" s="544"/>
      <c r="HZ39" s="544"/>
      <c r="IA39" s="544"/>
      <c r="IB39" s="544"/>
      <c r="IC39" s="544"/>
      <c r="ID39" s="544"/>
      <c r="IE39" s="544"/>
      <c r="IF39" s="544"/>
      <c r="IG39" s="544"/>
      <c r="IH39" s="544"/>
      <c r="II39" s="544"/>
      <c r="IJ39" s="544"/>
      <c r="IK39" s="544"/>
      <c r="IL39" s="544"/>
      <c r="IM39" s="544"/>
      <c r="IN39" s="544"/>
      <c r="IO39" s="544"/>
      <c r="IP39" s="544"/>
      <c r="IQ39" s="544"/>
      <c r="IR39" s="544"/>
      <c r="IS39" s="544"/>
    </row>
    <row r="40" spans="1:253" ht="31" x14ac:dyDescent="0.35">
      <c r="A40" s="544"/>
      <c r="B40" s="1090" t="s">
        <v>651</v>
      </c>
      <c r="C40" s="881"/>
      <c r="E40" s="907"/>
      <c r="F40" s="908"/>
      <c r="G40" s="909"/>
      <c r="H40" s="544"/>
      <c r="I40" s="544"/>
      <c r="J40" s="544"/>
      <c r="K40" s="544"/>
      <c r="AA40" s="1089" t="s">
        <v>601</v>
      </c>
      <c r="AY40" s="544"/>
      <c r="AZ40" s="544"/>
      <c r="BA40" s="544"/>
      <c r="BB40" s="544"/>
      <c r="BC40" s="544"/>
      <c r="BD40" s="544"/>
      <c r="BE40" s="544"/>
      <c r="BF40" s="544"/>
      <c r="BG40" s="544"/>
      <c r="BH40" s="544"/>
      <c r="BI40" s="544"/>
      <c r="BJ40" s="544"/>
      <c r="BK40" s="544"/>
      <c r="BL40" s="544"/>
      <c r="BM40" s="544"/>
      <c r="BN40" s="544"/>
      <c r="BO40" s="544"/>
      <c r="BP40" s="544"/>
      <c r="BQ40" s="544"/>
      <c r="BR40" s="544"/>
      <c r="BS40" s="544"/>
      <c r="BT40" s="544"/>
      <c r="BU40" s="544"/>
      <c r="BV40" s="544"/>
      <c r="BW40" s="544"/>
      <c r="BX40" s="544"/>
      <c r="BY40" s="544"/>
      <c r="BZ40" s="544"/>
      <c r="CA40" s="544"/>
      <c r="CB40" s="544"/>
      <c r="CC40" s="544"/>
      <c r="CD40" s="544"/>
      <c r="CE40" s="544"/>
      <c r="CF40" s="544"/>
      <c r="CG40" s="544"/>
      <c r="CH40" s="544"/>
      <c r="CI40" s="544"/>
      <c r="CJ40" s="544"/>
      <c r="CK40" s="544"/>
      <c r="CL40" s="544"/>
      <c r="CM40" s="544"/>
      <c r="CN40" s="544"/>
      <c r="CO40" s="544"/>
      <c r="CP40" s="544"/>
      <c r="CQ40" s="544"/>
      <c r="CR40" s="544"/>
      <c r="CS40" s="544"/>
      <c r="CT40" s="544"/>
      <c r="CU40" s="544"/>
      <c r="CV40" s="544"/>
      <c r="CW40" s="544"/>
      <c r="CX40" s="544"/>
      <c r="CY40" s="544"/>
      <c r="CZ40" s="544"/>
      <c r="DA40" s="544"/>
      <c r="DB40" s="544"/>
      <c r="DC40" s="544"/>
      <c r="DD40" s="544"/>
      <c r="DE40" s="544"/>
      <c r="DF40" s="544"/>
      <c r="DG40" s="544"/>
      <c r="DH40" s="544"/>
      <c r="DI40" s="544"/>
      <c r="DJ40" s="544"/>
      <c r="DK40" s="544"/>
      <c r="DL40" s="544"/>
      <c r="DM40" s="544"/>
      <c r="DN40" s="544"/>
      <c r="DO40" s="544"/>
      <c r="DP40" s="544"/>
      <c r="DQ40" s="544"/>
      <c r="DR40" s="544"/>
      <c r="DS40" s="544"/>
      <c r="DT40" s="544"/>
      <c r="DU40" s="544"/>
      <c r="DV40" s="544"/>
      <c r="DW40" s="544"/>
      <c r="DX40" s="544"/>
      <c r="DY40" s="544"/>
      <c r="DZ40" s="544"/>
      <c r="EA40" s="544"/>
      <c r="EB40" s="544"/>
      <c r="EC40" s="544"/>
      <c r="ED40" s="544"/>
      <c r="EE40" s="544"/>
      <c r="EF40" s="544"/>
      <c r="EG40" s="544"/>
      <c r="EH40" s="544"/>
      <c r="EI40" s="544"/>
      <c r="EJ40" s="544"/>
      <c r="EK40" s="544"/>
      <c r="EL40" s="544"/>
      <c r="EM40" s="544"/>
      <c r="EN40" s="544"/>
      <c r="EO40" s="544"/>
      <c r="EP40" s="544"/>
      <c r="EQ40" s="544"/>
      <c r="ER40" s="544"/>
      <c r="ES40" s="544"/>
      <c r="ET40" s="544"/>
      <c r="EU40" s="544"/>
      <c r="EV40" s="544"/>
      <c r="EW40" s="544"/>
      <c r="EX40" s="544"/>
      <c r="EY40" s="544"/>
      <c r="EZ40" s="544"/>
      <c r="FA40" s="544"/>
      <c r="FB40" s="544"/>
      <c r="FC40" s="544"/>
      <c r="FD40" s="544"/>
      <c r="FE40" s="544"/>
      <c r="FF40" s="544"/>
      <c r="FG40" s="544"/>
      <c r="FH40" s="544"/>
      <c r="FI40" s="544"/>
      <c r="FJ40" s="544"/>
      <c r="FK40" s="544"/>
      <c r="FL40" s="544"/>
      <c r="FM40" s="544"/>
      <c r="FN40" s="544"/>
      <c r="FO40" s="544"/>
      <c r="FP40" s="544"/>
      <c r="FQ40" s="544"/>
      <c r="FR40" s="544"/>
      <c r="FS40" s="544"/>
      <c r="FT40" s="544"/>
      <c r="FU40" s="544"/>
      <c r="FV40" s="544"/>
      <c r="FW40" s="544"/>
      <c r="FX40" s="544"/>
      <c r="FY40" s="544"/>
      <c r="FZ40" s="544"/>
      <c r="GA40" s="544"/>
      <c r="GB40" s="544"/>
      <c r="GC40" s="544"/>
      <c r="GD40" s="544"/>
      <c r="GE40" s="544"/>
      <c r="GF40" s="544"/>
      <c r="GG40" s="544"/>
      <c r="GH40" s="544"/>
      <c r="GI40" s="544"/>
      <c r="GJ40" s="544"/>
      <c r="GK40" s="544"/>
      <c r="GL40" s="544"/>
      <c r="GM40" s="544"/>
      <c r="GN40" s="544"/>
      <c r="GO40" s="544"/>
      <c r="GP40" s="544"/>
      <c r="GQ40" s="544"/>
      <c r="GR40" s="544"/>
      <c r="GS40" s="544"/>
      <c r="GT40" s="544"/>
      <c r="GU40" s="544"/>
      <c r="GV40" s="544"/>
      <c r="GW40" s="544"/>
      <c r="GX40" s="544"/>
      <c r="GY40" s="544"/>
      <c r="GZ40" s="544"/>
      <c r="HA40" s="544"/>
      <c r="HB40" s="544"/>
      <c r="HC40" s="544"/>
      <c r="HD40" s="544"/>
      <c r="HE40" s="544"/>
      <c r="HF40" s="544"/>
      <c r="HG40" s="544"/>
      <c r="HH40" s="544"/>
      <c r="HI40" s="544"/>
      <c r="HJ40" s="544"/>
      <c r="HK40" s="544"/>
      <c r="HL40" s="544"/>
      <c r="HM40" s="544"/>
      <c r="HN40" s="544"/>
      <c r="HO40" s="544"/>
      <c r="HP40" s="544"/>
      <c r="HQ40" s="544"/>
      <c r="HR40" s="544"/>
      <c r="HS40" s="544"/>
      <c r="HT40" s="544"/>
      <c r="HU40" s="544"/>
      <c r="HV40" s="544"/>
      <c r="HW40" s="544"/>
      <c r="HX40" s="544"/>
      <c r="HY40" s="544"/>
      <c r="HZ40" s="544"/>
      <c r="IA40" s="544"/>
      <c r="IB40" s="544"/>
      <c r="IC40" s="544"/>
      <c r="ID40" s="544"/>
      <c r="IE40" s="544"/>
      <c r="IF40" s="544"/>
      <c r="IG40" s="544"/>
      <c r="IH40" s="544"/>
      <c r="II40" s="544"/>
      <c r="IJ40" s="544"/>
      <c r="IK40" s="544"/>
      <c r="IL40" s="544"/>
      <c r="IM40" s="544"/>
      <c r="IN40" s="544"/>
      <c r="IO40" s="544"/>
      <c r="IP40" s="544"/>
      <c r="IQ40" s="544"/>
      <c r="IR40" s="544"/>
      <c r="IS40" s="544"/>
    </row>
    <row r="41" spans="1:253" ht="31" x14ac:dyDescent="0.35">
      <c r="A41" s="544"/>
      <c r="B41" s="1090" t="s">
        <v>652</v>
      </c>
      <c r="C41" s="881"/>
      <c r="E41" s="907"/>
      <c r="F41" s="908"/>
      <c r="G41" s="909"/>
      <c r="H41" s="544"/>
      <c r="I41" s="544"/>
      <c r="J41" s="544"/>
      <c r="K41" s="544"/>
      <c r="AA41" s="1089" t="s">
        <v>601</v>
      </c>
      <c r="AY41" s="544"/>
      <c r="AZ41" s="544"/>
      <c r="BA41" s="544"/>
      <c r="BB41" s="544"/>
      <c r="BC41" s="544"/>
      <c r="BD41" s="544"/>
      <c r="BE41" s="544"/>
      <c r="BF41" s="544"/>
      <c r="BG41" s="544"/>
      <c r="BH41" s="544"/>
      <c r="BI41" s="544"/>
      <c r="BJ41" s="544"/>
      <c r="BK41" s="544"/>
      <c r="BL41" s="544"/>
      <c r="BM41" s="544"/>
      <c r="BN41" s="544"/>
      <c r="BO41" s="544"/>
      <c r="BP41" s="544"/>
      <c r="BQ41" s="544"/>
      <c r="BR41" s="544"/>
      <c r="BS41" s="544"/>
      <c r="BT41" s="544"/>
      <c r="BU41" s="544"/>
      <c r="BV41" s="544"/>
      <c r="BW41" s="544"/>
      <c r="BX41" s="544"/>
      <c r="BY41" s="544"/>
      <c r="BZ41" s="544"/>
      <c r="CA41" s="544"/>
      <c r="CB41" s="544"/>
      <c r="CC41" s="544"/>
      <c r="CD41" s="544"/>
      <c r="CE41" s="544"/>
      <c r="CF41" s="544"/>
      <c r="CG41" s="544"/>
      <c r="CH41" s="544"/>
      <c r="CI41" s="544"/>
      <c r="CJ41" s="544"/>
      <c r="CK41" s="544"/>
      <c r="CL41" s="544"/>
      <c r="CM41" s="544"/>
      <c r="CN41" s="544"/>
      <c r="CO41" s="544"/>
      <c r="CP41" s="544"/>
      <c r="CQ41" s="544"/>
      <c r="CR41" s="544"/>
      <c r="CS41" s="544"/>
      <c r="CT41" s="544"/>
      <c r="CU41" s="544"/>
      <c r="CV41" s="544"/>
      <c r="CW41" s="544"/>
      <c r="CX41" s="544"/>
      <c r="CY41" s="544"/>
      <c r="CZ41" s="544"/>
      <c r="DA41" s="544"/>
      <c r="DB41" s="544"/>
      <c r="DC41" s="544"/>
      <c r="DD41" s="544"/>
      <c r="DE41" s="544"/>
      <c r="DF41" s="544"/>
      <c r="DG41" s="544"/>
      <c r="DH41" s="544"/>
      <c r="DI41" s="544"/>
      <c r="DJ41" s="544"/>
      <c r="DK41" s="544"/>
      <c r="DL41" s="544"/>
      <c r="DM41" s="544"/>
      <c r="DN41" s="544"/>
      <c r="DO41" s="544"/>
      <c r="DP41" s="544"/>
      <c r="DQ41" s="544"/>
      <c r="DR41" s="544"/>
      <c r="DS41" s="544"/>
      <c r="DT41" s="544"/>
      <c r="DU41" s="544"/>
      <c r="DV41" s="544"/>
      <c r="DW41" s="544"/>
      <c r="DX41" s="544"/>
      <c r="DY41" s="544"/>
      <c r="DZ41" s="544"/>
      <c r="EA41" s="544"/>
      <c r="EB41" s="544"/>
      <c r="EC41" s="544"/>
      <c r="ED41" s="544"/>
      <c r="EE41" s="544"/>
      <c r="EF41" s="544"/>
      <c r="EG41" s="544"/>
      <c r="EH41" s="544"/>
      <c r="EI41" s="544"/>
      <c r="EJ41" s="544"/>
      <c r="EK41" s="544"/>
      <c r="EL41" s="544"/>
      <c r="EM41" s="544"/>
      <c r="EN41" s="544"/>
      <c r="EO41" s="544"/>
      <c r="EP41" s="544"/>
      <c r="EQ41" s="544"/>
      <c r="ER41" s="544"/>
      <c r="ES41" s="544"/>
      <c r="ET41" s="544"/>
      <c r="EU41" s="544"/>
      <c r="EV41" s="544"/>
      <c r="EW41" s="544"/>
      <c r="EX41" s="544"/>
      <c r="EY41" s="544"/>
      <c r="EZ41" s="544"/>
      <c r="FA41" s="544"/>
      <c r="FB41" s="544"/>
      <c r="FC41" s="544"/>
      <c r="FD41" s="544"/>
      <c r="FE41" s="544"/>
      <c r="FF41" s="544"/>
      <c r="FG41" s="544"/>
      <c r="FH41" s="544"/>
      <c r="FI41" s="544"/>
      <c r="FJ41" s="544"/>
      <c r="FK41" s="544"/>
      <c r="FL41" s="544"/>
      <c r="FM41" s="544"/>
      <c r="FN41" s="544"/>
      <c r="FO41" s="544"/>
      <c r="FP41" s="544"/>
      <c r="FQ41" s="544"/>
      <c r="FR41" s="544"/>
      <c r="FS41" s="544"/>
      <c r="FT41" s="544"/>
      <c r="FU41" s="544"/>
      <c r="FV41" s="544"/>
      <c r="FW41" s="544"/>
      <c r="FX41" s="544"/>
      <c r="FY41" s="544"/>
      <c r="FZ41" s="544"/>
      <c r="GA41" s="544"/>
      <c r="GB41" s="544"/>
      <c r="GC41" s="544"/>
      <c r="GD41" s="544"/>
      <c r="GE41" s="544"/>
      <c r="GF41" s="544"/>
      <c r="GG41" s="544"/>
      <c r="GH41" s="544"/>
      <c r="GI41" s="544"/>
      <c r="GJ41" s="544"/>
      <c r="GK41" s="544"/>
      <c r="GL41" s="544"/>
      <c r="GM41" s="544"/>
      <c r="GN41" s="544"/>
      <c r="GO41" s="544"/>
      <c r="GP41" s="544"/>
      <c r="GQ41" s="544"/>
      <c r="GR41" s="544"/>
      <c r="GS41" s="544"/>
      <c r="GT41" s="544"/>
      <c r="GU41" s="544"/>
      <c r="GV41" s="544"/>
      <c r="GW41" s="544"/>
      <c r="GX41" s="544"/>
      <c r="GY41" s="544"/>
      <c r="GZ41" s="544"/>
      <c r="HA41" s="544"/>
      <c r="HB41" s="544"/>
      <c r="HC41" s="544"/>
      <c r="HD41" s="544"/>
      <c r="HE41" s="544"/>
      <c r="HF41" s="544"/>
      <c r="HG41" s="544"/>
      <c r="HH41" s="544"/>
      <c r="HI41" s="544"/>
      <c r="HJ41" s="544"/>
      <c r="HK41" s="544"/>
      <c r="HL41" s="544"/>
      <c r="HM41" s="544"/>
      <c r="HN41" s="544"/>
      <c r="HO41" s="544"/>
      <c r="HP41" s="544"/>
      <c r="HQ41" s="544"/>
      <c r="HR41" s="544"/>
      <c r="HS41" s="544"/>
      <c r="HT41" s="544"/>
      <c r="HU41" s="544"/>
      <c r="HV41" s="544"/>
      <c r="HW41" s="544"/>
      <c r="HX41" s="544"/>
      <c r="HY41" s="544"/>
      <c r="HZ41" s="544"/>
      <c r="IA41" s="544"/>
      <c r="IB41" s="544"/>
      <c r="IC41" s="544"/>
      <c r="ID41" s="544"/>
      <c r="IE41" s="544"/>
      <c r="IF41" s="544"/>
      <c r="IG41" s="544"/>
      <c r="IH41" s="544"/>
      <c r="II41" s="544"/>
      <c r="IJ41" s="544"/>
      <c r="IK41" s="544"/>
      <c r="IL41" s="544"/>
      <c r="IM41" s="544"/>
      <c r="IN41" s="544"/>
      <c r="IO41" s="544"/>
      <c r="IP41" s="544"/>
      <c r="IQ41" s="544"/>
      <c r="IR41" s="544"/>
      <c r="IS41" s="544"/>
    </row>
    <row r="42" spans="1:253" ht="31" x14ac:dyDescent="0.35">
      <c r="A42" s="544"/>
      <c r="B42" s="1090" t="s">
        <v>653</v>
      </c>
      <c r="C42" s="881"/>
      <c r="E42" s="907"/>
      <c r="F42" s="908"/>
      <c r="G42" s="909"/>
      <c r="H42" s="544"/>
      <c r="I42" s="544"/>
      <c r="J42" s="544"/>
      <c r="K42" s="544"/>
      <c r="AA42" s="1089" t="s">
        <v>601</v>
      </c>
      <c r="AY42" s="544"/>
      <c r="AZ42" s="544"/>
      <c r="BA42" s="544"/>
      <c r="BB42" s="544"/>
      <c r="BC42" s="544"/>
      <c r="BD42" s="544"/>
      <c r="BE42" s="544"/>
      <c r="BF42" s="544"/>
      <c r="BG42" s="544"/>
      <c r="BH42" s="544"/>
      <c r="BI42" s="544"/>
      <c r="BJ42" s="544"/>
      <c r="BK42" s="544"/>
      <c r="BL42" s="544"/>
      <c r="BM42" s="544"/>
      <c r="BN42" s="544"/>
      <c r="BO42" s="544"/>
      <c r="BP42" s="544"/>
      <c r="BQ42" s="544"/>
      <c r="BR42" s="544"/>
      <c r="BS42" s="544"/>
      <c r="BT42" s="544"/>
      <c r="BU42" s="544"/>
      <c r="BV42" s="544"/>
      <c r="BW42" s="544"/>
      <c r="BX42" s="544"/>
      <c r="BY42" s="544"/>
      <c r="BZ42" s="544"/>
      <c r="CA42" s="544"/>
      <c r="CB42" s="544"/>
      <c r="CC42" s="544"/>
      <c r="CD42" s="544"/>
      <c r="CE42" s="544"/>
      <c r="CF42" s="544"/>
      <c r="CG42" s="544"/>
      <c r="CH42" s="544"/>
      <c r="CI42" s="544"/>
      <c r="CJ42" s="544"/>
      <c r="CK42" s="544"/>
      <c r="CL42" s="544"/>
      <c r="CM42" s="544"/>
      <c r="CN42" s="544"/>
      <c r="CO42" s="544"/>
      <c r="CP42" s="544"/>
      <c r="CQ42" s="544"/>
      <c r="CR42" s="544"/>
      <c r="CS42" s="544"/>
      <c r="CT42" s="544"/>
      <c r="CU42" s="544"/>
      <c r="CV42" s="544"/>
      <c r="CW42" s="544"/>
      <c r="CX42" s="544"/>
      <c r="CY42" s="544"/>
      <c r="CZ42" s="544"/>
      <c r="DA42" s="544"/>
      <c r="DB42" s="544"/>
      <c r="DC42" s="544"/>
      <c r="DD42" s="544"/>
      <c r="DE42" s="544"/>
      <c r="DF42" s="544"/>
      <c r="DG42" s="544"/>
      <c r="DH42" s="544"/>
      <c r="DI42" s="544"/>
      <c r="DJ42" s="544"/>
      <c r="DK42" s="544"/>
      <c r="DL42" s="544"/>
      <c r="DM42" s="544"/>
      <c r="DN42" s="544"/>
      <c r="DO42" s="544"/>
      <c r="DP42" s="544"/>
      <c r="DQ42" s="544"/>
      <c r="DR42" s="544"/>
      <c r="DS42" s="544"/>
      <c r="DT42" s="544"/>
      <c r="DU42" s="544"/>
      <c r="DV42" s="544"/>
      <c r="DW42" s="544"/>
      <c r="DX42" s="544"/>
      <c r="DY42" s="544"/>
      <c r="DZ42" s="544"/>
      <c r="EA42" s="544"/>
      <c r="EB42" s="544"/>
      <c r="EC42" s="544"/>
      <c r="ED42" s="544"/>
      <c r="EE42" s="544"/>
      <c r="EF42" s="544"/>
      <c r="EG42" s="544"/>
      <c r="EH42" s="544"/>
      <c r="EI42" s="544"/>
      <c r="EJ42" s="544"/>
      <c r="EK42" s="544"/>
      <c r="EL42" s="544"/>
      <c r="EM42" s="544"/>
      <c r="EN42" s="544"/>
      <c r="EO42" s="544"/>
      <c r="EP42" s="544"/>
      <c r="EQ42" s="544"/>
      <c r="ER42" s="544"/>
      <c r="ES42" s="544"/>
      <c r="ET42" s="544"/>
      <c r="EU42" s="544"/>
      <c r="EV42" s="544"/>
      <c r="EW42" s="544"/>
      <c r="EX42" s="544"/>
      <c r="EY42" s="544"/>
      <c r="EZ42" s="544"/>
      <c r="FA42" s="544"/>
      <c r="FB42" s="544"/>
      <c r="FC42" s="544"/>
      <c r="FD42" s="544"/>
      <c r="FE42" s="544"/>
      <c r="FF42" s="544"/>
      <c r="FG42" s="544"/>
      <c r="FH42" s="544"/>
      <c r="FI42" s="544"/>
      <c r="FJ42" s="544"/>
      <c r="FK42" s="544"/>
      <c r="FL42" s="544"/>
      <c r="FM42" s="544"/>
      <c r="FN42" s="544"/>
      <c r="FO42" s="544"/>
      <c r="FP42" s="544"/>
      <c r="FQ42" s="544"/>
      <c r="FR42" s="544"/>
      <c r="FS42" s="544"/>
      <c r="FT42" s="544"/>
      <c r="FU42" s="544"/>
      <c r="FV42" s="544"/>
      <c r="FW42" s="544"/>
      <c r="FX42" s="544"/>
      <c r="FY42" s="544"/>
      <c r="FZ42" s="544"/>
      <c r="GA42" s="544"/>
      <c r="GB42" s="544"/>
      <c r="GC42" s="544"/>
      <c r="GD42" s="544"/>
      <c r="GE42" s="544"/>
      <c r="GF42" s="544"/>
      <c r="GG42" s="544"/>
      <c r="GH42" s="544"/>
      <c r="GI42" s="544"/>
      <c r="GJ42" s="544"/>
      <c r="GK42" s="544"/>
      <c r="GL42" s="544"/>
      <c r="GM42" s="544"/>
      <c r="GN42" s="544"/>
      <c r="GO42" s="544"/>
      <c r="GP42" s="544"/>
      <c r="GQ42" s="544"/>
      <c r="GR42" s="544"/>
      <c r="GS42" s="544"/>
      <c r="GT42" s="544"/>
      <c r="GU42" s="544"/>
      <c r="GV42" s="544"/>
      <c r="GW42" s="544"/>
      <c r="GX42" s="544"/>
      <c r="GY42" s="544"/>
      <c r="GZ42" s="544"/>
      <c r="HA42" s="544"/>
      <c r="HB42" s="544"/>
      <c r="HC42" s="544"/>
      <c r="HD42" s="544"/>
      <c r="HE42" s="544"/>
      <c r="HF42" s="544"/>
      <c r="HG42" s="544"/>
      <c r="HH42" s="544"/>
      <c r="HI42" s="544"/>
      <c r="HJ42" s="544"/>
      <c r="HK42" s="544"/>
      <c r="HL42" s="544"/>
      <c r="HM42" s="544"/>
      <c r="HN42" s="544"/>
      <c r="HO42" s="544"/>
      <c r="HP42" s="544"/>
      <c r="HQ42" s="544"/>
      <c r="HR42" s="544"/>
      <c r="HS42" s="544"/>
      <c r="HT42" s="544"/>
      <c r="HU42" s="544"/>
      <c r="HV42" s="544"/>
      <c r="HW42" s="544"/>
      <c r="HX42" s="544"/>
      <c r="HY42" s="544"/>
      <c r="HZ42" s="544"/>
      <c r="IA42" s="544"/>
      <c r="IB42" s="544"/>
      <c r="IC42" s="544"/>
      <c r="ID42" s="544"/>
      <c r="IE42" s="544"/>
      <c r="IF42" s="544"/>
      <c r="IG42" s="544"/>
      <c r="IH42" s="544"/>
      <c r="II42" s="544"/>
      <c r="IJ42" s="544"/>
      <c r="IK42" s="544"/>
      <c r="IL42" s="544"/>
      <c r="IM42" s="544"/>
      <c r="IN42" s="544"/>
      <c r="IO42" s="544"/>
      <c r="IP42" s="544"/>
      <c r="IQ42" s="544"/>
      <c r="IR42" s="544"/>
      <c r="IS42" s="544"/>
    </row>
    <row r="43" spans="1:253" ht="31" x14ac:dyDescent="0.35">
      <c r="A43" s="544"/>
      <c r="B43" s="1090" t="s">
        <v>654</v>
      </c>
      <c r="C43" s="881"/>
      <c r="E43" s="907"/>
      <c r="F43" s="908"/>
      <c r="G43" s="909"/>
      <c r="H43" s="544"/>
      <c r="I43" s="544"/>
      <c r="J43" s="544"/>
      <c r="K43" s="544"/>
      <c r="AA43" s="1089" t="s">
        <v>601</v>
      </c>
      <c r="AY43" s="544"/>
      <c r="AZ43" s="544"/>
      <c r="BA43" s="544"/>
      <c r="BB43" s="544"/>
      <c r="BC43" s="544"/>
      <c r="BD43" s="544"/>
      <c r="BE43" s="544"/>
      <c r="BF43" s="544"/>
      <c r="BG43" s="544"/>
      <c r="BH43" s="544"/>
      <c r="BI43" s="544"/>
      <c r="BJ43" s="544"/>
      <c r="BK43" s="544"/>
      <c r="BL43" s="544"/>
      <c r="BM43" s="544"/>
      <c r="BN43" s="544"/>
      <c r="BO43" s="544"/>
      <c r="BP43" s="544"/>
      <c r="BQ43" s="544"/>
      <c r="BR43" s="544"/>
      <c r="BS43" s="544"/>
      <c r="BT43" s="544"/>
      <c r="BU43" s="544"/>
      <c r="BV43" s="544"/>
      <c r="BW43" s="544"/>
      <c r="BX43" s="544"/>
      <c r="BY43" s="544"/>
      <c r="BZ43" s="544"/>
      <c r="CA43" s="544"/>
      <c r="CB43" s="544"/>
      <c r="CC43" s="544"/>
      <c r="CD43" s="544"/>
      <c r="CE43" s="544"/>
      <c r="CF43" s="544"/>
      <c r="CG43" s="544"/>
      <c r="CH43" s="544"/>
      <c r="CI43" s="544"/>
      <c r="CJ43" s="544"/>
      <c r="CK43" s="544"/>
      <c r="CL43" s="544"/>
      <c r="CM43" s="544"/>
      <c r="CN43" s="544"/>
      <c r="CO43" s="544"/>
      <c r="CP43" s="544"/>
      <c r="CQ43" s="544"/>
      <c r="CR43" s="544"/>
      <c r="CS43" s="544"/>
      <c r="CT43" s="544"/>
      <c r="CU43" s="544"/>
      <c r="CV43" s="544"/>
      <c r="CW43" s="544"/>
      <c r="CX43" s="544"/>
      <c r="CY43" s="544"/>
      <c r="CZ43" s="544"/>
      <c r="DA43" s="544"/>
      <c r="DB43" s="544"/>
      <c r="DC43" s="544"/>
      <c r="DD43" s="544"/>
      <c r="DE43" s="544"/>
      <c r="DF43" s="544"/>
      <c r="DG43" s="544"/>
      <c r="DH43" s="544"/>
      <c r="DI43" s="544"/>
      <c r="DJ43" s="544"/>
      <c r="DK43" s="544"/>
      <c r="DL43" s="544"/>
      <c r="DM43" s="544"/>
      <c r="DN43" s="544"/>
      <c r="DO43" s="544"/>
      <c r="DP43" s="544"/>
      <c r="DQ43" s="544"/>
      <c r="DR43" s="544"/>
      <c r="DS43" s="544"/>
      <c r="DT43" s="544"/>
      <c r="DU43" s="544"/>
      <c r="DV43" s="544"/>
      <c r="DW43" s="544"/>
      <c r="DX43" s="544"/>
      <c r="DY43" s="544"/>
      <c r="DZ43" s="544"/>
      <c r="EA43" s="544"/>
      <c r="EB43" s="544"/>
      <c r="EC43" s="544"/>
      <c r="ED43" s="544"/>
      <c r="EE43" s="544"/>
      <c r="EF43" s="544"/>
      <c r="EG43" s="544"/>
      <c r="EH43" s="544"/>
      <c r="EI43" s="544"/>
      <c r="EJ43" s="544"/>
      <c r="EK43" s="544"/>
      <c r="EL43" s="544"/>
      <c r="EM43" s="544"/>
      <c r="EN43" s="544"/>
      <c r="EO43" s="544"/>
      <c r="EP43" s="544"/>
      <c r="EQ43" s="544"/>
      <c r="ER43" s="544"/>
      <c r="ES43" s="544"/>
      <c r="ET43" s="544"/>
      <c r="EU43" s="544"/>
      <c r="EV43" s="544"/>
      <c r="EW43" s="544"/>
      <c r="EX43" s="544"/>
      <c r="EY43" s="544"/>
      <c r="EZ43" s="544"/>
      <c r="FA43" s="544"/>
      <c r="FB43" s="544"/>
      <c r="FC43" s="544"/>
      <c r="FD43" s="544"/>
      <c r="FE43" s="544"/>
      <c r="FF43" s="544"/>
      <c r="FG43" s="544"/>
      <c r="FH43" s="544"/>
      <c r="FI43" s="544"/>
      <c r="FJ43" s="544"/>
      <c r="FK43" s="544"/>
      <c r="FL43" s="544"/>
      <c r="FM43" s="544"/>
      <c r="FN43" s="544"/>
      <c r="FO43" s="544"/>
      <c r="FP43" s="544"/>
      <c r="FQ43" s="544"/>
      <c r="FR43" s="544"/>
      <c r="FS43" s="544"/>
      <c r="FT43" s="544"/>
      <c r="FU43" s="544"/>
      <c r="FV43" s="544"/>
      <c r="FW43" s="544"/>
      <c r="FX43" s="544"/>
      <c r="FY43" s="544"/>
      <c r="FZ43" s="544"/>
      <c r="GA43" s="544"/>
      <c r="GB43" s="544"/>
      <c r="GC43" s="544"/>
      <c r="GD43" s="544"/>
      <c r="GE43" s="544"/>
      <c r="GF43" s="544"/>
      <c r="GG43" s="544"/>
      <c r="GH43" s="544"/>
      <c r="GI43" s="544"/>
      <c r="GJ43" s="544"/>
      <c r="GK43" s="544"/>
      <c r="GL43" s="544"/>
      <c r="GM43" s="544"/>
      <c r="GN43" s="544"/>
      <c r="GO43" s="544"/>
      <c r="GP43" s="544"/>
      <c r="GQ43" s="544"/>
      <c r="GR43" s="544"/>
      <c r="GS43" s="544"/>
      <c r="GT43" s="544"/>
      <c r="GU43" s="544"/>
      <c r="GV43" s="544"/>
      <c r="GW43" s="544"/>
      <c r="GX43" s="544"/>
      <c r="GY43" s="544"/>
      <c r="GZ43" s="544"/>
      <c r="HA43" s="544"/>
      <c r="HB43" s="544"/>
      <c r="HC43" s="544"/>
      <c r="HD43" s="544"/>
      <c r="HE43" s="544"/>
      <c r="HF43" s="544"/>
      <c r="HG43" s="544"/>
      <c r="HH43" s="544"/>
      <c r="HI43" s="544"/>
      <c r="HJ43" s="544"/>
      <c r="HK43" s="544"/>
      <c r="HL43" s="544"/>
      <c r="HM43" s="544"/>
      <c r="HN43" s="544"/>
      <c r="HO43" s="544"/>
      <c r="HP43" s="544"/>
      <c r="HQ43" s="544"/>
      <c r="HR43" s="544"/>
      <c r="HS43" s="544"/>
      <c r="HT43" s="544"/>
      <c r="HU43" s="544"/>
      <c r="HV43" s="544"/>
      <c r="HW43" s="544"/>
      <c r="HX43" s="544"/>
      <c r="HY43" s="544"/>
      <c r="HZ43" s="544"/>
      <c r="IA43" s="544"/>
      <c r="IB43" s="544"/>
      <c r="IC43" s="544"/>
      <c r="ID43" s="544"/>
      <c r="IE43" s="544"/>
      <c r="IF43" s="544"/>
      <c r="IG43" s="544"/>
      <c r="IH43" s="544"/>
      <c r="II43" s="544"/>
      <c r="IJ43" s="544"/>
      <c r="IK43" s="544"/>
      <c r="IL43" s="544"/>
      <c r="IM43" s="544"/>
      <c r="IN43" s="544"/>
      <c r="IO43" s="544"/>
      <c r="IP43" s="544"/>
      <c r="IQ43" s="544"/>
      <c r="IR43" s="544"/>
      <c r="IS43" s="544"/>
    </row>
    <row r="44" spans="1:253" s="544" customFormat="1" ht="17.149999999999999" customHeight="1" x14ac:dyDescent="0.35">
      <c r="B44" s="601"/>
      <c r="C44" s="601"/>
    </row>
    <row r="45" spans="1:253" s="544" customFormat="1" ht="17.149999999999999" customHeight="1" x14ac:dyDescent="0.35">
      <c r="B45" s="601"/>
      <c r="C45" s="601"/>
    </row>
    <row r="46" spans="1:253" s="544" customFormat="1" ht="17.149999999999999" customHeight="1" x14ac:dyDescent="0.35">
      <c r="B46" s="592" t="s">
        <v>662</v>
      </c>
      <c r="C46" s="679"/>
    </row>
    <row r="47" spans="1:253" ht="28" customHeight="1" x14ac:dyDescent="0.35">
      <c r="A47" s="544"/>
      <c r="B47" s="1484" t="s">
        <v>594</v>
      </c>
      <c r="C47" s="684" t="s">
        <v>374</v>
      </c>
      <c r="E47" s="667" t="s">
        <v>521</v>
      </c>
      <c r="F47" s="1480"/>
      <c r="G47" s="1481"/>
      <c r="H47" s="1474" t="s">
        <v>656</v>
      </c>
      <c r="I47" s="1474" t="s">
        <v>645</v>
      </c>
      <c r="J47" s="544"/>
      <c r="K47" s="544"/>
      <c r="AY47" s="544"/>
      <c r="AZ47" s="544"/>
      <c r="BA47" s="544"/>
      <c r="BB47" s="544"/>
      <c r="BC47" s="544"/>
      <c r="BD47" s="544"/>
      <c r="BE47" s="544"/>
      <c r="BF47" s="544"/>
      <c r="BG47" s="544"/>
      <c r="BH47" s="544"/>
      <c r="BI47" s="544"/>
      <c r="BJ47" s="544"/>
      <c r="BK47" s="544"/>
      <c r="BL47" s="544"/>
      <c r="BM47" s="544"/>
      <c r="BN47" s="544"/>
      <c r="BO47" s="544"/>
      <c r="BP47" s="544"/>
      <c r="BQ47" s="544"/>
      <c r="BR47" s="544"/>
      <c r="BS47" s="544"/>
      <c r="BT47" s="544"/>
      <c r="BU47" s="544"/>
      <c r="BV47" s="544"/>
      <c r="BW47" s="544"/>
      <c r="BX47" s="544"/>
      <c r="BY47" s="544"/>
      <c r="BZ47" s="544"/>
      <c r="CA47" s="544"/>
      <c r="CB47" s="544"/>
      <c r="CC47" s="544"/>
      <c r="CD47" s="544"/>
      <c r="CE47" s="544"/>
      <c r="CF47" s="544"/>
      <c r="CG47" s="544"/>
      <c r="CH47" s="544"/>
      <c r="CI47" s="544"/>
      <c r="CJ47" s="544"/>
      <c r="CK47" s="544"/>
      <c r="CL47" s="544"/>
      <c r="CM47" s="544"/>
      <c r="CN47" s="544"/>
      <c r="CO47" s="544"/>
      <c r="CP47" s="544"/>
      <c r="CQ47" s="544"/>
      <c r="CR47" s="544"/>
      <c r="CS47" s="544"/>
      <c r="CT47" s="544"/>
      <c r="CU47" s="544"/>
      <c r="CV47" s="544"/>
      <c r="CW47" s="544"/>
      <c r="CX47" s="544"/>
      <c r="CY47" s="544"/>
      <c r="CZ47" s="544"/>
      <c r="DA47" s="544"/>
      <c r="DB47" s="544"/>
      <c r="DC47" s="544"/>
      <c r="DD47" s="544"/>
      <c r="DE47" s="544"/>
      <c r="DF47" s="544"/>
      <c r="DG47" s="544"/>
      <c r="DH47" s="544"/>
      <c r="DI47" s="544"/>
      <c r="DJ47" s="544"/>
      <c r="DK47" s="544"/>
      <c r="DL47" s="544"/>
      <c r="DM47" s="544"/>
      <c r="DN47" s="544"/>
      <c r="DO47" s="544"/>
      <c r="DP47" s="544"/>
      <c r="DQ47" s="544"/>
      <c r="DR47" s="544"/>
      <c r="DS47" s="544"/>
      <c r="DT47" s="544"/>
      <c r="DU47" s="544"/>
      <c r="DV47" s="544"/>
      <c r="DW47" s="544"/>
      <c r="DX47" s="544"/>
      <c r="DY47" s="544"/>
      <c r="DZ47" s="544"/>
      <c r="EA47" s="544"/>
      <c r="EB47" s="544"/>
      <c r="EC47" s="544"/>
      <c r="ED47" s="544"/>
      <c r="EE47" s="544"/>
      <c r="EF47" s="544"/>
      <c r="EG47" s="544"/>
      <c r="EH47" s="544"/>
      <c r="EI47" s="544"/>
      <c r="EJ47" s="544"/>
      <c r="EK47" s="544"/>
      <c r="EL47" s="544"/>
      <c r="EM47" s="544"/>
      <c r="EN47" s="544"/>
      <c r="EO47" s="544"/>
      <c r="EP47" s="544"/>
      <c r="EQ47" s="544"/>
      <c r="ER47" s="544"/>
      <c r="ES47" s="544"/>
      <c r="ET47" s="544"/>
      <c r="EU47" s="544"/>
      <c r="EV47" s="544"/>
      <c r="EW47" s="544"/>
      <c r="EX47" s="544"/>
      <c r="EY47" s="544"/>
      <c r="EZ47" s="544"/>
      <c r="FA47" s="544"/>
      <c r="FB47" s="544"/>
      <c r="FC47" s="544"/>
      <c r="FD47" s="544"/>
      <c r="FE47" s="544"/>
      <c r="FF47" s="544"/>
      <c r="FG47" s="544"/>
      <c r="FH47" s="544"/>
      <c r="FI47" s="544"/>
      <c r="FJ47" s="544"/>
      <c r="FK47" s="544"/>
      <c r="FL47" s="544"/>
      <c r="FM47" s="544"/>
      <c r="FN47" s="544"/>
      <c r="FO47" s="544"/>
      <c r="FP47" s="544"/>
      <c r="FQ47" s="544"/>
      <c r="FR47" s="544"/>
      <c r="FS47" s="544"/>
      <c r="FT47" s="544"/>
      <c r="FU47" s="544"/>
      <c r="FV47" s="544"/>
      <c r="FW47" s="544"/>
      <c r="FX47" s="544"/>
      <c r="FY47" s="544"/>
      <c r="FZ47" s="544"/>
      <c r="GA47" s="544"/>
      <c r="GB47" s="544"/>
      <c r="GC47" s="544"/>
      <c r="GD47" s="544"/>
      <c r="GE47" s="544"/>
      <c r="GF47" s="544"/>
      <c r="GG47" s="544"/>
      <c r="GH47" s="544"/>
      <c r="GI47" s="544"/>
      <c r="GJ47" s="544"/>
      <c r="GK47" s="544"/>
      <c r="GL47" s="544"/>
      <c r="GM47" s="544"/>
      <c r="GN47" s="544"/>
      <c r="GO47" s="544"/>
      <c r="GP47" s="544"/>
      <c r="GQ47" s="544"/>
      <c r="GR47" s="544"/>
      <c r="GS47" s="544"/>
      <c r="GT47" s="544"/>
      <c r="GU47" s="544"/>
      <c r="GV47" s="544"/>
      <c r="GW47" s="544"/>
      <c r="GX47" s="544"/>
      <c r="GY47" s="544"/>
      <c r="GZ47" s="544"/>
      <c r="HA47" s="544"/>
      <c r="HB47" s="544"/>
      <c r="HC47" s="544"/>
      <c r="HD47" s="544"/>
      <c r="HE47" s="544"/>
      <c r="HF47" s="544"/>
      <c r="HG47" s="544"/>
      <c r="HH47" s="544"/>
      <c r="HI47" s="544"/>
      <c r="HJ47" s="544"/>
      <c r="HK47" s="544"/>
      <c r="HL47" s="544"/>
      <c r="HM47" s="544"/>
      <c r="HN47" s="544"/>
      <c r="HO47" s="544"/>
      <c r="HP47" s="544"/>
      <c r="HQ47" s="544"/>
      <c r="HR47" s="544"/>
      <c r="HS47" s="544"/>
      <c r="HT47" s="544"/>
      <c r="HU47" s="544"/>
      <c r="HV47" s="544"/>
      <c r="HW47" s="544"/>
      <c r="HX47" s="544"/>
      <c r="HY47" s="544"/>
      <c r="HZ47" s="544"/>
      <c r="IA47" s="544"/>
      <c r="IB47" s="544"/>
      <c r="IC47" s="544"/>
      <c r="ID47" s="544"/>
      <c r="IE47" s="544"/>
      <c r="IF47" s="544"/>
      <c r="IG47" s="544"/>
      <c r="IH47" s="544"/>
      <c r="II47" s="544"/>
      <c r="IJ47" s="544"/>
      <c r="IK47" s="544"/>
      <c r="IL47" s="544"/>
      <c r="IM47" s="544"/>
      <c r="IN47" s="544"/>
      <c r="IO47" s="544"/>
      <c r="IP47" s="544"/>
      <c r="IQ47" s="544"/>
      <c r="IR47" s="544"/>
      <c r="IS47" s="544"/>
    </row>
    <row r="48" spans="1:253" ht="28" customHeight="1" x14ac:dyDescent="0.35">
      <c r="A48" s="544"/>
      <c r="B48" s="600" t="s">
        <v>646</v>
      </c>
      <c r="C48" s="881">
        <v>1</v>
      </c>
      <c r="E48" s="544"/>
      <c r="F48" s="544"/>
      <c r="G48" s="544"/>
      <c r="H48" s="544"/>
      <c r="I48" s="544"/>
      <c r="J48" s="544"/>
      <c r="K48" s="544"/>
      <c r="AY48" s="544"/>
      <c r="AZ48" s="544"/>
      <c r="BA48" s="544"/>
      <c r="BB48" s="544"/>
      <c r="BC48" s="544"/>
      <c r="BD48" s="544"/>
      <c r="BE48" s="544"/>
      <c r="BF48" s="544"/>
      <c r="BG48" s="544"/>
      <c r="BH48" s="544"/>
      <c r="BI48" s="544"/>
      <c r="BJ48" s="544"/>
      <c r="BK48" s="544"/>
      <c r="BL48" s="544"/>
      <c r="BM48" s="544"/>
      <c r="BN48" s="544"/>
      <c r="BO48" s="544"/>
      <c r="BP48" s="544"/>
      <c r="BQ48" s="544"/>
      <c r="BR48" s="544"/>
      <c r="BS48" s="544"/>
      <c r="BT48" s="544"/>
      <c r="BU48" s="544"/>
      <c r="BV48" s="544"/>
      <c r="BW48" s="544"/>
      <c r="BX48" s="544"/>
      <c r="BY48" s="544"/>
      <c r="BZ48" s="544"/>
      <c r="CA48" s="544"/>
      <c r="CB48" s="544"/>
      <c r="CC48" s="544"/>
      <c r="CD48" s="544"/>
      <c r="CE48" s="544"/>
      <c r="CF48" s="544"/>
      <c r="CG48" s="544"/>
      <c r="CH48" s="544"/>
      <c r="CI48" s="544"/>
      <c r="CJ48" s="544"/>
      <c r="CK48" s="544"/>
      <c r="CL48" s="544"/>
      <c r="CM48" s="544"/>
      <c r="CN48" s="544"/>
      <c r="CO48" s="544"/>
      <c r="CP48" s="544"/>
      <c r="CQ48" s="544"/>
      <c r="CR48" s="544"/>
      <c r="CS48" s="544"/>
      <c r="CT48" s="544"/>
      <c r="CU48" s="544"/>
      <c r="CV48" s="544"/>
      <c r="CW48" s="544"/>
      <c r="CX48" s="544"/>
      <c r="CY48" s="544"/>
      <c r="CZ48" s="544"/>
      <c r="DA48" s="544"/>
      <c r="DB48" s="544"/>
      <c r="DC48" s="544"/>
      <c r="DD48" s="544"/>
      <c r="DE48" s="544"/>
      <c r="DF48" s="544"/>
      <c r="DG48" s="544"/>
      <c r="DH48" s="544"/>
      <c r="DI48" s="544"/>
      <c r="DJ48" s="544"/>
      <c r="DK48" s="544"/>
      <c r="DL48" s="544"/>
      <c r="DM48" s="544"/>
      <c r="DN48" s="544"/>
      <c r="DO48" s="544"/>
      <c r="DP48" s="544"/>
      <c r="DQ48" s="544"/>
      <c r="DR48" s="544"/>
      <c r="DS48" s="544"/>
      <c r="DT48" s="544"/>
      <c r="DU48" s="544"/>
      <c r="DV48" s="544"/>
      <c r="DW48" s="544"/>
      <c r="DX48" s="544"/>
      <c r="DY48" s="544"/>
      <c r="DZ48" s="544"/>
      <c r="EA48" s="544"/>
      <c r="EB48" s="544"/>
      <c r="EC48" s="544"/>
      <c r="ED48" s="544"/>
      <c r="EE48" s="544"/>
      <c r="EF48" s="544"/>
      <c r="EG48" s="544"/>
      <c r="EH48" s="544"/>
      <c r="EI48" s="544"/>
      <c r="EJ48" s="544"/>
      <c r="EK48" s="544"/>
      <c r="EL48" s="544"/>
      <c r="EM48" s="544"/>
      <c r="EN48" s="544"/>
      <c r="EO48" s="544"/>
      <c r="EP48" s="544"/>
      <c r="EQ48" s="544"/>
      <c r="ER48" s="544"/>
      <c r="ES48" s="544"/>
      <c r="ET48" s="544"/>
      <c r="EU48" s="544"/>
      <c r="EV48" s="544"/>
      <c r="EW48" s="544"/>
      <c r="EX48" s="544"/>
      <c r="EY48" s="544"/>
      <c r="EZ48" s="544"/>
      <c r="FA48" s="544"/>
      <c r="FB48" s="544"/>
      <c r="FC48" s="544"/>
      <c r="FD48" s="544"/>
      <c r="FE48" s="544"/>
      <c r="FF48" s="544"/>
      <c r="FG48" s="544"/>
      <c r="FH48" s="544"/>
      <c r="FI48" s="544"/>
      <c r="FJ48" s="544"/>
      <c r="FK48" s="544"/>
      <c r="FL48" s="544"/>
      <c r="FM48" s="544"/>
      <c r="FN48" s="544"/>
      <c r="FO48" s="544"/>
      <c r="FP48" s="544"/>
      <c r="FQ48" s="544"/>
      <c r="FR48" s="544"/>
      <c r="FS48" s="544"/>
      <c r="FT48" s="544"/>
      <c r="FU48" s="544"/>
      <c r="FV48" s="544"/>
      <c r="FW48" s="544"/>
      <c r="FX48" s="544"/>
      <c r="FY48" s="544"/>
      <c r="FZ48" s="544"/>
      <c r="GA48" s="544"/>
      <c r="GB48" s="544"/>
      <c r="GC48" s="544"/>
      <c r="GD48" s="544"/>
      <c r="GE48" s="544"/>
      <c r="GF48" s="544"/>
      <c r="GG48" s="544"/>
      <c r="GH48" s="544"/>
      <c r="GI48" s="544"/>
      <c r="GJ48" s="544"/>
      <c r="GK48" s="544"/>
      <c r="GL48" s="544"/>
      <c r="GM48" s="544"/>
      <c r="GN48" s="544"/>
      <c r="GO48" s="544"/>
      <c r="GP48" s="544"/>
      <c r="GQ48" s="544"/>
      <c r="GR48" s="544"/>
      <c r="GS48" s="544"/>
      <c r="GT48" s="544"/>
      <c r="GU48" s="544"/>
      <c r="GV48" s="544"/>
      <c r="GW48" s="544"/>
      <c r="GX48" s="544"/>
      <c r="GY48" s="544"/>
      <c r="GZ48" s="544"/>
      <c r="HA48" s="544"/>
      <c r="HB48" s="544"/>
      <c r="HC48" s="544"/>
      <c r="HD48" s="544"/>
      <c r="HE48" s="544"/>
      <c r="HF48" s="544"/>
      <c r="HG48" s="544"/>
      <c r="HH48" s="544"/>
      <c r="HI48" s="544"/>
      <c r="HJ48" s="544"/>
      <c r="HK48" s="544"/>
      <c r="HL48" s="544"/>
      <c r="HM48" s="544"/>
      <c r="HN48" s="544"/>
      <c r="HO48" s="544"/>
      <c r="HP48" s="544"/>
      <c r="HQ48" s="544"/>
      <c r="HR48" s="544"/>
      <c r="HS48" s="544"/>
      <c r="HT48" s="544"/>
      <c r="HU48" s="544"/>
      <c r="HV48" s="544"/>
      <c r="HW48" s="544"/>
      <c r="HX48" s="544"/>
      <c r="HY48" s="544"/>
      <c r="HZ48" s="544"/>
      <c r="IA48" s="544"/>
      <c r="IB48" s="544"/>
      <c r="IC48" s="544"/>
      <c r="ID48" s="544"/>
      <c r="IE48" s="544"/>
      <c r="IF48" s="544"/>
      <c r="IG48" s="544"/>
      <c r="IH48" s="544"/>
      <c r="II48" s="544"/>
      <c r="IJ48" s="544"/>
      <c r="IK48" s="544"/>
      <c r="IL48" s="544"/>
      <c r="IM48" s="544"/>
      <c r="IN48" s="544"/>
      <c r="IO48" s="544"/>
      <c r="IP48" s="544"/>
      <c r="IQ48" s="544"/>
      <c r="IR48" s="544"/>
      <c r="IS48" s="544"/>
    </row>
    <row r="49" spans="1:253" ht="31" x14ac:dyDescent="0.35">
      <c r="A49" s="544"/>
      <c r="B49" s="1090" t="s">
        <v>661</v>
      </c>
      <c r="C49" s="881"/>
      <c r="E49" s="907"/>
      <c r="F49" s="908"/>
      <c r="G49" s="909"/>
      <c r="H49" s="913"/>
      <c r="I49" s="913"/>
      <c r="J49" s="917" t="s">
        <v>648</v>
      </c>
      <c r="K49" s="544"/>
      <c r="AA49" s="1089" t="s">
        <v>601</v>
      </c>
      <c r="AY49" s="544"/>
      <c r="AZ49" s="544"/>
      <c r="BA49" s="544"/>
      <c r="BB49" s="544"/>
      <c r="BC49" s="544"/>
      <c r="BD49" s="544"/>
      <c r="BE49" s="544"/>
      <c r="BF49" s="544"/>
      <c r="BG49" s="544"/>
      <c r="BH49" s="544"/>
      <c r="BI49" s="544"/>
      <c r="BJ49" s="544"/>
      <c r="BK49" s="544"/>
      <c r="BL49" s="544"/>
      <c r="BM49" s="544"/>
      <c r="BN49" s="544"/>
      <c r="BO49" s="544"/>
      <c r="BP49" s="544"/>
      <c r="BQ49" s="544"/>
      <c r="BR49" s="544"/>
      <c r="BS49" s="544"/>
      <c r="BT49" s="544"/>
      <c r="BU49" s="544"/>
      <c r="BV49" s="544"/>
      <c r="BW49" s="544"/>
      <c r="BX49" s="544"/>
      <c r="BY49" s="544"/>
      <c r="BZ49" s="544"/>
      <c r="CA49" s="544"/>
      <c r="CB49" s="544"/>
      <c r="CC49" s="544"/>
      <c r="CD49" s="544"/>
      <c r="CE49" s="544"/>
      <c r="CF49" s="544"/>
      <c r="CG49" s="544"/>
      <c r="CH49" s="544"/>
      <c r="CI49" s="544"/>
      <c r="CJ49" s="544"/>
      <c r="CK49" s="544"/>
      <c r="CL49" s="544"/>
      <c r="CM49" s="544"/>
      <c r="CN49" s="544"/>
      <c r="CO49" s="544"/>
      <c r="CP49" s="544"/>
      <c r="CQ49" s="544"/>
      <c r="CR49" s="544"/>
      <c r="CS49" s="544"/>
      <c r="CT49" s="544"/>
      <c r="CU49" s="544"/>
      <c r="CV49" s="544"/>
      <c r="CW49" s="544"/>
      <c r="CX49" s="544"/>
      <c r="CY49" s="544"/>
      <c r="CZ49" s="544"/>
      <c r="DA49" s="544"/>
      <c r="DB49" s="544"/>
      <c r="DC49" s="544"/>
      <c r="DD49" s="544"/>
      <c r="DE49" s="544"/>
      <c r="DF49" s="544"/>
      <c r="DG49" s="544"/>
      <c r="DH49" s="544"/>
      <c r="DI49" s="544"/>
      <c r="DJ49" s="544"/>
      <c r="DK49" s="544"/>
      <c r="DL49" s="544"/>
      <c r="DM49" s="544"/>
      <c r="DN49" s="544"/>
      <c r="DO49" s="544"/>
      <c r="DP49" s="544"/>
      <c r="DQ49" s="544"/>
      <c r="DR49" s="544"/>
      <c r="DS49" s="544"/>
      <c r="DT49" s="544"/>
      <c r="DU49" s="544"/>
      <c r="DV49" s="544"/>
      <c r="DW49" s="544"/>
      <c r="DX49" s="544"/>
      <c r="DY49" s="544"/>
      <c r="DZ49" s="544"/>
      <c r="EA49" s="544"/>
      <c r="EB49" s="544"/>
      <c r="EC49" s="544"/>
      <c r="ED49" s="544"/>
      <c r="EE49" s="544"/>
      <c r="EF49" s="544"/>
      <c r="EG49" s="544"/>
      <c r="EH49" s="544"/>
      <c r="EI49" s="544"/>
      <c r="EJ49" s="544"/>
      <c r="EK49" s="544"/>
      <c r="EL49" s="544"/>
      <c r="EM49" s="544"/>
      <c r="EN49" s="544"/>
      <c r="EO49" s="544"/>
      <c r="EP49" s="544"/>
      <c r="EQ49" s="544"/>
      <c r="ER49" s="544"/>
      <c r="ES49" s="544"/>
      <c r="ET49" s="544"/>
      <c r="EU49" s="544"/>
      <c r="EV49" s="544"/>
      <c r="EW49" s="544"/>
      <c r="EX49" s="544"/>
      <c r="EY49" s="544"/>
      <c r="EZ49" s="544"/>
      <c r="FA49" s="544"/>
      <c r="FB49" s="544"/>
      <c r="FC49" s="544"/>
      <c r="FD49" s="544"/>
      <c r="FE49" s="544"/>
      <c r="FF49" s="544"/>
      <c r="FG49" s="544"/>
      <c r="FH49" s="544"/>
      <c r="FI49" s="544"/>
      <c r="FJ49" s="544"/>
      <c r="FK49" s="544"/>
      <c r="FL49" s="544"/>
      <c r="FM49" s="544"/>
      <c r="FN49" s="544"/>
      <c r="FO49" s="544"/>
      <c r="FP49" s="544"/>
      <c r="FQ49" s="544"/>
      <c r="FR49" s="544"/>
      <c r="FS49" s="544"/>
      <c r="FT49" s="544"/>
      <c r="FU49" s="544"/>
      <c r="FV49" s="544"/>
      <c r="FW49" s="544"/>
      <c r="FX49" s="544"/>
      <c r="FY49" s="544"/>
      <c r="FZ49" s="544"/>
      <c r="GA49" s="544"/>
      <c r="GB49" s="544"/>
      <c r="GC49" s="544"/>
      <c r="GD49" s="544"/>
      <c r="GE49" s="544"/>
      <c r="GF49" s="544"/>
      <c r="GG49" s="544"/>
      <c r="GH49" s="544"/>
      <c r="GI49" s="544"/>
      <c r="GJ49" s="544"/>
      <c r="GK49" s="544"/>
      <c r="GL49" s="544"/>
      <c r="GM49" s="544"/>
      <c r="GN49" s="544"/>
      <c r="GO49" s="544"/>
      <c r="GP49" s="544"/>
      <c r="GQ49" s="544"/>
      <c r="GR49" s="544"/>
      <c r="GS49" s="544"/>
      <c r="GT49" s="544"/>
      <c r="GU49" s="544"/>
      <c r="GV49" s="544"/>
      <c r="GW49" s="544"/>
      <c r="GX49" s="544"/>
      <c r="GY49" s="544"/>
      <c r="GZ49" s="544"/>
      <c r="HA49" s="544"/>
      <c r="HB49" s="544"/>
      <c r="HC49" s="544"/>
      <c r="HD49" s="544"/>
      <c r="HE49" s="544"/>
      <c r="HF49" s="544"/>
      <c r="HG49" s="544"/>
      <c r="HH49" s="544"/>
      <c r="HI49" s="544"/>
      <c r="HJ49" s="544"/>
      <c r="HK49" s="544"/>
      <c r="HL49" s="544"/>
      <c r="HM49" s="544"/>
      <c r="HN49" s="544"/>
      <c r="HO49" s="544"/>
      <c r="HP49" s="544"/>
      <c r="HQ49" s="544"/>
      <c r="HR49" s="544"/>
      <c r="HS49" s="544"/>
      <c r="HT49" s="544"/>
      <c r="HU49" s="544"/>
      <c r="HV49" s="544"/>
      <c r="HW49" s="544"/>
      <c r="HX49" s="544"/>
      <c r="HY49" s="544"/>
      <c r="HZ49" s="544"/>
      <c r="IA49" s="544"/>
      <c r="IB49" s="544"/>
      <c r="IC49" s="544"/>
      <c r="ID49" s="544"/>
      <c r="IE49" s="544"/>
      <c r="IF49" s="544"/>
      <c r="IG49" s="544"/>
      <c r="IH49" s="544"/>
      <c r="II49" s="544"/>
      <c r="IJ49" s="544"/>
      <c r="IK49" s="544"/>
      <c r="IL49" s="544"/>
      <c r="IM49" s="544"/>
      <c r="IN49" s="544"/>
      <c r="IO49" s="544"/>
      <c r="IP49" s="544"/>
      <c r="IQ49" s="544"/>
      <c r="IR49" s="544"/>
      <c r="IS49" s="544"/>
    </row>
    <row r="50" spans="1:253" ht="31" x14ac:dyDescent="0.35">
      <c r="A50" s="544"/>
      <c r="B50" s="1090" t="s">
        <v>649</v>
      </c>
      <c r="C50" s="881"/>
      <c r="E50" s="907"/>
      <c r="F50" s="908"/>
      <c r="G50" s="909"/>
      <c r="H50" s="913"/>
      <c r="I50" s="913"/>
      <c r="J50" s="544"/>
      <c r="K50" s="544"/>
      <c r="AA50" s="1089" t="s">
        <v>601</v>
      </c>
      <c r="AY50" s="544"/>
      <c r="AZ50" s="544"/>
      <c r="BA50" s="544"/>
      <c r="BB50" s="544"/>
      <c r="BC50" s="544"/>
      <c r="BD50" s="544"/>
      <c r="BE50" s="544"/>
      <c r="BF50" s="544"/>
      <c r="BG50" s="544"/>
      <c r="BH50" s="544"/>
      <c r="BI50" s="544"/>
      <c r="BJ50" s="544"/>
      <c r="BK50" s="544"/>
      <c r="BL50" s="544"/>
      <c r="BM50" s="544"/>
      <c r="BN50" s="544"/>
      <c r="BO50" s="544"/>
      <c r="BP50" s="544"/>
      <c r="BQ50" s="544"/>
      <c r="BR50" s="544"/>
      <c r="BS50" s="544"/>
      <c r="BT50" s="544"/>
      <c r="BU50" s="544"/>
      <c r="BV50" s="544"/>
      <c r="BW50" s="544"/>
      <c r="BX50" s="544"/>
      <c r="BY50" s="544"/>
      <c r="BZ50" s="544"/>
      <c r="CA50" s="544"/>
      <c r="CB50" s="544"/>
      <c r="CC50" s="544"/>
      <c r="CD50" s="544"/>
      <c r="CE50" s="544"/>
      <c r="CF50" s="544"/>
      <c r="CG50" s="544"/>
      <c r="CH50" s="544"/>
      <c r="CI50" s="544"/>
      <c r="CJ50" s="544"/>
      <c r="CK50" s="544"/>
      <c r="CL50" s="544"/>
      <c r="CM50" s="544"/>
      <c r="CN50" s="544"/>
      <c r="CO50" s="544"/>
      <c r="CP50" s="544"/>
      <c r="CQ50" s="544"/>
      <c r="CR50" s="544"/>
      <c r="CS50" s="544"/>
      <c r="CT50" s="544"/>
      <c r="CU50" s="544"/>
      <c r="CV50" s="544"/>
      <c r="CW50" s="544"/>
      <c r="CX50" s="544"/>
      <c r="CY50" s="544"/>
      <c r="CZ50" s="544"/>
      <c r="DA50" s="544"/>
      <c r="DB50" s="544"/>
      <c r="DC50" s="544"/>
      <c r="DD50" s="544"/>
      <c r="DE50" s="544"/>
      <c r="DF50" s="544"/>
      <c r="DG50" s="544"/>
      <c r="DH50" s="544"/>
      <c r="DI50" s="544"/>
      <c r="DJ50" s="544"/>
      <c r="DK50" s="544"/>
      <c r="DL50" s="544"/>
      <c r="DM50" s="544"/>
      <c r="DN50" s="544"/>
      <c r="DO50" s="544"/>
      <c r="DP50" s="544"/>
      <c r="DQ50" s="544"/>
      <c r="DR50" s="544"/>
      <c r="DS50" s="544"/>
      <c r="DT50" s="544"/>
      <c r="DU50" s="544"/>
      <c r="DV50" s="544"/>
      <c r="DW50" s="544"/>
      <c r="DX50" s="544"/>
      <c r="DY50" s="544"/>
      <c r="DZ50" s="544"/>
      <c r="EA50" s="544"/>
      <c r="EB50" s="544"/>
      <c r="EC50" s="544"/>
      <c r="ED50" s="544"/>
      <c r="EE50" s="544"/>
      <c r="EF50" s="544"/>
      <c r="EG50" s="544"/>
      <c r="EH50" s="544"/>
      <c r="EI50" s="544"/>
      <c r="EJ50" s="544"/>
      <c r="EK50" s="544"/>
      <c r="EL50" s="544"/>
      <c r="EM50" s="544"/>
      <c r="EN50" s="544"/>
      <c r="EO50" s="544"/>
      <c r="EP50" s="544"/>
      <c r="EQ50" s="544"/>
      <c r="ER50" s="544"/>
      <c r="ES50" s="544"/>
      <c r="ET50" s="544"/>
      <c r="EU50" s="544"/>
      <c r="EV50" s="544"/>
      <c r="EW50" s="544"/>
      <c r="EX50" s="544"/>
      <c r="EY50" s="544"/>
      <c r="EZ50" s="544"/>
      <c r="FA50" s="544"/>
      <c r="FB50" s="544"/>
      <c r="FC50" s="544"/>
      <c r="FD50" s="544"/>
      <c r="FE50" s="544"/>
      <c r="FF50" s="544"/>
      <c r="FG50" s="544"/>
      <c r="FH50" s="544"/>
      <c r="FI50" s="544"/>
      <c r="FJ50" s="544"/>
      <c r="FK50" s="544"/>
      <c r="FL50" s="544"/>
      <c r="FM50" s="544"/>
      <c r="FN50" s="544"/>
      <c r="FO50" s="544"/>
      <c r="FP50" s="544"/>
      <c r="FQ50" s="544"/>
      <c r="FR50" s="544"/>
      <c r="FS50" s="544"/>
      <c r="FT50" s="544"/>
      <c r="FU50" s="544"/>
      <c r="FV50" s="544"/>
      <c r="FW50" s="544"/>
      <c r="FX50" s="544"/>
      <c r="FY50" s="544"/>
      <c r="FZ50" s="544"/>
      <c r="GA50" s="544"/>
      <c r="GB50" s="544"/>
      <c r="GC50" s="544"/>
      <c r="GD50" s="544"/>
      <c r="GE50" s="544"/>
      <c r="GF50" s="544"/>
      <c r="GG50" s="544"/>
      <c r="GH50" s="544"/>
      <c r="GI50" s="544"/>
      <c r="GJ50" s="544"/>
      <c r="GK50" s="544"/>
      <c r="GL50" s="544"/>
      <c r="GM50" s="544"/>
      <c r="GN50" s="544"/>
      <c r="GO50" s="544"/>
      <c r="GP50" s="544"/>
      <c r="GQ50" s="544"/>
      <c r="GR50" s="544"/>
      <c r="GS50" s="544"/>
      <c r="GT50" s="544"/>
      <c r="GU50" s="544"/>
      <c r="GV50" s="544"/>
      <c r="GW50" s="544"/>
      <c r="GX50" s="544"/>
      <c r="GY50" s="544"/>
      <c r="GZ50" s="544"/>
      <c r="HA50" s="544"/>
      <c r="HB50" s="544"/>
      <c r="HC50" s="544"/>
      <c r="HD50" s="544"/>
      <c r="HE50" s="544"/>
      <c r="HF50" s="544"/>
      <c r="HG50" s="544"/>
      <c r="HH50" s="544"/>
      <c r="HI50" s="544"/>
      <c r="HJ50" s="544"/>
      <c r="HK50" s="544"/>
      <c r="HL50" s="544"/>
      <c r="HM50" s="544"/>
      <c r="HN50" s="544"/>
      <c r="HO50" s="544"/>
      <c r="HP50" s="544"/>
      <c r="HQ50" s="544"/>
      <c r="HR50" s="544"/>
      <c r="HS50" s="544"/>
      <c r="HT50" s="544"/>
      <c r="HU50" s="544"/>
      <c r="HV50" s="544"/>
      <c r="HW50" s="544"/>
      <c r="HX50" s="544"/>
      <c r="HY50" s="544"/>
      <c r="HZ50" s="544"/>
      <c r="IA50" s="544"/>
      <c r="IB50" s="544"/>
      <c r="IC50" s="544"/>
      <c r="ID50" s="544"/>
      <c r="IE50" s="544"/>
      <c r="IF50" s="544"/>
      <c r="IG50" s="544"/>
      <c r="IH50" s="544"/>
      <c r="II50" s="544"/>
      <c r="IJ50" s="544"/>
      <c r="IK50" s="544"/>
      <c r="IL50" s="544"/>
      <c r="IM50" s="544"/>
      <c r="IN50" s="544"/>
      <c r="IO50" s="544"/>
      <c r="IP50" s="544"/>
      <c r="IQ50" s="544"/>
      <c r="IR50" s="544"/>
      <c r="IS50" s="544"/>
    </row>
    <row r="51" spans="1:253" ht="31" x14ac:dyDescent="0.35">
      <c r="A51" s="544"/>
      <c r="B51" s="1090" t="s">
        <v>658</v>
      </c>
      <c r="C51" s="881"/>
      <c r="E51" s="907"/>
      <c r="F51" s="908"/>
      <c r="G51" s="909"/>
      <c r="H51" s="544"/>
      <c r="I51" s="544"/>
      <c r="J51" s="544"/>
      <c r="K51" s="544"/>
      <c r="AA51" s="1089" t="s">
        <v>601</v>
      </c>
      <c r="AY51" s="544"/>
      <c r="AZ51" s="544"/>
      <c r="BA51" s="544"/>
      <c r="BB51" s="544"/>
      <c r="BC51" s="544"/>
      <c r="BD51" s="544"/>
      <c r="BE51" s="544"/>
      <c r="BF51" s="544"/>
      <c r="BG51" s="544"/>
      <c r="BH51" s="544"/>
      <c r="BI51" s="544"/>
      <c r="BJ51" s="544"/>
      <c r="BK51" s="544"/>
      <c r="BL51" s="544"/>
      <c r="BM51" s="544"/>
      <c r="BN51" s="544"/>
      <c r="BO51" s="544"/>
      <c r="BP51" s="544"/>
      <c r="BQ51" s="544"/>
      <c r="BR51" s="544"/>
      <c r="BS51" s="544"/>
      <c r="BT51" s="544"/>
      <c r="BU51" s="544"/>
      <c r="BV51" s="544"/>
      <c r="BW51" s="544"/>
      <c r="BX51" s="544"/>
      <c r="BY51" s="544"/>
      <c r="BZ51" s="544"/>
      <c r="CA51" s="544"/>
      <c r="CB51" s="544"/>
      <c r="CC51" s="544"/>
      <c r="CD51" s="544"/>
      <c r="CE51" s="544"/>
      <c r="CF51" s="544"/>
      <c r="CG51" s="544"/>
      <c r="CH51" s="544"/>
      <c r="CI51" s="544"/>
      <c r="CJ51" s="544"/>
      <c r="CK51" s="544"/>
      <c r="CL51" s="544"/>
      <c r="CM51" s="544"/>
      <c r="CN51" s="544"/>
      <c r="CO51" s="544"/>
      <c r="CP51" s="544"/>
      <c r="CQ51" s="544"/>
      <c r="CR51" s="544"/>
      <c r="CS51" s="544"/>
      <c r="CT51" s="544"/>
      <c r="CU51" s="544"/>
      <c r="CV51" s="544"/>
      <c r="CW51" s="544"/>
      <c r="CX51" s="544"/>
      <c r="CY51" s="544"/>
      <c r="CZ51" s="544"/>
      <c r="DA51" s="544"/>
      <c r="DB51" s="544"/>
      <c r="DC51" s="544"/>
      <c r="DD51" s="544"/>
      <c r="DE51" s="544"/>
      <c r="DF51" s="544"/>
      <c r="DG51" s="544"/>
      <c r="DH51" s="544"/>
      <c r="DI51" s="544"/>
      <c r="DJ51" s="544"/>
      <c r="DK51" s="544"/>
      <c r="DL51" s="544"/>
      <c r="DM51" s="544"/>
      <c r="DN51" s="544"/>
      <c r="DO51" s="544"/>
      <c r="DP51" s="544"/>
      <c r="DQ51" s="544"/>
      <c r="DR51" s="544"/>
      <c r="DS51" s="544"/>
      <c r="DT51" s="544"/>
      <c r="DU51" s="544"/>
      <c r="DV51" s="544"/>
      <c r="DW51" s="544"/>
      <c r="DX51" s="544"/>
      <c r="DY51" s="544"/>
      <c r="DZ51" s="544"/>
      <c r="EA51" s="544"/>
      <c r="EB51" s="544"/>
      <c r="EC51" s="544"/>
      <c r="ED51" s="544"/>
      <c r="EE51" s="544"/>
      <c r="EF51" s="544"/>
      <c r="EG51" s="544"/>
      <c r="EH51" s="544"/>
      <c r="EI51" s="544"/>
      <c r="EJ51" s="544"/>
      <c r="EK51" s="544"/>
      <c r="EL51" s="544"/>
      <c r="EM51" s="544"/>
      <c r="EN51" s="544"/>
      <c r="EO51" s="544"/>
      <c r="EP51" s="544"/>
      <c r="EQ51" s="544"/>
      <c r="ER51" s="544"/>
      <c r="ES51" s="544"/>
      <c r="ET51" s="544"/>
      <c r="EU51" s="544"/>
      <c r="EV51" s="544"/>
      <c r="EW51" s="544"/>
      <c r="EX51" s="544"/>
      <c r="EY51" s="544"/>
      <c r="EZ51" s="544"/>
      <c r="FA51" s="544"/>
      <c r="FB51" s="544"/>
      <c r="FC51" s="544"/>
      <c r="FD51" s="544"/>
      <c r="FE51" s="544"/>
      <c r="FF51" s="544"/>
      <c r="FG51" s="544"/>
      <c r="FH51" s="544"/>
      <c r="FI51" s="544"/>
      <c r="FJ51" s="544"/>
      <c r="FK51" s="544"/>
      <c r="FL51" s="544"/>
      <c r="FM51" s="544"/>
      <c r="FN51" s="544"/>
      <c r="FO51" s="544"/>
      <c r="FP51" s="544"/>
      <c r="FQ51" s="544"/>
      <c r="FR51" s="544"/>
      <c r="FS51" s="544"/>
      <c r="FT51" s="544"/>
      <c r="FU51" s="544"/>
      <c r="FV51" s="544"/>
      <c r="FW51" s="544"/>
      <c r="FX51" s="544"/>
      <c r="FY51" s="544"/>
      <c r="FZ51" s="544"/>
      <c r="GA51" s="544"/>
      <c r="GB51" s="544"/>
      <c r="GC51" s="544"/>
      <c r="GD51" s="544"/>
      <c r="GE51" s="544"/>
      <c r="GF51" s="544"/>
      <c r="GG51" s="544"/>
      <c r="GH51" s="544"/>
      <c r="GI51" s="544"/>
      <c r="GJ51" s="544"/>
      <c r="GK51" s="544"/>
      <c r="GL51" s="544"/>
      <c r="GM51" s="544"/>
      <c r="GN51" s="544"/>
      <c r="GO51" s="544"/>
      <c r="GP51" s="544"/>
      <c r="GQ51" s="544"/>
      <c r="GR51" s="544"/>
      <c r="GS51" s="544"/>
      <c r="GT51" s="544"/>
      <c r="GU51" s="544"/>
      <c r="GV51" s="544"/>
      <c r="GW51" s="544"/>
      <c r="GX51" s="544"/>
      <c r="GY51" s="544"/>
      <c r="GZ51" s="544"/>
      <c r="HA51" s="544"/>
      <c r="HB51" s="544"/>
      <c r="HC51" s="544"/>
      <c r="HD51" s="544"/>
      <c r="HE51" s="544"/>
      <c r="HF51" s="544"/>
      <c r="HG51" s="544"/>
      <c r="HH51" s="544"/>
      <c r="HI51" s="544"/>
      <c r="HJ51" s="544"/>
      <c r="HK51" s="544"/>
      <c r="HL51" s="544"/>
      <c r="HM51" s="544"/>
      <c r="HN51" s="544"/>
      <c r="HO51" s="544"/>
      <c r="HP51" s="544"/>
      <c r="HQ51" s="544"/>
      <c r="HR51" s="544"/>
      <c r="HS51" s="544"/>
      <c r="HT51" s="544"/>
      <c r="HU51" s="544"/>
      <c r="HV51" s="544"/>
      <c r="HW51" s="544"/>
      <c r="HX51" s="544"/>
      <c r="HY51" s="544"/>
      <c r="HZ51" s="544"/>
      <c r="IA51" s="544"/>
      <c r="IB51" s="544"/>
      <c r="IC51" s="544"/>
      <c r="ID51" s="544"/>
      <c r="IE51" s="544"/>
      <c r="IF51" s="544"/>
      <c r="IG51" s="544"/>
      <c r="IH51" s="544"/>
      <c r="II51" s="544"/>
      <c r="IJ51" s="544"/>
      <c r="IK51" s="544"/>
      <c r="IL51" s="544"/>
      <c r="IM51" s="544"/>
      <c r="IN51" s="544"/>
      <c r="IO51" s="544"/>
      <c r="IP51" s="544"/>
      <c r="IQ51" s="544"/>
      <c r="IR51" s="544"/>
      <c r="IS51" s="544"/>
    </row>
    <row r="52" spans="1:253" ht="31" x14ac:dyDescent="0.35">
      <c r="A52" s="544"/>
      <c r="B52" s="1090" t="s">
        <v>651</v>
      </c>
      <c r="C52" s="881"/>
      <c r="E52" s="907"/>
      <c r="F52" s="908"/>
      <c r="G52" s="909"/>
      <c r="H52" s="544"/>
      <c r="I52" s="544"/>
      <c r="J52" s="544"/>
      <c r="K52" s="544"/>
      <c r="AA52" s="1089" t="s">
        <v>601</v>
      </c>
      <c r="AY52" s="544"/>
      <c r="AZ52" s="544"/>
      <c r="BA52" s="544"/>
      <c r="BB52" s="544"/>
      <c r="BC52" s="544"/>
      <c r="BD52" s="544"/>
      <c r="BE52" s="544"/>
      <c r="BF52" s="544"/>
      <c r="BG52" s="544"/>
      <c r="BH52" s="544"/>
      <c r="BI52" s="544"/>
      <c r="BJ52" s="544"/>
      <c r="BK52" s="544"/>
      <c r="BL52" s="544"/>
      <c r="BM52" s="544"/>
      <c r="BN52" s="544"/>
      <c r="BO52" s="544"/>
      <c r="BP52" s="544"/>
      <c r="BQ52" s="544"/>
      <c r="BR52" s="544"/>
      <c r="BS52" s="544"/>
      <c r="BT52" s="544"/>
      <c r="BU52" s="544"/>
      <c r="BV52" s="544"/>
      <c r="BW52" s="544"/>
      <c r="BX52" s="544"/>
      <c r="BY52" s="544"/>
      <c r="BZ52" s="544"/>
      <c r="CA52" s="544"/>
      <c r="CB52" s="544"/>
      <c r="CC52" s="544"/>
      <c r="CD52" s="544"/>
      <c r="CE52" s="544"/>
      <c r="CF52" s="544"/>
      <c r="CG52" s="544"/>
      <c r="CH52" s="544"/>
      <c r="CI52" s="544"/>
      <c r="CJ52" s="544"/>
      <c r="CK52" s="544"/>
      <c r="CL52" s="544"/>
      <c r="CM52" s="544"/>
      <c r="CN52" s="544"/>
      <c r="CO52" s="544"/>
      <c r="CP52" s="544"/>
      <c r="CQ52" s="544"/>
      <c r="CR52" s="544"/>
      <c r="CS52" s="544"/>
      <c r="CT52" s="544"/>
      <c r="CU52" s="544"/>
      <c r="CV52" s="544"/>
      <c r="CW52" s="544"/>
      <c r="CX52" s="544"/>
      <c r="CY52" s="544"/>
      <c r="CZ52" s="544"/>
      <c r="DA52" s="544"/>
      <c r="DB52" s="544"/>
      <c r="DC52" s="544"/>
      <c r="DD52" s="544"/>
      <c r="DE52" s="544"/>
      <c r="DF52" s="544"/>
      <c r="DG52" s="544"/>
      <c r="DH52" s="544"/>
      <c r="DI52" s="544"/>
      <c r="DJ52" s="544"/>
      <c r="DK52" s="544"/>
      <c r="DL52" s="544"/>
      <c r="DM52" s="544"/>
      <c r="DN52" s="544"/>
      <c r="DO52" s="544"/>
      <c r="DP52" s="544"/>
      <c r="DQ52" s="544"/>
      <c r="DR52" s="544"/>
      <c r="DS52" s="544"/>
      <c r="DT52" s="544"/>
      <c r="DU52" s="544"/>
      <c r="DV52" s="544"/>
      <c r="DW52" s="544"/>
      <c r="DX52" s="544"/>
      <c r="DY52" s="544"/>
      <c r="DZ52" s="544"/>
      <c r="EA52" s="544"/>
      <c r="EB52" s="544"/>
      <c r="EC52" s="544"/>
      <c r="ED52" s="544"/>
      <c r="EE52" s="544"/>
      <c r="EF52" s="544"/>
      <c r="EG52" s="544"/>
      <c r="EH52" s="544"/>
      <c r="EI52" s="544"/>
      <c r="EJ52" s="544"/>
      <c r="EK52" s="544"/>
      <c r="EL52" s="544"/>
      <c r="EM52" s="544"/>
      <c r="EN52" s="544"/>
      <c r="EO52" s="544"/>
      <c r="EP52" s="544"/>
      <c r="EQ52" s="544"/>
      <c r="ER52" s="544"/>
      <c r="ES52" s="544"/>
      <c r="ET52" s="544"/>
      <c r="EU52" s="544"/>
      <c r="EV52" s="544"/>
      <c r="EW52" s="544"/>
      <c r="EX52" s="544"/>
      <c r="EY52" s="544"/>
      <c r="EZ52" s="544"/>
      <c r="FA52" s="544"/>
      <c r="FB52" s="544"/>
      <c r="FC52" s="544"/>
      <c r="FD52" s="544"/>
      <c r="FE52" s="544"/>
      <c r="FF52" s="544"/>
      <c r="FG52" s="544"/>
      <c r="FH52" s="544"/>
      <c r="FI52" s="544"/>
      <c r="FJ52" s="544"/>
      <c r="FK52" s="544"/>
      <c r="FL52" s="544"/>
      <c r="FM52" s="544"/>
      <c r="FN52" s="544"/>
      <c r="FO52" s="544"/>
      <c r="FP52" s="544"/>
      <c r="FQ52" s="544"/>
      <c r="FR52" s="544"/>
      <c r="FS52" s="544"/>
      <c r="FT52" s="544"/>
      <c r="FU52" s="544"/>
      <c r="FV52" s="544"/>
      <c r="FW52" s="544"/>
      <c r="FX52" s="544"/>
      <c r="FY52" s="544"/>
      <c r="FZ52" s="544"/>
      <c r="GA52" s="544"/>
      <c r="GB52" s="544"/>
      <c r="GC52" s="544"/>
      <c r="GD52" s="544"/>
      <c r="GE52" s="544"/>
      <c r="GF52" s="544"/>
      <c r="GG52" s="544"/>
      <c r="GH52" s="544"/>
      <c r="GI52" s="544"/>
      <c r="GJ52" s="544"/>
      <c r="GK52" s="544"/>
      <c r="GL52" s="544"/>
      <c r="GM52" s="544"/>
      <c r="GN52" s="544"/>
      <c r="GO52" s="544"/>
      <c r="GP52" s="544"/>
      <c r="GQ52" s="544"/>
      <c r="GR52" s="544"/>
      <c r="GS52" s="544"/>
      <c r="GT52" s="544"/>
      <c r="GU52" s="544"/>
      <c r="GV52" s="544"/>
      <c r="GW52" s="544"/>
      <c r="GX52" s="544"/>
      <c r="GY52" s="544"/>
      <c r="GZ52" s="544"/>
      <c r="HA52" s="544"/>
      <c r="HB52" s="544"/>
      <c r="HC52" s="544"/>
      <c r="HD52" s="544"/>
      <c r="HE52" s="544"/>
      <c r="HF52" s="544"/>
      <c r="HG52" s="544"/>
      <c r="HH52" s="544"/>
      <c r="HI52" s="544"/>
      <c r="HJ52" s="544"/>
      <c r="HK52" s="544"/>
      <c r="HL52" s="544"/>
      <c r="HM52" s="544"/>
      <c r="HN52" s="544"/>
      <c r="HO52" s="544"/>
      <c r="HP52" s="544"/>
      <c r="HQ52" s="544"/>
      <c r="HR52" s="544"/>
      <c r="HS52" s="544"/>
      <c r="HT52" s="544"/>
      <c r="HU52" s="544"/>
      <c r="HV52" s="544"/>
      <c r="HW52" s="544"/>
      <c r="HX52" s="544"/>
      <c r="HY52" s="544"/>
      <c r="HZ52" s="544"/>
      <c r="IA52" s="544"/>
      <c r="IB52" s="544"/>
      <c r="IC52" s="544"/>
      <c r="ID52" s="544"/>
      <c r="IE52" s="544"/>
      <c r="IF52" s="544"/>
      <c r="IG52" s="544"/>
      <c r="IH52" s="544"/>
      <c r="II52" s="544"/>
      <c r="IJ52" s="544"/>
      <c r="IK52" s="544"/>
      <c r="IL52" s="544"/>
      <c r="IM52" s="544"/>
      <c r="IN52" s="544"/>
      <c r="IO52" s="544"/>
      <c r="IP52" s="544"/>
      <c r="IQ52" s="544"/>
      <c r="IR52" s="544"/>
      <c r="IS52" s="544"/>
    </row>
    <row r="53" spans="1:253" ht="31" x14ac:dyDescent="0.35">
      <c r="A53" s="544"/>
      <c r="B53" s="1090" t="s">
        <v>652</v>
      </c>
      <c r="C53" s="881"/>
      <c r="E53" s="907"/>
      <c r="F53" s="908"/>
      <c r="G53" s="909"/>
      <c r="H53" s="544"/>
      <c r="I53" s="544"/>
      <c r="J53" s="544"/>
      <c r="K53" s="544"/>
      <c r="AA53" s="1089" t="s">
        <v>601</v>
      </c>
      <c r="AY53" s="544"/>
      <c r="AZ53" s="544"/>
      <c r="BA53" s="544"/>
      <c r="BB53" s="544"/>
      <c r="BC53" s="544"/>
      <c r="BD53" s="544"/>
      <c r="BE53" s="544"/>
      <c r="BF53" s="544"/>
      <c r="BG53" s="544"/>
      <c r="BH53" s="544"/>
      <c r="BI53" s="544"/>
      <c r="BJ53" s="544"/>
      <c r="BK53" s="544"/>
      <c r="BL53" s="544"/>
      <c r="BM53" s="544"/>
      <c r="BN53" s="544"/>
      <c r="BO53" s="544"/>
      <c r="BP53" s="544"/>
      <c r="BQ53" s="544"/>
      <c r="BR53" s="544"/>
      <c r="BS53" s="544"/>
      <c r="BT53" s="544"/>
      <c r="BU53" s="544"/>
      <c r="BV53" s="544"/>
      <c r="BW53" s="544"/>
      <c r="BX53" s="544"/>
      <c r="BY53" s="544"/>
      <c r="BZ53" s="544"/>
      <c r="CA53" s="544"/>
      <c r="CB53" s="544"/>
      <c r="CC53" s="544"/>
      <c r="CD53" s="544"/>
      <c r="CE53" s="544"/>
      <c r="CF53" s="544"/>
      <c r="CG53" s="544"/>
      <c r="CH53" s="544"/>
      <c r="CI53" s="544"/>
      <c r="CJ53" s="544"/>
      <c r="CK53" s="544"/>
      <c r="CL53" s="544"/>
      <c r="CM53" s="544"/>
      <c r="CN53" s="544"/>
      <c r="CO53" s="544"/>
      <c r="CP53" s="544"/>
      <c r="CQ53" s="544"/>
      <c r="CR53" s="544"/>
      <c r="CS53" s="544"/>
      <c r="CT53" s="544"/>
      <c r="CU53" s="544"/>
      <c r="CV53" s="544"/>
      <c r="CW53" s="544"/>
      <c r="CX53" s="544"/>
      <c r="CY53" s="544"/>
      <c r="CZ53" s="544"/>
      <c r="DA53" s="544"/>
      <c r="DB53" s="544"/>
      <c r="DC53" s="544"/>
      <c r="DD53" s="544"/>
      <c r="DE53" s="544"/>
      <c r="DF53" s="544"/>
      <c r="DG53" s="544"/>
      <c r="DH53" s="544"/>
      <c r="DI53" s="544"/>
      <c r="DJ53" s="544"/>
      <c r="DK53" s="544"/>
      <c r="DL53" s="544"/>
      <c r="DM53" s="544"/>
      <c r="DN53" s="544"/>
      <c r="DO53" s="544"/>
      <c r="DP53" s="544"/>
      <c r="DQ53" s="544"/>
      <c r="DR53" s="544"/>
      <c r="DS53" s="544"/>
      <c r="DT53" s="544"/>
      <c r="DU53" s="544"/>
      <c r="DV53" s="544"/>
      <c r="DW53" s="544"/>
      <c r="DX53" s="544"/>
      <c r="DY53" s="544"/>
      <c r="DZ53" s="544"/>
      <c r="EA53" s="544"/>
      <c r="EB53" s="544"/>
      <c r="EC53" s="544"/>
      <c r="ED53" s="544"/>
      <c r="EE53" s="544"/>
      <c r="EF53" s="544"/>
      <c r="EG53" s="544"/>
      <c r="EH53" s="544"/>
      <c r="EI53" s="544"/>
      <c r="EJ53" s="544"/>
      <c r="EK53" s="544"/>
      <c r="EL53" s="544"/>
      <c r="EM53" s="544"/>
      <c r="EN53" s="544"/>
      <c r="EO53" s="544"/>
      <c r="EP53" s="544"/>
      <c r="EQ53" s="544"/>
      <c r="ER53" s="544"/>
      <c r="ES53" s="544"/>
      <c r="ET53" s="544"/>
      <c r="EU53" s="544"/>
      <c r="EV53" s="544"/>
      <c r="EW53" s="544"/>
      <c r="EX53" s="544"/>
      <c r="EY53" s="544"/>
      <c r="EZ53" s="544"/>
      <c r="FA53" s="544"/>
      <c r="FB53" s="544"/>
      <c r="FC53" s="544"/>
      <c r="FD53" s="544"/>
      <c r="FE53" s="544"/>
      <c r="FF53" s="544"/>
      <c r="FG53" s="544"/>
      <c r="FH53" s="544"/>
      <c r="FI53" s="544"/>
      <c r="FJ53" s="544"/>
      <c r="FK53" s="544"/>
      <c r="FL53" s="544"/>
      <c r="FM53" s="544"/>
      <c r="FN53" s="544"/>
      <c r="FO53" s="544"/>
      <c r="FP53" s="544"/>
      <c r="FQ53" s="544"/>
      <c r="FR53" s="544"/>
      <c r="FS53" s="544"/>
      <c r="FT53" s="544"/>
      <c r="FU53" s="544"/>
      <c r="FV53" s="544"/>
      <c r="FW53" s="544"/>
      <c r="FX53" s="544"/>
      <c r="FY53" s="544"/>
      <c r="FZ53" s="544"/>
      <c r="GA53" s="544"/>
      <c r="GB53" s="544"/>
      <c r="GC53" s="544"/>
      <c r="GD53" s="544"/>
      <c r="GE53" s="544"/>
      <c r="GF53" s="544"/>
      <c r="GG53" s="544"/>
      <c r="GH53" s="544"/>
      <c r="GI53" s="544"/>
      <c r="GJ53" s="544"/>
      <c r="GK53" s="544"/>
      <c r="GL53" s="544"/>
      <c r="GM53" s="544"/>
      <c r="GN53" s="544"/>
      <c r="GO53" s="544"/>
      <c r="GP53" s="544"/>
      <c r="GQ53" s="544"/>
      <c r="GR53" s="544"/>
      <c r="GS53" s="544"/>
      <c r="GT53" s="544"/>
      <c r="GU53" s="544"/>
      <c r="GV53" s="544"/>
      <c r="GW53" s="544"/>
      <c r="GX53" s="544"/>
      <c r="GY53" s="544"/>
      <c r="GZ53" s="544"/>
      <c r="HA53" s="544"/>
      <c r="HB53" s="544"/>
      <c r="HC53" s="544"/>
      <c r="HD53" s="544"/>
      <c r="HE53" s="544"/>
      <c r="HF53" s="544"/>
      <c r="HG53" s="544"/>
      <c r="HH53" s="544"/>
      <c r="HI53" s="544"/>
      <c r="HJ53" s="544"/>
      <c r="HK53" s="544"/>
      <c r="HL53" s="544"/>
      <c r="HM53" s="544"/>
      <c r="HN53" s="544"/>
      <c r="HO53" s="544"/>
      <c r="HP53" s="544"/>
      <c r="HQ53" s="544"/>
      <c r="HR53" s="544"/>
      <c r="HS53" s="544"/>
      <c r="HT53" s="544"/>
      <c r="HU53" s="544"/>
      <c r="HV53" s="544"/>
      <c r="HW53" s="544"/>
      <c r="HX53" s="544"/>
      <c r="HY53" s="544"/>
      <c r="HZ53" s="544"/>
      <c r="IA53" s="544"/>
      <c r="IB53" s="544"/>
      <c r="IC53" s="544"/>
      <c r="ID53" s="544"/>
      <c r="IE53" s="544"/>
      <c r="IF53" s="544"/>
      <c r="IG53" s="544"/>
      <c r="IH53" s="544"/>
      <c r="II53" s="544"/>
      <c r="IJ53" s="544"/>
      <c r="IK53" s="544"/>
      <c r="IL53" s="544"/>
      <c r="IM53" s="544"/>
      <c r="IN53" s="544"/>
      <c r="IO53" s="544"/>
      <c r="IP53" s="544"/>
      <c r="IQ53" s="544"/>
      <c r="IR53" s="544"/>
      <c r="IS53" s="544"/>
    </row>
    <row r="54" spans="1:253" ht="31" x14ac:dyDescent="0.35">
      <c r="A54" s="544"/>
      <c r="B54" s="1090" t="s">
        <v>653</v>
      </c>
      <c r="C54" s="881"/>
      <c r="E54" s="907"/>
      <c r="F54" s="908"/>
      <c r="G54" s="909"/>
      <c r="H54" s="544"/>
      <c r="I54" s="544"/>
      <c r="J54" s="544"/>
      <c r="K54" s="544"/>
      <c r="AA54" s="1089" t="s">
        <v>601</v>
      </c>
      <c r="AY54" s="544"/>
      <c r="AZ54" s="544"/>
      <c r="BA54" s="544"/>
      <c r="BB54" s="544"/>
      <c r="BC54" s="544"/>
      <c r="BD54" s="544"/>
      <c r="BE54" s="544"/>
      <c r="BF54" s="544"/>
      <c r="BG54" s="544"/>
      <c r="BH54" s="544"/>
      <c r="BI54" s="544"/>
      <c r="BJ54" s="544"/>
      <c r="BK54" s="544"/>
      <c r="BL54" s="544"/>
      <c r="BM54" s="544"/>
      <c r="BN54" s="544"/>
      <c r="BO54" s="544"/>
      <c r="BP54" s="544"/>
      <c r="BQ54" s="544"/>
      <c r="BR54" s="544"/>
      <c r="BS54" s="544"/>
      <c r="BT54" s="544"/>
      <c r="BU54" s="544"/>
      <c r="BV54" s="544"/>
      <c r="BW54" s="544"/>
      <c r="BX54" s="544"/>
      <c r="BY54" s="544"/>
      <c r="BZ54" s="544"/>
      <c r="CA54" s="544"/>
      <c r="CB54" s="544"/>
      <c r="CC54" s="544"/>
      <c r="CD54" s="544"/>
      <c r="CE54" s="544"/>
      <c r="CF54" s="544"/>
      <c r="CG54" s="544"/>
      <c r="CH54" s="544"/>
      <c r="CI54" s="544"/>
      <c r="CJ54" s="544"/>
      <c r="CK54" s="544"/>
      <c r="CL54" s="544"/>
      <c r="CM54" s="544"/>
      <c r="CN54" s="544"/>
      <c r="CO54" s="544"/>
      <c r="CP54" s="544"/>
      <c r="CQ54" s="544"/>
      <c r="CR54" s="544"/>
      <c r="CS54" s="544"/>
      <c r="CT54" s="544"/>
      <c r="CU54" s="544"/>
      <c r="CV54" s="544"/>
      <c r="CW54" s="544"/>
      <c r="CX54" s="544"/>
      <c r="CY54" s="544"/>
      <c r="CZ54" s="544"/>
      <c r="DA54" s="544"/>
      <c r="DB54" s="544"/>
      <c r="DC54" s="544"/>
      <c r="DD54" s="544"/>
      <c r="DE54" s="544"/>
      <c r="DF54" s="544"/>
      <c r="DG54" s="544"/>
      <c r="DH54" s="544"/>
      <c r="DI54" s="544"/>
      <c r="DJ54" s="544"/>
      <c r="DK54" s="544"/>
      <c r="DL54" s="544"/>
      <c r="DM54" s="544"/>
      <c r="DN54" s="544"/>
      <c r="DO54" s="544"/>
      <c r="DP54" s="544"/>
      <c r="DQ54" s="544"/>
      <c r="DR54" s="544"/>
      <c r="DS54" s="544"/>
      <c r="DT54" s="544"/>
      <c r="DU54" s="544"/>
      <c r="DV54" s="544"/>
      <c r="DW54" s="544"/>
      <c r="DX54" s="544"/>
      <c r="DY54" s="544"/>
      <c r="DZ54" s="544"/>
      <c r="EA54" s="544"/>
      <c r="EB54" s="544"/>
      <c r="EC54" s="544"/>
      <c r="ED54" s="544"/>
      <c r="EE54" s="544"/>
      <c r="EF54" s="544"/>
      <c r="EG54" s="544"/>
      <c r="EH54" s="544"/>
      <c r="EI54" s="544"/>
      <c r="EJ54" s="544"/>
      <c r="EK54" s="544"/>
      <c r="EL54" s="544"/>
      <c r="EM54" s="544"/>
      <c r="EN54" s="544"/>
      <c r="EO54" s="544"/>
      <c r="EP54" s="544"/>
      <c r="EQ54" s="544"/>
      <c r="ER54" s="544"/>
      <c r="ES54" s="544"/>
      <c r="ET54" s="544"/>
      <c r="EU54" s="544"/>
      <c r="EV54" s="544"/>
      <c r="EW54" s="544"/>
      <c r="EX54" s="544"/>
      <c r="EY54" s="544"/>
      <c r="EZ54" s="544"/>
      <c r="FA54" s="544"/>
      <c r="FB54" s="544"/>
      <c r="FC54" s="544"/>
      <c r="FD54" s="544"/>
      <c r="FE54" s="544"/>
      <c r="FF54" s="544"/>
      <c r="FG54" s="544"/>
      <c r="FH54" s="544"/>
      <c r="FI54" s="544"/>
      <c r="FJ54" s="544"/>
      <c r="FK54" s="544"/>
      <c r="FL54" s="544"/>
      <c r="FM54" s="544"/>
      <c r="FN54" s="544"/>
      <c r="FO54" s="544"/>
      <c r="FP54" s="544"/>
      <c r="FQ54" s="544"/>
      <c r="FR54" s="544"/>
      <c r="FS54" s="544"/>
      <c r="FT54" s="544"/>
      <c r="FU54" s="544"/>
      <c r="FV54" s="544"/>
      <c r="FW54" s="544"/>
      <c r="FX54" s="544"/>
      <c r="FY54" s="544"/>
      <c r="FZ54" s="544"/>
      <c r="GA54" s="544"/>
      <c r="GB54" s="544"/>
      <c r="GC54" s="544"/>
      <c r="GD54" s="544"/>
      <c r="GE54" s="544"/>
      <c r="GF54" s="544"/>
      <c r="GG54" s="544"/>
      <c r="GH54" s="544"/>
      <c r="GI54" s="544"/>
      <c r="GJ54" s="544"/>
      <c r="GK54" s="544"/>
      <c r="GL54" s="544"/>
      <c r="GM54" s="544"/>
      <c r="GN54" s="544"/>
      <c r="GO54" s="544"/>
      <c r="GP54" s="544"/>
      <c r="GQ54" s="544"/>
      <c r="GR54" s="544"/>
      <c r="GS54" s="544"/>
      <c r="GT54" s="544"/>
      <c r="GU54" s="544"/>
      <c r="GV54" s="544"/>
      <c r="GW54" s="544"/>
      <c r="GX54" s="544"/>
      <c r="GY54" s="544"/>
      <c r="GZ54" s="544"/>
      <c r="HA54" s="544"/>
      <c r="HB54" s="544"/>
      <c r="HC54" s="544"/>
      <c r="HD54" s="544"/>
      <c r="HE54" s="544"/>
      <c r="HF54" s="544"/>
      <c r="HG54" s="544"/>
      <c r="HH54" s="544"/>
      <c r="HI54" s="544"/>
      <c r="HJ54" s="544"/>
      <c r="HK54" s="544"/>
      <c r="HL54" s="544"/>
      <c r="HM54" s="544"/>
      <c r="HN54" s="544"/>
      <c r="HO54" s="544"/>
      <c r="HP54" s="544"/>
      <c r="HQ54" s="544"/>
      <c r="HR54" s="544"/>
      <c r="HS54" s="544"/>
      <c r="HT54" s="544"/>
      <c r="HU54" s="544"/>
      <c r="HV54" s="544"/>
      <c r="HW54" s="544"/>
      <c r="HX54" s="544"/>
      <c r="HY54" s="544"/>
      <c r="HZ54" s="544"/>
      <c r="IA54" s="544"/>
      <c r="IB54" s="544"/>
      <c r="IC54" s="544"/>
      <c r="ID54" s="544"/>
      <c r="IE54" s="544"/>
      <c r="IF54" s="544"/>
      <c r="IG54" s="544"/>
      <c r="IH54" s="544"/>
      <c r="II54" s="544"/>
      <c r="IJ54" s="544"/>
      <c r="IK54" s="544"/>
      <c r="IL54" s="544"/>
      <c r="IM54" s="544"/>
      <c r="IN54" s="544"/>
      <c r="IO54" s="544"/>
      <c r="IP54" s="544"/>
      <c r="IQ54" s="544"/>
      <c r="IR54" s="544"/>
      <c r="IS54" s="544"/>
    </row>
    <row r="55" spans="1:253" ht="31" x14ac:dyDescent="0.35">
      <c r="A55" s="544"/>
      <c r="B55" s="1090" t="s">
        <v>654</v>
      </c>
      <c r="C55" s="881"/>
      <c r="E55" s="907"/>
      <c r="F55" s="908"/>
      <c r="G55" s="909"/>
      <c r="H55" s="544"/>
      <c r="I55" s="544"/>
      <c r="J55" s="544"/>
      <c r="K55" s="544"/>
      <c r="AA55" s="1089" t="s">
        <v>601</v>
      </c>
      <c r="AY55" s="544"/>
      <c r="AZ55" s="544"/>
      <c r="BA55" s="544"/>
      <c r="BB55" s="544"/>
      <c r="BC55" s="544"/>
      <c r="BD55" s="544"/>
      <c r="BE55" s="544"/>
      <c r="BF55" s="544"/>
      <c r="BG55" s="544"/>
      <c r="BH55" s="544"/>
      <c r="BI55" s="544"/>
      <c r="BJ55" s="544"/>
      <c r="BK55" s="544"/>
      <c r="BL55" s="544"/>
      <c r="BM55" s="544"/>
      <c r="BN55" s="544"/>
      <c r="BO55" s="544"/>
      <c r="BP55" s="544"/>
      <c r="BQ55" s="544"/>
      <c r="BR55" s="544"/>
      <c r="BS55" s="544"/>
      <c r="BT55" s="544"/>
      <c r="BU55" s="544"/>
      <c r="BV55" s="544"/>
      <c r="BW55" s="544"/>
      <c r="BX55" s="544"/>
      <c r="BY55" s="544"/>
      <c r="BZ55" s="544"/>
      <c r="CA55" s="544"/>
      <c r="CB55" s="544"/>
      <c r="CC55" s="544"/>
      <c r="CD55" s="544"/>
      <c r="CE55" s="544"/>
      <c r="CF55" s="544"/>
      <c r="CG55" s="544"/>
      <c r="CH55" s="544"/>
      <c r="CI55" s="544"/>
      <c r="CJ55" s="544"/>
      <c r="CK55" s="544"/>
      <c r="CL55" s="544"/>
      <c r="CM55" s="544"/>
      <c r="CN55" s="544"/>
      <c r="CO55" s="544"/>
      <c r="CP55" s="544"/>
      <c r="CQ55" s="544"/>
      <c r="CR55" s="544"/>
      <c r="CS55" s="544"/>
      <c r="CT55" s="544"/>
      <c r="CU55" s="544"/>
      <c r="CV55" s="544"/>
      <c r="CW55" s="544"/>
      <c r="CX55" s="544"/>
      <c r="CY55" s="544"/>
      <c r="CZ55" s="544"/>
      <c r="DA55" s="544"/>
      <c r="DB55" s="544"/>
      <c r="DC55" s="544"/>
      <c r="DD55" s="544"/>
      <c r="DE55" s="544"/>
      <c r="DF55" s="544"/>
      <c r="DG55" s="544"/>
      <c r="DH55" s="544"/>
      <c r="DI55" s="544"/>
      <c r="DJ55" s="544"/>
      <c r="DK55" s="544"/>
      <c r="DL55" s="544"/>
      <c r="DM55" s="544"/>
      <c r="DN55" s="544"/>
      <c r="DO55" s="544"/>
      <c r="DP55" s="544"/>
      <c r="DQ55" s="544"/>
      <c r="DR55" s="544"/>
      <c r="DS55" s="544"/>
      <c r="DT55" s="544"/>
      <c r="DU55" s="544"/>
      <c r="DV55" s="544"/>
      <c r="DW55" s="544"/>
      <c r="DX55" s="544"/>
      <c r="DY55" s="544"/>
      <c r="DZ55" s="544"/>
      <c r="EA55" s="544"/>
      <c r="EB55" s="544"/>
      <c r="EC55" s="544"/>
      <c r="ED55" s="544"/>
      <c r="EE55" s="544"/>
      <c r="EF55" s="544"/>
      <c r="EG55" s="544"/>
      <c r="EH55" s="544"/>
      <c r="EI55" s="544"/>
      <c r="EJ55" s="544"/>
      <c r="EK55" s="544"/>
      <c r="EL55" s="544"/>
      <c r="EM55" s="544"/>
      <c r="EN55" s="544"/>
      <c r="EO55" s="544"/>
      <c r="EP55" s="544"/>
      <c r="EQ55" s="544"/>
      <c r="ER55" s="544"/>
      <c r="ES55" s="544"/>
      <c r="ET55" s="544"/>
      <c r="EU55" s="544"/>
      <c r="EV55" s="544"/>
      <c r="EW55" s="544"/>
      <c r="EX55" s="544"/>
      <c r="EY55" s="544"/>
      <c r="EZ55" s="544"/>
      <c r="FA55" s="544"/>
      <c r="FB55" s="544"/>
      <c r="FC55" s="544"/>
      <c r="FD55" s="544"/>
      <c r="FE55" s="544"/>
      <c r="FF55" s="544"/>
      <c r="FG55" s="544"/>
      <c r="FH55" s="544"/>
      <c r="FI55" s="544"/>
      <c r="FJ55" s="544"/>
      <c r="FK55" s="544"/>
      <c r="FL55" s="544"/>
      <c r="FM55" s="544"/>
      <c r="FN55" s="544"/>
      <c r="FO55" s="544"/>
      <c r="FP55" s="544"/>
      <c r="FQ55" s="544"/>
      <c r="FR55" s="544"/>
      <c r="FS55" s="544"/>
      <c r="FT55" s="544"/>
      <c r="FU55" s="544"/>
      <c r="FV55" s="544"/>
      <c r="FW55" s="544"/>
      <c r="FX55" s="544"/>
      <c r="FY55" s="544"/>
      <c r="FZ55" s="544"/>
      <c r="GA55" s="544"/>
      <c r="GB55" s="544"/>
      <c r="GC55" s="544"/>
      <c r="GD55" s="544"/>
      <c r="GE55" s="544"/>
      <c r="GF55" s="544"/>
      <c r="GG55" s="544"/>
      <c r="GH55" s="544"/>
      <c r="GI55" s="544"/>
      <c r="GJ55" s="544"/>
      <c r="GK55" s="544"/>
      <c r="GL55" s="544"/>
      <c r="GM55" s="544"/>
      <c r="GN55" s="544"/>
      <c r="GO55" s="544"/>
      <c r="GP55" s="544"/>
      <c r="GQ55" s="544"/>
      <c r="GR55" s="544"/>
      <c r="GS55" s="544"/>
      <c r="GT55" s="544"/>
      <c r="GU55" s="544"/>
      <c r="GV55" s="544"/>
      <c r="GW55" s="544"/>
      <c r="GX55" s="544"/>
      <c r="GY55" s="544"/>
      <c r="GZ55" s="544"/>
      <c r="HA55" s="544"/>
      <c r="HB55" s="544"/>
      <c r="HC55" s="544"/>
      <c r="HD55" s="544"/>
      <c r="HE55" s="544"/>
      <c r="HF55" s="544"/>
      <c r="HG55" s="544"/>
      <c r="HH55" s="544"/>
      <c r="HI55" s="544"/>
      <c r="HJ55" s="544"/>
      <c r="HK55" s="544"/>
      <c r="HL55" s="544"/>
      <c r="HM55" s="544"/>
      <c r="HN55" s="544"/>
      <c r="HO55" s="544"/>
      <c r="HP55" s="544"/>
      <c r="HQ55" s="544"/>
      <c r="HR55" s="544"/>
      <c r="HS55" s="544"/>
      <c r="HT55" s="544"/>
      <c r="HU55" s="544"/>
      <c r="HV55" s="544"/>
      <c r="HW55" s="544"/>
      <c r="HX55" s="544"/>
      <c r="HY55" s="544"/>
      <c r="HZ55" s="544"/>
      <c r="IA55" s="544"/>
      <c r="IB55" s="544"/>
      <c r="IC55" s="544"/>
      <c r="ID55" s="544"/>
      <c r="IE55" s="544"/>
      <c r="IF55" s="544"/>
      <c r="IG55" s="544"/>
      <c r="IH55" s="544"/>
      <c r="II55" s="544"/>
      <c r="IJ55" s="544"/>
      <c r="IK55" s="544"/>
      <c r="IL55" s="544"/>
      <c r="IM55" s="544"/>
      <c r="IN55" s="544"/>
      <c r="IO55" s="544"/>
      <c r="IP55" s="544"/>
      <c r="IQ55" s="544"/>
      <c r="IR55" s="544"/>
      <c r="IS55" s="544"/>
    </row>
    <row r="56" spans="1:253" s="544" customFormat="1" ht="17.149999999999999" customHeight="1" x14ac:dyDescent="0.35">
      <c r="B56" s="572"/>
      <c r="C56" s="572"/>
      <c r="AA56" s="1089"/>
    </row>
    <row r="57" spans="1:253" s="544" customFormat="1" ht="17.149999999999999" customHeight="1" x14ac:dyDescent="0.35">
      <c r="B57" s="572"/>
      <c r="C57" s="572"/>
    </row>
    <row r="58" spans="1:253" s="544" customFormat="1" ht="17.149999999999999" customHeight="1" x14ac:dyDescent="0.35">
      <c r="B58" s="695" t="s">
        <v>44</v>
      </c>
      <c r="C58" s="696"/>
      <c r="D58" s="697"/>
      <c r="E58" s="697"/>
      <c r="F58" s="697"/>
      <c r="G58" s="697"/>
      <c r="H58" s="697"/>
      <c r="I58" s="697"/>
    </row>
    <row r="59" spans="1:253" s="544" customFormat="1" ht="17.149999999999999" customHeight="1" x14ac:dyDescent="0.35">
      <c r="B59" s="572"/>
      <c r="C59" s="572"/>
    </row>
    <row r="60" spans="1:253" s="544" customFormat="1" ht="17.149999999999999" customHeight="1" x14ac:dyDescent="0.35">
      <c r="B60" s="592" t="s">
        <v>663</v>
      </c>
      <c r="C60" s="1091"/>
      <c r="D60" s="661"/>
    </row>
    <row r="61" spans="1:253" ht="28" customHeight="1" x14ac:dyDescent="0.35">
      <c r="A61" s="544"/>
      <c r="B61" s="1484" t="s">
        <v>594</v>
      </c>
      <c r="C61" s="684" t="s">
        <v>374</v>
      </c>
      <c r="E61" s="667" t="s">
        <v>521</v>
      </c>
      <c r="F61" s="1480"/>
      <c r="G61" s="1481"/>
      <c r="H61" s="1474" t="s">
        <v>656</v>
      </c>
      <c r="I61" s="1474" t="s">
        <v>645</v>
      </c>
      <c r="J61" s="544"/>
      <c r="K61" s="544"/>
      <c r="AY61" s="544"/>
      <c r="AZ61" s="544"/>
      <c r="BA61" s="544"/>
      <c r="BB61" s="544"/>
      <c r="BC61" s="544"/>
      <c r="BD61" s="544"/>
      <c r="BE61" s="544"/>
      <c r="BF61" s="544"/>
      <c r="BG61" s="544"/>
      <c r="BH61" s="544"/>
      <c r="BI61" s="544"/>
      <c r="BJ61" s="544"/>
      <c r="BK61" s="544"/>
      <c r="BL61" s="544"/>
      <c r="BM61" s="544"/>
      <c r="BN61" s="544"/>
      <c r="BO61" s="544"/>
      <c r="BP61" s="544"/>
      <c r="BQ61" s="544"/>
      <c r="BR61" s="544"/>
      <c r="BS61" s="544"/>
      <c r="BT61" s="544"/>
      <c r="BU61" s="544"/>
      <c r="BV61" s="544"/>
      <c r="BW61" s="544"/>
      <c r="BX61" s="544"/>
      <c r="BY61" s="544"/>
      <c r="BZ61" s="544"/>
      <c r="CA61" s="544"/>
      <c r="CB61" s="544"/>
      <c r="CC61" s="544"/>
      <c r="CD61" s="544"/>
      <c r="CE61" s="544"/>
      <c r="CF61" s="544"/>
      <c r="CG61" s="544"/>
      <c r="CH61" s="544"/>
      <c r="CI61" s="544"/>
      <c r="CJ61" s="544"/>
      <c r="CK61" s="544"/>
      <c r="CL61" s="544"/>
      <c r="CM61" s="544"/>
      <c r="CN61" s="544"/>
      <c r="CO61" s="544"/>
      <c r="CP61" s="544"/>
      <c r="CQ61" s="544"/>
      <c r="CR61" s="544"/>
      <c r="CS61" s="544"/>
      <c r="CT61" s="544"/>
      <c r="CU61" s="544"/>
      <c r="CV61" s="544"/>
      <c r="CW61" s="544"/>
      <c r="CX61" s="544"/>
      <c r="CY61" s="544"/>
      <c r="CZ61" s="544"/>
      <c r="DA61" s="544"/>
      <c r="DB61" s="544"/>
      <c r="DC61" s="544"/>
      <c r="DD61" s="544"/>
      <c r="DE61" s="544"/>
      <c r="DF61" s="544"/>
      <c r="DG61" s="544"/>
      <c r="DH61" s="544"/>
      <c r="DI61" s="544"/>
      <c r="DJ61" s="544"/>
      <c r="DK61" s="544"/>
      <c r="DL61" s="544"/>
      <c r="DM61" s="544"/>
      <c r="DN61" s="544"/>
      <c r="DO61" s="544"/>
      <c r="DP61" s="544"/>
      <c r="DQ61" s="544"/>
      <c r="DR61" s="544"/>
      <c r="DS61" s="544"/>
      <c r="DT61" s="544"/>
      <c r="DU61" s="544"/>
      <c r="DV61" s="544"/>
      <c r="DW61" s="544"/>
      <c r="DX61" s="544"/>
      <c r="DY61" s="544"/>
      <c r="DZ61" s="544"/>
      <c r="EA61" s="544"/>
      <c r="EB61" s="544"/>
      <c r="EC61" s="544"/>
      <c r="ED61" s="544"/>
      <c r="EE61" s="544"/>
      <c r="EF61" s="544"/>
      <c r="EG61" s="544"/>
      <c r="EH61" s="544"/>
      <c r="EI61" s="544"/>
      <c r="EJ61" s="544"/>
      <c r="EK61" s="544"/>
      <c r="EL61" s="544"/>
      <c r="EM61" s="544"/>
      <c r="EN61" s="544"/>
      <c r="EO61" s="544"/>
      <c r="EP61" s="544"/>
      <c r="EQ61" s="544"/>
      <c r="ER61" s="544"/>
      <c r="ES61" s="544"/>
      <c r="ET61" s="544"/>
      <c r="EU61" s="544"/>
      <c r="EV61" s="544"/>
      <c r="EW61" s="544"/>
      <c r="EX61" s="544"/>
      <c r="EY61" s="544"/>
      <c r="EZ61" s="544"/>
      <c r="FA61" s="544"/>
      <c r="FB61" s="544"/>
      <c r="FC61" s="544"/>
      <c r="FD61" s="544"/>
      <c r="FE61" s="544"/>
      <c r="FF61" s="544"/>
      <c r="FG61" s="544"/>
      <c r="FH61" s="544"/>
      <c r="FI61" s="544"/>
      <c r="FJ61" s="544"/>
      <c r="FK61" s="544"/>
      <c r="FL61" s="544"/>
      <c r="FM61" s="544"/>
      <c r="FN61" s="544"/>
      <c r="FO61" s="544"/>
      <c r="FP61" s="544"/>
      <c r="FQ61" s="544"/>
      <c r="FR61" s="544"/>
      <c r="FS61" s="544"/>
      <c r="FT61" s="544"/>
      <c r="FU61" s="544"/>
      <c r="FV61" s="544"/>
      <c r="FW61" s="544"/>
      <c r="FX61" s="544"/>
      <c r="FY61" s="544"/>
      <c r="FZ61" s="544"/>
      <c r="GA61" s="544"/>
      <c r="GB61" s="544"/>
      <c r="GC61" s="544"/>
      <c r="GD61" s="544"/>
      <c r="GE61" s="544"/>
      <c r="GF61" s="544"/>
      <c r="GG61" s="544"/>
      <c r="GH61" s="544"/>
      <c r="GI61" s="544"/>
      <c r="GJ61" s="544"/>
      <c r="GK61" s="544"/>
      <c r="GL61" s="544"/>
      <c r="GM61" s="544"/>
      <c r="GN61" s="544"/>
      <c r="GO61" s="544"/>
      <c r="GP61" s="544"/>
      <c r="GQ61" s="544"/>
      <c r="GR61" s="544"/>
      <c r="GS61" s="544"/>
      <c r="GT61" s="544"/>
      <c r="GU61" s="544"/>
      <c r="GV61" s="544"/>
      <c r="GW61" s="544"/>
      <c r="GX61" s="544"/>
      <c r="GY61" s="544"/>
      <c r="GZ61" s="544"/>
      <c r="HA61" s="544"/>
      <c r="HB61" s="544"/>
      <c r="HC61" s="544"/>
      <c r="HD61" s="544"/>
      <c r="HE61" s="544"/>
      <c r="HF61" s="544"/>
      <c r="HG61" s="544"/>
      <c r="HH61" s="544"/>
      <c r="HI61" s="544"/>
      <c r="HJ61" s="544"/>
      <c r="HK61" s="544"/>
      <c r="HL61" s="544"/>
      <c r="HM61" s="544"/>
      <c r="HN61" s="544"/>
      <c r="HO61" s="544"/>
      <c r="HP61" s="544"/>
      <c r="HQ61" s="544"/>
      <c r="HR61" s="544"/>
      <c r="HS61" s="544"/>
      <c r="HT61" s="544"/>
      <c r="HU61" s="544"/>
      <c r="HV61" s="544"/>
      <c r="HW61" s="544"/>
      <c r="HX61" s="544"/>
      <c r="HY61" s="544"/>
      <c r="HZ61" s="544"/>
      <c r="IA61" s="544"/>
      <c r="IB61" s="544"/>
      <c r="IC61" s="544"/>
      <c r="ID61" s="544"/>
      <c r="IE61" s="544"/>
      <c r="IF61" s="544"/>
      <c r="IG61" s="544"/>
      <c r="IH61" s="544"/>
      <c r="II61" s="544"/>
      <c r="IJ61" s="544"/>
      <c r="IK61" s="544"/>
      <c r="IL61" s="544"/>
      <c r="IM61" s="544"/>
      <c r="IN61" s="544"/>
      <c r="IO61" s="544"/>
      <c r="IP61" s="544"/>
      <c r="IQ61" s="544"/>
      <c r="IR61" s="544"/>
      <c r="IS61" s="544"/>
    </row>
    <row r="62" spans="1:253" ht="28" customHeight="1" x14ac:dyDescent="0.35">
      <c r="A62" s="544"/>
      <c r="B62" s="600" t="s">
        <v>646</v>
      </c>
      <c r="C62" s="881">
        <v>1</v>
      </c>
      <c r="E62" s="544"/>
      <c r="F62" s="544"/>
      <c r="G62" s="544"/>
      <c r="H62" s="544"/>
      <c r="I62" s="544"/>
      <c r="J62" s="544"/>
      <c r="K62" s="544"/>
      <c r="AY62" s="544"/>
      <c r="AZ62" s="544"/>
      <c r="BA62" s="544"/>
      <c r="BB62" s="544"/>
      <c r="BC62" s="544"/>
      <c r="BD62" s="544"/>
      <c r="BE62" s="544"/>
      <c r="BF62" s="544"/>
      <c r="BG62" s="544"/>
      <c r="BH62" s="544"/>
      <c r="BI62" s="544"/>
      <c r="BJ62" s="544"/>
      <c r="BK62" s="544"/>
      <c r="BL62" s="544"/>
      <c r="BM62" s="544"/>
      <c r="BN62" s="544"/>
      <c r="BO62" s="544"/>
      <c r="BP62" s="544"/>
      <c r="BQ62" s="544"/>
      <c r="BR62" s="544"/>
      <c r="BS62" s="544"/>
      <c r="BT62" s="544"/>
      <c r="BU62" s="544"/>
      <c r="BV62" s="544"/>
      <c r="BW62" s="544"/>
      <c r="BX62" s="544"/>
      <c r="BY62" s="544"/>
      <c r="BZ62" s="544"/>
      <c r="CA62" s="544"/>
      <c r="CB62" s="544"/>
      <c r="CC62" s="544"/>
      <c r="CD62" s="544"/>
      <c r="CE62" s="544"/>
      <c r="CF62" s="544"/>
      <c r="CG62" s="544"/>
      <c r="CH62" s="544"/>
      <c r="CI62" s="544"/>
      <c r="CJ62" s="544"/>
      <c r="CK62" s="544"/>
      <c r="CL62" s="544"/>
      <c r="CM62" s="544"/>
      <c r="CN62" s="544"/>
      <c r="CO62" s="544"/>
      <c r="CP62" s="544"/>
      <c r="CQ62" s="544"/>
      <c r="CR62" s="544"/>
      <c r="CS62" s="544"/>
      <c r="CT62" s="544"/>
      <c r="CU62" s="544"/>
      <c r="CV62" s="544"/>
      <c r="CW62" s="544"/>
      <c r="CX62" s="544"/>
      <c r="CY62" s="544"/>
      <c r="CZ62" s="544"/>
      <c r="DA62" s="544"/>
      <c r="DB62" s="544"/>
      <c r="DC62" s="544"/>
      <c r="DD62" s="544"/>
      <c r="DE62" s="544"/>
      <c r="DF62" s="544"/>
      <c r="DG62" s="544"/>
      <c r="DH62" s="544"/>
      <c r="DI62" s="544"/>
      <c r="DJ62" s="544"/>
      <c r="DK62" s="544"/>
      <c r="DL62" s="544"/>
      <c r="DM62" s="544"/>
      <c r="DN62" s="544"/>
      <c r="DO62" s="544"/>
      <c r="DP62" s="544"/>
      <c r="DQ62" s="544"/>
      <c r="DR62" s="544"/>
      <c r="DS62" s="544"/>
      <c r="DT62" s="544"/>
      <c r="DU62" s="544"/>
      <c r="DV62" s="544"/>
      <c r="DW62" s="544"/>
      <c r="DX62" s="544"/>
      <c r="DY62" s="544"/>
      <c r="DZ62" s="544"/>
      <c r="EA62" s="544"/>
      <c r="EB62" s="544"/>
      <c r="EC62" s="544"/>
      <c r="ED62" s="544"/>
      <c r="EE62" s="544"/>
      <c r="EF62" s="544"/>
      <c r="EG62" s="544"/>
      <c r="EH62" s="544"/>
      <c r="EI62" s="544"/>
      <c r="EJ62" s="544"/>
      <c r="EK62" s="544"/>
      <c r="EL62" s="544"/>
      <c r="EM62" s="544"/>
      <c r="EN62" s="544"/>
      <c r="EO62" s="544"/>
      <c r="EP62" s="544"/>
      <c r="EQ62" s="544"/>
      <c r="ER62" s="544"/>
      <c r="ES62" s="544"/>
      <c r="ET62" s="544"/>
      <c r="EU62" s="544"/>
      <c r="EV62" s="544"/>
      <c r="EW62" s="544"/>
      <c r="EX62" s="544"/>
      <c r="EY62" s="544"/>
      <c r="EZ62" s="544"/>
      <c r="FA62" s="544"/>
      <c r="FB62" s="544"/>
      <c r="FC62" s="544"/>
      <c r="FD62" s="544"/>
      <c r="FE62" s="544"/>
      <c r="FF62" s="544"/>
      <c r="FG62" s="544"/>
      <c r="FH62" s="544"/>
      <c r="FI62" s="544"/>
      <c r="FJ62" s="544"/>
      <c r="FK62" s="544"/>
      <c r="FL62" s="544"/>
      <c r="FM62" s="544"/>
      <c r="FN62" s="544"/>
      <c r="FO62" s="544"/>
      <c r="FP62" s="544"/>
      <c r="FQ62" s="544"/>
      <c r="FR62" s="544"/>
      <c r="FS62" s="544"/>
      <c r="FT62" s="544"/>
      <c r="FU62" s="544"/>
      <c r="FV62" s="544"/>
      <c r="FW62" s="544"/>
      <c r="FX62" s="544"/>
      <c r="FY62" s="544"/>
      <c r="FZ62" s="544"/>
      <c r="GA62" s="544"/>
      <c r="GB62" s="544"/>
      <c r="GC62" s="544"/>
      <c r="GD62" s="544"/>
      <c r="GE62" s="544"/>
      <c r="GF62" s="544"/>
      <c r="GG62" s="544"/>
      <c r="GH62" s="544"/>
      <c r="GI62" s="544"/>
      <c r="GJ62" s="544"/>
      <c r="GK62" s="544"/>
      <c r="GL62" s="544"/>
      <c r="GM62" s="544"/>
      <c r="GN62" s="544"/>
      <c r="GO62" s="544"/>
      <c r="GP62" s="544"/>
      <c r="GQ62" s="544"/>
      <c r="GR62" s="544"/>
      <c r="GS62" s="544"/>
      <c r="GT62" s="544"/>
      <c r="GU62" s="544"/>
      <c r="GV62" s="544"/>
      <c r="GW62" s="544"/>
      <c r="GX62" s="544"/>
      <c r="GY62" s="544"/>
      <c r="GZ62" s="544"/>
      <c r="HA62" s="544"/>
      <c r="HB62" s="544"/>
      <c r="HC62" s="544"/>
      <c r="HD62" s="544"/>
      <c r="HE62" s="544"/>
      <c r="HF62" s="544"/>
      <c r="HG62" s="544"/>
      <c r="HH62" s="544"/>
      <c r="HI62" s="544"/>
      <c r="HJ62" s="544"/>
      <c r="HK62" s="544"/>
      <c r="HL62" s="544"/>
      <c r="HM62" s="544"/>
      <c r="HN62" s="544"/>
      <c r="HO62" s="544"/>
      <c r="HP62" s="544"/>
      <c r="HQ62" s="544"/>
      <c r="HR62" s="544"/>
      <c r="HS62" s="544"/>
      <c r="HT62" s="544"/>
      <c r="HU62" s="544"/>
      <c r="HV62" s="544"/>
      <c r="HW62" s="544"/>
      <c r="HX62" s="544"/>
      <c r="HY62" s="544"/>
      <c r="HZ62" s="544"/>
      <c r="IA62" s="544"/>
      <c r="IB62" s="544"/>
      <c r="IC62" s="544"/>
      <c r="ID62" s="544"/>
      <c r="IE62" s="544"/>
      <c r="IF62" s="544"/>
      <c r="IG62" s="544"/>
      <c r="IH62" s="544"/>
      <c r="II62" s="544"/>
      <c r="IJ62" s="544"/>
      <c r="IK62" s="544"/>
      <c r="IL62" s="544"/>
      <c r="IM62" s="544"/>
      <c r="IN62" s="544"/>
      <c r="IO62" s="544"/>
      <c r="IP62" s="544"/>
      <c r="IQ62" s="544"/>
      <c r="IR62" s="544"/>
      <c r="IS62" s="544"/>
    </row>
    <row r="63" spans="1:253" ht="31" x14ac:dyDescent="0.35">
      <c r="A63" s="544"/>
      <c r="B63" s="1090" t="s">
        <v>661</v>
      </c>
      <c r="C63" s="881"/>
      <c r="E63" s="907"/>
      <c r="F63" s="908"/>
      <c r="G63" s="909"/>
      <c r="H63" s="913"/>
      <c r="I63" s="913"/>
      <c r="J63" s="917" t="s">
        <v>648</v>
      </c>
      <c r="K63" s="544"/>
      <c r="AA63" s="1089" t="s">
        <v>601</v>
      </c>
      <c r="AY63" s="544"/>
      <c r="AZ63" s="544"/>
      <c r="BA63" s="544"/>
      <c r="BB63" s="544"/>
      <c r="BC63" s="544"/>
      <c r="BD63" s="544"/>
      <c r="BE63" s="544"/>
      <c r="BF63" s="544"/>
      <c r="BG63" s="544"/>
      <c r="BH63" s="544"/>
      <c r="BI63" s="544"/>
      <c r="BJ63" s="544"/>
      <c r="BK63" s="544"/>
      <c r="BL63" s="544"/>
      <c r="BM63" s="544"/>
      <c r="BN63" s="544"/>
      <c r="BO63" s="544"/>
      <c r="BP63" s="544"/>
      <c r="BQ63" s="544"/>
      <c r="BR63" s="544"/>
      <c r="BS63" s="544"/>
      <c r="BT63" s="544"/>
      <c r="BU63" s="544"/>
      <c r="BV63" s="544"/>
      <c r="BW63" s="544"/>
      <c r="BX63" s="544"/>
      <c r="BY63" s="544"/>
      <c r="BZ63" s="544"/>
      <c r="CA63" s="544"/>
      <c r="CB63" s="544"/>
      <c r="CC63" s="544"/>
      <c r="CD63" s="544"/>
      <c r="CE63" s="544"/>
      <c r="CF63" s="544"/>
      <c r="CG63" s="544"/>
      <c r="CH63" s="544"/>
      <c r="CI63" s="544"/>
      <c r="CJ63" s="544"/>
      <c r="CK63" s="544"/>
      <c r="CL63" s="544"/>
      <c r="CM63" s="544"/>
      <c r="CN63" s="544"/>
      <c r="CO63" s="544"/>
      <c r="CP63" s="544"/>
      <c r="CQ63" s="544"/>
      <c r="CR63" s="544"/>
      <c r="CS63" s="544"/>
      <c r="CT63" s="544"/>
      <c r="CU63" s="544"/>
      <c r="CV63" s="544"/>
      <c r="CW63" s="544"/>
      <c r="CX63" s="544"/>
      <c r="CY63" s="544"/>
      <c r="CZ63" s="544"/>
      <c r="DA63" s="544"/>
      <c r="DB63" s="544"/>
      <c r="DC63" s="544"/>
      <c r="DD63" s="544"/>
      <c r="DE63" s="544"/>
      <c r="DF63" s="544"/>
      <c r="DG63" s="544"/>
      <c r="DH63" s="544"/>
      <c r="DI63" s="544"/>
      <c r="DJ63" s="544"/>
      <c r="DK63" s="544"/>
      <c r="DL63" s="544"/>
      <c r="DM63" s="544"/>
      <c r="DN63" s="544"/>
      <c r="DO63" s="544"/>
      <c r="DP63" s="544"/>
      <c r="DQ63" s="544"/>
      <c r="DR63" s="544"/>
      <c r="DS63" s="544"/>
      <c r="DT63" s="544"/>
      <c r="DU63" s="544"/>
      <c r="DV63" s="544"/>
      <c r="DW63" s="544"/>
      <c r="DX63" s="544"/>
      <c r="DY63" s="544"/>
      <c r="DZ63" s="544"/>
      <c r="EA63" s="544"/>
      <c r="EB63" s="544"/>
      <c r="EC63" s="544"/>
      <c r="ED63" s="544"/>
      <c r="EE63" s="544"/>
      <c r="EF63" s="544"/>
      <c r="EG63" s="544"/>
      <c r="EH63" s="544"/>
      <c r="EI63" s="544"/>
      <c r="EJ63" s="544"/>
      <c r="EK63" s="544"/>
      <c r="EL63" s="544"/>
      <c r="EM63" s="544"/>
      <c r="EN63" s="544"/>
      <c r="EO63" s="544"/>
      <c r="EP63" s="544"/>
      <c r="EQ63" s="544"/>
      <c r="ER63" s="544"/>
      <c r="ES63" s="544"/>
      <c r="ET63" s="544"/>
      <c r="EU63" s="544"/>
      <c r="EV63" s="544"/>
      <c r="EW63" s="544"/>
      <c r="EX63" s="544"/>
      <c r="EY63" s="544"/>
      <c r="EZ63" s="544"/>
      <c r="FA63" s="544"/>
      <c r="FB63" s="544"/>
      <c r="FC63" s="544"/>
      <c r="FD63" s="544"/>
      <c r="FE63" s="544"/>
      <c r="FF63" s="544"/>
      <c r="FG63" s="544"/>
      <c r="FH63" s="544"/>
      <c r="FI63" s="544"/>
      <c r="FJ63" s="544"/>
      <c r="FK63" s="544"/>
      <c r="FL63" s="544"/>
      <c r="FM63" s="544"/>
      <c r="FN63" s="544"/>
      <c r="FO63" s="544"/>
      <c r="FP63" s="544"/>
      <c r="FQ63" s="544"/>
      <c r="FR63" s="544"/>
      <c r="FS63" s="544"/>
      <c r="FT63" s="544"/>
      <c r="FU63" s="544"/>
      <c r="FV63" s="544"/>
      <c r="FW63" s="544"/>
      <c r="FX63" s="544"/>
      <c r="FY63" s="544"/>
      <c r="FZ63" s="544"/>
      <c r="GA63" s="544"/>
      <c r="GB63" s="544"/>
      <c r="GC63" s="544"/>
      <c r="GD63" s="544"/>
      <c r="GE63" s="544"/>
      <c r="GF63" s="544"/>
      <c r="GG63" s="544"/>
      <c r="GH63" s="544"/>
      <c r="GI63" s="544"/>
      <c r="GJ63" s="544"/>
      <c r="GK63" s="544"/>
      <c r="GL63" s="544"/>
      <c r="GM63" s="544"/>
      <c r="GN63" s="544"/>
      <c r="GO63" s="544"/>
      <c r="GP63" s="544"/>
      <c r="GQ63" s="544"/>
      <c r="GR63" s="544"/>
      <c r="GS63" s="544"/>
      <c r="GT63" s="544"/>
      <c r="GU63" s="544"/>
      <c r="GV63" s="544"/>
      <c r="GW63" s="544"/>
      <c r="GX63" s="544"/>
      <c r="GY63" s="544"/>
      <c r="GZ63" s="544"/>
      <c r="HA63" s="544"/>
      <c r="HB63" s="544"/>
      <c r="HC63" s="544"/>
      <c r="HD63" s="544"/>
      <c r="HE63" s="544"/>
      <c r="HF63" s="544"/>
      <c r="HG63" s="544"/>
      <c r="HH63" s="544"/>
      <c r="HI63" s="544"/>
      <c r="HJ63" s="544"/>
      <c r="HK63" s="544"/>
      <c r="HL63" s="544"/>
      <c r="HM63" s="544"/>
      <c r="HN63" s="544"/>
      <c r="HO63" s="544"/>
      <c r="HP63" s="544"/>
      <c r="HQ63" s="544"/>
      <c r="HR63" s="544"/>
      <c r="HS63" s="544"/>
      <c r="HT63" s="544"/>
      <c r="HU63" s="544"/>
      <c r="HV63" s="544"/>
      <c r="HW63" s="544"/>
      <c r="HX63" s="544"/>
      <c r="HY63" s="544"/>
      <c r="HZ63" s="544"/>
      <c r="IA63" s="544"/>
      <c r="IB63" s="544"/>
      <c r="IC63" s="544"/>
      <c r="ID63" s="544"/>
      <c r="IE63" s="544"/>
      <c r="IF63" s="544"/>
      <c r="IG63" s="544"/>
      <c r="IH63" s="544"/>
      <c r="II63" s="544"/>
      <c r="IJ63" s="544"/>
      <c r="IK63" s="544"/>
      <c r="IL63" s="544"/>
      <c r="IM63" s="544"/>
      <c r="IN63" s="544"/>
      <c r="IO63" s="544"/>
      <c r="IP63" s="544"/>
      <c r="IQ63" s="544"/>
      <c r="IR63" s="544"/>
      <c r="IS63" s="544"/>
    </row>
    <row r="64" spans="1:253" ht="31" x14ac:dyDescent="0.35">
      <c r="A64" s="544"/>
      <c r="B64" s="1090" t="s">
        <v>649</v>
      </c>
      <c r="C64" s="881"/>
      <c r="E64" s="907"/>
      <c r="F64" s="908"/>
      <c r="G64" s="909"/>
      <c r="H64" s="913"/>
      <c r="I64" s="913"/>
      <c r="J64" s="544"/>
      <c r="K64" s="544"/>
      <c r="AA64" s="1089" t="s">
        <v>601</v>
      </c>
      <c r="AY64" s="544"/>
      <c r="AZ64" s="544"/>
      <c r="BA64" s="544"/>
      <c r="BB64" s="544"/>
      <c r="BC64" s="544"/>
      <c r="BD64" s="544"/>
      <c r="BE64" s="544"/>
      <c r="BF64" s="544"/>
      <c r="BG64" s="544"/>
      <c r="BH64" s="544"/>
      <c r="BI64" s="544"/>
      <c r="BJ64" s="544"/>
      <c r="BK64" s="544"/>
      <c r="BL64" s="544"/>
      <c r="BM64" s="544"/>
      <c r="BN64" s="544"/>
      <c r="BO64" s="544"/>
      <c r="BP64" s="544"/>
      <c r="BQ64" s="544"/>
      <c r="BR64" s="544"/>
      <c r="BS64" s="544"/>
      <c r="BT64" s="544"/>
      <c r="BU64" s="544"/>
      <c r="BV64" s="544"/>
      <c r="BW64" s="544"/>
      <c r="BX64" s="544"/>
      <c r="BY64" s="544"/>
      <c r="BZ64" s="544"/>
      <c r="CA64" s="544"/>
      <c r="CB64" s="544"/>
      <c r="CC64" s="544"/>
      <c r="CD64" s="544"/>
      <c r="CE64" s="544"/>
      <c r="CF64" s="544"/>
      <c r="CG64" s="544"/>
      <c r="CH64" s="544"/>
      <c r="CI64" s="544"/>
      <c r="CJ64" s="544"/>
      <c r="CK64" s="544"/>
      <c r="CL64" s="544"/>
      <c r="CM64" s="544"/>
      <c r="CN64" s="544"/>
      <c r="CO64" s="544"/>
      <c r="CP64" s="544"/>
      <c r="CQ64" s="544"/>
      <c r="CR64" s="544"/>
      <c r="CS64" s="544"/>
      <c r="CT64" s="544"/>
      <c r="CU64" s="544"/>
      <c r="CV64" s="544"/>
      <c r="CW64" s="544"/>
      <c r="CX64" s="544"/>
      <c r="CY64" s="544"/>
      <c r="CZ64" s="544"/>
      <c r="DA64" s="544"/>
      <c r="DB64" s="544"/>
      <c r="DC64" s="544"/>
      <c r="DD64" s="544"/>
      <c r="DE64" s="544"/>
      <c r="DF64" s="544"/>
      <c r="DG64" s="544"/>
      <c r="DH64" s="544"/>
      <c r="DI64" s="544"/>
      <c r="DJ64" s="544"/>
      <c r="DK64" s="544"/>
      <c r="DL64" s="544"/>
      <c r="DM64" s="544"/>
      <c r="DN64" s="544"/>
      <c r="DO64" s="544"/>
      <c r="DP64" s="544"/>
      <c r="DQ64" s="544"/>
      <c r="DR64" s="544"/>
      <c r="DS64" s="544"/>
      <c r="DT64" s="544"/>
      <c r="DU64" s="544"/>
      <c r="DV64" s="544"/>
      <c r="DW64" s="544"/>
      <c r="DX64" s="544"/>
      <c r="DY64" s="544"/>
      <c r="DZ64" s="544"/>
      <c r="EA64" s="544"/>
      <c r="EB64" s="544"/>
      <c r="EC64" s="544"/>
      <c r="ED64" s="544"/>
      <c r="EE64" s="544"/>
      <c r="EF64" s="544"/>
      <c r="EG64" s="544"/>
      <c r="EH64" s="544"/>
      <c r="EI64" s="544"/>
      <c r="EJ64" s="544"/>
      <c r="EK64" s="544"/>
      <c r="EL64" s="544"/>
      <c r="EM64" s="544"/>
      <c r="EN64" s="544"/>
      <c r="EO64" s="544"/>
      <c r="EP64" s="544"/>
      <c r="EQ64" s="544"/>
      <c r="ER64" s="544"/>
      <c r="ES64" s="544"/>
      <c r="ET64" s="544"/>
      <c r="EU64" s="544"/>
      <c r="EV64" s="544"/>
      <c r="EW64" s="544"/>
      <c r="EX64" s="544"/>
      <c r="EY64" s="544"/>
      <c r="EZ64" s="544"/>
      <c r="FA64" s="544"/>
      <c r="FB64" s="544"/>
      <c r="FC64" s="544"/>
      <c r="FD64" s="544"/>
      <c r="FE64" s="544"/>
      <c r="FF64" s="544"/>
      <c r="FG64" s="544"/>
      <c r="FH64" s="544"/>
      <c r="FI64" s="544"/>
      <c r="FJ64" s="544"/>
      <c r="FK64" s="544"/>
      <c r="FL64" s="544"/>
      <c r="FM64" s="544"/>
      <c r="FN64" s="544"/>
      <c r="FO64" s="544"/>
      <c r="FP64" s="544"/>
      <c r="FQ64" s="544"/>
      <c r="FR64" s="544"/>
      <c r="FS64" s="544"/>
      <c r="FT64" s="544"/>
      <c r="FU64" s="544"/>
      <c r="FV64" s="544"/>
      <c r="FW64" s="544"/>
      <c r="FX64" s="544"/>
      <c r="FY64" s="544"/>
      <c r="FZ64" s="544"/>
      <c r="GA64" s="544"/>
      <c r="GB64" s="544"/>
      <c r="GC64" s="544"/>
      <c r="GD64" s="544"/>
      <c r="GE64" s="544"/>
      <c r="GF64" s="544"/>
      <c r="GG64" s="544"/>
      <c r="GH64" s="544"/>
      <c r="GI64" s="544"/>
      <c r="GJ64" s="544"/>
      <c r="GK64" s="544"/>
      <c r="GL64" s="544"/>
      <c r="GM64" s="544"/>
      <c r="GN64" s="544"/>
      <c r="GO64" s="544"/>
      <c r="GP64" s="544"/>
      <c r="GQ64" s="544"/>
      <c r="GR64" s="544"/>
      <c r="GS64" s="544"/>
      <c r="GT64" s="544"/>
      <c r="GU64" s="544"/>
      <c r="GV64" s="544"/>
      <c r="GW64" s="544"/>
      <c r="GX64" s="544"/>
      <c r="GY64" s="544"/>
      <c r="GZ64" s="544"/>
      <c r="HA64" s="544"/>
      <c r="HB64" s="544"/>
      <c r="HC64" s="544"/>
      <c r="HD64" s="544"/>
      <c r="HE64" s="544"/>
      <c r="HF64" s="544"/>
      <c r="HG64" s="544"/>
      <c r="HH64" s="544"/>
      <c r="HI64" s="544"/>
      <c r="HJ64" s="544"/>
      <c r="HK64" s="544"/>
      <c r="HL64" s="544"/>
      <c r="HM64" s="544"/>
      <c r="HN64" s="544"/>
      <c r="HO64" s="544"/>
      <c r="HP64" s="544"/>
      <c r="HQ64" s="544"/>
      <c r="HR64" s="544"/>
      <c r="HS64" s="544"/>
      <c r="HT64" s="544"/>
      <c r="HU64" s="544"/>
      <c r="HV64" s="544"/>
      <c r="HW64" s="544"/>
      <c r="HX64" s="544"/>
      <c r="HY64" s="544"/>
      <c r="HZ64" s="544"/>
      <c r="IA64" s="544"/>
      <c r="IB64" s="544"/>
      <c r="IC64" s="544"/>
      <c r="ID64" s="544"/>
      <c r="IE64" s="544"/>
      <c r="IF64" s="544"/>
      <c r="IG64" s="544"/>
      <c r="IH64" s="544"/>
      <c r="II64" s="544"/>
      <c r="IJ64" s="544"/>
      <c r="IK64" s="544"/>
      <c r="IL64" s="544"/>
      <c r="IM64" s="544"/>
      <c r="IN64" s="544"/>
      <c r="IO64" s="544"/>
      <c r="IP64" s="544"/>
      <c r="IQ64" s="544"/>
      <c r="IR64" s="544"/>
      <c r="IS64" s="544"/>
    </row>
    <row r="65" spans="1:253" ht="31" x14ac:dyDescent="0.35">
      <c r="A65" s="544"/>
      <c r="B65" s="1090" t="s">
        <v>658</v>
      </c>
      <c r="C65" s="881"/>
      <c r="E65" s="907"/>
      <c r="F65" s="908"/>
      <c r="G65" s="909"/>
      <c r="H65" s="544"/>
      <c r="I65" s="544"/>
      <c r="J65" s="544"/>
      <c r="K65" s="544"/>
      <c r="AA65" s="1089" t="s">
        <v>601</v>
      </c>
      <c r="AY65" s="544"/>
      <c r="AZ65" s="544"/>
      <c r="BA65" s="544"/>
      <c r="BB65" s="544"/>
      <c r="BC65" s="544"/>
      <c r="BD65" s="544"/>
      <c r="BE65" s="544"/>
      <c r="BF65" s="544"/>
      <c r="BG65" s="544"/>
      <c r="BH65" s="544"/>
      <c r="BI65" s="544"/>
      <c r="BJ65" s="544"/>
      <c r="BK65" s="544"/>
      <c r="BL65" s="544"/>
      <c r="BM65" s="544"/>
      <c r="BN65" s="544"/>
      <c r="BO65" s="544"/>
      <c r="BP65" s="544"/>
      <c r="BQ65" s="544"/>
      <c r="BR65" s="544"/>
      <c r="BS65" s="544"/>
      <c r="BT65" s="544"/>
      <c r="BU65" s="544"/>
      <c r="BV65" s="544"/>
      <c r="BW65" s="544"/>
      <c r="BX65" s="544"/>
      <c r="BY65" s="544"/>
      <c r="BZ65" s="544"/>
      <c r="CA65" s="544"/>
      <c r="CB65" s="544"/>
      <c r="CC65" s="544"/>
      <c r="CD65" s="544"/>
      <c r="CE65" s="544"/>
      <c r="CF65" s="544"/>
      <c r="CG65" s="544"/>
      <c r="CH65" s="544"/>
      <c r="CI65" s="544"/>
      <c r="CJ65" s="544"/>
      <c r="CK65" s="544"/>
      <c r="CL65" s="544"/>
      <c r="CM65" s="544"/>
      <c r="CN65" s="544"/>
      <c r="CO65" s="544"/>
      <c r="CP65" s="544"/>
      <c r="CQ65" s="544"/>
      <c r="CR65" s="544"/>
      <c r="CS65" s="544"/>
      <c r="CT65" s="544"/>
      <c r="CU65" s="544"/>
      <c r="CV65" s="544"/>
      <c r="CW65" s="544"/>
      <c r="CX65" s="544"/>
      <c r="CY65" s="544"/>
      <c r="CZ65" s="544"/>
      <c r="DA65" s="544"/>
      <c r="DB65" s="544"/>
      <c r="DC65" s="544"/>
      <c r="DD65" s="544"/>
      <c r="DE65" s="544"/>
      <c r="DF65" s="544"/>
      <c r="DG65" s="544"/>
      <c r="DH65" s="544"/>
      <c r="DI65" s="544"/>
      <c r="DJ65" s="544"/>
      <c r="DK65" s="544"/>
      <c r="DL65" s="544"/>
      <c r="DM65" s="544"/>
      <c r="DN65" s="544"/>
      <c r="DO65" s="544"/>
      <c r="DP65" s="544"/>
      <c r="DQ65" s="544"/>
      <c r="DR65" s="544"/>
      <c r="DS65" s="544"/>
      <c r="DT65" s="544"/>
      <c r="DU65" s="544"/>
      <c r="DV65" s="544"/>
      <c r="DW65" s="544"/>
      <c r="DX65" s="544"/>
      <c r="DY65" s="544"/>
      <c r="DZ65" s="544"/>
      <c r="EA65" s="544"/>
      <c r="EB65" s="544"/>
      <c r="EC65" s="544"/>
      <c r="ED65" s="544"/>
      <c r="EE65" s="544"/>
      <c r="EF65" s="544"/>
      <c r="EG65" s="544"/>
      <c r="EH65" s="544"/>
      <c r="EI65" s="544"/>
      <c r="EJ65" s="544"/>
      <c r="EK65" s="544"/>
      <c r="EL65" s="544"/>
      <c r="EM65" s="544"/>
      <c r="EN65" s="544"/>
      <c r="EO65" s="544"/>
      <c r="EP65" s="544"/>
      <c r="EQ65" s="544"/>
      <c r="ER65" s="544"/>
      <c r="ES65" s="544"/>
      <c r="ET65" s="544"/>
      <c r="EU65" s="544"/>
      <c r="EV65" s="544"/>
      <c r="EW65" s="544"/>
      <c r="EX65" s="544"/>
      <c r="EY65" s="544"/>
      <c r="EZ65" s="544"/>
      <c r="FA65" s="544"/>
      <c r="FB65" s="544"/>
      <c r="FC65" s="544"/>
      <c r="FD65" s="544"/>
      <c r="FE65" s="544"/>
      <c r="FF65" s="544"/>
      <c r="FG65" s="544"/>
      <c r="FH65" s="544"/>
      <c r="FI65" s="544"/>
      <c r="FJ65" s="544"/>
      <c r="FK65" s="544"/>
      <c r="FL65" s="544"/>
      <c r="FM65" s="544"/>
      <c r="FN65" s="544"/>
      <c r="FO65" s="544"/>
      <c r="FP65" s="544"/>
      <c r="FQ65" s="544"/>
      <c r="FR65" s="544"/>
      <c r="FS65" s="544"/>
      <c r="FT65" s="544"/>
      <c r="FU65" s="544"/>
      <c r="FV65" s="544"/>
      <c r="FW65" s="544"/>
      <c r="FX65" s="544"/>
      <c r="FY65" s="544"/>
      <c r="FZ65" s="544"/>
      <c r="GA65" s="544"/>
      <c r="GB65" s="544"/>
      <c r="GC65" s="544"/>
      <c r="GD65" s="544"/>
      <c r="GE65" s="544"/>
      <c r="GF65" s="544"/>
      <c r="GG65" s="544"/>
      <c r="GH65" s="544"/>
      <c r="GI65" s="544"/>
      <c r="GJ65" s="544"/>
      <c r="GK65" s="544"/>
      <c r="GL65" s="544"/>
      <c r="GM65" s="544"/>
      <c r="GN65" s="544"/>
      <c r="GO65" s="544"/>
      <c r="GP65" s="544"/>
      <c r="GQ65" s="544"/>
      <c r="GR65" s="544"/>
      <c r="GS65" s="544"/>
      <c r="GT65" s="544"/>
      <c r="GU65" s="544"/>
      <c r="GV65" s="544"/>
      <c r="GW65" s="544"/>
      <c r="GX65" s="544"/>
      <c r="GY65" s="544"/>
      <c r="GZ65" s="544"/>
      <c r="HA65" s="544"/>
      <c r="HB65" s="544"/>
      <c r="HC65" s="544"/>
      <c r="HD65" s="544"/>
      <c r="HE65" s="544"/>
      <c r="HF65" s="544"/>
      <c r="HG65" s="544"/>
      <c r="HH65" s="544"/>
      <c r="HI65" s="544"/>
      <c r="HJ65" s="544"/>
      <c r="HK65" s="544"/>
      <c r="HL65" s="544"/>
      <c r="HM65" s="544"/>
      <c r="HN65" s="544"/>
      <c r="HO65" s="544"/>
      <c r="HP65" s="544"/>
      <c r="HQ65" s="544"/>
      <c r="HR65" s="544"/>
      <c r="HS65" s="544"/>
      <c r="HT65" s="544"/>
      <c r="HU65" s="544"/>
      <c r="HV65" s="544"/>
      <c r="HW65" s="544"/>
      <c r="HX65" s="544"/>
      <c r="HY65" s="544"/>
      <c r="HZ65" s="544"/>
      <c r="IA65" s="544"/>
      <c r="IB65" s="544"/>
      <c r="IC65" s="544"/>
      <c r="ID65" s="544"/>
      <c r="IE65" s="544"/>
      <c r="IF65" s="544"/>
      <c r="IG65" s="544"/>
      <c r="IH65" s="544"/>
      <c r="II65" s="544"/>
      <c r="IJ65" s="544"/>
      <c r="IK65" s="544"/>
      <c r="IL65" s="544"/>
      <c r="IM65" s="544"/>
      <c r="IN65" s="544"/>
      <c r="IO65" s="544"/>
      <c r="IP65" s="544"/>
      <c r="IQ65" s="544"/>
      <c r="IR65" s="544"/>
      <c r="IS65" s="544"/>
    </row>
    <row r="66" spans="1:253" ht="31" x14ac:dyDescent="0.35">
      <c r="A66" s="544"/>
      <c r="B66" s="1090" t="s">
        <v>651</v>
      </c>
      <c r="C66" s="881"/>
      <c r="E66" s="907"/>
      <c r="F66" s="908"/>
      <c r="G66" s="909"/>
      <c r="H66" s="544"/>
      <c r="I66" s="544"/>
      <c r="J66" s="544"/>
      <c r="K66" s="544"/>
      <c r="AA66" s="1089" t="s">
        <v>601</v>
      </c>
      <c r="AY66" s="544"/>
      <c r="AZ66" s="544"/>
      <c r="BA66" s="544"/>
      <c r="BB66" s="544"/>
      <c r="BC66" s="544"/>
      <c r="BD66" s="544"/>
      <c r="BE66" s="544"/>
      <c r="BF66" s="544"/>
      <c r="BG66" s="544"/>
      <c r="BH66" s="544"/>
      <c r="BI66" s="544"/>
      <c r="BJ66" s="544"/>
      <c r="BK66" s="544"/>
      <c r="BL66" s="544"/>
      <c r="BM66" s="544"/>
      <c r="BN66" s="544"/>
      <c r="BO66" s="544"/>
      <c r="BP66" s="544"/>
      <c r="BQ66" s="544"/>
      <c r="BR66" s="544"/>
      <c r="BS66" s="544"/>
      <c r="BT66" s="544"/>
      <c r="BU66" s="544"/>
      <c r="BV66" s="544"/>
      <c r="BW66" s="544"/>
      <c r="BX66" s="544"/>
      <c r="BY66" s="544"/>
      <c r="BZ66" s="544"/>
      <c r="CA66" s="544"/>
      <c r="CB66" s="544"/>
      <c r="CC66" s="544"/>
      <c r="CD66" s="544"/>
      <c r="CE66" s="544"/>
      <c r="CF66" s="544"/>
      <c r="CG66" s="544"/>
      <c r="CH66" s="544"/>
      <c r="CI66" s="544"/>
      <c r="CJ66" s="544"/>
      <c r="CK66" s="544"/>
      <c r="CL66" s="544"/>
      <c r="CM66" s="544"/>
      <c r="CN66" s="544"/>
      <c r="CO66" s="544"/>
      <c r="CP66" s="544"/>
      <c r="CQ66" s="544"/>
      <c r="CR66" s="544"/>
      <c r="CS66" s="544"/>
      <c r="CT66" s="544"/>
      <c r="CU66" s="544"/>
      <c r="CV66" s="544"/>
      <c r="CW66" s="544"/>
      <c r="CX66" s="544"/>
      <c r="CY66" s="544"/>
      <c r="CZ66" s="544"/>
      <c r="DA66" s="544"/>
      <c r="DB66" s="544"/>
      <c r="DC66" s="544"/>
      <c r="DD66" s="544"/>
      <c r="DE66" s="544"/>
      <c r="DF66" s="544"/>
      <c r="DG66" s="544"/>
      <c r="DH66" s="544"/>
      <c r="DI66" s="544"/>
      <c r="DJ66" s="544"/>
      <c r="DK66" s="544"/>
      <c r="DL66" s="544"/>
      <c r="DM66" s="544"/>
      <c r="DN66" s="544"/>
      <c r="DO66" s="544"/>
      <c r="DP66" s="544"/>
      <c r="DQ66" s="544"/>
      <c r="DR66" s="544"/>
      <c r="DS66" s="544"/>
      <c r="DT66" s="544"/>
      <c r="DU66" s="544"/>
      <c r="DV66" s="544"/>
      <c r="DW66" s="544"/>
      <c r="DX66" s="544"/>
      <c r="DY66" s="544"/>
      <c r="DZ66" s="544"/>
      <c r="EA66" s="544"/>
      <c r="EB66" s="544"/>
      <c r="EC66" s="544"/>
      <c r="ED66" s="544"/>
      <c r="EE66" s="544"/>
      <c r="EF66" s="544"/>
      <c r="EG66" s="544"/>
      <c r="EH66" s="544"/>
      <c r="EI66" s="544"/>
      <c r="EJ66" s="544"/>
      <c r="EK66" s="544"/>
      <c r="EL66" s="544"/>
      <c r="EM66" s="544"/>
      <c r="EN66" s="544"/>
      <c r="EO66" s="544"/>
      <c r="EP66" s="544"/>
      <c r="EQ66" s="544"/>
      <c r="ER66" s="544"/>
      <c r="ES66" s="544"/>
      <c r="ET66" s="544"/>
      <c r="EU66" s="544"/>
      <c r="EV66" s="544"/>
      <c r="EW66" s="544"/>
      <c r="EX66" s="544"/>
      <c r="EY66" s="544"/>
      <c r="EZ66" s="544"/>
      <c r="FA66" s="544"/>
      <c r="FB66" s="544"/>
      <c r="FC66" s="544"/>
      <c r="FD66" s="544"/>
      <c r="FE66" s="544"/>
      <c r="FF66" s="544"/>
      <c r="FG66" s="544"/>
      <c r="FH66" s="544"/>
      <c r="FI66" s="544"/>
      <c r="FJ66" s="544"/>
      <c r="FK66" s="544"/>
      <c r="FL66" s="544"/>
      <c r="FM66" s="544"/>
      <c r="FN66" s="544"/>
      <c r="FO66" s="544"/>
      <c r="FP66" s="544"/>
      <c r="FQ66" s="544"/>
      <c r="FR66" s="544"/>
      <c r="FS66" s="544"/>
      <c r="FT66" s="544"/>
      <c r="FU66" s="544"/>
      <c r="FV66" s="544"/>
      <c r="FW66" s="544"/>
      <c r="FX66" s="544"/>
      <c r="FY66" s="544"/>
      <c r="FZ66" s="544"/>
      <c r="GA66" s="544"/>
      <c r="GB66" s="544"/>
      <c r="GC66" s="544"/>
      <c r="GD66" s="544"/>
      <c r="GE66" s="544"/>
      <c r="GF66" s="544"/>
      <c r="GG66" s="544"/>
      <c r="GH66" s="544"/>
      <c r="GI66" s="544"/>
      <c r="GJ66" s="544"/>
      <c r="GK66" s="544"/>
      <c r="GL66" s="544"/>
      <c r="GM66" s="544"/>
      <c r="GN66" s="544"/>
      <c r="GO66" s="544"/>
      <c r="GP66" s="544"/>
      <c r="GQ66" s="544"/>
      <c r="GR66" s="544"/>
      <c r="GS66" s="544"/>
      <c r="GT66" s="544"/>
      <c r="GU66" s="544"/>
      <c r="GV66" s="544"/>
      <c r="GW66" s="544"/>
      <c r="GX66" s="544"/>
      <c r="GY66" s="544"/>
      <c r="GZ66" s="544"/>
      <c r="HA66" s="544"/>
      <c r="HB66" s="544"/>
      <c r="HC66" s="544"/>
      <c r="HD66" s="544"/>
      <c r="HE66" s="544"/>
      <c r="HF66" s="544"/>
      <c r="HG66" s="544"/>
      <c r="HH66" s="544"/>
      <c r="HI66" s="544"/>
      <c r="HJ66" s="544"/>
      <c r="HK66" s="544"/>
      <c r="HL66" s="544"/>
      <c r="HM66" s="544"/>
      <c r="HN66" s="544"/>
      <c r="HO66" s="544"/>
      <c r="HP66" s="544"/>
      <c r="HQ66" s="544"/>
      <c r="HR66" s="544"/>
      <c r="HS66" s="544"/>
      <c r="HT66" s="544"/>
      <c r="HU66" s="544"/>
      <c r="HV66" s="544"/>
      <c r="HW66" s="544"/>
      <c r="HX66" s="544"/>
      <c r="HY66" s="544"/>
      <c r="HZ66" s="544"/>
      <c r="IA66" s="544"/>
      <c r="IB66" s="544"/>
      <c r="IC66" s="544"/>
      <c r="ID66" s="544"/>
      <c r="IE66" s="544"/>
      <c r="IF66" s="544"/>
      <c r="IG66" s="544"/>
      <c r="IH66" s="544"/>
      <c r="II66" s="544"/>
      <c r="IJ66" s="544"/>
      <c r="IK66" s="544"/>
      <c r="IL66" s="544"/>
      <c r="IM66" s="544"/>
      <c r="IN66" s="544"/>
      <c r="IO66" s="544"/>
      <c r="IP66" s="544"/>
      <c r="IQ66" s="544"/>
      <c r="IR66" s="544"/>
      <c r="IS66" s="544"/>
    </row>
    <row r="67" spans="1:253" ht="31" x14ac:dyDescent="0.35">
      <c r="A67" s="544"/>
      <c r="B67" s="1090" t="s">
        <v>652</v>
      </c>
      <c r="C67" s="881"/>
      <c r="E67" s="907"/>
      <c r="F67" s="908"/>
      <c r="G67" s="909"/>
      <c r="H67" s="544"/>
      <c r="I67" s="544"/>
      <c r="J67" s="544"/>
      <c r="K67" s="544"/>
      <c r="AA67" s="1089" t="s">
        <v>601</v>
      </c>
      <c r="AY67" s="544"/>
      <c r="AZ67" s="544"/>
      <c r="BA67" s="544"/>
      <c r="BB67" s="544"/>
      <c r="BC67" s="544"/>
      <c r="BD67" s="544"/>
      <c r="BE67" s="544"/>
      <c r="BF67" s="544"/>
      <c r="BG67" s="544"/>
      <c r="BH67" s="544"/>
      <c r="BI67" s="544"/>
      <c r="BJ67" s="544"/>
      <c r="BK67" s="544"/>
      <c r="BL67" s="544"/>
      <c r="BM67" s="544"/>
      <c r="BN67" s="544"/>
      <c r="BO67" s="544"/>
      <c r="BP67" s="544"/>
      <c r="BQ67" s="544"/>
      <c r="BR67" s="544"/>
      <c r="BS67" s="544"/>
      <c r="BT67" s="544"/>
      <c r="BU67" s="544"/>
      <c r="BV67" s="544"/>
      <c r="BW67" s="544"/>
      <c r="BX67" s="544"/>
      <c r="BY67" s="544"/>
      <c r="BZ67" s="544"/>
      <c r="CA67" s="544"/>
      <c r="CB67" s="544"/>
      <c r="CC67" s="544"/>
      <c r="CD67" s="544"/>
      <c r="CE67" s="544"/>
      <c r="CF67" s="544"/>
      <c r="CG67" s="544"/>
      <c r="CH67" s="544"/>
      <c r="CI67" s="544"/>
      <c r="CJ67" s="544"/>
      <c r="CK67" s="544"/>
      <c r="CL67" s="544"/>
      <c r="CM67" s="544"/>
      <c r="CN67" s="544"/>
      <c r="CO67" s="544"/>
      <c r="CP67" s="544"/>
      <c r="CQ67" s="544"/>
      <c r="CR67" s="544"/>
      <c r="CS67" s="544"/>
      <c r="CT67" s="544"/>
      <c r="CU67" s="544"/>
      <c r="CV67" s="544"/>
      <c r="CW67" s="544"/>
      <c r="CX67" s="544"/>
      <c r="CY67" s="544"/>
      <c r="CZ67" s="544"/>
      <c r="DA67" s="544"/>
      <c r="DB67" s="544"/>
      <c r="DC67" s="544"/>
      <c r="DD67" s="544"/>
      <c r="DE67" s="544"/>
      <c r="DF67" s="544"/>
      <c r="DG67" s="544"/>
      <c r="DH67" s="544"/>
      <c r="DI67" s="544"/>
      <c r="DJ67" s="544"/>
      <c r="DK67" s="544"/>
      <c r="DL67" s="544"/>
      <c r="DM67" s="544"/>
      <c r="DN67" s="544"/>
      <c r="DO67" s="544"/>
      <c r="DP67" s="544"/>
      <c r="DQ67" s="544"/>
      <c r="DR67" s="544"/>
      <c r="DS67" s="544"/>
      <c r="DT67" s="544"/>
      <c r="DU67" s="544"/>
      <c r="DV67" s="544"/>
      <c r="DW67" s="544"/>
      <c r="DX67" s="544"/>
      <c r="DY67" s="544"/>
      <c r="DZ67" s="544"/>
      <c r="EA67" s="544"/>
      <c r="EB67" s="544"/>
      <c r="EC67" s="544"/>
      <c r="ED67" s="544"/>
      <c r="EE67" s="544"/>
      <c r="EF67" s="544"/>
      <c r="EG67" s="544"/>
      <c r="EH67" s="544"/>
      <c r="EI67" s="544"/>
      <c r="EJ67" s="544"/>
      <c r="EK67" s="544"/>
      <c r="EL67" s="544"/>
      <c r="EM67" s="544"/>
      <c r="EN67" s="544"/>
      <c r="EO67" s="544"/>
      <c r="EP67" s="544"/>
      <c r="EQ67" s="544"/>
      <c r="ER67" s="544"/>
      <c r="ES67" s="544"/>
      <c r="ET67" s="544"/>
      <c r="EU67" s="544"/>
      <c r="EV67" s="544"/>
      <c r="EW67" s="544"/>
      <c r="EX67" s="544"/>
      <c r="EY67" s="544"/>
      <c r="EZ67" s="544"/>
      <c r="FA67" s="544"/>
      <c r="FB67" s="544"/>
      <c r="FC67" s="544"/>
      <c r="FD67" s="544"/>
      <c r="FE67" s="544"/>
      <c r="FF67" s="544"/>
      <c r="FG67" s="544"/>
      <c r="FH67" s="544"/>
      <c r="FI67" s="544"/>
      <c r="FJ67" s="544"/>
      <c r="FK67" s="544"/>
      <c r="FL67" s="544"/>
      <c r="FM67" s="544"/>
      <c r="FN67" s="544"/>
      <c r="FO67" s="544"/>
      <c r="FP67" s="544"/>
      <c r="FQ67" s="544"/>
      <c r="FR67" s="544"/>
      <c r="FS67" s="544"/>
      <c r="FT67" s="544"/>
      <c r="FU67" s="544"/>
      <c r="FV67" s="544"/>
      <c r="FW67" s="544"/>
      <c r="FX67" s="544"/>
      <c r="FY67" s="544"/>
      <c r="FZ67" s="544"/>
      <c r="GA67" s="544"/>
      <c r="GB67" s="544"/>
      <c r="GC67" s="544"/>
      <c r="GD67" s="544"/>
      <c r="GE67" s="544"/>
      <c r="GF67" s="544"/>
      <c r="GG67" s="544"/>
      <c r="GH67" s="544"/>
      <c r="GI67" s="544"/>
      <c r="GJ67" s="544"/>
      <c r="GK67" s="544"/>
      <c r="GL67" s="544"/>
      <c r="GM67" s="544"/>
      <c r="GN67" s="544"/>
      <c r="GO67" s="544"/>
      <c r="GP67" s="544"/>
      <c r="GQ67" s="544"/>
      <c r="GR67" s="544"/>
      <c r="GS67" s="544"/>
      <c r="GT67" s="544"/>
      <c r="GU67" s="544"/>
      <c r="GV67" s="544"/>
      <c r="GW67" s="544"/>
      <c r="GX67" s="544"/>
      <c r="GY67" s="544"/>
      <c r="GZ67" s="544"/>
      <c r="HA67" s="544"/>
      <c r="HB67" s="544"/>
      <c r="HC67" s="544"/>
      <c r="HD67" s="544"/>
      <c r="HE67" s="544"/>
      <c r="HF67" s="544"/>
      <c r="HG67" s="544"/>
      <c r="HH67" s="544"/>
      <c r="HI67" s="544"/>
      <c r="HJ67" s="544"/>
      <c r="HK67" s="544"/>
      <c r="HL67" s="544"/>
      <c r="HM67" s="544"/>
      <c r="HN67" s="544"/>
      <c r="HO67" s="544"/>
      <c r="HP67" s="544"/>
      <c r="HQ67" s="544"/>
      <c r="HR67" s="544"/>
      <c r="HS67" s="544"/>
      <c r="HT67" s="544"/>
      <c r="HU67" s="544"/>
      <c r="HV67" s="544"/>
      <c r="HW67" s="544"/>
      <c r="HX67" s="544"/>
      <c r="HY67" s="544"/>
      <c r="HZ67" s="544"/>
      <c r="IA67" s="544"/>
      <c r="IB67" s="544"/>
      <c r="IC67" s="544"/>
      <c r="ID67" s="544"/>
      <c r="IE67" s="544"/>
      <c r="IF67" s="544"/>
      <c r="IG67" s="544"/>
      <c r="IH67" s="544"/>
      <c r="II67" s="544"/>
      <c r="IJ67" s="544"/>
      <c r="IK67" s="544"/>
      <c r="IL67" s="544"/>
      <c r="IM67" s="544"/>
      <c r="IN67" s="544"/>
      <c r="IO67" s="544"/>
      <c r="IP67" s="544"/>
      <c r="IQ67" s="544"/>
      <c r="IR67" s="544"/>
      <c r="IS67" s="544"/>
    </row>
    <row r="68" spans="1:253" ht="31" x14ac:dyDescent="0.35">
      <c r="A68" s="544"/>
      <c r="B68" s="1090" t="s">
        <v>653</v>
      </c>
      <c r="C68" s="881"/>
      <c r="E68" s="907"/>
      <c r="F68" s="908"/>
      <c r="G68" s="909"/>
      <c r="H68" s="544"/>
      <c r="I68" s="544"/>
      <c r="J68" s="544"/>
      <c r="K68" s="544"/>
      <c r="AA68" s="1089" t="s">
        <v>601</v>
      </c>
      <c r="AY68" s="544"/>
      <c r="AZ68" s="544"/>
      <c r="BA68" s="544"/>
      <c r="BB68" s="544"/>
      <c r="BC68" s="544"/>
      <c r="BD68" s="544"/>
      <c r="BE68" s="544"/>
      <c r="BF68" s="544"/>
      <c r="BG68" s="544"/>
      <c r="BH68" s="544"/>
      <c r="BI68" s="544"/>
      <c r="BJ68" s="544"/>
      <c r="BK68" s="544"/>
      <c r="BL68" s="544"/>
      <c r="BM68" s="544"/>
      <c r="BN68" s="544"/>
      <c r="BO68" s="544"/>
      <c r="BP68" s="544"/>
      <c r="BQ68" s="544"/>
      <c r="BR68" s="544"/>
      <c r="BS68" s="544"/>
      <c r="BT68" s="544"/>
      <c r="BU68" s="544"/>
      <c r="BV68" s="544"/>
      <c r="BW68" s="544"/>
      <c r="BX68" s="544"/>
      <c r="BY68" s="544"/>
      <c r="BZ68" s="544"/>
      <c r="CA68" s="544"/>
      <c r="CB68" s="544"/>
      <c r="CC68" s="544"/>
      <c r="CD68" s="544"/>
      <c r="CE68" s="544"/>
      <c r="CF68" s="544"/>
      <c r="CG68" s="544"/>
      <c r="CH68" s="544"/>
      <c r="CI68" s="544"/>
      <c r="CJ68" s="544"/>
      <c r="CK68" s="544"/>
      <c r="CL68" s="544"/>
      <c r="CM68" s="544"/>
      <c r="CN68" s="544"/>
      <c r="CO68" s="544"/>
      <c r="CP68" s="544"/>
      <c r="CQ68" s="544"/>
      <c r="CR68" s="544"/>
      <c r="CS68" s="544"/>
      <c r="CT68" s="544"/>
      <c r="CU68" s="544"/>
      <c r="CV68" s="544"/>
      <c r="CW68" s="544"/>
      <c r="CX68" s="544"/>
      <c r="CY68" s="544"/>
      <c r="CZ68" s="544"/>
      <c r="DA68" s="544"/>
      <c r="DB68" s="544"/>
      <c r="DC68" s="544"/>
      <c r="DD68" s="544"/>
      <c r="DE68" s="544"/>
      <c r="DF68" s="544"/>
      <c r="DG68" s="544"/>
      <c r="DH68" s="544"/>
      <c r="DI68" s="544"/>
      <c r="DJ68" s="544"/>
      <c r="DK68" s="544"/>
      <c r="DL68" s="544"/>
      <c r="DM68" s="544"/>
      <c r="DN68" s="544"/>
      <c r="DO68" s="544"/>
      <c r="DP68" s="544"/>
      <c r="DQ68" s="544"/>
      <c r="DR68" s="544"/>
      <c r="DS68" s="544"/>
      <c r="DT68" s="544"/>
      <c r="DU68" s="544"/>
      <c r="DV68" s="544"/>
      <c r="DW68" s="544"/>
      <c r="DX68" s="544"/>
      <c r="DY68" s="544"/>
      <c r="DZ68" s="544"/>
      <c r="EA68" s="544"/>
      <c r="EB68" s="544"/>
      <c r="EC68" s="544"/>
      <c r="ED68" s="544"/>
      <c r="EE68" s="544"/>
      <c r="EF68" s="544"/>
      <c r="EG68" s="544"/>
      <c r="EH68" s="544"/>
      <c r="EI68" s="544"/>
      <c r="EJ68" s="544"/>
      <c r="EK68" s="544"/>
      <c r="EL68" s="544"/>
      <c r="EM68" s="544"/>
      <c r="EN68" s="544"/>
      <c r="EO68" s="544"/>
      <c r="EP68" s="544"/>
      <c r="EQ68" s="544"/>
      <c r="ER68" s="544"/>
      <c r="ES68" s="544"/>
      <c r="ET68" s="544"/>
      <c r="EU68" s="544"/>
      <c r="EV68" s="544"/>
      <c r="EW68" s="544"/>
      <c r="EX68" s="544"/>
      <c r="EY68" s="544"/>
      <c r="EZ68" s="544"/>
      <c r="FA68" s="544"/>
      <c r="FB68" s="544"/>
      <c r="FC68" s="544"/>
      <c r="FD68" s="544"/>
      <c r="FE68" s="544"/>
      <c r="FF68" s="544"/>
      <c r="FG68" s="544"/>
      <c r="FH68" s="544"/>
      <c r="FI68" s="544"/>
      <c r="FJ68" s="544"/>
      <c r="FK68" s="544"/>
      <c r="FL68" s="544"/>
      <c r="FM68" s="544"/>
      <c r="FN68" s="544"/>
      <c r="FO68" s="544"/>
      <c r="FP68" s="544"/>
      <c r="FQ68" s="544"/>
      <c r="FR68" s="544"/>
      <c r="FS68" s="544"/>
      <c r="FT68" s="544"/>
      <c r="FU68" s="544"/>
      <c r="FV68" s="544"/>
      <c r="FW68" s="544"/>
      <c r="FX68" s="544"/>
      <c r="FY68" s="544"/>
      <c r="FZ68" s="544"/>
      <c r="GA68" s="544"/>
      <c r="GB68" s="544"/>
      <c r="GC68" s="544"/>
      <c r="GD68" s="544"/>
      <c r="GE68" s="544"/>
      <c r="GF68" s="544"/>
      <c r="GG68" s="544"/>
      <c r="GH68" s="544"/>
      <c r="GI68" s="544"/>
      <c r="GJ68" s="544"/>
      <c r="GK68" s="544"/>
      <c r="GL68" s="544"/>
      <c r="GM68" s="544"/>
      <c r="GN68" s="544"/>
      <c r="GO68" s="544"/>
      <c r="GP68" s="544"/>
      <c r="GQ68" s="544"/>
      <c r="GR68" s="544"/>
      <c r="GS68" s="544"/>
      <c r="GT68" s="544"/>
      <c r="GU68" s="544"/>
      <c r="GV68" s="544"/>
      <c r="GW68" s="544"/>
      <c r="GX68" s="544"/>
      <c r="GY68" s="544"/>
      <c r="GZ68" s="544"/>
      <c r="HA68" s="544"/>
      <c r="HB68" s="544"/>
      <c r="HC68" s="544"/>
      <c r="HD68" s="544"/>
      <c r="HE68" s="544"/>
      <c r="HF68" s="544"/>
      <c r="HG68" s="544"/>
      <c r="HH68" s="544"/>
      <c r="HI68" s="544"/>
      <c r="HJ68" s="544"/>
      <c r="HK68" s="544"/>
      <c r="HL68" s="544"/>
      <c r="HM68" s="544"/>
      <c r="HN68" s="544"/>
      <c r="HO68" s="544"/>
      <c r="HP68" s="544"/>
      <c r="HQ68" s="544"/>
      <c r="HR68" s="544"/>
      <c r="HS68" s="544"/>
      <c r="HT68" s="544"/>
      <c r="HU68" s="544"/>
      <c r="HV68" s="544"/>
      <c r="HW68" s="544"/>
      <c r="HX68" s="544"/>
      <c r="HY68" s="544"/>
      <c r="HZ68" s="544"/>
      <c r="IA68" s="544"/>
      <c r="IB68" s="544"/>
      <c r="IC68" s="544"/>
      <c r="ID68" s="544"/>
      <c r="IE68" s="544"/>
      <c r="IF68" s="544"/>
      <c r="IG68" s="544"/>
      <c r="IH68" s="544"/>
      <c r="II68" s="544"/>
      <c r="IJ68" s="544"/>
      <c r="IK68" s="544"/>
      <c r="IL68" s="544"/>
      <c r="IM68" s="544"/>
      <c r="IN68" s="544"/>
      <c r="IO68" s="544"/>
      <c r="IP68" s="544"/>
      <c r="IQ68" s="544"/>
      <c r="IR68" s="544"/>
      <c r="IS68" s="544"/>
    </row>
    <row r="69" spans="1:253" ht="31" x14ac:dyDescent="0.35">
      <c r="A69" s="544"/>
      <c r="B69" s="1090" t="s">
        <v>654</v>
      </c>
      <c r="C69" s="881"/>
      <c r="E69" s="907"/>
      <c r="F69" s="908"/>
      <c r="G69" s="909"/>
      <c r="H69" s="544"/>
      <c r="I69" s="544"/>
      <c r="J69" s="544"/>
      <c r="K69" s="544"/>
      <c r="AA69" s="1089" t="s">
        <v>601</v>
      </c>
      <c r="AY69" s="544"/>
      <c r="AZ69" s="544"/>
      <c r="BA69" s="544"/>
      <c r="BB69" s="544"/>
      <c r="BC69" s="544"/>
      <c r="BD69" s="544"/>
      <c r="BE69" s="544"/>
      <c r="BF69" s="544"/>
      <c r="BG69" s="544"/>
      <c r="BH69" s="544"/>
      <c r="BI69" s="544"/>
      <c r="BJ69" s="544"/>
      <c r="BK69" s="544"/>
      <c r="BL69" s="544"/>
      <c r="BM69" s="544"/>
      <c r="BN69" s="544"/>
      <c r="BO69" s="544"/>
      <c r="BP69" s="544"/>
      <c r="BQ69" s="544"/>
      <c r="BR69" s="544"/>
      <c r="BS69" s="544"/>
      <c r="BT69" s="544"/>
      <c r="BU69" s="544"/>
      <c r="BV69" s="544"/>
      <c r="BW69" s="544"/>
      <c r="BX69" s="544"/>
      <c r="BY69" s="544"/>
      <c r="BZ69" s="544"/>
      <c r="CA69" s="544"/>
      <c r="CB69" s="544"/>
      <c r="CC69" s="544"/>
      <c r="CD69" s="544"/>
      <c r="CE69" s="544"/>
      <c r="CF69" s="544"/>
      <c r="CG69" s="544"/>
      <c r="CH69" s="544"/>
      <c r="CI69" s="544"/>
      <c r="CJ69" s="544"/>
      <c r="CK69" s="544"/>
      <c r="CL69" s="544"/>
      <c r="CM69" s="544"/>
      <c r="CN69" s="544"/>
      <c r="CO69" s="544"/>
      <c r="CP69" s="544"/>
      <c r="CQ69" s="544"/>
      <c r="CR69" s="544"/>
      <c r="CS69" s="544"/>
      <c r="CT69" s="544"/>
      <c r="CU69" s="544"/>
      <c r="CV69" s="544"/>
      <c r="CW69" s="544"/>
      <c r="CX69" s="544"/>
      <c r="CY69" s="544"/>
      <c r="CZ69" s="544"/>
      <c r="DA69" s="544"/>
      <c r="DB69" s="544"/>
      <c r="DC69" s="544"/>
      <c r="DD69" s="544"/>
      <c r="DE69" s="544"/>
      <c r="DF69" s="544"/>
      <c r="DG69" s="544"/>
      <c r="DH69" s="544"/>
      <c r="DI69" s="544"/>
      <c r="DJ69" s="544"/>
      <c r="DK69" s="544"/>
      <c r="DL69" s="544"/>
      <c r="DM69" s="544"/>
      <c r="DN69" s="544"/>
      <c r="DO69" s="544"/>
      <c r="DP69" s="544"/>
      <c r="DQ69" s="544"/>
      <c r="DR69" s="544"/>
      <c r="DS69" s="544"/>
      <c r="DT69" s="544"/>
      <c r="DU69" s="544"/>
      <c r="DV69" s="544"/>
      <c r="DW69" s="544"/>
      <c r="DX69" s="544"/>
      <c r="DY69" s="544"/>
      <c r="DZ69" s="544"/>
      <c r="EA69" s="544"/>
      <c r="EB69" s="544"/>
      <c r="EC69" s="544"/>
      <c r="ED69" s="544"/>
      <c r="EE69" s="544"/>
      <c r="EF69" s="544"/>
      <c r="EG69" s="544"/>
      <c r="EH69" s="544"/>
      <c r="EI69" s="544"/>
      <c r="EJ69" s="544"/>
      <c r="EK69" s="544"/>
      <c r="EL69" s="544"/>
      <c r="EM69" s="544"/>
      <c r="EN69" s="544"/>
      <c r="EO69" s="544"/>
      <c r="EP69" s="544"/>
      <c r="EQ69" s="544"/>
      <c r="ER69" s="544"/>
      <c r="ES69" s="544"/>
      <c r="ET69" s="544"/>
      <c r="EU69" s="544"/>
      <c r="EV69" s="544"/>
      <c r="EW69" s="544"/>
      <c r="EX69" s="544"/>
      <c r="EY69" s="544"/>
      <c r="EZ69" s="544"/>
      <c r="FA69" s="544"/>
      <c r="FB69" s="544"/>
      <c r="FC69" s="544"/>
      <c r="FD69" s="544"/>
      <c r="FE69" s="544"/>
      <c r="FF69" s="544"/>
      <c r="FG69" s="544"/>
      <c r="FH69" s="544"/>
      <c r="FI69" s="544"/>
      <c r="FJ69" s="544"/>
      <c r="FK69" s="544"/>
      <c r="FL69" s="544"/>
      <c r="FM69" s="544"/>
      <c r="FN69" s="544"/>
      <c r="FO69" s="544"/>
      <c r="FP69" s="544"/>
      <c r="FQ69" s="544"/>
      <c r="FR69" s="544"/>
      <c r="FS69" s="544"/>
      <c r="FT69" s="544"/>
      <c r="FU69" s="544"/>
      <c r="FV69" s="544"/>
      <c r="FW69" s="544"/>
      <c r="FX69" s="544"/>
      <c r="FY69" s="544"/>
      <c r="FZ69" s="544"/>
      <c r="GA69" s="544"/>
      <c r="GB69" s="544"/>
      <c r="GC69" s="544"/>
      <c r="GD69" s="544"/>
      <c r="GE69" s="544"/>
      <c r="GF69" s="544"/>
      <c r="GG69" s="544"/>
      <c r="GH69" s="544"/>
      <c r="GI69" s="544"/>
      <c r="GJ69" s="544"/>
      <c r="GK69" s="544"/>
      <c r="GL69" s="544"/>
      <c r="GM69" s="544"/>
      <c r="GN69" s="544"/>
      <c r="GO69" s="544"/>
      <c r="GP69" s="544"/>
      <c r="GQ69" s="544"/>
      <c r="GR69" s="544"/>
      <c r="GS69" s="544"/>
      <c r="GT69" s="544"/>
      <c r="GU69" s="544"/>
      <c r="GV69" s="544"/>
      <c r="GW69" s="544"/>
      <c r="GX69" s="544"/>
      <c r="GY69" s="544"/>
      <c r="GZ69" s="544"/>
      <c r="HA69" s="544"/>
      <c r="HB69" s="544"/>
      <c r="HC69" s="544"/>
      <c r="HD69" s="544"/>
      <c r="HE69" s="544"/>
      <c r="HF69" s="544"/>
      <c r="HG69" s="544"/>
      <c r="HH69" s="544"/>
      <c r="HI69" s="544"/>
      <c r="HJ69" s="544"/>
      <c r="HK69" s="544"/>
      <c r="HL69" s="544"/>
      <c r="HM69" s="544"/>
      <c r="HN69" s="544"/>
      <c r="HO69" s="544"/>
      <c r="HP69" s="544"/>
      <c r="HQ69" s="544"/>
      <c r="HR69" s="544"/>
      <c r="HS69" s="544"/>
      <c r="HT69" s="544"/>
      <c r="HU69" s="544"/>
      <c r="HV69" s="544"/>
      <c r="HW69" s="544"/>
      <c r="HX69" s="544"/>
      <c r="HY69" s="544"/>
      <c r="HZ69" s="544"/>
      <c r="IA69" s="544"/>
      <c r="IB69" s="544"/>
      <c r="IC69" s="544"/>
      <c r="ID69" s="544"/>
      <c r="IE69" s="544"/>
      <c r="IF69" s="544"/>
      <c r="IG69" s="544"/>
      <c r="IH69" s="544"/>
      <c r="II69" s="544"/>
      <c r="IJ69" s="544"/>
      <c r="IK69" s="544"/>
      <c r="IL69" s="544"/>
      <c r="IM69" s="544"/>
      <c r="IN69" s="544"/>
      <c r="IO69" s="544"/>
      <c r="IP69" s="544"/>
      <c r="IQ69" s="544"/>
      <c r="IR69" s="544"/>
      <c r="IS69" s="544"/>
    </row>
    <row r="70" spans="1:253" s="544" customFormat="1" ht="17.149999999999999" customHeight="1" x14ac:dyDescent="0.35">
      <c r="B70" s="1091"/>
      <c r="C70" s="679"/>
    </row>
    <row r="71" spans="1:253" s="544" customFormat="1" ht="17.149999999999999" customHeight="1" x14ac:dyDescent="0.35">
      <c r="B71" s="1091"/>
      <c r="C71" s="679"/>
    </row>
    <row r="72" spans="1:253" s="544" customFormat="1" ht="17.149999999999999" customHeight="1" x14ac:dyDescent="0.35">
      <c r="B72" s="592" t="s">
        <v>664</v>
      </c>
      <c r="C72" s="679"/>
    </row>
    <row r="73" spans="1:253" ht="28" customHeight="1" x14ac:dyDescent="0.35">
      <c r="A73" s="544"/>
      <c r="B73" s="1484" t="s">
        <v>594</v>
      </c>
      <c r="C73" s="684" t="s">
        <v>374</v>
      </c>
      <c r="E73" s="667" t="s">
        <v>521</v>
      </c>
      <c r="F73" s="1480"/>
      <c r="G73" s="1481"/>
      <c r="H73" s="1474" t="s">
        <v>656</v>
      </c>
      <c r="I73" s="1474" t="s">
        <v>645</v>
      </c>
      <c r="J73" s="544"/>
      <c r="K73" s="544"/>
      <c r="AY73" s="544"/>
      <c r="AZ73" s="544"/>
      <c r="BA73" s="544"/>
      <c r="BB73" s="544"/>
      <c r="BC73" s="544"/>
      <c r="BD73" s="544"/>
      <c r="BE73" s="544"/>
      <c r="BF73" s="544"/>
      <c r="BG73" s="544"/>
      <c r="BH73" s="544"/>
      <c r="BI73" s="544"/>
      <c r="BJ73" s="544"/>
      <c r="BK73" s="544"/>
      <c r="BL73" s="544"/>
      <c r="BM73" s="544"/>
      <c r="BN73" s="544"/>
      <c r="BO73" s="544"/>
      <c r="BP73" s="544"/>
      <c r="BQ73" s="544"/>
      <c r="BR73" s="544"/>
      <c r="BS73" s="544"/>
      <c r="BT73" s="544"/>
      <c r="BU73" s="544"/>
      <c r="BV73" s="544"/>
      <c r="BW73" s="544"/>
      <c r="BX73" s="544"/>
      <c r="BY73" s="544"/>
      <c r="BZ73" s="544"/>
      <c r="CA73" s="544"/>
      <c r="CB73" s="544"/>
      <c r="CC73" s="544"/>
      <c r="CD73" s="544"/>
      <c r="CE73" s="544"/>
      <c r="CF73" s="544"/>
      <c r="CG73" s="544"/>
      <c r="CH73" s="544"/>
      <c r="CI73" s="544"/>
      <c r="CJ73" s="544"/>
      <c r="CK73" s="544"/>
      <c r="CL73" s="544"/>
      <c r="CM73" s="544"/>
      <c r="CN73" s="544"/>
      <c r="CO73" s="544"/>
      <c r="CP73" s="544"/>
      <c r="CQ73" s="544"/>
      <c r="CR73" s="544"/>
      <c r="CS73" s="544"/>
      <c r="CT73" s="544"/>
      <c r="CU73" s="544"/>
      <c r="CV73" s="544"/>
      <c r="CW73" s="544"/>
      <c r="CX73" s="544"/>
      <c r="CY73" s="544"/>
      <c r="CZ73" s="544"/>
      <c r="DA73" s="544"/>
      <c r="DB73" s="544"/>
      <c r="DC73" s="544"/>
      <c r="DD73" s="544"/>
      <c r="DE73" s="544"/>
      <c r="DF73" s="544"/>
      <c r="DG73" s="544"/>
      <c r="DH73" s="544"/>
      <c r="DI73" s="544"/>
      <c r="DJ73" s="544"/>
      <c r="DK73" s="544"/>
      <c r="DL73" s="544"/>
      <c r="DM73" s="544"/>
      <c r="DN73" s="544"/>
      <c r="DO73" s="544"/>
      <c r="DP73" s="544"/>
      <c r="DQ73" s="544"/>
      <c r="DR73" s="544"/>
      <c r="DS73" s="544"/>
      <c r="DT73" s="544"/>
      <c r="DU73" s="544"/>
      <c r="DV73" s="544"/>
      <c r="DW73" s="544"/>
      <c r="DX73" s="544"/>
      <c r="DY73" s="544"/>
      <c r="DZ73" s="544"/>
      <c r="EA73" s="544"/>
      <c r="EB73" s="544"/>
      <c r="EC73" s="544"/>
      <c r="ED73" s="544"/>
      <c r="EE73" s="544"/>
      <c r="EF73" s="544"/>
      <c r="EG73" s="544"/>
      <c r="EH73" s="544"/>
      <c r="EI73" s="544"/>
      <c r="EJ73" s="544"/>
      <c r="EK73" s="544"/>
      <c r="EL73" s="544"/>
      <c r="EM73" s="544"/>
      <c r="EN73" s="544"/>
      <c r="EO73" s="544"/>
      <c r="EP73" s="544"/>
      <c r="EQ73" s="544"/>
      <c r="ER73" s="544"/>
      <c r="ES73" s="544"/>
      <c r="ET73" s="544"/>
      <c r="EU73" s="544"/>
      <c r="EV73" s="544"/>
      <c r="EW73" s="544"/>
      <c r="EX73" s="544"/>
      <c r="EY73" s="544"/>
      <c r="EZ73" s="544"/>
      <c r="FA73" s="544"/>
      <c r="FB73" s="544"/>
      <c r="FC73" s="544"/>
      <c r="FD73" s="544"/>
      <c r="FE73" s="544"/>
      <c r="FF73" s="544"/>
      <c r="FG73" s="544"/>
      <c r="FH73" s="544"/>
      <c r="FI73" s="544"/>
      <c r="FJ73" s="544"/>
      <c r="FK73" s="544"/>
      <c r="FL73" s="544"/>
      <c r="FM73" s="544"/>
      <c r="FN73" s="544"/>
      <c r="FO73" s="544"/>
      <c r="FP73" s="544"/>
      <c r="FQ73" s="544"/>
      <c r="FR73" s="544"/>
      <c r="FS73" s="544"/>
      <c r="FT73" s="544"/>
      <c r="FU73" s="544"/>
      <c r="FV73" s="544"/>
      <c r="FW73" s="544"/>
      <c r="FX73" s="544"/>
      <c r="FY73" s="544"/>
      <c r="FZ73" s="544"/>
      <c r="GA73" s="544"/>
      <c r="GB73" s="544"/>
      <c r="GC73" s="544"/>
      <c r="GD73" s="544"/>
      <c r="GE73" s="544"/>
      <c r="GF73" s="544"/>
      <c r="GG73" s="544"/>
      <c r="GH73" s="544"/>
      <c r="GI73" s="544"/>
      <c r="GJ73" s="544"/>
      <c r="GK73" s="544"/>
      <c r="GL73" s="544"/>
      <c r="GM73" s="544"/>
      <c r="GN73" s="544"/>
      <c r="GO73" s="544"/>
      <c r="GP73" s="544"/>
      <c r="GQ73" s="544"/>
      <c r="GR73" s="544"/>
      <c r="GS73" s="544"/>
      <c r="GT73" s="544"/>
      <c r="GU73" s="544"/>
      <c r="GV73" s="544"/>
      <c r="GW73" s="544"/>
      <c r="GX73" s="544"/>
      <c r="GY73" s="544"/>
      <c r="GZ73" s="544"/>
      <c r="HA73" s="544"/>
      <c r="HB73" s="544"/>
      <c r="HC73" s="544"/>
      <c r="HD73" s="544"/>
      <c r="HE73" s="544"/>
      <c r="HF73" s="544"/>
      <c r="HG73" s="544"/>
      <c r="HH73" s="544"/>
      <c r="HI73" s="544"/>
      <c r="HJ73" s="544"/>
      <c r="HK73" s="544"/>
      <c r="HL73" s="544"/>
      <c r="HM73" s="544"/>
      <c r="HN73" s="544"/>
      <c r="HO73" s="544"/>
      <c r="HP73" s="544"/>
      <c r="HQ73" s="544"/>
      <c r="HR73" s="544"/>
      <c r="HS73" s="544"/>
      <c r="HT73" s="544"/>
      <c r="HU73" s="544"/>
      <c r="HV73" s="544"/>
      <c r="HW73" s="544"/>
      <c r="HX73" s="544"/>
      <c r="HY73" s="544"/>
      <c r="HZ73" s="544"/>
      <c r="IA73" s="544"/>
      <c r="IB73" s="544"/>
      <c r="IC73" s="544"/>
      <c r="ID73" s="544"/>
      <c r="IE73" s="544"/>
      <c r="IF73" s="544"/>
      <c r="IG73" s="544"/>
      <c r="IH73" s="544"/>
      <c r="II73" s="544"/>
      <c r="IJ73" s="544"/>
      <c r="IK73" s="544"/>
      <c r="IL73" s="544"/>
      <c r="IM73" s="544"/>
      <c r="IN73" s="544"/>
      <c r="IO73" s="544"/>
      <c r="IP73" s="544"/>
      <c r="IQ73" s="544"/>
      <c r="IR73" s="544"/>
      <c r="IS73" s="544"/>
    </row>
    <row r="74" spans="1:253" ht="28" customHeight="1" x14ac:dyDescent="0.35">
      <c r="A74" s="544"/>
      <c r="B74" s="600" t="s">
        <v>646</v>
      </c>
      <c r="C74" s="881">
        <v>1</v>
      </c>
      <c r="E74" s="544"/>
      <c r="F74" s="544"/>
      <c r="G74" s="544"/>
      <c r="H74" s="544"/>
      <c r="I74" s="544"/>
      <c r="J74" s="544"/>
      <c r="K74" s="544"/>
      <c r="AY74" s="544"/>
      <c r="AZ74" s="544"/>
      <c r="BA74" s="544"/>
      <c r="BB74" s="544"/>
      <c r="BC74" s="544"/>
      <c r="BD74" s="544"/>
      <c r="BE74" s="544"/>
      <c r="BF74" s="544"/>
      <c r="BG74" s="544"/>
      <c r="BH74" s="544"/>
      <c r="BI74" s="544"/>
      <c r="BJ74" s="544"/>
      <c r="BK74" s="544"/>
      <c r="BL74" s="544"/>
      <c r="BM74" s="544"/>
      <c r="BN74" s="544"/>
      <c r="BO74" s="544"/>
      <c r="BP74" s="544"/>
      <c r="BQ74" s="544"/>
      <c r="BR74" s="544"/>
      <c r="BS74" s="544"/>
      <c r="BT74" s="544"/>
      <c r="BU74" s="544"/>
      <c r="BV74" s="544"/>
      <c r="BW74" s="544"/>
      <c r="BX74" s="544"/>
      <c r="BY74" s="544"/>
      <c r="BZ74" s="544"/>
      <c r="CA74" s="544"/>
      <c r="CB74" s="544"/>
      <c r="CC74" s="544"/>
      <c r="CD74" s="544"/>
      <c r="CE74" s="544"/>
      <c r="CF74" s="544"/>
      <c r="CG74" s="544"/>
      <c r="CH74" s="544"/>
      <c r="CI74" s="544"/>
      <c r="CJ74" s="544"/>
      <c r="CK74" s="544"/>
      <c r="CL74" s="544"/>
      <c r="CM74" s="544"/>
      <c r="CN74" s="544"/>
      <c r="CO74" s="544"/>
      <c r="CP74" s="544"/>
      <c r="CQ74" s="544"/>
      <c r="CR74" s="544"/>
      <c r="CS74" s="544"/>
      <c r="CT74" s="544"/>
      <c r="CU74" s="544"/>
      <c r="CV74" s="544"/>
      <c r="CW74" s="544"/>
      <c r="CX74" s="544"/>
      <c r="CY74" s="544"/>
      <c r="CZ74" s="544"/>
      <c r="DA74" s="544"/>
      <c r="DB74" s="544"/>
      <c r="DC74" s="544"/>
      <c r="DD74" s="544"/>
      <c r="DE74" s="544"/>
      <c r="DF74" s="544"/>
      <c r="DG74" s="544"/>
      <c r="DH74" s="544"/>
      <c r="DI74" s="544"/>
      <c r="DJ74" s="544"/>
      <c r="DK74" s="544"/>
      <c r="DL74" s="544"/>
      <c r="DM74" s="544"/>
      <c r="DN74" s="544"/>
      <c r="DO74" s="544"/>
      <c r="DP74" s="544"/>
      <c r="DQ74" s="544"/>
      <c r="DR74" s="544"/>
      <c r="DS74" s="544"/>
      <c r="DT74" s="544"/>
      <c r="DU74" s="544"/>
      <c r="DV74" s="544"/>
      <c r="DW74" s="544"/>
      <c r="DX74" s="544"/>
      <c r="DY74" s="544"/>
      <c r="DZ74" s="544"/>
      <c r="EA74" s="544"/>
      <c r="EB74" s="544"/>
      <c r="EC74" s="544"/>
      <c r="ED74" s="544"/>
      <c r="EE74" s="544"/>
      <c r="EF74" s="544"/>
      <c r="EG74" s="544"/>
      <c r="EH74" s="544"/>
      <c r="EI74" s="544"/>
      <c r="EJ74" s="544"/>
      <c r="EK74" s="544"/>
      <c r="EL74" s="544"/>
      <c r="EM74" s="544"/>
      <c r="EN74" s="544"/>
      <c r="EO74" s="544"/>
      <c r="EP74" s="544"/>
      <c r="EQ74" s="544"/>
      <c r="ER74" s="544"/>
      <c r="ES74" s="544"/>
      <c r="ET74" s="544"/>
      <c r="EU74" s="544"/>
      <c r="EV74" s="544"/>
      <c r="EW74" s="544"/>
      <c r="EX74" s="544"/>
      <c r="EY74" s="544"/>
      <c r="EZ74" s="544"/>
      <c r="FA74" s="544"/>
      <c r="FB74" s="544"/>
      <c r="FC74" s="544"/>
      <c r="FD74" s="544"/>
      <c r="FE74" s="544"/>
      <c r="FF74" s="544"/>
      <c r="FG74" s="544"/>
      <c r="FH74" s="544"/>
      <c r="FI74" s="544"/>
      <c r="FJ74" s="544"/>
      <c r="FK74" s="544"/>
      <c r="FL74" s="544"/>
      <c r="FM74" s="544"/>
      <c r="FN74" s="544"/>
      <c r="FO74" s="544"/>
      <c r="FP74" s="544"/>
      <c r="FQ74" s="544"/>
      <c r="FR74" s="544"/>
      <c r="FS74" s="544"/>
      <c r="FT74" s="544"/>
      <c r="FU74" s="544"/>
      <c r="FV74" s="544"/>
      <c r="FW74" s="544"/>
      <c r="FX74" s="544"/>
      <c r="FY74" s="544"/>
      <c r="FZ74" s="544"/>
      <c r="GA74" s="544"/>
      <c r="GB74" s="544"/>
      <c r="GC74" s="544"/>
      <c r="GD74" s="544"/>
      <c r="GE74" s="544"/>
      <c r="GF74" s="544"/>
      <c r="GG74" s="544"/>
      <c r="GH74" s="544"/>
      <c r="GI74" s="544"/>
      <c r="GJ74" s="544"/>
      <c r="GK74" s="544"/>
      <c r="GL74" s="544"/>
      <c r="GM74" s="544"/>
      <c r="GN74" s="544"/>
      <c r="GO74" s="544"/>
      <c r="GP74" s="544"/>
      <c r="GQ74" s="544"/>
      <c r="GR74" s="544"/>
      <c r="GS74" s="544"/>
      <c r="GT74" s="544"/>
      <c r="GU74" s="544"/>
      <c r="GV74" s="544"/>
      <c r="GW74" s="544"/>
      <c r="GX74" s="544"/>
      <c r="GY74" s="544"/>
      <c r="GZ74" s="544"/>
      <c r="HA74" s="544"/>
      <c r="HB74" s="544"/>
      <c r="HC74" s="544"/>
      <c r="HD74" s="544"/>
      <c r="HE74" s="544"/>
      <c r="HF74" s="544"/>
      <c r="HG74" s="544"/>
      <c r="HH74" s="544"/>
      <c r="HI74" s="544"/>
      <c r="HJ74" s="544"/>
      <c r="HK74" s="544"/>
      <c r="HL74" s="544"/>
      <c r="HM74" s="544"/>
      <c r="HN74" s="544"/>
      <c r="HO74" s="544"/>
      <c r="HP74" s="544"/>
      <c r="HQ74" s="544"/>
      <c r="HR74" s="544"/>
      <c r="HS74" s="544"/>
      <c r="HT74" s="544"/>
      <c r="HU74" s="544"/>
      <c r="HV74" s="544"/>
      <c r="HW74" s="544"/>
      <c r="HX74" s="544"/>
      <c r="HY74" s="544"/>
      <c r="HZ74" s="544"/>
      <c r="IA74" s="544"/>
      <c r="IB74" s="544"/>
      <c r="IC74" s="544"/>
      <c r="ID74" s="544"/>
      <c r="IE74" s="544"/>
      <c r="IF74" s="544"/>
      <c r="IG74" s="544"/>
      <c r="IH74" s="544"/>
      <c r="II74" s="544"/>
      <c r="IJ74" s="544"/>
      <c r="IK74" s="544"/>
      <c r="IL74" s="544"/>
      <c r="IM74" s="544"/>
      <c r="IN74" s="544"/>
      <c r="IO74" s="544"/>
      <c r="IP74" s="544"/>
      <c r="IQ74" s="544"/>
      <c r="IR74" s="544"/>
      <c r="IS74" s="544"/>
    </row>
    <row r="75" spans="1:253" ht="31" x14ac:dyDescent="0.35">
      <c r="A75" s="544"/>
      <c r="B75" s="1090" t="s">
        <v>661</v>
      </c>
      <c r="C75" s="881"/>
      <c r="E75" s="907"/>
      <c r="F75" s="908"/>
      <c r="G75" s="909"/>
      <c r="H75" s="913"/>
      <c r="I75" s="913"/>
      <c r="J75" s="917" t="s">
        <v>648</v>
      </c>
      <c r="K75" s="544"/>
      <c r="AA75" s="1089" t="s">
        <v>601</v>
      </c>
      <c r="AY75" s="544"/>
      <c r="AZ75" s="544"/>
      <c r="BA75" s="544"/>
      <c r="BB75" s="544"/>
      <c r="BC75" s="544"/>
      <c r="BD75" s="544"/>
      <c r="BE75" s="544"/>
      <c r="BF75" s="544"/>
      <c r="BG75" s="544"/>
      <c r="BH75" s="544"/>
      <c r="BI75" s="544"/>
      <c r="BJ75" s="544"/>
      <c r="BK75" s="544"/>
      <c r="BL75" s="544"/>
      <c r="BM75" s="544"/>
      <c r="BN75" s="544"/>
      <c r="BO75" s="544"/>
      <c r="BP75" s="544"/>
      <c r="BQ75" s="544"/>
      <c r="BR75" s="544"/>
      <c r="BS75" s="544"/>
      <c r="BT75" s="544"/>
      <c r="BU75" s="544"/>
      <c r="BV75" s="544"/>
      <c r="BW75" s="544"/>
      <c r="BX75" s="544"/>
      <c r="BY75" s="544"/>
      <c r="BZ75" s="544"/>
      <c r="CA75" s="544"/>
      <c r="CB75" s="544"/>
      <c r="CC75" s="544"/>
      <c r="CD75" s="544"/>
      <c r="CE75" s="544"/>
      <c r="CF75" s="544"/>
      <c r="CG75" s="544"/>
      <c r="CH75" s="544"/>
      <c r="CI75" s="544"/>
      <c r="CJ75" s="544"/>
      <c r="CK75" s="544"/>
      <c r="CL75" s="544"/>
      <c r="CM75" s="544"/>
      <c r="CN75" s="544"/>
      <c r="CO75" s="544"/>
      <c r="CP75" s="544"/>
      <c r="CQ75" s="544"/>
      <c r="CR75" s="544"/>
      <c r="CS75" s="544"/>
      <c r="CT75" s="544"/>
      <c r="CU75" s="544"/>
      <c r="CV75" s="544"/>
      <c r="CW75" s="544"/>
      <c r="CX75" s="544"/>
      <c r="CY75" s="544"/>
      <c r="CZ75" s="544"/>
      <c r="DA75" s="544"/>
      <c r="DB75" s="544"/>
      <c r="DC75" s="544"/>
      <c r="DD75" s="544"/>
      <c r="DE75" s="544"/>
      <c r="DF75" s="544"/>
      <c r="DG75" s="544"/>
      <c r="DH75" s="544"/>
      <c r="DI75" s="544"/>
      <c r="DJ75" s="544"/>
      <c r="DK75" s="544"/>
      <c r="DL75" s="544"/>
      <c r="DM75" s="544"/>
      <c r="DN75" s="544"/>
      <c r="DO75" s="544"/>
      <c r="DP75" s="544"/>
      <c r="DQ75" s="544"/>
      <c r="DR75" s="544"/>
      <c r="DS75" s="544"/>
      <c r="DT75" s="544"/>
      <c r="DU75" s="544"/>
      <c r="DV75" s="544"/>
      <c r="DW75" s="544"/>
      <c r="DX75" s="544"/>
      <c r="DY75" s="544"/>
      <c r="DZ75" s="544"/>
      <c r="EA75" s="544"/>
      <c r="EB75" s="544"/>
      <c r="EC75" s="544"/>
      <c r="ED75" s="544"/>
      <c r="EE75" s="544"/>
      <c r="EF75" s="544"/>
      <c r="EG75" s="544"/>
      <c r="EH75" s="544"/>
      <c r="EI75" s="544"/>
      <c r="EJ75" s="544"/>
      <c r="EK75" s="544"/>
      <c r="EL75" s="544"/>
      <c r="EM75" s="544"/>
      <c r="EN75" s="544"/>
      <c r="EO75" s="544"/>
      <c r="EP75" s="544"/>
      <c r="EQ75" s="544"/>
      <c r="ER75" s="544"/>
      <c r="ES75" s="544"/>
      <c r="ET75" s="544"/>
      <c r="EU75" s="544"/>
      <c r="EV75" s="544"/>
      <c r="EW75" s="544"/>
      <c r="EX75" s="544"/>
      <c r="EY75" s="544"/>
      <c r="EZ75" s="544"/>
      <c r="FA75" s="544"/>
      <c r="FB75" s="544"/>
      <c r="FC75" s="544"/>
      <c r="FD75" s="544"/>
      <c r="FE75" s="544"/>
      <c r="FF75" s="544"/>
      <c r="FG75" s="544"/>
      <c r="FH75" s="544"/>
      <c r="FI75" s="544"/>
      <c r="FJ75" s="544"/>
      <c r="FK75" s="544"/>
      <c r="FL75" s="544"/>
      <c r="FM75" s="544"/>
      <c r="FN75" s="544"/>
      <c r="FO75" s="544"/>
      <c r="FP75" s="544"/>
      <c r="FQ75" s="544"/>
      <c r="FR75" s="544"/>
      <c r="FS75" s="544"/>
      <c r="FT75" s="544"/>
      <c r="FU75" s="544"/>
      <c r="FV75" s="544"/>
      <c r="FW75" s="544"/>
      <c r="FX75" s="544"/>
      <c r="FY75" s="544"/>
      <c r="FZ75" s="544"/>
      <c r="GA75" s="544"/>
      <c r="GB75" s="544"/>
      <c r="GC75" s="544"/>
      <c r="GD75" s="544"/>
      <c r="GE75" s="544"/>
      <c r="GF75" s="544"/>
      <c r="GG75" s="544"/>
      <c r="GH75" s="544"/>
      <c r="GI75" s="544"/>
      <c r="GJ75" s="544"/>
      <c r="GK75" s="544"/>
      <c r="GL75" s="544"/>
      <c r="GM75" s="544"/>
      <c r="GN75" s="544"/>
      <c r="GO75" s="544"/>
      <c r="GP75" s="544"/>
      <c r="GQ75" s="544"/>
      <c r="GR75" s="544"/>
      <c r="GS75" s="544"/>
      <c r="GT75" s="544"/>
      <c r="GU75" s="544"/>
      <c r="GV75" s="544"/>
      <c r="GW75" s="544"/>
      <c r="GX75" s="544"/>
      <c r="GY75" s="544"/>
      <c r="GZ75" s="544"/>
      <c r="HA75" s="544"/>
      <c r="HB75" s="544"/>
      <c r="HC75" s="544"/>
      <c r="HD75" s="544"/>
      <c r="HE75" s="544"/>
      <c r="HF75" s="544"/>
      <c r="HG75" s="544"/>
      <c r="HH75" s="544"/>
      <c r="HI75" s="544"/>
      <c r="HJ75" s="544"/>
      <c r="HK75" s="544"/>
      <c r="HL75" s="544"/>
      <c r="HM75" s="544"/>
      <c r="HN75" s="544"/>
      <c r="HO75" s="544"/>
      <c r="HP75" s="544"/>
      <c r="HQ75" s="544"/>
      <c r="HR75" s="544"/>
      <c r="HS75" s="544"/>
      <c r="HT75" s="544"/>
      <c r="HU75" s="544"/>
      <c r="HV75" s="544"/>
      <c r="HW75" s="544"/>
      <c r="HX75" s="544"/>
      <c r="HY75" s="544"/>
      <c r="HZ75" s="544"/>
      <c r="IA75" s="544"/>
      <c r="IB75" s="544"/>
      <c r="IC75" s="544"/>
      <c r="ID75" s="544"/>
      <c r="IE75" s="544"/>
      <c r="IF75" s="544"/>
      <c r="IG75" s="544"/>
      <c r="IH75" s="544"/>
      <c r="II75" s="544"/>
      <c r="IJ75" s="544"/>
      <c r="IK75" s="544"/>
      <c r="IL75" s="544"/>
      <c r="IM75" s="544"/>
      <c r="IN75" s="544"/>
      <c r="IO75" s="544"/>
      <c r="IP75" s="544"/>
      <c r="IQ75" s="544"/>
      <c r="IR75" s="544"/>
      <c r="IS75" s="544"/>
    </row>
    <row r="76" spans="1:253" ht="31" x14ac:dyDescent="0.35">
      <c r="A76" s="544"/>
      <c r="B76" s="1090" t="s">
        <v>649</v>
      </c>
      <c r="C76" s="881"/>
      <c r="E76" s="907"/>
      <c r="F76" s="908"/>
      <c r="G76" s="909"/>
      <c r="H76" s="913"/>
      <c r="I76" s="913"/>
      <c r="J76" s="544"/>
      <c r="K76" s="544"/>
      <c r="AA76" s="1089" t="s">
        <v>601</v>
      </c>
      <c r="AY76" s="544"/>
      <c r="AZ76" s="544"/>
      <c r="BA76" s="544"/>
      <c r="BB76" s="544"/>
      <c r="BC76" s="544"/>
      <c r="BD76" s="544"/>
      <c r="BE76" s="544"/>
      <c r="BF76" s="544"/>
      <c r="BG76" s="544"/>
      <c r="BH76" s="544"/>
      <c r="BI76" s="544"/>
      <c r="BJ76" s="544"/>
      <c r="BK76" s="544"/>
      <c r="BL76" s="544"/>
      <c r="BM76" s="544"/>
      <c r="BN76" s="544"/>
      <c r="BO76" s="544"/>
      <c r="BP76" s="544"/>
      <c r="BQ76" s="544"/>
      <c r="BR76" s="544"/>
      <c r="BS76" s="544"/>
      <c r="BT76" s="544"/>
      <c r="BU76" s="544"/>
      <c r="BV76" s="544"/>
      <c r="BW76" s="544"/>
      <c r="BX76" s="544"/>
      <c r="BY76" s="544"/>
      <c r="BZ76" s="544"/>
      <c r="CA76" s="544"/>
      <c r="CB76" s="544"/>
      <c r="CC76" s="544"/>
      <c r="CD76" s="544"/>
      <c r="CE76" s="544"/>
      <c r="CF76" s="544"/>
      <c r="CG76" s="544"/>
      <c r="CH76" s="544"/>
      <c r="CI76" s="544"/>
      <c r="CJ76" s="544"/>
      <c r="CK76" s="544"/>
      <c r="CL76" s="544"/>
      <c r="CM76" s="544"/>
      <c r="CN76" s="544"/>
      <c r="CO76" s="544"/>
      <c r="CP76" s="544"/>
      <c r="CQ76" s="544"/>
      <c r="CR76" s="544"/>
      <c r="CS76" s="544"/>
      <c r="CT76" s="544"/>
      <c r="CU76" s="544"/>
      <c r="CV76" s="544"/>
      <c r="CW76" s="544"/>
      <c r="CX76" s="544"/>
      <c r="CY76" s="544"/>
      <c r="CZ76" s="544"/>
      <c r="DA76" s="544"/>
      <c r="DB76" s="544"/>
      <c r="DC76" s="544"/>
      <c r="DD76" s="544"/>
      <c r="DE76" s="544"/>
      <c r="DF76" s="544"/>
      <c r="DG76" s="544"/>
      <c r="DH76" s="544"/>
      <c r="DI76" s="544"/>
      <c r="DJ76" s="544"/>
      <c r="DK76" s="544"/>
      <c r="DL76" s="544"/>
      <c r="DM76" s="544"/>
      <c r="DN76" s="544"/>
      <c r="DO76" s="544"/>
      <c r="DP76" s="544"/>
      <c r="DQ76" s="544"/>
      <c r="DR76" s="544"/>
      <c r="DS76" s="544"/>
      <c r="DT76" s="544"/>
      <c r="DU76" s="544"/>
      <c r="DV76" s="544"/>
      <c r="DW76" s="544"/>
      <c r="DX76" s="544"/>
      <c r="DY76" s="544"/>
      <c r="DZ76" s="544"/>
      <c r="EA76" s="544"/>
      <c r="EB76" s="544"/>
      <c r="EC76" s="544"/>
      <c r="ED76" s="544"/>
      <c r="EE76" s="544"/>
      <c r="EF76" s="544"/>
      <c r="EG76" s="544"/>
      <c r="EH76" s="544"/>
      <c r="EI76" s="544"/>
      <c r="EJ76" s="544"/>
      <c r="EK76" s="544"/>
      <c r="EL76" s="544"/>
      <c r="EM76" s="544"/>
      <c r="EN76" s="544"/>
      <c r="EO76" s="544"/>
      <c r="EP76" s="544"/>
      <c r="EQ76" s="544"/>
      <c r="ER76" s="544"/>
      <c r="ES76" s="544"/>
      <c r="ET76" s="544"/>
      <c r="EU76" s="544"/>
      <c r="EV76" s="544"/>
      <c r="EW76" s="544"/>
      <c r="EX76" s="544"/>
      <c r="EY76" s="544"/>
      <c r="EZ76" s="544"/>
      <c r="FA76" s="544"/>
      <c r="FB76" s="544"/>
      <c r="FC76" s="544"/>
      <c r="FD76" s="544"/>
      <c r="FE76" s="544"/>
      <c r="FF76" s="544"/>
      <c r="FG76" s="544"/>
      <c r="FH76" s="544"/>
      <c r="FI76" s="544"/>
      <c r="FJ76" s="544"/>
      <c r="FK76" s="544"/>
      <c r="FL76" s="544"/>
      <c r="FM76" s="544"/>
      <c r="FN76" s="544"/>
      <c r="FO76" s="544"/>
      <c r="FP76" s="544"/>
      <c r="FQ76" s="544"/>
      <c r="FR76" s="544"/>
      <c r="FS76" s="544"/>
      <c r="FT76" s="544"/>
      <c r="FU76" s="544"/>
      <c r="FV76" s="544"/>
      <c r="FW76" s="544"/>
      <c r="FX76" s="544"/>
      <c r="FY76" s="544"/>
      <c r="FZ76" s="544"/>
      <c r="GA76" s="544"/>
      <c r="GB76" s="544"/>
      <c r="GC76" s="544"/>
      <c r="GD76" s="544"/>
      <c r="GE76" s="544"/>
      <c r="GF76" s="544"/>
      <c r="GG76" s="544"/>
      <c r="GH76" s="544"/>
      <c r="GI76" s="544"/>
      <c r="GJ76" s="544"/>
      <c r="GK76" s="544"/>
      <c r="GL76" s="544"/>
      <c r="GM76" s="544"/>
      <c r="GN76" s="544"/>
      <c r="GO76" s="544"/>
      <c r="GP76" s="544"/>
      <c r="GQ76" s="544"/>
      <c r="GR76" s="544"/>
      <c r="GS76" s="544"/>
      <c r="GT76" s="544"/>
      <c r="GU76" s="544"/>
      <c r="GV76" s="544"/>
      <c r="GW76" s="544"/>
      <c r="GX76" s="544"/>
      <c r="GY76" s="544"/>
      <c r="GZ76" s="544"/>
      <c r="HA76" s="544"/>
      <c r="HB76" s="544"/>
      <c r="HC76" s="544"/>
      <c r="HD76" s="544"/>
      <c r="HE76" s="544"/>
      <c r="HF76" s="544"/>
      <c r="HG76" s="544"/>
      <c r="HH76" s="544"/>
      <c r="HI76" s="544"/>
      <c r="HJ76" s="544"/>
      <c r="HK76" s="544"/>
      <c r="HL76" s="544"/>
      <c r="HM76" s="544"/>
      <c r="HN76" s="544"/>
      <c r="HO76" s="544"/>
      <c r="HP76" s="544"/>
      <c r="HQ76" s="544"/>
      <c r="HR76" s="544"/>
      <c r="HS76" s="544"/>
      <c r="HT76" s="544"/>
      <c r="HU76" s="544"/>
      <c r="HV76" s="544"/>
      <c r="HW76" s="544"/>
      <c r="HX76" s="544"/>
      <c r="HY76" s="544"/>
      <c r="HZ76" s="544"/>
      <c r="IA76" s="544"/>
      <c r="IB76" s="544"/>
      <c r="IC76" s="544"/>
      <c r="ID76" s="544"/>
      <c r="IE76" s="544"/>
      <c r="IF76" s="544"/>
      <c r="IG76" s="544"/>
      <c r="IH76" s="544"/>
      <c r="II76" s="544"/>
      <c r="IJ76" s="544"/>
      <c r="IK76" s="544"/>
      <c r="IL76" s="544"/>
      <c r="IM76" s="544"/>
      <c r="IN76" s="544"/>
      <c r="IO76" s="544"/>
      <c r="IP76" s="544"/>
      <c r="IQ76" s="544"/>
      <c r="IR76" s="544"/>
      <c r="IS76" s="544"/>
    </row>
    <row r="77" spans="1:253" ht="31" x14ac:dyDescent="0.35">
      <c r="A77" s="544"/>
      <c r="B77" s="1090" t="s">
        <v>658</v>
      </c>
      <c r="C77" s="881"/>
      <c r="E77" s="907"/>
      <c r="F77" s="908"/>
      <c r="G77" s="909"/>
      <c r="H77" s="544"/>
      <c r="I77" s="544"/>
      <c r="J77" s="544"/>
      <c r="K77" s="544"/>
      <c r="AA77" s="1089" t="s">
        <v>601</v>
      </c>
      <c r="AY77" s="544"/>
      <c r="AZ77" s="544"/>
      <c r="BA77" s="544"/>
      <c r="BB77" s="544"/>
      <c r="BC77" s="544"/>
      <c r="BD77" s="544"/>
      <c r="BE77" s="544"/>
      <c r="BF77" s="544"/>
      <c r="BG77" s="544"/>
      <c r="BH77" s="544"/>
      <c r="BI77" s="544"/>
      <c r="BJ77" s="544"/>
      <c r="BK77" s="544"/>
      <c r="BL77" s="544"/>
      <c r="BM77" s="544"/>
      <c r="BN77" s="544"/>
      <c r="BO77" s="544"/>
      <c r="BP77" s="544"/>
      <c r="BQ77" s="544"/>
      <c r="BR77" s="544"/>
      <c r="BS77" s="544"/>
      <c r="BT77" s="544"/>
      <c r="BU77" s="544"/>
      <c r="BV77" s="544"/>
      <c r="BW77" s="544"/>
      <c r="BX77" s="544"/>
      <c r="BY77" s="544"/>
      <c r="BZ77" s="544"/>
      <c r="CA77" s="544"/>
      <c r="CB77" s="544"/>
      <c r="CC77" s="544"/>
      <c r="CD77" s="544"/>
      <c r="CE77" s="544"/>
      <c r="CF77" s="544"/>
      <c r="CG77" s="544"/>
      <c r="CH77" s="544"/>
      <c r="CI77" s="544"/>
      <c r="CJ77" s="544"/>
      <c r="CK77" s="544"/>
      <c r="CL77" s="544"/>
      <c r="CM77" s="544"/>
      <c r="CN77" s="544"/>
      <c r="CO77" s="544"/>
      <c r="CP77" s="544"/>
      <c r="CQ77" s="544"/>
      <c r="CR77" s="544"/>
      <c r="CS77" s="544"/>
      <c r="CT77" s="544"/>
      <c r="CU77" s="544"/>
      <c r="CV77" s="544"/>
      <c r="CW77" s="544"/>
      <c r="CX77" s="544"/>
      <c r="CY77" s="544"/>
      <c r="CZ77" s="544"/>
      <c r="DA77" s="544"/>
      <c r="DB77" s="544"/>
      <c r="DC77" s="544"/>
      <c r="DD77" s="544"/>
      <c r="DE77" s="544"/>
      <c r="DF77" s="544"/>
      <c r="DG77" s="544"/>
      <c r="DH77" s="544"/>
      <c r="DI77" s="544"/>
      <c r="DJ77" s="544"/>
      <c r="DK77" s="544"/>
      <c r="DL77" s="544"/>
      <c r="DM77" s="544"/>
      <c r="DN77" s="544"/>
      <c r="DO77" s="544"/>
      <c r="DP77" s="544"/>
      <c r="DQ77" s="544"/>
      <c r="DR77" s="544"/>
      <c r="DS77" s="544"/>
      <c r="DT77" s="544"/>
      <c r="DU77" s="544"/>
      <c r="DV77" s="544"/>
      <c r="DW77" s="544"/>
      <c r="DX77" s="544"/>
      <c r="DY77" s="544"/>
      <c r="DZ77" s="544"/>
      <c r="EA77" s="544"/>
      <c r="EB77" s="544"/>
      <c r="EC77" s="544"/>
      <c r="ED77" s="544"/>
      <c r="EE77" s="544"/>
      <c r="EF77" s="544"/>
      <c r="EG77" s="544"/>
      <c r="EH77" s="544"/>
      <c r="EI77" s="544"/>
      <c r="EJ77" s="544"/>
      <c r="EK77" s="544"/>
      <c r="EL77" s="544"/>
      <c r="EM77" s="544"/>
      <c r="EN77" s="544"/>
      <c r="EO77" s="544"/>
      <c r="EP77" s="544"/>
      <c r="EQ77" s="544"/>
      <c r="ER77" s="544"/>
      <c r="ES77" s="544"/>
      <c r="ET77" s="544"/>
      <c r="EU77" s="544"/>
      <c r="EV77" s="544"/>
      <c r="EW77" s="544"/>
      <c r="EX77" s="544"/>
      <c r="EY77" s="544"/>
      <c r="EZ77" s="544"/>
      <c r="FA77" s="544"/>
      <c r="FB77" s="544"/>
      <c r="FC77" s="544"/>
      <c r="FD77" s="544"/>
      <c r="FE77" s="544"/>
      <c r="FF77" s="544"/>
      <c r="FG77" s="544"/>
      <c r="FH77" s="544"/>
      <c r="FI77" s="544"/>
      <c r="FJ77" s="544"/>
      <c r="FK77" s="544"/>
      <c r="FL77" s="544"/>
      <c r="FM77" s="544"/>
      <c r="FN77" s="544"/>
      <c r="FO77" s="544"/>
      <c r="FP77" s="544"/>
      <c r="FQ77" s="544"/>
      <c r="FR77" s="544"/>
      <c r="FS77" s="544"/>
      <c r="FT77" s="544"/>
      <c r="FU77" s="544"/>
      <c r="FV77" s="544"/>
      <c r="FW77" s="544"/>
      <c r="FX77" s="544"/>
      <c r="FY77" s="544"/>
      <c r="FZ77" s="544"/>
      <c r="GA77" s="544"/>
      <c r="GB77" s="544"/>
      <c r="GC77" s="544"/>
      <c r="GD77" s="544"/>
      <c r="GE77" s="544"/>
      <c r="GF77" s="544"/>
      <c r="GG77" s="544"/>
      <c r="GH77" s="544"/>
      <c r="GI77" s="544"/>
      <c r="GJ77" s="544"/>
      <c r="GK77" s="544"/>
      <c r="GL77" s="544"/>
      <c r="GM77" s="544"/>
      <c r="GN77" s="544"/>
      <c r="GO77" s="544"/>
      <c r="GP77" s="544"/>
      <c r="GQ77" s="544"/>
      <c r="GR77" s="544"/>
      <c r="GS77" s="544"/>
      <c r="GT77" s="544"/>
      <c r="GU77" s="544"/>
      <c r="GV77" s="544"/>
      <c r="GW77" s="544"/>
      <c r="GX77" s="544"/>
      <c r="GY77" s="544"/>
      <c r="GZ77" s="544"/>
      <c r="HA77" s="544"/>
      <c r="HB77" s="544"/>
      <c r="HC77" s="544"/>
      <c r="HD77" s="544"/>
      <c r="HE77" s="544"/>
      <c r="HF77" s="544"/>
      <c r="HG77" s="544"/>
      <c r="HH77" s="544"/>
      <c r="HI77" s="544"/>
      <c r="HJ77" s="544"/>
      <c r="HK77" s="544"/>
      <c r="HL77" s="544"/>
      <c r="HM77" s="544"/>
      <c r="HN77" s="544"/>
      <c r="HO77" s="544"/>
      <c r="HP77" s="544"/>
      <c r="HQ77" s="544"/>
      <c r="HR77" s="544"/>
      <c r="HS77" s="544"/>
      <c r="HT77" s="544"/>
      <c r="HU77" s="544"/>
      <c r="HV77" s="544"/>
      <c r="HW77" s="544"/>
      <c r="HX77" s="544"/>
      <c r="HY77" s="544"/>
      <c r="HZ77" s="544"/>
      <c r="IA77" s="544"/>
      <c r="IB77" s="544"/>
      <c r="IC77" s="544"/>
      <c r="ID77" s="544"/>
      <c r="IE77" s="544"/>
      <c r="IF77" s="544"/>
      <c r="IG77" s="544"/>
      <c r="IH77" s="544"/>
      <c r="II77" s="544"/>
      <c r="IJ77" s="544"/>
      <c r="IK77" s="544"/>
      <c r="IL77" s="544"/>
      <c r="IM77" s="544"/>
      <c r="IN77" s="544"/>
      <c r="IO77" s="544"/>
      <c r="IP77" s="544"/>
      <c r="IQ77" s="544"/>
      <c r="IR77" s="544"/>
      <c r="IS77" s="544"/>
    </row>
    <row r="78" spans="1:253" ht="31" x14ac:dyDescent="0.35">
      <c r="A78" s="544"/>
      <c r="B78" s="1090" t="s">
        <v>651</v>
      </c>
      <c r="C78" s="881"/>
      <c r="E78" s="907"/>
      <c r="F78" s="908"/>
      <c r="G78" s="909"/>
      <c r="H78" s="544"/>
      <c r="I78" s="544"/>
      <c r="J78" s="544"/>
      <c r="K78" s="544"/>
      <c r="AA78" s="1089" t="s">
        <v>601</v>
      </c>
      <c r="AY78" s="544"/>
      <c r="AZ78" s="544"/>
      <c r="BA78" s="544"/>
      <c r="BB78" s="544"/>
      <c r="BC78" s="544"/>
      <c r="BD78" s="544"/>
      <c r="BE78" s="544"/>
      <c r="BF78" s="544"/>
      <c r="BG78" s="544"/>
      <c r="BH78" s="544"/>
      <c r="BI78" s="544"/>
      <c r="BJ78" s="544"/>
      <c r="BK78" s="544"/>
      <c r="BL78" s="544"/>
      <c r="BM78" s="544"/>
      <c r="BN78" s="544"/>
      <c r="BO78" s="544"/>
      <c r="BP78" s="544"/>
      <c r="BQ78" s="544"/>
      <c r="BR78" s="544"/>
      <c r="BS78" s="544"/>
      <c r="BT78" s="544"/>
      <c r="BU78" s="544"/>
      <c r="BV78" s="544"/>
      <c r="BW78" s="544"/>
      <c r="BX78" s="544"/>
      <c r="BY78" s="544"/>
      <c r="BZ78" s="544"/>
      <c r="CA78" s="544"/>
      <c r="CB78" s="544"/>
      <c r="CC78" s="544"/>
      <c r="CD78" s="544"/>
      <c r="CE78" s="544"/>
      <c r="CF78" s="544"/>
      <c r="CG78" s="544"/>
      <c r="CH78" s="544"/>
      <c r="CI78" s="544"/>
      <c r="CJ78" s="544"/>
      <c r="CK78" s="544"/>
      <c r="CL78" s="544"/>
      <c r="CM78" s="544"/>
      <c r="CN78" s="544"/>
      <c r="CO78" s="544"/>
      <c r="CP78" s="544"/>
      <c r="CQ78" s="544"/>
      <c r="CR78" s="544"/>
      <c r="CS78" s="544"/>
      <c r="CT78" s="544"/>
      <c r="CU78" s="544"/>
      <c r="CV78" s="544"/>
      <c r="CW78" s="544"/>
      <c r="CX78" s="544"/>
      <c r="CY78" s="544"/>
      <c r="CZ78" s="544"/>
      <c r="DA78" s="544"/>
      <c r="DB78" s="544"/>
      <c r="DC78" s="544"/>
      <c r="DD78" s="544"/>
      <c r="DE78" s="544"/>
      <c r="DF78" s="544"/>
      <c r="DG78" s="544"/>
      <c r="DH78" s="544"/>
      <c r="DI78" s="544"/>
      <c r="DJ78" s="544"/>
      <c r="DK78" s="544"/>
      <c r="DL78" s="544"/>
      <c r="DM78" s="544"/>
      <c r="DN78" s="544"/>
      <c r="DO78" s="544"/>
      <c r="DP78" s="544"/>
      <c r="DQ78" s="544"/>
      <c r="DR78" s="544"/>
      <c r="DS78" s="544"/>
      <c r="DT78" s="544"/>
      <c r="DU78" s="544"/>
      <c r="DV78" s="544"/>
      <c r="DW78" s="544"/>
      <c r="DX78" s="544"/>
      <c r="DY78" s="544"/>
      <c r="DZ78" s="544"/>
      <c r="EA78" s="544"/>
      <c r="EB78" s="544"/>
      <c r="EC78" s="544"/>
      <c r="ED78" s="544"/>
      <c r="EE78" s="544"/>
      <c r="EF78" s="544"/>
      <c r="EG78" s="544"/>
      <c r="EH78" s="544"/>
      <c r="EI78" s="544"/>
      <c r="EJ78" s="544"/>
      <c r="EK78" s="544"/>
      <c r="EL78" s="544"/>
      <c r="EM78" s="544"/>
      <c r="EN78" s="544"/>
      <c r="EO78" s="544"/>
      <c r="EP78" s="544"/>
      <c r="EQ78" s="544"/>
      <c r="ER78" s="544"/>
      <c r="ES78" s="544"/>
      <c r="ET78" s="544"/>
      <c r="EU78" s="544"/>
      <c r="EV78" s="544"/>
      <c r="EW78" s="544"/>
      <c r="EX78" s="544"/>
      <c r="EY78" s="544"/>
      <c r="EZ78" s="544"/>
      <c r="FA78" s="544"/>
      <c r="FB78" s="544"/>
      <c r="FC78" s="544"/>
      <c r="FD78" s="544"/>
      <c r="FE78" s="544"/>
      <c r="FF78" s="544"/>
      <c r="FG78" s="544"/>
      <c r="FH78" s="544"/>
      <c r="FI78" s="544"/>
      <c r="FJ78" s="544"/>
      <c r="FK78" s="544"/>
      <c r="FL78" s="544"/>
      <c r="FM78" s="544"/>
      <c r="FN78" s="544"/>
      <c r="FO78" s="544"/>
      <c r="FP78" s="544"/>
      <c r="FQ78" s="544"/>
      <c r="FR78" s="544"/>
      <c r="FS78" s="544"/>
      <c r="FT78" s="544"/>
      <c r="FU78" s="544"/>
      <c r="FV78" s="544"/>
      <c r="FW78" s="544"/>
      <c r="FX78" s="544"/>
      <c r="FY78" s="544"/>
      <c r="FZ78" s="544"/>
      <c r="GA78" s="544"/>
      <c r="GB78" s="544"/>
      <c r="GC78" s="544"/>
      <c r="GD78" s="544"/>
      <c r="GE78" s="544"/>
      <c r="GF78" s="544"/>
      <c r="GG78" s="544"/>
      <c r="GH78" s="544"/>
      <c r="GI78" s="544"/>
      <c r="GJ78" s="544"/>
      <c r="GK78" s="544"/>
      <c r="GL78" s="544"/>
      <c r="GM78" s="544"/>
      <c r="GN78" s="544"/>
      <c r="GO78" s="544"/>
      <c r="GP78" s="544"/>
      <c r="GQ78" s="544"/>
      <c r="GR78" s="544"/>
      <c r="GS78" s="544"/>
      <c r="GT78" s="544"/>
      <c r="GU78" s="544"/>
      <c r="GV78" s="544"/>
      <c r="GW78" s="544"/>
      <c r="GX78" s="544"/>
      <c r="GY78" s="544"/>
      <c r="GZ78" s="544"/>
      <c r="HA78" s="544"/>
      <c r="HB78" s="544"/>
      <c r="HC78" s="544"/>
      <c r="HD78" s="544"/>
      <c r="HE78" s="544"/>
      <c r="HF78" s="544"/>
      <c r="HG78" s="544"/>
      <c r="HH78" s="544"/>
      <c r="HI78" s="544"/>
      <c r="HJ78" s="544"/>
      <c r="HK78" s="544"/>
      <c r="HL78" s="544"/>
      <c r="HM78" s="544"/>
      <c r="HN78" s="544"/>
      <c r="HO78" s="544"/>
      <c r="HP78" s="544"/>
      <c r="HQ78" s="544"/>
      <c r="HR78" s="544"/>
      <c r="HS78" s="544"/>
      <c r="HT78" s="544"/>
      <c r="HU78" s="544"/>
      <c r="HV78" s="544"/>
      <c r="HW78" s="544"/>
      <c r="HX78" s="544"/>
      <c r="HY78" s="544"/>
      <c r="HZ78" s="544"/>
      <c r="IA78" s="544"/>
      <c r="IB78" s="544"/>
      <c r="IC78" s="544"/>
      <c r="ID78" s="544"/>
      <c r="IE78" s="544"/>
      <c r="IF78" s="544"/>
      <c r="IG78" s="544"/>
      <c r="IH78" s="544"/>
      <c r="II78" s="544"/>
      <c r="IJ78" s="544"/>
      <c r="IK78" s="544"/>
      <c r="IL78" s="544"/>
      <c r="IM78" s="544"/>
      <c r="IN78" s="544"/>
      <c r="IO78" s="544"/>
      <c r="IP78" s="544"/>
      <c r="IQ78" s="544"/>
      <c r="IR78" s="544"/>
      <c r="IS78" s="544"/>
    </row>
    <row r="79" spans="1:253" ht="31" x14ac:dyDescent="0.35">
      <c r="A79" s="544"/>
      <c r="B79" s="1090" t="s">
        <v>652</v>
      </c>
      <c r="C79" s="881"/>
      <c r="E79" s="907"/>
      <c r="F79" s="908"/>
      <c r="G79" s="909"/>
      <c r="H79" s="544"/>
      <c r="I79" s="544"/>
      <c r="J79" s="544"/>
      <c r="K79" s="544"/>
      <c r="AA79" s="1089" t="s">
        <v>601</v>
      </c>
      <c r="AY79" s="544"/>
      <c r="AZ79" s="544"/>
      <c r="BA79" s="544"/>
      <c r="BB79" s="544"/>
      <c r="BC79" s="544"/>
      <c r="BD79" s="544"/>
      <c r="BE79" s="544"/>
      <c r="BF79" s="544"/>
      <c r="BG79" s="544"/>
      <c r="BH79" s="544"/>
      <c r="BI79" s="544"/>
      <c r="BJ79" s="544"/>
      <c r="BK79" s="544"/>
      <c r="BL79" s="544"/>
      <c r="BM79" s="544"/>
      <c r="BN79" s="544"/>
      <c r="BO79" s="544"/>
      <c r="BP79" s="544"/>
      <c r="BQ79" s="544"/>
      <c r="BR79" s="544"/>
      <c r="BS79" s="544"/>
      <c r="BT79" s="544"/>
      <c r="BU79" s="544"/>
      <c r="BV79" s="544"/>
      <c r="BW79" s="544"/>
      <c r="BX79" s="544"/>
      <c r="BY79" s="544"/>
      <c r="BZ79" s="544"/>
      <c r="CA79" s="544"/>
      <c r="CB79" s="544"/>
      <c r="CC79" s="544"/>
      <c r="CD79" s="544"/>
      <c r="CE79" s="544"/>
      <c r="CF79" s="544"/>
      <c r="CG79" s="544"/>
      <c r="CH79" s="544"/>
      <c r="CI79" s="544"/>
      <c r="CJ79" s="544"/>
      <c r="CK79" s="544"/>
      <c r="CL79" s="544"/>
      <c r="CM79" s="544"/>
      <c r="CN79" s="544"/>
      <c r="CO79" s="544"/>
      <c r="CP79" s="544"/>
      <c r="CQ79" s="544"/>
      <c r="CR79" s="544"/>
      <c r="CS79" s="544"/>
      <c r="CT79" s="544"/>
      <c r="CU79" s="544"/>
      <c r="CV79" s="544"/>
      <c r="CW79" s="544"/>
      <c r="CX79" s="544"/>
      <c r="CY79" s="544"/>
      <c r="CZ79" s="544"/>
      <c r="DA79" s="544"/>
      <c r="DB79" s="544"/>
      <c r="DC79" s="544"/>
      <c r="DD79" s="544"/>
      <c r="DE79" s="544"/>
      <c r="DF79" s="544"/>
      <c r="DG79" s="544"/>
      <c r="DH79" s="544"/>
      <c r="DI79" s="544"/>
      <c r="DJ79" s="544"/>
      <c r="DK79" s="544"/>
      <c r="DL79" s="544"/>
      <c r="DM79" s="544"/>
      <c r="DN79" s="544"/>
      <c r="DO79" s="544"/>
      <c r="DP79" s="544"/>
      <c r="DQ79" s="544"/>
      <c r="DR79" s="544"/>
      <c r="DS79" s="544"/>
      <c r="DT79" s="544"/>
      <c r="DU79" s="544"/>
      <c r="DV79" s="544"/>
      <c r="DW79" s="544"/>
      <c r="DX79" s="544"/>
      <c r="DY79" s="544"/>
      <c r="DZ79" s="544"/>
      <c r="EA79" s="544"/>
      <c r="EB79" s="544"/>
      <c r="EC79" s="544"/>
      <c r="ED79" s="544"/>
      <c r="EE79" s="544"/>
      <c r="EF79" s="544"/>
      <c r="EG79" s="544"/>
      <c r="EH79" s="544"/>
      <c r="EI79" s="544"/>
      <c r="EJ79" s="544"/>
      <c r="EK79" s="544"/>
      <c r="EL79" s="544"/>
      <c r="EM79" s="544"/>
      <c r="EN79" s="544"/>
      <c r="EO79" s="544"/>
      <c r="EP79" s="544"/>
      <c r="EQ79" s="544"/>
      <c r="ER79" s="544"/>
      <c r="ES79" s="544"/>
      <c r="ET79" s="544"/>
      <c r="EU79" s="544"/>
      <c r="EV79" s="544"/>
      <c r="EW79" s="544"/>
      <c r="EX79" s="544"/>
      <c r="EY79" s="544"/>
      <c r="EZ79" s="544"/>
      <c r="FA79" s="544"/>
      <c r="FB79" s="544"/>
      <c r="FC79" s="544"/>
      <c r="FD79" s="544"/>
      <c r="FE79" s="544"/>
      <c r="FF79" s="544"/>
      <c r="FG79" s="544"/>
      <c r="FH79" s="544"/>
      <c r="FI79" s="544"/>
      <c r="FJ79" s="544"/>
      <c r="FK79" s="544"/>
      <c r="FL79" s="544"/>
      <c r="FM79" s="544"/>
      <c r="FN79" s="544"/>
      <c r="FO79" s="544"/>
      <c r="FP79" s="544"/>
      <c r="FQ79" s="544"/>
      <c r="FR79" s="544"/>
      <c r="FS79" s="544"/>
      <c r="FT79" s="544"/>
      <c r="FU79" s="544"/>
      <c r="FV79" s="544"/>
      <c r="FW79" s="544"/>
      <c r="FX79" s="544"/>
      <c r="FY79" s="544"/>
      <c r="FZ79" s="544"/>
      <c r="GA79" s="544"/>
      <c r="GB79" s="544"/>
      <c r="GC79" s="544"/>
      <c r="GD79" s="544"/>
      <c r="GE79" s="544"/>
      <c r="GF79" s="544"/>
      <c r="GG79" s="544"/>
      <c r="GH79" s="544"/>
      <c r="GI79" s="544"/>
      <c r="GJ79" s="544"/>
      <c r="GK79" s="544"/>
      <c r="GL79" s="544"/>
      <c r="GM79" s="544"/>
      <c r="GN79" s="544"/>
      <c r="GO79" s="544"/>
      <c r="GP79" s="544"/>
      <c r="GQ79" s="544"/>
      <c r="GR79" s="544"/>
      <c r="GS79" s="544"/>
      <c r="GT79" s="544"/>
      <c r="GU79" s="544"/>
      <c r="GV79" s="544"/>
      <c r="GW79" s="544"/>
      <c r="GX79" s="544"/>
      <c r="GY79" s="544"/>
      <c r="GZ79" s="544"/>
      <c r="HA79" s="544"/>
      <c r="HB79" s="544"/>
      <c r="HC79" s="544"/>
      <c r="HD79" s="544"/>
      <c r="HE79" s="544"/>
      <c r="HF79" s="544"/>
      <c r="HG79" s="544"/>
      <c r="HH79" s="544"/>
      <c r="HI79" s="544"/>
      <c r="HJ79" s="544"/>
      <c r="HK79" s="544"/>
      <c r="HL79" s="544"/>
      <c r="HM79" s="544"/>
      <c r="HN79" s="544"/>
      <c r="HO79" s="544"/>
      <c r="HP79" s="544"/>
      <c r="HQ79" s="544"/>
      <c r="HR79" s="544"/>
      <c r="HS79" s="544"/>
      <c r="HT79" s="544"/>
      <c r="HU79" s="544"/>
      <c r="HV79" s="544"/>
      <c r="HW79" s="544"/>
      <c r="HX79" s="544"/>
      <c r="HY79" s="544"/>
      <c r="HZ79" s="544"/>
      <c r="IA79" s="544"/>
      <c r="IB79" s="544"/>
      <c r="IC79" s="544"/>
      <c r="ID79" s="544"/>
      <c r="IE79" s="544"/>
      <c r="IF79" s="544"/>
      <c r="IG79" s="544"/>
      <c r="IH79" s="544"/>
      <c r="II79" s="544"/>
      <c r="IJ79" s="544"/>
      <c r="IK79" s="544"/>
      <c r="IL79" s="544"/>
      <c r="IM79" s="544"/>
      <c r="IN79" s="544"/>
      <c r="IO79" s="544"/>
      <c r="IP79" s="544"/>
      <c r="IQ79" s="544"/>
      <c r="IR79" s="544"/>
      <c r="IS79" s="544"/>
    </row>
    <row r="80" spans="1:253" ht="31" x14ac:dyDescent="0.35">
      <c r="A80" s="544"/>
      <c r="B80" s="1090" t="s">
        <v>653</v>
      </c>
      <c r="C80" s="881"/>
      <c r="E80" s="907"/>
      <c r="F80" s="908"/>
      <c r="G80" s="909"/>
      <c r="H80" s="544"/>
      <c r="I80" s="544"/>
      <c r="J80" s="544"/>
      <c r="K80" s="544"/>
      <c r="AA80" s="1089" t="s">
        <v>601</v>
      </c>
      <c r="AY80" s="544"/>
      <c r="AZ80" s="544"/>
      <c r="BA80" s="544"/>
      <c r="BB80" s="544"/>
      <c r="BC80" s="544"/>
      <c r="BD80" s="544"/>
      <c r="BE80" s="544"/>
      <c r="BF80" s="544"/>
      <c r="BG80" s="544"/>
      <c r="BH80" s="544"/>
      <c r="BI80" s="544"/>
      <c r="BJ80" s="544"/>
      <c r="BK80" s="544"/>
      <c r="BL80" s="544"/>
      <c r="BM80" s="544"/>
      <c r="BN80" s="544"/>
      <c r="BO80" s="544"/>
      <c r="BP80" s="544"/>
      <c r="BQ80" s="544"/>
      <c r="BR80" s="544"/>
      <c r="BS80" s="544"/>
      <c r="BT80" s="544"/>
      <c r="BU80" s="544"/>
      <c r="BV80" s="544"/>
      <c r="BW80" s="544"/>
      <c r="BX80" s="544"/>
      <c r="BY80" s="544"/>
      <c r="BZ80" s="544"/>
      <c r="CA80" s="544"/>
      <c r="CB80" s="544"/>
      <c r="CC80" s="544"/>
      <c r="CD80" s="544"/>
      <c r="CE80" s="544"/>
      <c r="CF80" s="544"/>
      <c r="CG80" s="544"/>
      <c r="CH80" s="544"/>
      <c r="CI80" s="544"/>
      <c r="CJ80" s="544"/>
      <c r="CK80" s="544"/>
      <c r="CL80" s="544"/>
      <c r="CM80" s="544"/>
      <c r="CN80" s="544"/>
      <c r="CO80" s="544"/>
      <c r="CP80" s="544"/>
      <c r="CQ80" s="544"/>
      <c r="CR80" s="544"/>
      <c r="CS80" s="544"/>
      <c r="CT80" s="544"/>
      <c r="CU80" s="544"/>
      <c r="CV80" s="544"/>
      <c r="CW80" s="544"/>
      <c r="CX80" s="544"/>
      <c r="CY80" s="544"/>
      <c r="CZ80" s="544"/>
      <c r="DA80" s="544"/>
      <c r="DB80" s="544"/>
      <c r="DC80" s="544"/>
      <c r="DD80" s="544"/>
      <c r="DE80" s="544"/>
      <c r="DF80" s="544"/>
      <c r="DG80" s="544"/>
      <c r="DH80" s="544"/>
      <c r="DI80" s="544"/>
      <c r="DJ80" s="544"/>
      <c r="DK80" s="544"/>
      <c r="DL80" s="544"/>
      <c r="DM80" s="544"/>
      <c r="DN80" s="544"/>
      <c r="DO80" s="544"/>
      <c r="DP80" s="544"/>
      <c r="DQ80" s="544"/>
      <c r="DR80" s="544"/>
      <c r="DS80" s="544"/>
      <c r="DT80" s="544"/>
      <c r="DU80" s="544"/>
      <c r="DV80" s="544"/>
      <c r="DW80" s="544"/>
      <c r="DX80" s="544"/>
      <c r="DY80" s="544"/>
      <c r="DZ80" s="544"/>
      <c r="EA80" s="544"/>
      <c r="EB80" s="544"/>
      <c r="EC80" s="544"/>
      <c r="ED80" s="544"/>
      <c r="EE80" s="544"/>
      <c r="EF80" s="544"/>
      <c r="EG80" s="544"/>
      <c r="EH80" s="544"/>
      <c r="EI80" s="544"/>
      <c r="EJ80" s="544"/>
      <c r="EK80" s="544"/>
      <c r="EL80" s="544"/>
      <c r="EM80" s="544"/>
      <c r="EN80" s="544"/>
      <c r="EO80" s="544"/>
      <c r="EP80" s="544"/>
      <c r="EQ80" s="544"/>
      <c r="ER80" s="544"/>
      <c r="ES80" s="544"/>
      <c r="ET80" s="544"/>
      <c r="EU80" s="544"/>
      <c r="EV80" s="544"/>
      <c r="EW80" s="544"/>
      <c r="EX80" s="544"/>
      <c r="EY80" s="544"/>
      <c r="EZ80" s="544"/>
      <c r="FA80" s="544"/>
      <c r="FB80" s="544"/>
      <c r="FC80" s="544"/>
      <c r="FD80" s="544"/>
      <c r="FE80" s="544"/>
      <c r="FF80" s="544"/>
      <c r="FG80" s="544"/>
      <c r="FH80" s="544"/>
      <c r="FI80" s="544"/>
      <c r="FJ80" s="544"/>
      <c r="FK80" s="544"/>
      <c r="FL80" s="544"/>
      <c r="FM80" s="544"/>
      <c r="FN80" s="544"/>
      <c r="FO80" s="544"/>
      <c r="FP80" s="544"/>
      <c r="FQ80" s="544"/>
      <c r="FR80" s="544"/>
      <c r="FS80" s="544"/>
      <c r="FT80" s="544"/>
      <c r="FU80" s="544"/>
      <c r="FV80" s="544"/>
      <c r="FW80" s="544"/>
      <c r="FX80" s="544"/>
      <c r="FY80" s="544"/>
      <c r="FZ80" s="544"/>
      <c r="GA80" s="544"/>
      <c r="GB80" s="544"/>
      <c r="GC80" s="544"/>
      <c r="GD80" s="544"/>
      <c r="GE80" s="544"/>
      <c r="GF80" s="544"/>
      <c r="GG80" s="544"/>
      <c r="GH80" s="544"/>
      <c r="GI80" s="544"/>
      <c r="GJ80" s="544"/>
      <c r="GK80" s="544"/>
      <c r="GL80" s="544"/>
      <c r="GM80" s="544"/>
      <c r="GN80" s="544"/>
      <c r="GO80" s="544"/>
      <c r="GP80" s="544"/>
      <c r="GQ80" s="544"/>
      <c r="GR80" s="544"/>
      <c r="GS80" s="544"/>
      <c r="GT80" s="544"/>
      <c r="GU80" s="544"/>
      <c r="GV80" s="544"/>
      <c r="GW80" s="544"/>
      <c r="GX80" s="544"/>
      <c r="GY80" s="544"/>
      <c r="GZ80" s="544"/>
      <c r="HA80" s="544"/>
      <c r="HB80" s="544"/>
      <c r="HC80" s="544"/>
      <c r="HD80" s="544"/>
      <c r="HE80" s="544"/>
      <c r="HF80" s="544"/>
      <c r="HG80" s="544"/>
      <c r="HH80" s="544"/>
      <c r="HI80" s="544"/>
      <c r="HJ80" s="544"/>
      <c r="HK80" s="544"/>
      <c r="HL80" s="544"/>
      <c r="HM80" s="544"/>
      <c r="HN80" s="544"/>
      <c r="HO80" s="544"/>
      <c r="HP80" s="544"/>
      <c r="HQ80" s="544"/>
      <c r="HR80" s="544"/>
      <c r="HS80" s="544"/>
      <c r="HT80" s="544"/>
      <c r="HU80" s="544"/>
      <c r="HV80" s="544"/>
      <c r="HW80" s="544"/>
      <c r="HX80" s="544"/>
      <c r="HY80" s="544"/>
      <c r="HZ80" s="544"/>
      <c r="IA80" s="544"/>
      <c r="IB80" s="544"/>
      <c r="IC80" s="544"/>
      <c r="ID80" s="544"/>
      <c r="IE80" s="544"/>
      <c r="IF80" s="544"/>
      <c r="IG80" s="544"/>
      <c r="IH80" s="544"/>
      <c r="II80" s="544"/>
      <c r="IJ80" s="544"/>
      <c r="IK80" s="544"/>
      <c r="IL80" s="544"/>
      <c r="IM80" s="544"/>
      <c r="IN80" s="544"/>
      <c r="IO80" s="544"/>
      <c r="IP80" s="544"/>
      <c r="IQ80" s="544"/>
      <c r="IR80" s="544"/>
      <c r="IS80" s="544"/>
    </row>
    <row r="81" spans="1:253" ht="31" x14ac:dyDescent="0.35">
      <c r="A81" s="544"/>
      <c r="B81" s="1090" t="s">
        <v>654</v>
      </c>
      <c r="C81" s="881"/>
      <c r="E81" s="907"/>
      <c r="F81" s="908"/>
      <c r="G81" s="909"/>
      <c r="H81" s="544"/>
      <c r="I81" s="544"/>
      <c r="J81" s="544"/>
      <c r="K81" s="544"/>
      <c r="AA81" s="1089" t="s">
        <v>601</v>
      </c>
      <c r="AY81" s="544"/>
      <c r="AZ81" s="544"/>
      <c r="BA81" s="544"/>
      <c r="BB81" s="544"/>
      <c r="BC81" s="544"/>
      <c r="BD81" s="544"/>
      <c r="BE81" s="544"/>
      <c r="BF81" s="544"/>
      <c r="BG81" s="544"/>
      <c r="BH81" s="544"/>
      <c r="BI81" s="544"/>
      <c r="BJ81" s="544"/>
      <c r="BK81" s="544"/>
      <c r="BL81" s="544"/>
      <c r="BM81" s="544"/>
      <c r="BN81" s="544"/>
      <c r="BO81" s="544"/>
      <c r="BP81" s="544"/>
      <c r="BQ81" s="544"/>
      <c r="BR81" s="544"/>
      <c r="BS81" s="544"/>
      <c r="BT81" s="544"/>
      <c r="BU81" s="544"/>
      <c r="BV81" s="544"/>
      <c r="BW81" s="544"/>
      <c r="BX81" s="544"/>
      <c r="BY81" s="544"/>
      <c r="BZ81" s="544"/>
      <c r="CA81" s="544"/>
      <c r="CB81" s="544"/>
      <c r="CC81" s="544"/>
      <c r="CD81" s="544"/>
      <c r="CE81" s="544"/>
      <c r="CF81" s="544"/>
      <c r="CG81" s="544"/>
      <c r="CH81" s="544"/>
      <c r="CI81" s="544"/>
      <c r="CJ81" s="544"/>
      <c r="CK81" s="544"/>
      <c r="CL81" s="544"/>
      <c r="CM81" s="544"/>
      <c r="CN81" s="544"/>
      <c r="CO81" s="544"/>
      <c r="CP81" s="544"/>
      <c r="CQ81" s="544"/>
      <c r="CR81" s="544"/>
      <c r="CS81" s="544"/>
      <c r="CT81" s="544"/>
      <c r="CU81" s="544"/>
      <c r="CV81" s="544"/>
      <c r="CW81" s="544"/>
      <c r="CX81" s="544"/>
      <c r="CY81" s="544"/>
      <c r="CZ81" s="544"/>
      <c r="DA81" s="544"/>
      <c r="DB81" s="544"/>
      <c r="DC81" s="544"/>
      <c r="DD81" s="544"/>
      <c r="DE81" s="544"/>
      <c r="DF81" s="544"/>
      <c r="DG81" s="544"/>
      <c r="DH81" s="544"/>
      <c r="DI81" s="544"/>
      <c r="DJ81" s="544"/>
      <c r="DK81" s="544"/>
      <c r="DL81" s="544"/>
      <c r="DM81" s="544"/>
      <c r="DN81" s="544"/>
      <c r="DO81" s="544"/>
      <c r="DP81" s="544"/>
      <c r="DQ81" s="544"/>
      <c r="DR81" s="544"/>
      <c r="DS81" s="544"/>
      <c r="DT81" s="544"/>
      <c r="DU81" s="544"/>
      <c r="DV81" s="544"/>
      <c r="DW81" s="544"/>
      <c r="DX81" s="544"/>
      <c r="DY81" s="544"/>
      <c r="DZ81" s="544"/>
      <c r="EA81" s="544"/>
      <c r="EB81" s="544"/>
      <c r="EC81" s="544"/>
      <c r="ED81" s="544"/>
      <c r="EE81" s="544"/>
      <c r="EF81" s="544"/>
      <c r="EG81" s="544"/>
      <c r="EH81" s="544"/>
      <c r="EI81" s="544"/>
      <c r="EJ81" s="544"/>
      <c r="EK81" s="544"/>
      <c r="EL81" s="544"/>
      <c r="EM81" s="544"/>
      <c r="EN81" s="544"/>
      <c r="EO81" s="544"/>
      <c r="EP81" s="544"/>
      <c r="EQ81" s="544"/>
      <c r="ER81" s="544"/>
      <c r="ES81" s="544"/>
      <c r="ET81" s="544"/>
      <c r="EU81" s="544"/>
      <c r="EV81" s="544"/>
      <c r="EW81" s="544"/>
      <c r="EX81" s="544"/>
      <c r="EY81" s="544"/>
      <c r="EZ81" s="544"/>
      <c r="FA81" s="544"/>
      <c r="FB81" s="544"/>
      <c r="FC81" s="544"/>
      <c r="FD81" s="544"/>
      <c r="FE81" s="544"/>
      <c r="FF81" s="544"/>
      <c r="FG81" s="544"/>
      <c r="FH81" s="544"/>
      <c r="FI81" s="544"/>
      <c r="FJ81" s="544"/>
      <c r="FK81" s="544"/>
      <c r="FL81" s="544"/>
      <c r="FM81" s="544"/>
      <c r="FN81" s="544"/>
      <c r="FO81" s="544"/>
      <c r="FP81" s="544"/>
      <c r="FQ81" s="544"/>
      <c r="FR81" s="544"/>
      <c r="FS81" s="544"/>
      <c r="FT81" s="544"/>
      <c r="FU81" s="544"/>
      <c r="FV81" s="544"/>
      <c r="FW81" s="544"/>
      <c r="FX81" s="544"/>
      <c r="FY81" s="544"/>
      <c r="FZ81" s="544"/>
      <c r="GA81" s="544"/>
      <c r="GB81" s="544"/>
      <c r="GC81" s="544"/>
      <c r="GD81" s="544"/>
      <c r="GE81" s="544"/>
      <c r="GF81" s="544"/>
      <c r="GG81" s="544"/>
      <c r="GH81" s="544"/>
      <c r="GI81" s="544"/>
      <c r="GJ81" s="544"/>
      <c r="GK81" s="544"/>
      <c r="GL81" s="544"/>
      <c r="GM81" s="544"/>
      <c r="GN81" s="544"/>
      <c r="GO81" s="544"/>
      <c r="GP81" s="544"/>
      <c r="GQ81" s="544"/>
      <c r="GR81" s="544"/>
      <c r="GS81" s="544"/>
      <c r="GT81" s="544"/>
      <c r="GU81" s="544"/>
      <c r="GV81" s="544"/>
      <c r="GW81" s="544"/>
      <c r="GX81" s="544"/>
      <c r="GY81" s="544"/>
      <c r="GZ81" s="544"/>
      <c r="HA81" s="544"/>
      <c r="HB81" s="544"/>
      <c r="HC81" s="544"/>
      <c r="HD81" s="544"/>
      <c r="HE81" s="544"/>
      <c r="HF81" s="544"/>
      <c r="HG81" s="544"/>
      <c r="HH81" s="544"/>
      <c r="HI81" s="544"/>
      <c r="HJ81" s="544"/>
      <c r="HK81" s="544"/>
      <c r="HL81" s="544"/>
      <c r="HM81" s="544"/>
      <c r="HN81" s="544"/>
      <c r="HO81" s="544"/>
      <c r="HP81" s="544"/>
      <c r="HQ81" s="544"/>
      <c r="HR81" s="544"/>
      <c r="HS81" s="544"/>
      <c r="HT81" s="544"/>
      <c r="HU81" s="544"/>
      <c r="HV81" s="544"/>
      <c r="HW81" s="544"/>
      <c r="HX81" s="544"/>
      <c r="HY81" s="544"/>
      <c r="HZ81" s="544"/>
      <c r="IA81" s="544"/>
      <c r="IB81" s="544"/>
      <c r="IC81" s="544"/>
      <c r="ID81" s="544"/>
      <c r="IE81" s="544"/>
      <c r="IF81" s="544"/>
      <c r="IG81" s="544"/>
      <c r="IH81" s="544"/>
      <c r="II81" s="544"/>
      <c r="IJ81" s="544"/>
      <c r="IK81" s="544"/>
      <c r="IL81" s="544"/>
      <c r="IM81" s="544"/>
      <c r="IN81" s="544"/>
      <c r="IO81" s="544"/>
      <c r="IP81" s="544"/>
      <c r="IQ81" s="544"/>
      <c r="IR81" s="544"/>
      <c r="IS81" s="544"/>
    </row>
    <row r="82" spans="1:253" s="544" customFormat="1" ht="17.149999999999999" customHeight="1" x14ac:dyDescent="0.35">
      <c r="B82" s="601"/>
      <c r="C82" s="601"/>
      <c r="D82" s="523"/>
    </row>
    <row r="83" spans="1:253" s="544" customFormat="1" ht="17.149999999999999" customHeight="1" x14ac:dyDescent="0.35">
      <c r="B83" s="572"/>
      <c r="C83" s="572"/>
    </row>
    <row r="84" spans="1:253" s="544" customFormat="1" ht="17.149999999999999" customHeight="1" x14ac:dyDescent="0.35">
      <c r="B84" s="695" t="s">
        <v>45</v>
      </c>
      <c r="C84" s="696"/>
      <c r="D84" s="697"/>
      <c r="E84" s="697"/>
      <c r="F84" s="697"/>
      <c r="G84" s="697"/>
      <c r="H84" s="697"/>
      <c r="I84" s="697"/>
    </row>
    <row r="85" spans="1:253" s="544" customFormat="1" ht="17.149999999999999" customHeight="1" x14ac:dyDescent="0.35">
      <c r="B85" s="572"/>
      <c r="C85" s="572"/>
    </row>
    <row r="86" spans="1:253" s="544" customFormat="1" ht="17.149999999999999" customHeight="1" x14ac:dyDescent="0.35">
      <c r="B86" s="592" t="s">
        <v>665</v>
      </c>
      <c r="C86" s="1091"/>
      <c r="D86" s="679"/>
    </row>
    <row r="87" spans="1:253" ht="28" customHeight="1" x14ac:dyDescent="0.35">
      <c r="A87" s="544"/>
      <c r="B87" s="1484" t="s">
        <v>594</v>
      </c>
      <c r="C87" s="684" t="s">
        <v>607</v>
      </c>
      <c r="E87" s="667" t="s">
        <v>521</v>
      </c>
      <c r="F87" s="1480"/>
      <c r="G87" s="1481"/>
      <c r="H87" s="1474" t="s">
        <v>656</v>
      </c>
      <c r="I87" s="1474" t="s">
        <v>645</v>
      </c>
      <c r="J87" s="544"/>
      <c r="K87" s="544"/>
      <c r="AY87" s="544"/>
      <c r="AZ87" s="544"/>
      <c r="BA87" s="544"/>
      <c r="BB87" s="544"/>
      <c r="BC87" s="544"/>
      <c r="BD87" s="544"/>
      <c r="BE87" s="544"/>
      <c r="BF87" s="544"/>
      <c r="BG87" s="544"/>
      <c r="BH87" s="544"/>
      <c r="BI87" s="544"/>
      <c r="BJ87" s="544"/>
      <c r="BK87" s="544"/>
      <c r="BL87" s="544"/>
      <c r="BM87" s="544"/>
      <c r="BN87" s="544"/>
      <c r="BO87" s="544"/>
      <c r="BP87" s="544"/>
      <c r="BQ87" s="544"/>
      <c r="BR87" s="544"/>
      <c r="BS87" s="544"/>
      <c r="BT87" s="544"/>
      <c r="BU87" s="544"/>
      <c r="BV87" s="544"/>
      <c r="BW87" s="544"/>
      <c r="BX87" s="544"/>
      <c r="BY87" s="544"/>
      <c r="BZ87" s="544"/>
      <c r="CA87" s="544"/>
      <c r="CB87" s="544"/>
      <c r="CC87" s="544"/>
      <c r="CD87" s="544"/>
      <c r="CE87" s="544"/>
      <c r="CF87" s="544"/>
      <c r="CG87" s="544"/>
      <c r="CH87" s="544"/>
      <c r="CI87" s="544"/>
      <c r="CJ87" s="544"/>
      <c r="CK87" s="544"/>
      <c r="CL87" s="544"/>
      <c r="CM87" s="544"/>
      <c r="CN87" s="544"/>
      <c r="CO87" s="544"/>
      <c r="CP87" s="544"/>
      <c r="CQ87" s="544"/>
      <c r="CR87" s="544"/>
      <c r="CS87" s="544"/>
      <c r="CT87" s="544"/>
      <c r="CU87" s="544"/>
      <c r="CV87" s="544"/>
      <c r="CW87" s="544"/>
      <c r="CX87" s="544"/>
      <c r="CY87" s="544"/>
      <c r="CZ87" s="544"/>
      <c r="DA87" s="544"/>
      <c r="DB87" s="544"/>
      <c r="DC87" s="544"/>
      <c r="DD87" s="544"/>
      <c r="DE87" s="544"/>
      <c r="DF87" s="544"/>
      <c r="DG87" s="544"/>
      <c r="DH87" s="544"/>
      <c r="DI87" s="544"/>
      <c r="DJ87" s="544"/>
      <c r="DK87" s="544"/>
      <c r="DL87" s="544"/>
      <c r="DM87" s="544"/>
      <c r="DN87" s="544"/>
      <c r="DO87" s="544"/>
      <c r="DP87" s="544"/>
      <c r="DQ87" s="544"/>
      <c r="DR87" s="544"/>
      <c r="DS87" s="544"/>
      <c r="DT87" s="544"/>
      <c r="DU87" s="544"/>
      <c r="DV87" s="544"/>
      <c r="DW87" s="544"/>
      <c r="DX87" s="544"/>
      <c r="DY87" s="544"/>
      <c r="DZ87" s="544"/>
      <c r="EA87" s="544"/>
      <c r="EB87" s="544"/>
      <c r="EC87" s="544"/>
      <c r="ED87" s="544"/>
      <c r="EE87" s="544"/>
      <c r="EF87" s="544"/>
      <c r="EG87" s="544"/>
      <c r="EH87" s="544"/>
      <c r="EI87" s="544"/>
      <c r="EJ87" s="544"/>
      <c r="EK87" s="544"/>
      <c r="EL87" s="544"/>
      <c r="EM87" s="544"/>
      <c r="EN87" s="544"/>
      <c r="EO87" s="544"/>
      <c r="EP87" s="544"/>
      <c r="EQ87" s="544"/>
      <c r="ER87" s="544"/>
      <c r="ES87" s="544"/>
      <c r="ET87" s="544"/>
      <c r="EU87" s="544"/>
      <c r="EV87" s="544"/>
      <c r="EW87" s="544"/>
      <c r="EX87" s="544"/>
      <c r="EY87" s="544"/>
      <c r="EZ87" s="544"/>
      <c r="FA87" s="544"/>
      <c r="FB87" s="544"/>
      <c r="FC87" s="544"/>
      <c r="FD87" s="544"/>
      <c r="FE87" s="544"/>
      <c r="FF87" s="544"/>
      <c r="FG87" s="544"/>
      <c r="FH87" s="544"/>
      <c r="FI87" s="544"/>
      <c r="FJ87" s="544"/>
      <c r="FK87" s="544"/>
      <c r="FL87" s="544"/>
      <c r="FM87" s="544"/>
      <c r="FN87" s="544"/>
      <c r="FO87" s="544"/>
      <c r="FP87" s="544"/>
      <c r="FQ87" s="544"/>
      <c r="FR87" s="544"/>
      <c r="FS87" s="544"/>
      <c r="FT87" s="544"/>
      <c r="FU87" s="544"/>
      <c r="FV87" s="544"/>
      <c r="FW87" s="544"/>
      <c r="FX87" s="544"/>
      <c r="FY87" s="544"/>
      <c r="FZ87" s="544"/>
      <c r="GA87" s="544"/>
      <c r="GB87" s="544"/>
      <c r="GC87" s="544"/>
      <c r="GD87" s="544"/>
      <c r="GE87" s="544"/>
      <c r="GF87" s="544"/>
      <c r="GG87" s="544"/>
      <c r="GH87" s="544"/>
      <c r="GI87" s="544"/>
      <c r="GJ87" s="544"/>
      <c r="GK87" s="544"/>
      <c r="GL87" s="544"/>
      <c r="GM87" s="544"/>
      <c r="GN87" s="544"/>
      <c r="GO87" s="544"/>
      <c r="GP87" s="544"/>
      <c r="GQ87" s="544"/>
      <c r="GR87" s="544"/>
      <c r="GS87" s="544"/>
      <c r="GT87" s="544"/>
      <c r="GU87" s="544"/>
      <c r="GV87" s="544"/>
      <c r="GW87" s="544"/>
      <c r="GX87" s="544"/>
      <c r="GY87" s="544"/>
      <c r="GZ87" s="544"/>
      <c r="HA87" s="544"/>
      <c r="HB87" s="544"/>
      <c r="HC87" s="544"/>
      <c r="HD87" s="544"/>
      <c r="HE87" s="544"/>
      <c r="HF87" s="544"/>
      <c r="HG87" s="544"/>
      <c r="HH87" s="544"/>
      <c r="HI87" s="544"/>
      <c r="HJ87" s="544"/>
      <c r="HK87" s="544"/>
      <c r="HL87" s="544"/>
      <c r="HM87" s="544"/>
      <c r="HN87" s="544"/>
      <c r="HO87" s="544"/>
      <c r="HP87" s="544"/>
      <c r="HQ87" s="544"/>
      <c r="HR87" s="544"/>
      <c r="HS87" s="544"/>
      <c r="HT87" s="544"/>
      <c r="HU87" s="544"/>
      <c r="HV87" s="544"/>
      <c r="HW87" s="544"/>
      <c r="HX87" s="544"/>
      <c r="HY87" s="544"/>
      <c r="HZ87" s="544"/>
      <c r="IA87" s="544"/>
      <c r="IB87" s="544"/>
      <c r="IC87" s="544"/>
      <c r="ID87" s="544"/>
      <c r="IE87" s="544"/>
      <c r="IF87" s="544"/>
      <c r="IG87" s="544"/>
      <c r="IH87" s="544"/>
      <c r="II87" s="544"/>
      <c r="IJ87" s="544"/>
      <c r="IK87" s="544"/>
      <c r="IL87" s="544"/>
      <c r="IM87" s="544"/>
      <c r="IN87" s="544"/>
      <c r="IO87" s="544"/>
      <c r="IP87" s="544"/>
      <c r="IQ87" s="544"/>
      <c r="IR87" s="544"/>
      <c r="IS87" s="544"/>
    </row>
    <row r="88" spans="1:253" ht="28" customHeight="1" x14ac:dyDescent="0.35">
      <c r="A88" s="544"/>
      <c r="B88" s="600" t="s">
        <v>646</v>
      </c>
      <c r="C88" s="881">
        <v>1</v>
      </c>
      <c r="E88" s="544"/>
      <c r="F88" s="544"/>
      <c r="G88" s="544"/>
      <c r="H88" s="544"/>
      <c r="I88" s="544"/>
      <c r="J88" s="544"/>
      <c r="K88" s="544"/>
      <c r="AY88" s="544"/>
      <c r="AZ88" s="544"/>
      <c r="BA88" s="544"/>
      <c r="BB88" s="544"/>
      <c r="BC88" s="544"/>
      <c r="BD88" s="544"/>
      <c r="BE88" s="544"/>
      <c r="BF88" s="544"/>
      <c r="BG88" s="544"/>
      <c r="BH88" s="544"/>
      <c r="BI88" s="544"/>
      <c r="BJ88" s="544"/>
      <c r="BK88" s="544"/>
      <c r="BL88" s="544"/>
      <c r="BM88" s="544"/>
      <c r="BN88" s="544"/>
      <c r="BO88" s="544"/>
      <c r="BP88" s="544"/>
      <c r="BQ88" s="544"/>
      <c r="BR88" s="544"/>
      <c r="BS88" s="544"/>
      <c r="BT88" s="544"/>
      <c r="BU88" s="544"/>
      <c r="BV88" s="544"/>
      <c r="BW88" s="544"/>
      <c r="BX88" s="544"/>
      <c r="BY88" s="544"/>
      <c r="BZ88" s="544"/>
      <c r="CA88" s="544"/>
      <c r="CB88" s="544"/>
      <c r="CC88" s="544"/>
      <c r="CD88" s="544"/>
      <c r="CE88" s="544"/>
      <c r="CF88" s="544"/>
      <c r="CG88" s="544"/>
      <c r="CH88" s="544"/>
      <c r="CI88" s="544"/>
      <c r="CJ88" s="544"/>
      <c r="CK88" s="544"/>
      <c r="CL88" s="544"/>
      <c r="CM88" s="544"/>
      <c r="CN88" s="544"/>
      <c r="CO88" s="544"/>
      <c r="CP88" s="544"/>
      <c r="CQ88" s="544"/>
      <c r="CR88" s="544"/>
      <c r="CS88" s="544"/>
      <c r="CT88" s="544"/>
      <c r="CU88" s="544"/>
      <c r="CV88" s="544"/>
      <c r="CW88" s="544"/>
      <c r="CX88" s="544"/>
      <c r="CY88" s="544"/>
      <c r="CZ88" s="544"/>
      <c r="DA88" s="544"/>
      <c r="DB88" s="544"/>
      <c r="DC88" s="544"/>
      <c r="DD88" s="544"/>
      <c r="DE88" s="544"/>
      <c r="DF88" s="544"/>
      <c r="DG88" s="544"/>
      <c r="DH88" s="544"/>
      <c r="DI88" s="544"/>
      <c r="DJ88" s="544"/>
      <c r="DK88" s="544"/>
      <c r="DL88" s="544"/>
      <c r="DM88" s="544"/>
      <c r="DN88" s="544"/>
      <c r="DO88" s="544"/>
      <c r="DP88" s="544"/>
      <c r="DQ88" s="544"/>
      <c r="DR88" s="544"/>
      <c r="DS88" s="544"/>
      <c r="DT88" s="544"/>
      <c r="DU88" s="544"/>
      <c r="DV88" s="544"/>
      <c r="DW88" s="544"/>
      <c r="DX88" s="544"/>
      <c r="DY88" s="544"/>
      <c r="DZ88" s="544"/>
      <c r="EA88" s="544"/>
      <c r="EB88" s="544"/>
      <c r="EC88" s="544"/>
      <c r="ED88" s="544"/>
      <c r="EE88" s="544"/>
      <c r="EF88" s="544"/>
      <c r="EG88" s="544"/>
      <c r="EH88" s="544"/>
      <c r="EI88" s="544"/>
      <c r="EJ88" s="544"/>
      <c r="EK88" s="544"/>
      <c r="EL88" s="544"/>
      <c r="EM88" s="544"/>
      <c r="EN88" s="544"/>
      <c r="EO88" s="544"/>
      <c r="EP88" s="544"/>
      <c r="EQ88" s="544"/>
      <c r="ER88" s="544"/>
      <c r="ES88" s="544"/>
      <c r="ET88" s="544"/>
      <c r="EU88" s="544"/>
      <c r="EV88" s="544"/>
      <c r="EW88" s="544"/>
      <c r="EX88" s="544"/>
      <c r="EY88" s="544"/>
      <c r="EZ88" s="544"/>
      <c r="FA88" s="544"/>
      <c r="FB88" s="544"/>
      <c r="FC88" s="544"/>
      <c r="FD88" s="544"/>
      <c r="FE88" s="544"/>
      <c r="FF88" s="544"/>
      <c r="FG88" s="544"/>
      <c r="FH88" s="544"/>
      <c r="FI88" s="544"/>
      <c r="FJ88" s="544"/>
      <c r="FK88" s="544"/>
      <c r="FL88" s="544"/>
      <c r="FM88" s="544"/>
      <c r="FN88" s="544"/>
      <c r="FO88" s="544"/>
      <c r="FP88" s="544"/>
      <c r="FQ88" s="544"/>
      <c r="FR88" s="544"/>
      <c r="FS88" s="544"/>
      <c r="FT88" s="544"/>
      <c r="FU88" s="544"/>
      <c r="FV88" s="544"/>
      <c r="FW88" s="544"/>
      <c r="FX88" s="544"/>
      <c r="FY88" s="544"/>
      <c r="FZ88" s="544"/>
      <c r="GA88" s="544"/>
      <c r="GB88" s="544"/>
      <c r="GC88" s="544"/>
      <c r="GD88" s="544"/>
      <c r="GE88" s="544"/>
      <c r="GF88" s="544"/>
      <c r="GG88" s="544"/>
      <c r="GH88" s="544"/>
      <c r="GI88" s="544"/>
      <c r="GJ88" s="544"/>
      <c r="GK88" s="544"/>
      <c r="GL88" s="544"/>
      <c r="GM88" s="544"/>
      <c r="GN88" s="544"/>
      <c r="GO88" s="544"/>
      <c r="GP88" s="544"/>
      <c r="GQ88" s="544"/>
      <c r="GR88" s="544"/>
      <c r="GS88" s="544"/>
      <c r="GT88" s="544"/>
      <c r="GU88" s="544"/>
      <c r="GV88" s="544"/>
      <c r="GW88" s="544"/>
      <c r="GX88" s="544"/>
      <c r="GY88" s="544"/>
      <c r="GZ88" s="544"/>
      <c r="HA88" s="544"/>
      <c r="HB88" s="544"/>
      <c r="HC88" s="544"/>
      <c r="HD88" s="544"/>
      <c r="HE88" s="544"/>
      <c r="HF88" s="544"/>
      <c r="HG88" s="544"/>
      <c r="HH88" s="544"/>
      <c r="HI88" s="544"/>
      <c r="HJ88" s="544"/>
      <c r="HK88" s="544"/>
      <c r="HL88" s="544"/>
      <c r="HM88" s="544"/>
      <c r="HN88" s="544"/>
      <c r="HO88" s="544"/>
      <c r="HP88" s="544"/>
      <c r="HQ88" s="544"/>
      <c r="HR88" s="544"/>
      <c r="HS88" s="544"/>
      <c r="HT88" s="544"/>
      <c r="HU88" s="544"/>
      <c r="HV88" s="544"/>
      <c r="HW88" s="544"/>
      <c r="HX88" s="544"/>
      <c r="HY88" s="544"/>
      <c r="HZ88" s="544"/>
      <c r="IA88" s="544"/>
      <c r="IB88" s="544"/>
      <c r="IC88" s="544"/>
      <c r="ID88" s="544"/>
      <c r="IE88" s="544"/>
      <c r="IF88" s="544"/>
      <c r="IG88" s="544"/>
      <c r="IH88" s="544"/>
      <c r="II88" s="544"/>
      <c r="IJ88" s="544"/>
      <c r="IK88" s="544"/>
      <c r="IL88" s="544"/>
      <c r="IM88" s="544"/>
      <c r="IN88" s="544"/>
      <c r="IO88" s="544"/>
      <c r="IP88" s="544"/>
      <c r="IQ88" s="544"/>
      <c r="IR88" s="544"/>
      <c r="IS88" s="544"/>
    </row>
    <row r="89" spans="1:253" ht="31" x14ac:dyDescent="0.35">
      <c r="A89" s="544"/>
      <c r="B89" s="1090" t="s">
        <v>661</v>
      </c>
      <c r="C89" s="881"/>
      <c r="E89" s="907"/>
      <c r="F89" s="908"/>
      <c r="G89" s="909"/>
      <c r="H89" s="913"/>
      <c r="I89" s="913"/>
      <c r="J89" s="917" t="s">
        <v>648</v>
      </c>
      <c r="K89" s="544"/>
      <c r="AA89" s="1089" t="s">
        <v>601</v>
      </c>
      <c r="AY89" s="544"/>
      <c r="AZ89" s="544"/>
      <c r="BA89" s="544"/>
      <c r="BB89" s="544"/>
      <c r="BC89" s="544"/>
      <c r="BD89" s="544"/>
      <c r="BE89" s="544"/>
      <c r="BF89" s="544"/>
      <c r="BG89" s="544"/>
      <c r="BH89" s="544"/>
      <c r="BI89" s="544"/>
      <c r="BJ89" s="544"/>
      <c r="BK89" s="544"/>
      <c r="BL89" s="544"/>
      <c r="BM89" s="544"/>
      <c r="BN89" s="544"/>
      <c r="BO89" s="544"/>
      <c r="BP89" s="544"/>
      <c r="BQ89" s="544"/>
      <c r="BR89" s="544"/>
      <c r="BS89" s="544"/>
      <c r="BT89" s="544"/>
      <c r="BU89" s="544"/>
      <c r="BV89" s="544"/>
      <c r="BW89" s="544"/>
      <c r="BX89" s="544"/>
      <c r="BY89" s="544"/>
      <c r="BZ89" s="544"/>
      <c r="CA89" s="544"/>
      <c r="CB89" s="544"/>
      <c r="CC89" s="544"/>
      <c r="CD89" s="544"/>
      <c r="CE89" s="544"/>
      <c r="CF89" s="544"/>
      <c r="CG89" s="544"/>
      <c r="CH89" s="544"/>
      <c r="CI89" s="544"/>
      <c r="CJ89" s="544"/>
      <c r="CK89" s="544"/>
      <c r="CL89" s="544"/>
      <c r="CM89" s="544"/>
      <c r="CN89" s="544"/>
      <c r="CO89" s="544"/>
      <c r="CP89" s="544"/>
      <c r="CQ89" s="544"/>
      <c r="CR89" s="544"/>
      <c r="CS89" s="544"/>
      <c r="CT89" s="544"/>
      <c r="CU89" s="544"/>
      <c r="CV89" s="544"/>
      <c r="CW89" s="544"/>
      <c r="CX89" s="544"/>
      <c r="CY89" s="544"/>
      <c r="CZ89" s="544"/>
      <c r="DA89" s="544"/>
      <c r="DB89" s="544"/>
      <c r="DC89" s="544"/>
      <c r="DD89" s="544"/>
      <c r="DE89" s="544"/>
      <c r="DF89" s="544"/>
      <c r="DG89" s="544"/>
      <c r="DH89" s="544"/>
      <c r="DI89" s="544"/>
      <c r="DJ89" s="544"/>
      <c r="DK89" s="544"/>
      <c r="DL89" s="544"/>
      <c r="DM89" s="544"/>
      <c r="DN89" s="544"/>
      <c r="DO89" s="544"/>
      <c r="DP89" s="544"/>
      <c r="DQ89" s="544"/>
      <c r="DR89" s="544"/>
      <c r="DS89" s="544"/>
      <c r="DT89" s="544"/>
      <c r="DU89" s="544"/>
      <c r="DV89" s="544"/>
      <c r="DW89" s="544"/>
      <c r="DX89" s="544"/>
      <c r="DY89" s="544"/>
      <c r="DZ89" s="544"/>
      <c r="EA89" s="544"/>
      <c r="EB89" s="544"/>
      <c r="EC89" s="544"/>
      <c r="ED89" s="544"/>
      <c r="EE89" s="544"/>
      <c r="EF89" s="544"/>
      <c r="EG89" s="544"/>
      <c r="EH89" s="544"/>
      <c r="EI89" s="544"/>
      <c r="EJ89" s="544"/>
      <c r="EK89" s="544"/>
      <c r="EL89" s="544"/>
      <c r="EM89" s="544"/>
      <c r="EN89" s="544"/>
      <c r="EO89" s="544"/>
      <c r="EP89" s="544"/>
      <c r="EQ89" s="544"/>
      <c r="ER89" s="544"/>
      <c r="ES89" s="544"/>
      <c r="ET89" s="544"/>
      <c r="EU89" s="544"/>
      <c r="EV89" s="544"/>
      <c r="EW89" s="544"/>
      <c r="EX89" s="544"/>
      <c r="EY89" s="544"/>
      <c r="EZ89" s="544"/>
      <c r="FA89" s="544"/>
      <c r="FB89" s="544"/>
      <c r="FC89" s="544"/>
      <c r="FD89" s="544"/>
      <c r="FE89" s="544"/>
      <c r="FF89" s="544"/>
      <c r="FG89" s="544"/>
      <c r="FH89" s="544"/>
      <c r="FI89" s="544"/>
      <c r="FJ89" s="544"/>
      <c r="FK89" s="544"/>
      <c r="FL89" s="544"/>
      <c r="FM89" s="544"/>
      <c r="FN89" s="544"/>
      <c r="FO89" s="544"/>
      <c r="FP89" s="544"/>
      <c r="FQ89" s="544"/>
      <c r="FR89" s="544"/>
      <c r="FS89" s="544"/>
      <c r="FT89" s="544"/>
      <c r="FU89" s="544"/>
      <c r="FV89" s="544"/>
      <c r="FW89" s="544"/>
      <c r="FX89" s="544"/>
      <c r="FY89" s="544"/>
      <c r="FZ89" s="544"/>
      <c r="GA89" s="544"/>
      <c r="GB89" s="544"/>
      <c r="GC89" s="544"/>
      <c r="GD89" s="544"/>
      <c r="GE89" s="544"/>
      <c r="GF89" s="544"/>
      <c r="GG89" s="544"/>
      <c r="GH89" s="544"/>
      <c r="GI89" s="544"/>
      <c r="GJ89" s="544"/>
      <c r="GK89" s="544"/>
      <c r="GL89" s="544"/>
      <c r="GM89" s="544"/>
      <c r="GN89" s="544"/>
      <c r="GO89" s="544"/>
      <c r="GP89" s="544"/>
      <c r="GQ89" s="544"/>
      <c r="GR89" s="544"/>
      <c r="GS89" s="544"/>
      <c r="GT89" s="544"/>
      <c r="GU89" s="544"/>
      <c r="GV89" s="544"/>
      <c r="GW89" s="544"/>
      <c r="GX89" s="544"/>
      <c r="GY89" s="544"/>
      <c r="GZ89" s="544"/>
      <c r="HA89" s="544"/>
      <c r="HB89" s="544"/>
      <c r="HC89" s="544"/>
      <c r="HD89" s="544"/>
      <c r="HE89" s="544"/>
      <c r="HF89" s="544"/>
      <c r="HG89" s="544"/>
      <c r="HH89" s="544"/>
      <c r="HI89" s="544"/>
      <c r="HJ89" s="544"/>
      <c r="HK89" s="544"/>
      <c r="HL89" s="544"/>
      <c r="HM89" s="544"/>
      <c r="HN89" s="544"/>
      <c r="HO89" s="544"/>
      <c r="HP89" s="544"/>
      <c r="HQ89" s="544"/>
      <c r="HR89" s="544"/>
      <c r="HS89" s="544"/>
      <c r="HT89" s="544"/>
      <c r="HU89" s="544"/>
      <c r="HV89" s="544"/>
      <c r="HW89" s="544"/>
      <c r="HX89" s="544"/>
      <c r="HY89" s="544"/>
      <c r="HZ89" s="544"/>
      <c r="IA89" s="544"/>
      <c r="IB89" s="544"/>
      <c r="IC89" s="544"/>
      <c r="ID89" s="544"/>
      <c r="IE89" s="544"/>
      <c r="IF89" s="544"/>
      <c r="IG89" s="544"/>
      <c r="IH89" s="544"/>
      <c r="II89" s="544"/>
      <c r="IJ89" s="544"/>
      <c r="IK89" s="544"/>
      <c r="IL89" s="544"/>
      <c r="IM89" s="544"/>
      <c r="IN89" s="544"/>
      <c r="IO89" s="544"/>
      <c r="IP89" s="544"/>
      <c r="IQ89" s="544"/>
      <c r="IR89" s="544"/>
      <c r="IS89" s="544"/>
    </row>
    <row r="90" spans="1:253" ht="31" x14ac:dyDescent="0.35">
      <c r="A90" s="544"/>
      <c r="B90" s="1090" t="s">
        <v>649</v>
      </c>
      <c r="C90" s="881"/>
      <c r="E90" s="907"/>
      <c r="F90" s="908"/>
      <c r="G90" s="909"/>
      <c r="H90" s="913"/>
      <c r="I90" s="913"/>
      <c r="J90" s="544"/>
      <c r="K90" s="544"/>
      <c r="AA90" s="1089" t="s">
        <v>601</v>
      </c>
      <c r="AY90" s="544"/>
      <c r="AZ90" s="544"/>
      <c r="BA90" s="544"/>
      <c r="BB90" s="544"/>
      <c r="BC90" s="544"/>
      <c r="BD90" s="544"/>
      <c r="BE90" s="544"/>
      <c r="BF90" s="544"/>
      <c r="BG90" s="544"/>
      <c r="BH90" s="544"/>
      <c r="BI90" s="544"/>
      <c r="BJ90" s="544"/>
      <c r="BK90" s="544"/>
      <c r="BL90" s="544"/>
      <c r="BM90" s="544"/>
      <c r="BN90" s="544"/>
      <c r="BO90" s="544"/>
      <c r="BP90" s="544"/>
      <c r="BQ90" s="544"/>
      <c r="BR90" s="544"/>
      <c r="BS90" s="544"/>
      <c r="BT90" s="544"/>
      <c r="BU90" s="544"/>
      <c r="BV90" s="544"/>
      <c r="BW90" s="544"/>
      <c r="BX90" s="544"/>
      <c r="BY90" s="544"/>
      <c r="BZ90" s="544"/>
      <c r="CA90" s="544"/>
      <c r="CB90" s="544"/>
      <c r="CC90" s="544"/>
      <c r="CD90" s="544"/>
      <c r="CE90" s="544"/>
      <c r="CF90" s="544"/>
      <c r="CG90" s="544"/>
      <c r="CH90" s="544"/>
      <c r="CI90" s="544"/>
      <c r="CJ90" s="544"/>
      <c r="CK90" s="544"/>
      <c r="CL90" s="544"/>
      <c r="CM90" s="544"/>
      <c r="CN90" s="544"/>
      <c r="CO90" s="544"/>
      <c r="CP90" s="544"/>
      <c r="CQ90" s="544"/>
      <c r="CR90" s="544"/>
      <c r="CS90" s="544"/>
      <c r="CT90" s="544"/>
      <c r="CU90" s="544"/>
      <c r="CV90" s="544"/>
      <c r="CW90" s="544"/>
      <c r="CX90" s="544"/>
      <c r="CY90" s="544"/>
      <c r="CZ90" s="544"/>
      <c r="DA90" s="544"/>
      <c r="DB90" s="544"/>
      <c r="DC90" s="544"/>
      <c r="DD90" s="544"/>
      <c r="DE90" s="544"/>
      <c r="DF90" s="544"/>
      <c r="DG90" s="544"/>
      <c r="DH90" s="544"/>
      <c r="DI90" s="544"/>
      <c r="DJ90" s="544"/>
      <c r="DK90" s="544"/>
      <c r="DL90" s="544"/>
      <c r="DM90" s="544"/>
      <c r="DN90" s="544"/>
      <c r="DO90" s="544"/>
      <c r="DP90" s="544"/>
      <c r="DQ90" s="544"/>
      <c r="DR90" s="544"/>
      <c r="DS90" s="544"/>
      <c r="DT90" s="544"/>
      <c r="DU90" s="544"/>
      <c r="DV90" s="544"/>
      <c r="DW90" s="544"/>
      <c r="DX90" s="544"/>
      <c r="DY90" s="544"/>
      <c r="DZ90" s="544"/>
      <c r="EA90" s="544"/>
      <c r="EB90" s="544"/>
      <c r="EC90" s="544"/>
      <c r="ED90" s="544"/>
      <c r="EE90" s="544"/>
      <c r="EF90" s="544"/>
      <c r="EG90" s="544"/>
      <c r="EH90" s="544"/>
      <c r="EI90" s="544"/>
      <c r="EJ90" s="544"/>
      <c r="EK90" s="544"/>
      <c r="EL90" s="544"/>
      <c r="EM90" s="544"/>
      <c r="EN90" s="544"/>
      <c r="EO90" s="544"/>
      <c r="EP90" s="544"/>
      <c r="EQ90" s="544"/>
      <c r="ER90" s="544"/>
      <c r="ES90" s="544"/>
      <c r="ET90" s="544"/>
      <c r="EU90" s="544"/>
      <c r="EV90" s="544"/>
      <c r="EW90" s="544"/>
      <c r="EX90" s="544"/>
      <c r="EY90" s="544"/>
      <c r="EZ90" s="544"/>
      <c r="FA90" s="544"/>
      <c r="FB90" s="544"/>
      <c r="FC90" s="544"/>
      <c r="FD90" s="544"/>
      <c r="FE90" s="544"/>
      <c r="FF90" s="544"/>
      <c r="FG90" s="544"/>
      <c r="FH90" s="544"/>
      <c r="FI90" s="544"/>
      <c r="FJ90" s="544"/>
      <c r="FK90" s="544"/>
      <c r="FL90" s="544"/>
      <c r="FM90" s="544"/>
      <c r="FN90" s="544"/>
      <c r="FO90" s="544"/>
      <c r="FP90" s="544"/>
      <c r="FQ90" s="544"/>
      <c r="FR90" s="544"/>
      <c r="FS90" s="544"/>
      <c r="FT90" s="544"/>
      <c r="FU90" s="544"/>
      <c r="FV90" s="544"/>
      <c r="FW90" s="544"/>
      <c r="FX90" s="544"/>
      <c r="FY90" s="544"/>
      <c r="FZ90" s="544"/>
      <c r="GA90" s="544"/>
      <c r="GB90" s="544"/>
      <c r="GC90" s="544"/>
      <c r="GD90" s="544"/>
      <c r="GE90" s="544"/>
      <c r="GF90" s="544"/>
      <c r="GG90" s="544"/>
      <c r="GH90" s="544"/>
      <c r="GI90" s="544"/>
      <c r="GJ90" s="544"/>
      <c r="GK90" s="544"/>
      <c r="GL90" s="544"/>
      <c r="GM90" s="544"/>
      <c r="GN90" s="544"/>
      <c r="GO90" s="544"/>
      <c r="GP90" s="544"/>
      <c r="GQ90" s="544"/>
      <c r="GR90" s="544"/>
      <c r="GS90" s="544"/>
      <c r="GT90" s="544"/>
      <c r="GU90" s="544"/>
      <c r="GV90" s="544"/>
      <c r="GW90" s="544"/>
      <c r="GX90" s="544"/>
      <c r="GY90" s="544"/>
      <c r="GZ90" s="544"/>
      <c r="HA90" s="544"/>
      <c r="HB90" s="544"/>
      <c r="HC90" s="544"/>
      <c r="HD90" s="544"/>
      <c r="HE90" s="544"/>
      <c r="HF90" s="544"/>
      <c r="HG90" s="544"/>
      <c r="HH90" s="544"/>
      <c r="HI90" s="544"/>
      <c r="HJ90" s="544"/>
      <c r="HK90" s="544"/>
      <c r="HL90" s="544"/>
      <c r="HM90" s="544"/>
      <c r="HN90" s="544"/>
      <c r="HO90" s="544"/>
      <c r="HP90" s="544"/>
      <c r="HQ90" s="544"/>
      <c r="HR90" s="544"/>
      <c r="HS90" s="544"/>
      <c r="HT90" s="544"/>
      <c r="HU90" s="544"/>
      <c r="HV90" s="544"/>
      <c r="HW90" s="544"/>
      <c r="HX90" s="544"/>
      <c r="HY90" s="544"/>
      <c r="HZ90" s="544"/>
      <c r="IA90" s="544"/>
      <c r="IB90" s="544"/>
      <c r="IC90" s="544"/>
      <c r="ID90" s="544"/>
      <c r="IE90" s="544"/>
      <c r="IF90" s="544"/>
      <c r="IG90" s="544"/>
      <c r="IH90" s="544"/>
      <c r="II90" s="544"/>
      <c r="IJ90" s="544"/>
      <c r="IK90" s="544"/>
      <c r="IL90" s="544"/>
      <c r="IM90" s="544"/>
      <c r="IN90" s="544"/>
      <c r="IO90" s="544"/>
      <c r="IP90" s="544"/>
      <c r="IQ90" s="544"/>
      <c r="IR90" s="544"/>
      <c r="IS90" s="544"/>
    </row>
    <row r="91" spans="1:253" ht="31" x14ac:dyDescent="0.35">
      <c r="A91" s="544"/>
      <c r="B91" s="1090" t="s">
        <v>658</v>
      </c>
      <c r="C91" s="881"/>
      <c r="E91" s="907"/>
      <c r="F91" s="908"/>
      <c r="G91" s="909"/>
      <c r="H91" s="544"/>
      <c r="I91" s="544"/>
      <c r="J91" s="544"/>
      <c r="K91" s="544"/>
      <c r="AA91" s="1089" t="s">
        <v>601</v>
      </c>
      <c r="AY91" s="544"/>
      <c r="AZ91" s="544"/>
      <c r="BA91" s="544"/>
      <c r="BB91" s="544"/>
      <c r="BC91" s="544"/>
      <c r="BD91" s="544"/>
      <c r="BE91" s="544"/>
      <c r="BF91" s="544"/>
      <c r="BG91" s="544"/>
      <c r="BH91" s="544"/>
      <c r="BI91" s="544"/>
      <c r="BJ91" s="544"/>
      <c r="BK91" s="544"/>
      <c r="BL91" s="544"/>
      <c r="BM91" s="544"/>
      <c r="BN91" s="544"/>
      <c r="BO91" s="544"/>
      <c r="BP91" s="544"/>
      <c r="BQ91" s="544"/>
      <c r="BR91" s="544"/>
      <c r="BS91" s="544"/>
      <c r="BT91" s="544"/>
      <c r="BU91" s="544"/>
      <c r="BV91" s="544"/>
      <c r="BW91" s="544"/>
      <c r="BX91" s="544"/>
      <c r="BY91" s="544"/>
      <c r="BZ91" s="544"/>
      <c r="CA91" s="544"/>
      <c r="CB91" s="544"/>
      <c r="CC91" s="544"/>
      <c r="CD91" s="544"/>
      <c r="CE91" s="544"/>
      <c r="CF91" s="544"/>
      <c r="CG91" s="544"/>
      <c r="CH91" s="544"/>
      <c r="CI91" s="544"/>
      <c r="CJ91" s="544"/>
      <c r="CK91" s="544"/>
      <c r="CL91" s="544"/>
      <c r="CM91" s="544"/>
      <c r="CN91" s="544"/>
      <c r="CO91" s="544"/>
      <c r="CP91" s="544"/>
      <c r="CQ91" s="544"/>
      <c r="CR91" s="544"/>
      <c r="CS91" s="544"/>
      <c r="CT91" s="544"/>
      <c r="CU91" s="544"/>
      <c r="CV91" s="544"/>
      <c r="CW91" s="544"/>
      <c r="CX91" s="544"/>
      <c r="CY91" s="544"/>
      <c r="CZ91" s="544"/>
      <c r="DA91" s="544"/>
      <c r="DB91" s="544"/>
      <c r="DC91" s="544"/>
      <c r="DD91" s="544"/>
      <c r="DE91" s="544"/>
      <c r="DF91" s="544"/>
      <c r="DG91" s="544"/>
      <c r="DH91" s="544"/>
      <c r="DI91" s="544"/>
      <c r="DJ91" s="544"/>
      <c r="DK91" s="544"/>
      <c r="DL91" s="544"/>
      <c r="DM91" s="544"/>
      <c r="DN91" s="544"/>
      <c r="DO91" s="544"/>
      <c r="DP91" s="544"/>
      <c r="DQ91" s="544"/>
      <c r="DR91" s="544"/>
      <c r="DS91" s="544"/>
      <c r="DT91" s="544"/>
      <c r="DU91" s="544"/>
      <c r="DV91" s="544"/>
      <c r="DW91" s="544"/>
      <c r="DX91" s="544"/>
      <c r="DY91" s="544"/>
      <c r="DZ91" s="544"/>
      <c r="EA91" s="544"/>
      <c r="EB91" s="544"/>
      <c r="EC91" s="544"/>
      <c r="ED91" s="544"/>
      <c r="EE91" s="544"/>
      <c r="EF91" s="544"/>
      <c r="EG91" s="544"/>
      <c r="EH91" s="544"/>
      <c r="EI91" s="544"/>
      <c r="EJ91" s="544"/>
      <c r="EK91" s="544"/>
      <c r="EL91" s="544"/>
      <c r="EM91" s="544"/>
      <c r="EN91" s="544"/>
      <c r="EO91" s="544"/>
      <c r="EP91" s="544"/>
      <c r="EQ91" s="544"/>
      <c r="ER91" s="544"/>
      <c r="ES91" s="544"/>
      <c r="ET91" s="544"/>
      <c r="EU91" s="544"/>
      <c r="EV91" s="544"/>
      <c r="EW91" s="544"/>
      <c r="EX91" s="544"/>
      <c r="EY91" s="544"/>
      <c r="EZ91" s="544"/>
      <c r="FA91" s="544"/>
      <c r="FB91" s="544"/>
      <c r="FC91" s="544"/>
      <c r="FD91" s="544"/>
      <c r="FE91" s="544"/>
      <c r="FF91" s="544"/>
      <c r="FG91" s="544"/>
      <c r="FH91" s="544"/>
      <c r="FI91" s="544"/>
      <c r="FJ91" s="544"/>
      <c r="FK91" s="544"/>
      <c r="FL91" s="544"/>
      <c r="FM91" s="544"/>
      <c r="FN91" s="544"/>
      <c r="FO91" s="544"/>
      <c r="FP91" s="544"/>
      <c r="FQ91" s="544"/>
      <c r="FR91" s="544"/>
      <c r="FS91" s="544"/>
      <c r="FT91" s="544"/>
      <c r="FU91" s="544"/>
      <c r="FV91" s="544"/>
      <c r="FW91" s="544"/>
      <c r="FX91" s="544"/>
      <c r="FY91" s="544"/>
      <c r="FZ91" s="544"/>
      <c r="GA91" s="544"/>
      <c r="GB91" s="544"/>
      <c r="GC91" s="544"/>
      <c r="GD91" s="544"/>
      <c r="GE91" s="544"/>
      <c r="GF91" s="544"/>
      <c r="GG91" s="544"/>
      <c r="GH91" s="544"/>
      <c r="GI91" s="544"/>
      <c r="GJ91" s="544"/>
      <c r="GK91" s="544"/>
      <c r="GL91" s="544"/>
      <c r="GM91" s="544"/>
      <c r="GN91" s="544"/>
      <c r="GO91" s="544"/>
      <c r="GP91" s="544"/>
      <c r="GQ91" s="544"/>
      <c r="GR91" s="544"/>
      <c r="GS91" s="544"/>
      <c r="GT91" s="544"/>
      <c r="GU91" s="544"/>
      <c r="GV91" s="544"/>
      <c r="GW91" s="544"/>
      <c r="GX91" s="544"/>
      <c r="GY91" s="544"/>
      <c r="GZ91" s="544"/>
      <c r="HA91" s="544"/>
      <c r="HB91" s="544"/>
      <c r="HC91" s="544"/>
      <c r="HD91" s="544"/>
      <c r="HE91" s="544"/>
      <c r="HF91" s="544"/>
      <c r="HG91" s="544"/>
      <c r="HH91" s="544"/>
      <c r="HI91" s="544"/>
      <c r="HJ91" s="544"/>
      <c r="HK91" s="544"/>
      <c r="HL91" s="544"/>
      <c r="HM91" s="544"/>
      <c r="HN91" s="544"/>
      <c r="HO91" s="544"/>
      <c r="HP91" s="544"/>
      <c r="HQ91" s="544"/>
      <c r="HR91" s="544"/>
      <c r="HS91" s="544"/>
      <c r="HT91" s="544"/>
      <c r="HU91" s="544"/>
      <c r="HV91" s="544"/>
      <c r="HW91" s="544"/>
      <c r="HX91" s="544"/>
      <c r="HY91" s="544"/>
      <c r="HZ91" s="544"/>
      <c r="IA91" s="544"/>
      <c r="IB91" s="544"/>
      <c r="IC91" s="544"/>
      <c r="ID91" s="544"/>
      <c r="IE91" s="544"/>
      <c r="IF91" s="544"/>
      <c r="IG91" s="544"/>
      <c r="IH91" s="544"/>
      <c r="II91" s="544"/>
      <c r="IJ91" s="544"/>
      <c r="IK91" s="544"/>
      <c r="IL91" s="544"/>
      <c r="IM91" s="544"/>
      <c r="IN91" s="544"/>
      <c r="IO91" s="544"/>
      <c r="IP91" s="544"/>
      <c r="IQ91" s="544"/>
      <c r="IR91" s="544"/>
      <c r="IS91" s="544"/>
    </row>
    <row r="92" spans="1:253" ht="31" x14ac:dyDescent="0.35">
      <c r="A92" s="544"/>
      <c r="B92" s="1090" t="s">
        <v>651</v>
      </c>
      <c r="C92" s="881"/>
      <c r="E92" s="907"/>
      <c r="F92" s="908"/>
      <c r="G92" s="909"/>
      <c r="H92" s="544"/>
      <c r="I92" s="544"/>
      <c r="J92" s="544"/>
      <c r="K92" s="544"/>
      <c r="AA92" s="1089" t="s">
        <v>601</v>
      </c>
      <c r="AY92" s="544"/>
      <c r="AZ92" s="544"/>
      <c r="BA92" s="544"/>
      <c r="BB92" s="544"/>
      <c r="BC92" s="544"/>
      <c r="BD92" s="544"/>
      <c r="BE92" s="544"/>
      <c r="BF92" s="544"/>
      <c r="BG92" s="544"/>
      <c r="BH92" s="544"/>
      <c r="BI92" s="544"/>
      <c r="BJ92" s="544"/>
      <c r="BK92" s="544"/>
      <c r="BL92" s="544"/>
      <c r="BM92" s="544"/>
      <c r="BN92" s="544"/>
      <c r="BO92" s="544"/>
      <c r="BP92" s="544"/>
      <c r="BQ92" s="544"/>
      <c r="BR92" s="544"/>
      <c r="BS92" s="544"/>
      <c r="BT92" s="544"/>
      <c r="BU92" s="544"/>
      <c r="BV92" s="544"/>
      <c r="BW92" s="544"/>
      <c r="BX92" s="544"/>
      <c r="BY92" s="544"/>
      <c r="BZ92" s="544"/>
      <c r="CA92" s="544"/>
      <c r="CB92" s="544"/>
      <c r="CC92" s="544"/>
      <c r="CD92" s="544"/>
      <c r="CE92" s="544"/>
      <c r="CF92" s="544"/>
      <c r="CG92" s="544"/>
      <c r="CH92" s="544"/>
      <c r="CI92" s="544"/>
      <c r="CJ92" s="544"/>
      <c r="CK92" s="544"/>
      <c r="CL92" s="544"/>
      <c r="CM92" s="544"/>
      <c r="CN92" s="544"/>
      <c r="CO92" s="544"/>
      <c r="CP92" s="544"/>
      <c r="CQ92" s="544"/>
      <c r="CR92" s="544"/>
      <c r="CS92" s="544"/>
      <c r="CT92" s="544"/>
      <c r="CU92" s="544"/>
      <c r="CV92" s="544"/>
      <c r="CW92" s="544"/>
      <c r="CX92" s="544"/>
      <c r="CY92" s="544"/>
      <c r="CZ92" s="544"/>
      <c r="DA92" s="544"/>
      <c r="DB92" s="544"/>
      <c r="DC92" s="544"/>
      <c r="DD92" s="544"/>
      <c r="DE92" s="544"/>
      <c r="DF92" s="544"/>
      <c r="DG92" s="544"/>
      <c r="DH92" s="544"/>
      <c r="DI92" s="544"/>
      <c r="DJ92" s="544"/>
      <c r="DK92" s="544"/>
      <c r="DL92" s="544"/>
      <c r="DM92" s="544"/>
      <c r="DN92" s="544"/>
      <c r="DO92" s="544"/>
      <c r="DP92" s="544"/>
      <c r="DQ92" s="544"/>
      <c r="DR92" s="544"/>
      <c r="DS92" s="544"/>
      <c r="DT92" s="544"/>
      <c r="DU92" s="544"/>
      <c r="DV92" s="544"/>
      <c r="DW92" s="544"/>
      <c r="DX92" s="544"/>
      <c r="DY92" s="544"/>
      <c r="DZ92" s="544"/>
      <c r="EA92" s="544"/>
      <c r="EB92" s="544"/>
      <c r="EC92" s="544"/>
      <c r="ED92" s="544"/>
      <c r="EE92" s="544"/>
      <c r="EF92" s="544"/>
      <c r="EG92" s="544"/>
      <c r="EH92" s="544"/>
      <c r="EI92" s="544"/>
      <c r="EJ92" s="544"/>
      <c r="EK92" s="544"/>
      <c r="EL92" s="544"/>
      <c r="EM92" s="544"/>
      <c r="EN92" s="544"/>
      <c r="EO92" s="544"/>
      <c r="EP92" s="544"/>
      <c r="EQ92" s="544"/>
      <c r="ER92" s="544"/>
      <c r="ES92" s="544"/>
      <c r="ET92" s="544"/>
      <c r="EU92" s="544"/>
      <c r="EV92" s="544"/>
      <c r="EW92" s="544"/>
      <c r="EX92" s="544"/>
      <c r="EY92" s="544"/>
      <c r="EZ92" s="544"/>
      <c r="FA92" s="544"/>
      <c r="FB92" s="544"/>
      <c r="FC92" s="544"/>
      <c r="FD92" s="544"/>
      <c r="FE92" s="544"/>
      <c r="FF92" s="544"/>
      <c r="FG92" s="544"/>
      <c r="FH92" s="544"/>
      <c r="FI92" s="544"/>
      <c r="FJ92" s="544"/>
      <c r="FK92" s="544"/>
      <c r="FL92" s="544"/>
      <c r="FM92" s="544"/>
      <c r="FN92" s="544"/>
      <c r="FO92" s="544"/>
      <c r="FP92" s="544"/>
      <c r="FQ92" s="544"/>
      <c r="FR92" s="544"/>
      <c r="FS92" s="544"/>
      <c r="FT92" s="544"/>
      <c r="FU92" s="544"/>
      <c r="FV92" s="544"/>
      <c r="FW92" s="544"/>
      <c r="FX92" s="544"/>
      <c r="FY92" s="544"/>
      <c r="FZ92" s="544"/>
      <c r="GA92" s="544"/>
      <c r="GB92" s="544"/>
      <c r="GC92" s="544"/>
      <c r="GD92" s="544"/>
      <c r="GE92" s="544"/>
      <c r="GF92" s="544"/>
      <c r="GG92" s="544"/>
      <c r="GH92" s="544"/>
      <c r="GI92" s="544"/>
      <c r="GJ92" s="544"/>
      <c r="GK92" s="544"/>
      <c r="GL92" s="544"/>
      <c r="GM92" s="544"/>
      <c r="GN92" s="544"/>
      <c r="GO92" s="544"/>
      <c r="GP92" s="544"/>
      <c r="GQ92" s="544"/>
      <c r="GR92" s="544"/>
      <c r="GS92" s="544"/>
      <c r="GT92" s="544"/>
      <c r="GU92" s="544"/>
      <c r="GV92" s="544"/>
      <c r="GW92" s="544"/>
      <c r="GX92" s="544"/>
      <c r="GY92" s="544"/>
      <c r="GZ92" s="544"/>
      <c r="HA92" s="544"/>
      <c r="HB92" s="544"/>
      <c r="HC92" s="544"/>
      <c r="HD92" s="544"/>
      <c r="HE92" s="544"/>
      <c r="HF92" s="544"/>
      <c r="HG92" s="544"/>
      <c r="HH92" s="544"/>
      <c r="HI92" s="544"/>
      <c r="HJ92" s="544"/>
      <c r="HK92" s="544"/>
      <c r="HL92" s="544"/>
      <c r="HM92" s="544"/>
      <c r="HN92" s="544"/>
      <c r="HO92" s="544"/>
      <c r="HP92" s="544"/>
      <c r="HQ92" s="544"/>
      <c r="HR92" s="544"/>
      <c r="HS92" s="544"/>
      <c r="HT92" s="544"/>
      <c r="HU92" s="544"/>
      <c r="HV92" s="544"/>
      <c r="HW92" s="544"/>
      <c r="HX92" s="544"/>
      <c r="HY92" s="544"/>
      <c r="HZ92" s="544"/>
      <c r="IA92" s="544"/>
      <c r="IB92" s="544"/>
      <c r="IC92" s="544"/>
      <c r="ID92" s="544"/>
      <c r="IE92" s="544"/>
      <c r="IF92" s="544"/>
      <c r="IG92" s="544"/>
      <c r="IH92" s="544"/>
      <c r="II92" s="544"/>
      <c r="IJ92" s="544"/>
      <c r="IK92" s="544"/>
      <c r="IL92" s="544"/>
      <c r="IM92" s="544"/>
      <c r="IN92" s="544"/>
      <c r="IO92" s="544"/>
      <c r="IP92" s="544"/>
      <c r="IQ92" s="544"/>
      <c r="IR92" s="544"/>
      <c r="IS92" s="544"/>
    </row>
    <row r="93" spans="1:253" ht="31" x14ac:dyDescent="0.35">
      <c r="A93" s="544"/>
      <c r="B93" s="1090" t="s">
        <v>652</v>
      </c>
      <c r="C93" s="881"/>
      <c r="E93" s="907"/>
      <c r="F93" s="908"/>
      <c r="G93" s="909"/>
      <c r="H93" s="544"/>
      <c r="I93" s="544"/>
      <c r="J93" s="544"/>
      <c r="K93" s="544"/>
      <c r="AA93" s="1089" t="s">
        <v>601</v>
      </c>
      <c r="AY93" s="544"/>
      <c r="AZ93" s="544"/>
      <c r="BA93" s="544"/>
      <c r="BB93" s="544"/>
      <c r="BC93" s="544"/>
      <c r="BD93" s="544"/>
      <c r="BE93" s="544"/>
      <c r="BF93" s="544"/>
      <c r="BG93" s="544"/>
      <c r="BH93" s="544"/>
      <c r="BI93" s="544"/>
      <c r="BJ93" s="544"/>
      <c r="BK93" s="544"/>
      <c r="BL93" s="544"/>
      <c r="BM93" s="544"/>
      <c r="BN93" s="544"/>
      <c r="BO93" s="544"/>
      <c r="BP93" s="544"/>
      <c r="BQ93" s="544"/>
      <c r="BR93" s="544"/>
      <c r="BS93" s="544"/>
      <c r="BT93" s="544"/>
      <c r="BU93" s="544"/>
      <c r="BV93" s="544"/>
      <c r="BW93" s="544"/>
      <c r="BX93" s="544"/>
      <c r="BY93" s="544"/>
      <c r="BZ93" s="544"/>
      <c r="CA93" s="544"/>
      <c r="CB93" s="544"/>
      <c r="CC93" s="544"/>
      <c r="CD93" s="544"/>
      <c r="CE93" s="544"/>
      <c r="CF93" s="544"/>
      <c r="CG93" s="544"/>
      <c r="CH93" s="544"/>
      <c r="CI93" s="544"/>
      <c r="CJ93" s="544"/>
      <c r="CK93" s="544"/>
      <c r="CL93" s="544"/>
      <c r="CM93" s="544"/>
      <c r="CN93" s="544"/>
      <c r="CO93" s="544"/>
      <c r="CP93" s="544"/>
      <c r="CQ93" s="544"/>
      <c r="CR93" s="544"/>
      <c r="CS93" s="544"/>
      <c r="CT93" s="544"/>
      <c r="CU93" s="544"/>
      <c r="CV93" s="544"/>
      <c r="CW93" s="544"/>
      <c r="CX93" s="544"/>
      <c r="CY93" s="544"/>
      <c r="CZ93" s="544"/>
      <c r="DA93" s="544"/>
      <c r="DB93" s="544"/>
      <c r="DC93" s="544"/>
      <c r="DD93" s="544"/>
      <c r="DE93" s="544"/>
      <c r="DF93" s="544"/>
      <c r="DG93" s="544"/>
      <c r="DH93" s="544"/>
      <c r="DI93" s="544"/>
      <c r="DJ93" s="544"/>
      <c r="DK93" s="544"/>
      <c r="DL93" s="544"/>
      <c r="DM93" s="544"/>
      <c r="DN93" s="544"/>
      <c r="DO93" s="544"/>
      <c r="DP93" s="544"/>
      <c r="DQ93" s="544"/>
      <c r="DR93" s="544"/>
      <c r="DS93" s="544"/>
      <c r="DT93" s="544"/>
      <c r="DU93" s="544"/>
      <c r="DV93" s="544"/>
      <c r="DW93" s="544"/>
      <c r="DX93" s="544"/>
      <c r="DY93" s="544"/>
      <c r="DZ93" s="544"/>
      <c r="EA93" s="544"/>
      <c r="EB93" s="544"/>
      <c r="EC93" s="544"/>
      <c r="ED93" s="544"/>
      <c r="EE93" s="544"/>
      <c r="EF93" s="544"/>
      <c r="EG93" s="544"/>
      <c r="EH93" s="544"/>
      <c r="EI93" s="544"/>
      <c r="EJ93" s="544"/>
      <c r="EK93" s="544"/>
      <c r="EL93" s="544"/>
      <c r="EM93" s="544"/>
      <c r="EN93" s="544"/>
      <c r="EO93" s="544"/>
      <c r="EP93" s="544"/>
      <c r="EQ93" s="544"/>
      <c r="ER93" s="544"/>
      <c r="ES93" s="544"/>
      <c r="ET93" s="544"/>
      <c r="EU93" s="544"/>
      <c r="EV93" s="544"/>
      <c r="EW93" s="544"/>
      <c r="EX93" s="544"/>
      <c r="EY93" s="544"/>
      <c r="EZ93" s="544"/>
      <c r="FA93" s="544"/>
      <c r="FB93" s="544"/>
      <c r="FC93" s="544"/>
      <c r="FD93" s="544"/>
      <c r="FE93" s="544"/>
      <c r="FF93" s="544"/>
      <c r="FG93" s="544"/>
      <c r="FH93" s="544"/>
      <c r="FI93" s="544"/>
      <c r="FJ93" s="544"/>
      <c r="FK93" s="544"/>
      <c r="FL93" s="544"/>
      <c r="FM93" s="544"/>
      <c r="FN93" s="544"/>
      <c r="FO93" s="544"/>
      <c r="FP93" s="544"/>
      <c r="FQ93" s="544"/>
      <c r="FR93" s="544"/>
      <c r="FS93" s="544"/>
      <c r="FT93" s="544"/>
      <c r="FU93" s="544"/>
      <c r="FV93" s="544"/>
      <c r="FW93" s="544"/>
      <c r="FX93" s="544"/>
      <c r="FY93" s="544"/>
      <c r="FZ93" s="544"/>
      <c r="GA93" s="544"/>
      <c r="GB93" s="544"/>
      <c r="GC93" s="544"/>
      <c r="GD93" s="544"/>
      <c r="GE93" s="544"/>
      <c r="GF93" s="544"/>
      <c r="GG93" s="544"/>
      <c r="GH93" s="544"/>
      <c r="GI93" s="544"/>
      <c r="GJ93" s="544"/>
      <c r="GK93" s="544"/>
      <c r="GL93" s="544"/>
      <c r="GM93" s="544"/>
      <c r="GN93" s="544"/>
      <c r="GO93" s="544"/>
      <c r="GP93" s="544"/>
      <c r="GQ93" s="544"/>
      <c r="GR93" s="544"/>
      <c r="GS93" s="544"/>
      <c r="GT93" s="544"/>
      <c r="GU93" s="544"/>
      <c r="GV93" s="544"/>
      <c r="GW93" s="544"/>
      <c r="GX93" s="544"/>
      <c r="GY93" s="544"/>
      <c r="GZ93" s="544"/>
      <c r="HA93" s="544"/>
      <c r="HB93" s="544"/>
      <c r="HC93" s="544"/>
      <c r="HD93" s="544"/>
      <c r="HE93" s="544"/>
      <c r="HF93" s="544"/>
      <c r="HG93" s="544"/>
      <c r="HH93" s="544"/>
      <c r="HI93" s="544"/>
      <c r="HJ93" s="544"/>
      <c r="HK93" s="544"/>
      <c r="HL93" s="544"/>
      <c r="HM93" s="544"/>
      <c r="HN93" s="544"/>
      <c r="HO93" s="544"/>
      <c r="HP93" s="544"/>
      <c r="HQ93" s="544"/>
      <c r="HR93" s="544"/>
      <c r="HS93" s="544"/>
      <c r="HT93" s="544"/>
      <c r="HU93" s="544"/>
      <c r="HV93" s="544"/>
      <c r="HW93" s="544"/>
      <c r="HX93" s="544"/>
      <c r="HY93" s="544"/>
      <c r="HZ93" s="544"/>
      <c r="IA93" s="544"/>
      <c r="IB93" s="544"/>
      <c r="IC93" s="544"/>
      <c r="ID93" s="544"/>
      <c r="IE93" s="544"/>
      <c r="IF93" s="544"/>
      <c r="IG93" s="544"/>
      <c r="IH93" s="544"/>
      <c r="II93" s="544"/>
      <c r="IJ93" s="544"/>
      <c r="IK93" s="544"/>
      <c r="IL93" s="544"/>
      <c r="IM93" s="544"/>
      <c r="IN93" s="544"/>
      <c r="IO93" s="544"/>
      <c r="IP93" s="544"/>
      <c r="IQ93" s="544"/>
      <c r="IR93" s="544"/>
      <c r="IS93" s="544"/>
    </row>
    <row r="94" spans="1:253" ht="31" x14ac:dyDescent="0.35">
      <c r="A94" s="544"/>
      <c r="B94" s="1090" t="s">
        <v>653</v>
      </c>
      <c r="C94" s="881"/>
      <c r="E94" s="907"/>
      <c r="F94" s="908"/>
      <c r="G94" s="909"/>
      <c r="H94" s="544"/>
      <c r="I94" s="544"/>
      <c r="J94" s="544"/>
      <c r="K94" s="544"/>
      <c r="AA94" s="1089" t="s">
        <v>601</v>
      </c>
      <c r="AY94" s="544"/>
      <c r="AZ94" s="544"/>
      <c r="BA94" s="544"/>
      <c r="BB94" s="544"/>
      <c r="BC94" s="544"/>
      <c r="BD94" s="544"/>
      <c r="BE94" s="544"/>
      <c r="BF94" s="544"/>
      <c r="BG94" s="544"/>
      <c r="BH94" s="544"/>
      <c r="BI94" s="544"/>
      <c r="BJ94" s="544"/>
      <c r="BK94" s="544"/>
      <c r="BL94" s="544"/>
      <c r="BM94" s="544"/>
      <c r="BN94" s="544"/>
      <c r="BO94" s="544"/>
      <c r="BP94" s="544"/>
      <c r="BQ94" s="544"/>
      <c r="BR94" s="544"/>
      <c r="BS94" s="544"/>
      <c r="BT94" s="544"/>
      <c r="BU94" s="544"/>
      <c r="BV94" s="544"/>
      <c r="BW94" s="544"/>
      <c r="BX94" s="544"/>
      <c r="BY94" s="544"/>
      <c r="BZ94" s="544"/>
      <c r="CA94" s="544"/>
      <c r="CB94" s="544"/>
      <c r="CC94" s="544"/>
      <c r="CD94" s="544"/>
      <c r="CE94" s="544"/>
      <c r="CF94" s="544"/>
      <c r="CG94" s="544"/>
      <c r="CH94" s="544"/>
      <c r="CI94" s="544"/>
      <c r="CJ94" s="544"/>
      <c r="CK94" s="544"/>
      <c r="CL94" s="544"/>
      <c r="CM94" s="544"/>
      <c r="CN94" s="544"/>
      <c r="CO94" s="544"/>
      <c r="CP94" s="544"/>
      <c r="CQ94" s="544"/>
      <c r="CR94" s="544"/>
      <c r="CS94" s="544"/>
      <c r="CT94" s="544"/>
      <c r="CU94" s="544"/>
      <c r="CV94" s="544"/>
      <c r="CW94" s="544"/>
      <c r="CX94" s="544"/>
      <c r="CY94" s="544"/>
      <c r="CZ94" s="544"/>
      <c r="DA94" s="544"/>
      <c r="DB94" s="544"/>
      <c r="DC94" s="544"/>
      <c r="DD94" s="544"/>
      <c r="DE94" s="544"/>
      <c r="DF94" s="544"/>
      <c r="DG94" s="544"/>
      <c r="DH94" s="544"/>
      <c r="DI94" s="544"/>
      <c r="DJ94" s="544"/>
      <c r="DK94" s="544"/>
      <c r="DL94" s="544"/>
      <c r="DM94" s="544"/>
      <c r="DN94" s="544"/>
      <c r="DO94" s="544"/>
      <c r="DP94" s="544"/>
      <c r="DQ94" s="544"/>
      <c r="DR94" s="544"/>
      <c r="DS94" s="544"/>
      <c r="DT94" s="544"/>
      <c r="DU94" s="544"/>
      <c r="DV94" s="544"/>
      <c r="DW94" s="544"/>
      <c r="DX94" s="544"/>
      <c r="DY94" s="544"/>
      <c r="DZ94" s="544"/>
      <c r="EA94" s="544"/>
      <c r="EB94" s="544"/>
      <c r="EC94" s="544"/>
      <c r="ED94" s="544"/>
      <c r="EE94" s="544"/>
      <c r="EF94" s="544"/>
      <c r="EG94" s="544"/>
      <c r="EH94" s="544"/>
      <c r="EI94" s="544"/>
      <c r="EJ94" s="544"/>
      <c r="EK94" s="544"/>
      <c r="EL94" s="544"/>
      <c r="EM94" s="544"/>
      <c r="EN94" s="544"/>
      <c r="EO94" s="544"/>
      <c r="EP94" s="544"/>
      <c r="EQ94" s="544"/>
      <c r="ER94" s="544"/>
      <c r="ES94" s="544"/>
      <c r="ET94" s="544"/>
      <c r="EU94" s="544"/>
      <c r="EV94" s="544"/>
      <c r="EW94" s="544"/>
      <c r="EX94" s="544"/>
      <c r="EY94" s="544"/>
      <c r="EZ94" s="544"/>
      <c r="FA94" s="544"/>
      <c r="FB94" s="544"/>
      <c r="FC94" s="544"/>
      <c r="FD94" s="544"/>
      <c r="FE94" s="544"/>
      <c r="FF94" s="544"/>
      <c r="FG94" s="544"/>
      <c r="FH94" s="544"/>
      <c r="FI94" s="544"/>
      <c r="FJ94" s="544"/>
      <c r="FK94" s="544"/>
      <c r="FL94" s="544"/>
      <c r="FM94" s="544"/>
      <c r="FN94" s="544"/>
      <c r="FO94" s="544"/>
      <c r="FP94" s="544"/>
      <c r="FQ94" s="544"/>
      <c r="FR94" s="544"/>
      <c r="FS94" s="544"/>
      <c r="FT94" s="544"/>
      <c r="FU94" s="544"/>
      <c r="FV94" s="544"/>
      <c r="FW94" s="544"/>
      <c r="FX94" s="544"/>
      <c r="FY94" s="544"/>
      <c r="FZ94" s="544"/>
      <c r="GA94" s="544"/>
      <c r="GB94" s="544"/>
      <c r="GC94" s="544"/>
      <c r="GD94" s="544"/>
      <c r="GE94" s="544"/>
      <c r="GF94" s="544"/>
      <c r="GG94" s="544"/>
      <c r="GH94" s="544"/>
      <c r="GI94" s="544"/>
      <c r="GJ94" s="544"/>
      <c r="GK94" s="544"/>
      <c r="GL94" s="544"/>
      <c r="GM94" s="544"/>
      <c r="GN94" s="544"/>
      <c r="GO94" s="544"/>
      <c r="GP94" s="544"/>
      <c r="GQ94" s="544"/>
      <c r="GR94" s="544"/>
      <c r="GS94" s="544"/>
      <c r="GT94" s="544"/>
      <c r="GU94" s="544"/>
      <c r="GV94" s="544"/>
      <c r="GW94" s="544"/>
      <c r="GX94" s="544"/>
      <c r="GY94" s="544"/>
      <c r="GZ94" s="544"/>
      <c r="HA94" s="544"/>
      <c r="HB94" s="544"/>
      <c r="HC94" s="544"/>
      <c r="HD94" s="544"/>
      <c r="HE94" s="544"/>
      <c r="HF94" s="544"/>
      <c r="HG94" s="544"/>
      <c r="HH94" s="544"/>
      <c r="HI94" s="544"/>
      <c r="HJ94" s="544"/>
      <c r="HK94" s="544"/>
      <c r="HL94" s="544"/>
      <c r="HM94" s="544"/>
      <c r="HN94" s="544"/>
      <c r="HO94" s="544"/>
      <c r="HP94" s="544"/>
      <c r="HQ94" s="544"/>
      <c r="HR94" s="544"/>
      <c r="HS94" s="544"/>
      <c r="HT94" s="544"/>
      <c r="HU94" s="544"/>
      <c r="HV94" s="544"/>
      <c r="HW94" s="544"/>
      <c r="HX94" s="544"/>
      <c r="HY94" s="544"/>
      <c r="HZ94" s="544"/>
      <c r="IA94" s="544"/>
      <c r="IB94" s="544"/>
      <c r="IC94" s="544"/>
      <c r="ID94" s="544"/>
      <c r="IE94" s="544"/>
      <c r="IF94" s="544"/>
      <c r="IG94" s="544"/>
      <c r="IH94" s="544"/>
      <c r="II94" s="544"/>
      <c r="IJ94" s="544"/>
      <c r="IK94" s="544"/>
      <c r="IL94" s="544"/>
      <c r="IM94" s="544"/>
      <c r="IN94" s="544"/>
      <c r="IO94" s="544"/>
      <c r="IP94" s="544"/>
      <c r="IQ94" s="544"/>
      <c r="IR94" s="544"/>
      <c r="IS94" s="544"/>
    </row>
    <row r="95" spans="1:253" ht="31" x14ac:dyDescent="0.35">
      <c r="A95" s="544"/>
      <c r="B95" s="1090" t="s">
        <v>654</v>
      </c>
      <c r="C95" s="881"/>
      <c r="E95" s="907"/>
      <c r="F95" s="908"/>
      <c r="G95" s="909"/>
      <c r="H95" s="544"/>
      <c r="I95" s="544"/>
      <c r="J95" s="544"/>
      <c r="K95" s="544"/>
      <c r="AA95" s="1089" t="s">
        <v>601</v>
      </c>
      <c r="AY95" s="544"/>
      <c r="AZ95" s="544"/>
      <c r="BA95" s="544"/>
      <c r="BB95" s="544"/>
      <c r="BC95" s="544"/>
      <c r="BD95" s="544"/>
      <c r="BE95" s="544"/>
      <c r="BF95" s="544"/>
      <c r="BG95" s="544"/>
      <c r="BH95" s="544"/>
      <c r="BI95" s="544"/>
      <c r="BJ95" s="544"/>
      <c r="BK95" s="544"/>
      <c r="BL95" s="544"/>
      <c r="BM95" s="544"/>
      <c r="BN95" s="544"/>
      <c r="BO95" s="544"/>
      <c r="BP95" s="544"/>
      <c r="BQ95" s="544"/>
      <c r="BR95" s="544"/>
      <c r="BS95" s="544"/>
      <c r="BT95" s="544"/>
      <c r="BU95" s="544"/>
      <c r="BV95" s="544"/>
      <c r="BW95" s="544"/>
      <c r="BX95" s="544"/>
      <c r="BY95" s="544"/>
      <c r="BZ95" s="544"/>
      <c r="CA95" s="544"/>
      <c r="CB95" s="544"/>
      <c r="CC95" s="544"/>
      <c r="CD95" s="544"/>
      <c r="CE95" s="544"/>
      <c r="CF95" s="544"/>
      <c r="CG95" s="544"/>
      <c r="CH95" s="544"/>
      <c r="CI95" s="544"/>
      <c r="CJ95" s="544"/>
      <c r="CK95" s="544"/>
      <c r="CL95" s="544"/>
      <c r="CM95" s="544"/>
      <c r="CN95" s="544"/>
      <c r="CO95" s="544"/>
      <c r="CP95" s="544"/>
      <c r="CQ95" s="544"/>
      <c r="CR95" s="544"/>
      <c r="CS95" s="544"/>
      <c r="CT95" s="544"/>
      <c r="CU95" s="544"/>
      <c r="CV95" s="544"/>
      <c r="CW95" s="544"/>
      <c r="CX95" s="544"/>
      <c r="CY95" s="544"/>
      <c r="CZ95" s="544"/>
      <c r="DA95" s="544"/>
      <c r="DB95" s="544"/>
      <c r="DC95" s="544"/>
      <c r="DD95" s="544"/>
      <c r="DE95" s="544"/>
      <c r="DF95" s="544"/>
      <c r="DG95" s="544"/>
      <c r="DH95" s="544"/>
      <c r="DI95" s="544"/>
      <c r="DJ95" s="544"/>
      <c r="DK95" s="544"/>
      <c r="DL95" s="544"/>
      <c r="DM95" s="544"/>
      <c r="DN95" s="544"/>
      <c r="DO95" s="544"/>
      <c r="DP95" s="544"/>
      <c r="DQ95" s="544"/>
      <c r="DR95" s="544"/>
      <c r="DS95" s="544"/>
      <c r="DT95" s="544"/>
      <c r="DU95" s="544"/>
      <c r="DV95" s="544"/>
      <c r="DW95" s="544"/>
      <c r="DX95" s="544"/>
      <c r="DY95" s="544"/>
      <c r="DZ95" s="544"/>
      <c r="EA95" s="544"/>
      <c r="EB95" s="544"/>
      <c r="EC95" s="544"/>
      <c r="ED95" s="544"/>
      <c r="EE95" s="544"/>
      <c r="EF95" s="544"/>
      <c r="EG95" s="544"/>
      <c r="EH95" s="544"/>
      <c r="EI95" s="544"/>
      <c r="EJ95" s="544"/>
      <c r="EK95" s="544"/>
      <c r="EL95" s="544"/>
      <c r="EM95" s="544"/>
      <c r="EN95" s="544"/>
      <c r="EO95" s="544"/>
      <c r="EP95" s="544"/>
      <c r="EQ95" s="544"/>
      <c r="ER95" s="544"/>
      <c r="ES95" s="544"/>
      <c r="ET95" s="544"/>
      <c r="EU95" s="544"/>
      <c r="EV95" s="544"/>
      <c r="EW95" s="544"/>
      <c r="EX95" s="544"/>
      <c r="EY95" s="544"/>
      <c r="EZ95" s="544"/>
      <c r="FA95" s="544"/>
      <c r="FB95" s="544"/>
      <c r="FC95" s="544"/>
      <c r="FD95" s="544"/>
      <c r="FE95" s="544"/>
      <c r="FF95" s="544"/>
      <c r="FG95" s="544"/>
      <c r="FH95" s="544"/>
      <c r="FI95" s="544"/>
      <c r="FJ95" s="544"/>
      <c r="FK95" s="544"/>
      <c r="FL95" s="544"/>
      <c r="FM95" s="544"/>
      <c r="FN95" s="544"/>
      <c r="FO95" s="544"/>
      <c r="FP95" s="544"/>
      <c r="FQ95" s="544"/>
      <c r="FR95" s="544"/>
      <c r="FS95" s="544"/>
      <c r="FT95" s="544"/>
      <c r="FU95" s="544"/>
      <c r="FV95" s="544"/>
      <c r="FW95" s="544"/>
      <c r="FX95" s="544"/>
      <c r="FY95" s="544"/>
      <c r="FZ95" s="544"/>
      <c r="GA95" s="544"/>
      <c r="GB95" s="544"/>
      <c r="GC95" s="544"/>
      <c r="GD95" s="544"/>
      <c r="GE95" s="544"/>
      <c r="GF95" s="544"/>
      <c r="GG95" s="544"/>
      <c r="GH95" s="544"/>
      <c r="GI95" s="544"/>
      <c r="GJ95" s="544"/>
      <c r="GK95" s="544"/>
      <c r="GL95" s="544"/>
      <c r="GM95" s="544"/>
      <c r="GN95" s="544"/>
      <c r="GO95" s="544"/>
      <c r="GP95" s="544"/>
      <c r="GQ95" s="544"/>
      <c r="GR95" s="544"/>
      <c r="GS95" s="544"/>
      <c r="GT95" s="544"/>
      <c r="GU95" s="544"/>
      <c r="GV95" s="544"/>
      <c r="GW95" s="544"/>
      <c r="GX95" s="544"/>
      <c r="GY95" s="544"/>
      <c r="GZ95" s="544"/>
      <c r="HA95" s="544"/>
      <c r="HB95" s="544"/>
      <c r="HC95" s="544"/>
      <c r="HD95" s="544"/>
      <c r="HE95" s="544"/>
      <c r="HF95" s="544"/>
      <c r="HG95" s="544"/>
      <c r="HH95" s="544"/>
      <c r="HI95" s="544"/>
      <c r="HJ95" s="544"/>
      <c r="HK95" s="544"/>
      <c r="HL95" s="544"/>
      <c r="HM95" s="544"/>
      <c r="HN95" s="544"/>
      <c r="HO95" s="544"/>
      <c r="HP95" s="544"/>
      <c r="HQ95" s="544"/>
      <c r="HR95" s="544"/>
      <c r="HS95" s="544"/>
      <c r="HT95" s="544"/>
      <c r="HU95" s="544"/>
      <c r="HV95" s="544"/>
      <c r="HW95" s="544"/>
      <c r="HX95" s="544"/>
      <c r="HY95" s="544"/>
      <c r="HZ95" s="544"/>
      <c r="IA95" s="544"/>
      <c r="IB95" s="544"/>
      <c r="IC95" s="544"/>
      <c r="ID95" s="544"/>
      <c r="IE95" s="544"/>
      <c r="IF95" s="544"/>
      <c r="IG95" s="544"/>
      <c r="IH95" s="544"/>
      <c r="II95" s="544"/>
      <c r="IJ95" s="544"/>
      <c r="IK95" s="544"/>
      <c r="IL95" s="544"/>
      <c r="IM95" s="544"/>
      <c r="IN95" s="544"/>
      <c r="IO95" s="544"/>
      <c r="IP95" s="544"/>
      <c r="IQ95" s="544"/>
      <c r="IR95" s="544"/>
      <c r="IS95" s="544"/>
    </row>
    <row r="96" spans="1:253" s="544" customFormat="1" ht="17.149999999999999" customHeight="1" x14ac:dyDescent="0.35">
      <c r="B96" s="601"/>
      <c r="C96" s="601"/>
    </row>
    <row r="97" spans="1:253" s="544" customFormat="1" ht="17.149999999999999" customHeight="1" x14ac:dyDescent="0.35">
      <c r="B97" s="592" t="s">
        <v>666</v>
      </c>
      <c r="C97" s="679"/>
    </row>
    <row r="98" spans="1:253" ht="28" customHeight="1" x14ac:dyDescent="0.35">
      <c r="A98" s="544"/>
      <c r="B98" s="1484" t="s">
        <v>594</v>
      </c>
      <c r="C98" s="684" t="s">
        <v>374</v>
      </c>
      <c r="E98" s="667" t="s">
        <v>521</v>
      </c>
      <c r="F98" s="1480"/>
      <c r="G98" s="1481"/>
      <c r="H98" s="1474" t="s">
        <v>656</v>
      </c>
      <c r="I98" s="1474" t="s">
        <v>645</v>
      </c>
      <c r="J98" s="544"/>
      <c r="K98" s="544"/>
      <c r="AY98" s="544"/>
      <c r="AZ98" s="544"/>
      <c r="BA98" s="544"/>
      <c r="BB98" s="544"/>
      <c r="BC98" s="544"/>
      <c r="BD98" s="544"/>
      <c r="BE98" s="544"/>
      <c r="BF98" s="544"/>
      <c r="BG98" s="544"/>
      <c r="BH98" s="544"/>
      <c r="BI98" s="544"/>
      <c r="BJ98" s="544"/>
      <c r="BK98" s="544"/>
      <c r="BL98" s="544"/>
      <c r="BM98" s="544"/>
      <c r="BN98" s="544"/>
      <c r="BO98" s="544"/>
      <c r="BP98" s="544"/>
      <c r="BQ98" s="544"/>
      <c r="BR98" s="544"/>
      <c r="BS98" s="544"/>
      <c r="BT98" s="544"/>
      <c r="BU98" s="544"/>
      <c r="BV98" s="544"/>
      <c r="BW98" s="544"/>
      <c r="BX98" s="544"/>
      <c r="BY98" s="544"/>
      <c r="BZ98" s="544"/>
      <c r="CA98" s="544"/>
      <c r="CB98" s="544"/>
      <c r="CC98" s="544"/>
      <c r="CD98" s="544"/>
      <c r="CE98" s="544"/>
      <c r="CF98" s="544"/>
      <c r="CG98" s="544"/>
      <c r="CH98" s="544"/>
      <c r="CI98" s="544"/>
      <c r="CJ98" s="544"/>
      <c r="CK98" s="544"/>
      <c r="CL98" s="544"/>
      <c r="CM98" s="544"/>
      <c r="CN98" s="544"/>
      <c r="CO98" s="544"/>
      <c r="CP98" s="544"/>
      <c r="CQ98" s="544"/>
      <c r="CR98" s="544"/>
      <c r="CS98" s="544"/>
      <c r="CT98" s="544"/>
      <c r="CU98" s="544"/>
      <c r="CV98" s="544"/>
      <c r="CW98" s="544"/>
      <c r="CX98" s="544"/>
      <c r="CY98" s="544"/>
      <c r="CZ98" s="544"/>
      <c r="DA98" s="544"/>
      <c r="DB98" s="544"/>
      <c r="DC98" s="544"/>
      <c r="DD98" s="544"/>
      <c r="DE98" s="544"/>
      <c r="DF98" s="544"/>
      <c r="DG98" s="544"/>
      <c r="DH98" s="544"/>
      <c r="DI98" s="544"/>
      <c r="DJ98" s="544"/>
      <c r="DK98" s="544"/>
      <c r="DL98" s="544"/>
      <c r="DM98" s="544"/>
      <c r="DN98" s="544"/>
      <c r="DO98" s="544"/>
      <c r="DP98" s="544"/>
      <c r="DQ98" s="544"/>
      <c r="DR98" s="544"/>
      <c r="DS98" s="544"/>
      <c r="DT98" s="544"/>
      <c r="DU98" s="544"/>
      <c r="DV98" s="544"/>
      <c r="DW98" s="544"/>
      <c r="DX98" s="544"/>
      <c r="DY98" s="544"/>
      <c r="DZ98" s="544"/>
      <c r="EA98" s="544"/>
      <c r="EB98" s="544"/>
      <c r="EC98" s="544"/>
      <c r="ED98" s="544"/>
      <c r="EE98" s="544"/>
      <c r="EF98" s="544"/>
      <c r="EG98" s="544"/>
      <c r="EH98" s="544"/>
      <c r="EI98" s="544"/>
      <c r="EJ98" s="544"/>
      <c r="EK98" s="544"/>
      <c r="EL98" s="544"/>
      <c r="EM98" s="544"/>
      <c r="EN98" s="544"/>
      <c r="EO98" s="544"/>
      <c r="EP98" s="544"/>
      <c r="EQ98" s="544"/>
      <c r="ER98" s="544"/>
      <c r="ES98" s="544"/>
      <c r="ET98" s="544"/>
      <c r="EU98" s="544"/>
      <c r="EV98" s="544"/>
      <c r="EW98" s="544"/>
      <c r="EX98" s="544"/>
      <c r="EY98" s="544"/>
      <c r="EZ98" s="544"/>
      <c r="FA98" s="544"/>
      <c r="FB98" s="544"/>
      <c r="FC98" s="544"/>
      <c r="FD98" s="544"/>
      <c r="FE98" s="544"/>
      <c r="FF98" s="544"/>
      <c r="FG98" s="544"/>
      <c r="FH98" s="544"/>
      <c r="FI98" s="544"/>
      <c r="FJ98" s="544"/>
      <c r="FK98" s="544"/>
      <c r="FL98" s="544"/>
      <c r="FM98" s="544"/>
      <c r="FN98" s="544"/>
      <c r="FO98" s="544"/>
      <c r="FP98" s="544"/>
      <c r="FQ98" s="544"/>
      <c r="FR98" s="544"/>
      <c r="FS98" s="544"/>
      <c r="FT98" s="544"/>
      <c r="FU98" s="544"/>
      <c r="FV98" s="544"/>
      <c r="FW98" s="544"/>
      <c r="FX98" s="544"/>
      <c r="FY98" s="544"/>
      <c r="FZ98" s="544"/>
      <c r="GA98" s="544"/>
      <c r="GB98" s="544"/>
      <c r="GC98" s="544"/>
      <c r="GD98" s="544"/>
      <c r="GE98" s="544"/>
      <c r="GF98" s="544"/>
      <c r="GG98" s="544"/>
      <c r="GH98" s="544"/>
      <c r="GI98" s="544"/>
      <c r="GJ98" s="544"/>
      <c r="GK98" s="544"/>
      <c r="GL98" s="544"/>
      <c r="GM98" s="544"/>
      <c r="GN98" s="544"/>
      <c r="GO98" s="544"/>
      <c r="GP98" s="544"/>
      <c r="GQ98" s="544"/>
      <c r="GR98" s="544"/>
      <c r="GS98" s="544"/>
      <c r="GT98" s="544"/>
      <c r="GU98" s="544"/>
      <c r="GV98" s="544"/>
      <c r="GW98" s="544"/>
      <c r="GX98" s="544"/>
      <c r="GY98" s="544"/>
      <c r="GZ98" s="544"/>
      <c r="HA98" s="544"/>
      <c r="HB98" s="544"/>
      <c r="HC98" s="544"/>
      <c r="HD98" s="544"/>
      <c r="HE98" s="544"/>
      <c r="HF98" s="544"/>
      <c r="HG98" s="544"/>
      <c r="HH98" s="544"/>
      <c r="HI98" s="544"/>
      <c r="HJ98" s="544"/>
      <c r="HK98" s="544"/>
      <c r="HL98" s="544"/>
      <c r="HM98" s="544"/>
      <c r="HN98" s="544"/>
      <c r="HO98" s="544"/>
      <c r="HP98" s="544"/>
      <c r="HQ98" s="544"/>
      <c r="HR98" s="544"/>
      <c r="HS98" s="544"/>
      <c r="HT98" s="544"/>
      <c r="HU98" s="544"/>
      <c r="HV98" s="544"/>
      <c r="HW98" s="544"/>
      <c r="HX98" s="544"/>
      <c r="HY98" s="544"/>
      <c r="HZ98" s="544"/>
      <c r="IA98" s="544"/>
      <c r="IB98" s="544"/>
      <c r="IC98" s="544"/>
      <c r="ID98" s="544"/>
      <c r="IE98" s="544"/>
      <c r="IF98" s="544"/>
      <c r="IG98" s="544"/>
      <c r="IH98" s="544"/>
      <c r="II98" s="544"/>
      <c r="IJ98" s="544"/>
      <c r="IK98" s="544"/>
      <c r="IL98" s="544"/>
      <c r="IM98" s="544"/>
      <c r="IN98" s="544"/>
      <c r="IO98" s="544"/>
      <c r="IP98" s="544"/>
      <c r="IQ98" s="544"/>
      <c r="IR98" s="544"/>
      <c r="IS98" s="544"/>
    </row>
    <row r="99" spans="1:253" ht="28" customHeight="1" x14ac:dyDescent="0.35">
      <c r="A99" s="544"/>
      <c r="B99" s="600" t="s">
        <v>646</v>
      </c>
      <c r="C99" s="881">
        <v>1</v>
      </c>
      <c r="E99" s="544"/>
      <c r="F99" s="544"/>
      <c r="G99" s="544"/>
      <c r="H99" s="544"/>
      <c r="I99" s="544"/>
      <c r="J99" s="544"/>
      <c r="K99" s="544"/>
      <c r="AY99" s="544"/>
      <c r="AZ99" s="544"/>
      <c r="BA99" s="544"/>
      <c r="BB99" s="544"/>
      <c r="BC99" s="544"/>
      <c r="BD99" s="544"/>
      <c r="BE99" s="544"/>
      <c r="BF99" s="544"/>
      <c r="BG99" s="544"/>
      <c r="BH99" s="544"/>
      <c r="BI99" s="544"/>
      <c r="BJ99" s="544"/>
      <c r="BK99" s="544"/>
      <c r="BL99" s="544"/>
      <c r="BM99" s="544"/>
      <c r="BN99" s="544"/>
      <c r="BO99" s="544"/>
      <c r="BP99" s="544"/>
      <c r="BQ99" s="544"/>
      <c r="BR99" s="544"/>
      <c r="BS99" s="544"/>
      <c r="BT99" s="544"/>
      <c r="BU99" s="544"/>
      <c r="BV99" s="544"/>
      <c r="BW99" s="544"/>
      <c r="BX99" s="544"/>
      <c r="BY99" s="544"/>
      <c r="BZ99" s="544"/>
      <c r="CA99" s="544"/>
      <c r="CB99" s="544"/>
      <c r="CC99" s="544"/>
      <c r="CD99" s="544"/>
      <c r="CE99" s="544"/>
      <c r="CF99" s="544"/>
      <c r="CG99" s="544"/>
      <c r="CH99" s="544"/>
      <c r="CI99" s="544"/>
      <c r="CJ99" s="544"/>
      <c r="CK99" s="544"/>
      <c r="CL99" s="544"/>
      <c r="CM99" s="544"/>
      <c r="CN99" s="544"/>
      <c r="CO99" s="544"/>
      <c r="CP99" s="544"/>
      <c r="CQ99" s="544"/>
      <c r="CR99" s="544"/>
      <c r="CS99" s="544"/>
      <c r="CT99" s="544"/>
      <c r="CU99" s="544"/>
      <c r="CV99" s="544"/>
      <c r="CW99" s="544"/>
      <c r="CX99" s="544"/>
      <c r="CY99" s="544"/>
      <c r="CZ99" s="544"/>
      <c r="DA99" s="544"/>
      <c r="DB99" s="544"/>
      <c r="DC99" s="544"/>
      <c r="DD99" s="544"/>
      <c r="DE99" s="544"/>
      <c r="DF99" s="544"/>
      <c r="DG99" s="544"/>
      <c r="DH99" s="544"/>
      <c r="DI99" s="544"/>
      <c r="DJ99" s="544"/>
      <c r="DK99" s="544"/>
      <c r="DL99" s="544"/>
      <c r="DM99" s="544"/>
      <c r="DN99" s="544"/>
      <c r="DO99" s="544"/>
      <c r="DP99" s="544"/>
      <c r="DQ99" s="544"/>
      <c r="DR99" s="544"/>
      <c r="DS99" s="544"/>
      <c r="DT99" s="544"/>
      <c r="DU99" s="544"/>
      <c r="DV99" s="544"/>
      <c r="DW99" s="544"/>
      <c r="DX99" s="544"/>
      <c r="DY99" s="544"/>
      <c r="DZ99" s="544"/>
      <c r="EA99" s="544"/>
      <c r="EB99" s="544"/>
      <c r="EC99" s="544"/>
      <c r="ED99" s="544"/>
      <c r="EE99" s="544"/>
      <c r="EF99" s="544"/>
      <c r="EG99" s="544"/>
      <c r="EH99" s="544"/>
      <c r="EI99" s="544"/>
      <c r="EJ99" s="544"/>
      <c r="EK99" s="544"/>
      <c r="EL99" s="544"/>
      <c r="EM99" s="544"/>
      <c r="EN99" s="544"/>
      <c r="EO99" s="544"/>
      <c r="EP99" s="544"/>
      <c r="EQ99" s="544"/>
      <c r="ER99" s="544"/>
      <c r="ES99" s="544"/>
      <c r="ET99" s="544"/>
      <c r="EU99" s="544"/>
      <c r="EV99" s="544"/>
      <c r="EW99" s="544"/>
      <c r="EX99" s="544"/>
      <c r="EY99" s="544"/>
      <c r="EZ99" s="544"/>
      <c r="FA99" s="544"/>
      <c r="FB99" s="544"/>
      <c r="FC99" s="544"/>
      <c r="FD99" s="544"/>
      <c r="FE99" s="544"/>
      <c r="FF99" s="544"/>
      <c r="FG99" s="544"/>
      <c r="FH99" s="544"/>
      <c r="FI99" s="544"/>
      <c r="FJ99" s="544"/>
      <c r="FK99" s="544"/>
      <c r="FL99" s="544"/>
      <c r="FM99" s="544"/>
      <c r="FN99" s="544"/>
      <c r="FO99" s="544"/>
      <c r="FP99" s="544"/>
      <c r="FQ99" s="544"/>
      <c r="FR99" s="544"/>
      <c r="FS99" s="544"/>
      <c r="FT99" s="544"/>
      <c r="FU99" s="544"/>
      <c r="FV99" s="544"/>
      <c r="FW99" s="544"/>
      <c r="FX99" s="544"/>
      <c r="FY99" s="544"/>
      <c r="FZ99" s="544"/>
      <c r="GA99" s="544"/>
      <c r="GB99" s="544"/>
      <c r="GC99" s="544"/>
      <c r="GD99" s="544"/>
      <c r="GE99" s="544"/>
      <c r="GF99" s="544"/>
      <c r="GG99" s="544"/>
      <c r="GH99" s="544"/>
      <c r="GI99" s="544"/>
      <c r="GJ99" s="544"/>
      <c r="GK99" s="544"/>
      <c r="GL99" s="544"/>
      <c r="GM99" s="544"/>
      <c r="GN99" s="544"/>
      <c r="GO99" s="544"/>
      <c r="GP99" s="544"/>
      <c r="GQ99" s="544"/>
      <c r="GR99" s="544"/>
      <c r="GS99" s="544"/>
      <c r="GT99" s="544"/>
      <c r="GU99" s="544"/>
      <c r="GV99" s="544"/>
      <c r="GW99" s="544"/>
      <c r="GX99" s="544"/>
      <c r="GY99" s="544"/>
      <c r="GZ99" s="544"/>
      <c r="HA99" s="544"/>
      <c r="HB99" s="544"/>
      <c r="HC99" s="544"/>
      <c r="HD99" s="544"/>
      <c r="HE99" s="544"/>
      <c r="HF99" s="544"/>
      <c r="HG99" s="544"/>
      <c r="HH99" s="544"/>
      <c r="HI99" s="544"/>
      <c r="HJ99" s="544"/>
      <c r="HK99" s="544"/>
      <c r="HL99" s="544"/>
      <c r="HM99" s="544"/>
      <c r="HN99" s="544"/>
      <c r="HO99" s="544"/>
      <c r="HP99" s="544"/>
      <c r="HQ99" s="544"/>
      <c r="HR99" s="544"/>
      <c r="HS99" s="544"/>
      <c r="HT99" s="544"/>
      <c r="HU99" s="544"/>
      <c r="HV99" s="544"/>
      <c r="HW99" s="544"/>
      <c r="HX99" s="544"/>
      <c r="HY99" s="544"/>
      <c r="HZ99" s="544"/>
      <c r="IA99" s="544"/>
      <c r="IB99" s="544"/>
      <c r="IC99" s="544"/>
      <c r="ID99" s="544"/>
      <c r="IE99" s="544"/>
      <c r="IF99" s="544"/>
      <c r="IG99" s="544"/>
      <c r="IH99" s="544"/>
      <c r="II99" s="544"/>
      <c r="IJ99" s="544"/>
      <c r="IK99" s="544"/>
      <c r="IL99" s="544"/>
      <c r="IM99" s="544"/>
      <c r="IN99" s="544"/>
      <c r="IO99" s="544"/>
      <c r="IP99" s="544"/>
      <c r="IQ99" s="544"/>
      <c r="IR99" s="544"/>
      <c r="IS99" s="544"/>
    </row>
    <row r="100" spans="1:253" ht="31" x14ac:dyDescent="0.35">
      <c r="A100" s="544"/>
      <c r="B100" s="1090" t="s">
        <v>661</v>
      </c>
      <c r="C100" s="881"/>
      <c r="E100" s="907"/>
      <c r="F100" s="908"/>
      <c r="G100" s="909"/>
      <c r="H100" s="913"/>
      <c r="I100" s="913"/>
      <c r="J100" s="917" t="s">
        <v>648</v>
      </c>
      <c r="K100" s="544"/>
      <c r="AA100" s="1089" t="s">
        <v>601</v>
      </c>
      <c r="AY100" s="544"/>
      <c r="AZ100" s="544"/>
      <c r="BA100" s="544"/>
      <c r="BB100" s="544"/>
      <c r="BC100" s="544"/>
      <c r="BD100" s="544"/>
      <c r="BE100" s="544"/>
      <c r="BF100" s="544"/>
      <c r="BG100" s="544"/>
      <c r="BH100" s="544"/>
      <c r="BI100" s="544"/>
      <c r="BJ100" s="544"/>
      <c r="BK100" s="544"/>
      <c r="BL100" s="544"/>
      <c r="BM100" s="544"/>
      <c r="BN100" s="544"/>
      <c r="BO100" s="544"/>
      <c r="BP100" s="544"/>
      <c r="BQ100" s="544"/>
      <c r="BR100" s="544"/>
      <c r="BS100" s="544"/>
      <c r="BT100" s="544"/>
      <c r="BU100" s="544"/>
      <c r="BV100" s="544"/>
      <c r="BW100" s="544"/>
      <c r="BX100" s="544"/>
      <c r="BY100" s="544"/>
      <c r="BZ100" s="544"/>
      <c r="CA100" s="544"/>
      <c r="CB100" s="544"/>
      <c r="CC100" s="544"/>
      <c r="CD100" s="544"/>
      <c r="CE100" s="544"/>
      <c r="CF100" s="544"/>
      <c r="CG100" s="544"/>
      <c r="CH100" s="544"/>
      <c r="CI100" s="544"/>
      <c r="CJ100" s="544"/>
      <c r="CK100" s="544"/>
      <c r="CL100" s="544"/>
      <c r="CM100" s="544"/>
      <c r="CN100" s="544"/>
      <c r="CO100" s="544"/>
      <c r="CP100" s="544"/>
      <c r="CQ100" s="544"/>
      <c r="CR100" s="544"/>
      <c r="CS100" s="544"/>
      <c r="CT100" s="544"/>
      <c r="CU100" s="544"/>
      <c r="CV100" s="544"/>
      <c r="CW100" s="544"/>
      <c r="CX100" s="544"/>
      <c r="CY100" s="544"/>
      <c r="CZ100" s="544"/>
      <c r="DA100" s="544"/>
      <c r="DB100" s="544"/>
      <c r="DC100" s="544"/>
      <c r="DD100" s="544"/>
      <c r="DE100" s="544"/>
      <c r="DF100" s="544"/>
      <c r="DG100" s="544"/>
      <c r="DH100" s="544"/>
      <c r="DI100" s="544"/>
      <c r="DJ100" s="544"/>
      <c r="DK100" s="544"/>
      <c r="DL100" s="544"/>
      <c r="DM100" s="544"/>
      <c r="DN100" s="544"/>
      <c r="DO100" s="544"/>
      <c r="DP100" s="544"/>
      <c r="DQ100" s="544"/>
      <c r="DR100" s="544"/>
      <c r="DS100" s="544"/>
      <c r="DT100" s="544"/>
      <c r="DU100" s="544"/>
      <c r="DV100" s="544"/>
      <c r="DW100" s="544"/>
      <c r="DX100" s="544"/>
      <c r="DY100" s="544"/>
      <c r="DZ100" s="544"/>
      <c r="EA100" s="544"/>
      <c r="EB100" s="544"/>
      <c r="EC100" s="544"/>
      <c r="ED100" s="544"/>
      <c r="EE100" s="544"/>
      <c r="EF100" s="544"/>
      <c r="EG100" s="544"/>
      <c r="EH100" s="544"/>
      <c r="EI100" s="544"/>
      <c r="EJ100" s="544"/>
      <c r="EK100" s="544"/>
      <c r="EL100" s="544"/>
      <c r="EM100" s="544"/>
      <c r="EN100" s="544"/>
      <c r="EO100" s="544"/>
      <c r="EP100" s="544"/>
      <c r="EQ100" s="544"/>
      <c r="ER100" s="544"/>
      <c r="ES100" s="544"/>
      <c r="ET100" s="544"/>
      <c r="EU100" s="544"/>
      <c r="EV100" s="544"/>
      <c r="EW100" s="544"/>
      <c r="EX100" s="544"/>
      <c r="EY100" s="544"/>
      <c r="EZ100" s="544"/>
      <c r="FA100" s="544"/>
      <c r="FB100" s="544"/>
      <c r="FC100" s="544"/>
      <c r="FD100" s="544"/>
      <c r="FE100" s="544"/>
      <c r="FF100" s="544"/>
      <c r="FG100" s="544"/>
      <c r="FH100" s="544"/>
      <c r="FI100" s="544"/>
      <c r="FJ100" s="544"/>
      <c r="FK100" s="544"/>
      <c r="FL100" s="544"/>
      <c r="FM100" s="544"/>
      <c r="FN100" s="544"/>
      <c r="FO100" s="544"/>
      <c r="FP100" s="544"/>
      <c r="FQ100" s="544"/>
      <c r="FR100" s="544"/>
      <c r="FS100" s="544"/>
      <c r="FT100" s="544"/>
      <c r="FU100" s="544"/>
      <c r="FV100" s="544"/>
      <c r="FW100" s="544"/>
      <c r="FX100" s="544"/>
      <c r="FY100" s="544"/>
      <c r="FZ100" s="544"/>
      <c r="GA100" s="544"/>
      <c r="GB100" s="544"/>
      <c r="GC100" s="544"/>
      <c r="GD100" s="544"/>
      <c r="GE100" s="544"/>
      <c r="GF100" s="544"/>
      <c r="GG100" s="544"/>
      <c r="GH100" s="544"/>
      <c r="GI100" s="544"/>
      <c r="GJ100" s="544"/>
      <c r="GK100" s="544"/>
      <c r="GL100" s="544"/>
      <c r="GM100" s="544"/>
      <c r="GN100" s="544"/>
      <c r="GO100" s="544"/>
      <c r="GP100" s="544"/>
      <c r="GQ100" s="544"/>
      <c r="GR100" s="544"/>
      <c r="GS100" s="544"/>
      <c r="GT100" s="544"/>
      <c r="GU100" s="544"/>
      <c r="GV100" s="544"/>
      <c r="GW100" s="544"/>
      <c r="GX100" s="544"/>
      <c r="GY100" s="544"/>
      <c r="GZ100" s="544"/>
      <c r="HA100" s="544"/>
      <c r="HB100" s="544"/>
      <c r="HC100" s="544"/>
      <c r="HD100" s="544"/>
      <c r="HE100" s="544"/>
      <c r="HF100" s="544"/>
      <c r="HG100" s="544"/>
      <c r="HH100" s="544"/>
      <c r="HI100" s="544"/>
      <c r="HJ100" s="544"/>
      <c r="HK100" s="544"/>
      <c r="HL100" s="544"/>
      <c r="HM100" s="544"/>
      <c r="HN100" s="544"/>
      <c r="HO100" s="544"/>
      <c r="HP100" s="544"/>
      <c r="HQ100" s="544"/>
      <c r="HR100" s="544"/>
      <c r="HS100" s="544"/>
      <c r="HT100" s="544"/>
      <c r="HU100" s="544"/>
      <c r="HV100" s="544"/>
      <c r="HW100" s="544"/>
      <c r="HX100" s="544"/>
      <c r="HY100" s="544"/>
      <c r="HZ100" s="544"/>
      <c r="IA100" s="544"/>
      <c r="IB100" s="544"/>
      <c r="IC100" s="544"/>
      <c r="ID100" s="544"/>
      <c r="IE100" s="544"/>
      <c r="IF100" s="544"/>
      <c r="IG100" s="544"/>
      <c r="IH100" s="544"/>
      <c r="II100" s="544"/>
      <c r="IJ100" s="544"/>
      <c r="IK100" s="544"/>
      <c r="IL100" s="544"/>
      <c r="IM100" s="544"/>
      <c r="IN100" s="544"/>
      <c r="IO100" s="544"/>
      <c r="IP100" s="544"/>
      <c r="IQ100" s="544"/>
      <c r="IR100" s="544"/>
      <c r="IS100" s="544"/>
    </row>
    <row r="101" spans="1:253" ht="31" x14ac:dyDescent="0.35">
      <c r="A101" s="544"/>
      <c r="B101" s="1090" t="s">
        <v>649</v>
      </c>
      <c r="C101" s="881"/>
      <c r="E101" s="907"/>
      <c r="F101" s="908"/>
      <c r="G101" s="909"/>
      <c r="H101" s="913"/>
      <c r="I101" s="913"/>
      <c r="J101" s="544"/>
      <c r="K101" s="544"/>
      <c r="AA101" s="1089" t="s">
        <v>601</v>
      </c>
      <c r="AY101" s="544"/>
      <c r="AZ101" s="544"/>
      <c r="BA101" s="544"/>
      <c r="BB101" s="544"/>
      <c r="BC101" s="544"/>
      <c r="BD101" s="544"/>
      <c r="BE101" s="544"/>
      <c r="BF101" s="544"/>
      <c r="BG101" s="544"/>
      <c r="BH101" s="544"/>
      <c r="BI101" s="544"/>
      <c r="BJ101" s="544"/>
      <c r="BK101" s="544"/>
      <c r="BL101" s="544"/>
      <c r="BM101" s="544"/>
      <c r="BN101" s="544"/>
      <c r="BO101" s="544"/>
      <c r="BP101" s="544"/>
      <c r="BQ101" s="544"/>
      <c r="BR101" s="544"/>
      <c r="BS101" s="544"/>
      <c r="BT101" s="544"/>
      <c r="BU101" s="544"/>
      <c r="BV101" s="544"/>
      <c r="BW101" s="544"/>
      <c r="BX101" s="544"/>
      <c r="BY101" s="544"/>
      <c r="BZ101" s="544"/>
      <c r="CA101" s="544"/>
      <c r="CB101" s="544"/>
      <c r="CC101" s="544"/>
      <c r="CD101" s="544"/>
      <c r="CE101" s="544"/>
      <c r="CF101" s="544"/>
      <c r="CG101" s="544"/>
      <c r="CH101" s="544"/>
      <c r="CI101" s="544"/>
      <c r="CJ101" s="544"/>
      <c r="CK101" s="544"/>
      <c r="CL101" s="544"/>
      <c r="CM101" s="544"/>
      <c r="CN101" s="544"/>
      <c r="CO101" s="544"/>
      <c r="CP101" s="544"/>
      <c r="CQ101" s="544"/>
      <c r="CR101" s="544"/>
      <c r="CS101" s="544"/>
      <c r="CT101" s="544"/>
      <c r="CU101" s="544"/>
      <c r="CV101" s="544"/>
      <c r="CW101" s="544"/>
      <c r="CX101" s="544"/>
      <c r="CY101" s="544"/>
      <c r="CZ101" s="544"/>
      <c r="DA101" s="544"/>
      <c r="DB101" s="544"/>
      <c r="DC101" s="544"/>
      <c r="DD101" s="544"/>
      <c r="DE101" s="544"/>
      <c r="DF101" s="544"/>
      <c r="DG101" s="544"/>
      <c r="DH101" s="544"/>
      <c r="DI101" s="544"/>
      <c r="DJ101" s="544"/>
      <c r="DK101" s="544"/>
      <c r="DL101" s="544"/>
      <c r="DM101" s="544"/>
      <c r="DN101" s="544"/>
      <c r="DO101" s="544"/>
      <c r="DP101" s="544"/>
      <c r="DQ101" s="544"/>
      <c r="DR101" s="544"/>
      <c r="DS101" s="544"/>
      <c r="DT101" s="544"/>
      <c r="DU101" s="544"/>
      <c r="DV101" s="544"/>
      <c r="DW101" s="544"/>
      <c r="DX101" s="544"/>
      <c r="DY101" s="544"/>
      <c r="DZ101" s="544"/>
      <c r="EA101" s="544"/>
      <c r="EB101" s="544"/>
      <c r="EC101" s="544"/>
      <c r="ED101" s="544"/>
      <c r="EE101" s="544"/>
      <c r="EF101" s="544"/>
      <c r="EG101" s="544"/>
      <c r="EH101" s="544"/>
      <c r="EI101" s="544"/>
      <c r="EJ101" s="544"/>
      <c r="EK101" s="544"/>
      <c r="EL101" s="544"/>
      <c r="EM101" s="544"/>
      <c r="EN101" s="544"/>
      <c r="EO101" s="544"/>
      <c r="EP101" s="544"/>
      <c r="EQ101" s="544"/>
      <c r="ER101" s="544"/>
      <c r="ES101" s="544"/>
      <c r="ET101" s="544"/>
      <c r="EU101" s="544"/>
      <c r="EV101" s="544"/>
      <c r="EW101" s="544"/>
      <c r="EX101" s="544"/>
      <c r="EY101" s="544"/>
      <c r="EZ101" s="544"/>
      <c r="FA101" s="544"/>
      <c r="FB101" s="544"/>
      <c r="FC101" s="544"/>
      <c r="FD101" s="544"/>
      <c r="FE101" s="544"/>
      <c r="FF101" s="544"/>
      <c r="FG101" s="544"/>
      <c r="FH101" s="544"/>
      <c r="FI101" s="544"/>
      <c r="FJ101" s="544"/>
      <c r="FK101" s="544"/>
      <c r="FL101" s="544"/>
      <c r="FM101" s="544"/>
      <c r="FN101" s="544"/>
      <c r="FO101" s="544"/>
      <c r="FP101" s="544"/>
      <c r="FQ101" s="544"/>
      <c r="FR101" s="544"/>
      <c r="FS101" s="544"/>
      <c r="FT101" s="544"/>
      <c r="FU101" s="544"/>
      <c r="FV101" s="544"/>
      <c r="FW101" s="544"/>
      <c r="FX101" s="544"/>
      <c r="FY101" s="544"/>
      <c r="FZ101" s="544"/>
      <c r="GA101" s="544"/>
      <c r="GB101" s="544"/>
      <c r="GC101" s="544"/>
      <c r="GD101" s="544"/>
      <c r="GE101" s="544"/>
      <c r="GF101" s="544"/>
      <c r="GG101" s="544"/>
      <c r="GH101" s="544"/>
      <c r="GI101" s="544"/>
      <c r="GJ101" s="544"/>
      <c r="GK101" s="544"/>
      <c r="GL101" s="544"/>
      <c r="GM101" s="544"/>
      <c r="GN101" s="544"/>
      <c r="GO101" s="544"/>
      <c r="GP101" s="544"/>
      <c r="GQ101" s="544"/>
      <c r="GR101" s="544"/>
      <c r="GS101" s="544"/>
      <c r="GT101" s="544"/>
      <c r="GU101" s="544"/>
      <c r="GV101" s="544"/>
      <c r="GW101" s="544"/>
      <c r="GX101" s="544"/>
      <c r="GY101" s="544"/>
      <c r="GZ101" s="544"/>
      <c r="HA101" s="544"/>
      <c r="HB101" s="544"/>
      <c r="HC101" s="544"/>
      <c r="HD101" s="544"/>
      <c r="HE101" s="544"/>
      <c r="HF101" s="544"/>
      <c r="HG101" s="544"/>
      <c r="HH101" s="544"/>
      <c r="HI101" s="544"/>
      <c r="HJ101" s="544"/>
      <c r="HK101" s="544"/>
      <c r="HL101" s="544"/>
      <c r="HM101" s="544"/>
      <c r="HN101" s="544"/>
      <c r="HO101" s="544"/>
      <c r="HP101" s="544"/>
      <c r="HQ101" s="544"/>
      <c r="HR101" s="544"/>
      <c r="HS101" s="544"/>
      <c r="HT101" s="544"/>
      <c r="HU101" s="544"/>
      <c r="HV101" s="544"/>
      <c r="HW101" s="544"/>
      <c r="HX101" s="544"/>
      <c r="HY101" s="544"/>
      <c r="HZ101" s="544"/>
      <c r="IA101" s="544"/>
      <c r="IB101" s="544"/>
      <c r="IC101" s="544"/>
      <c r="ID101" s="544"/>
      <c r="IE101" s="544"/>
      <c r="IF101" s="544"/>
      <c r="IG101" s="544"/>
      <c r="IH101" s="544"/>
      <c r="II101" s="544"/>
      <c r="IJ101" s="544"/>
      <c r="IK101" s="544"/>
      <c r="IL101" s="544"/>
      <c r="IM101" s="544"/>
      <c r="IN101" s="544"/>
      <c r="IO101" s="544"/>
      <c r="IP101" s="544"/>
      <c r="IQ101" s="544"/>
      <c r="IR101" s="544"/>
      <c r="IS101" s="544"/>
    </row>
    <row r="102" spans="1:253" ht="31" x14ac:dyDescent="0.35">
      <c r="A102" s="544"/>
      <c r="B102" s="1090" t="s">
        <v>658</v>
      </c>
      <c r="C102" s="881"/>
      <c r="E102" s="907"/>
      <c r="F102" s="908"/>
      <c r="G102" s="909"/>
      <c r="H102" s="544"/>
      <c r="I102" s="544"/>
      <c r="J102" s="544"/>
      <c r="K102" s="544"/>
      <c r="AA102" s="1089" t="s">
        <v>601</v>
      </c>
      <c r="AY102" s="544"/>
      <c r="AZ102" s="544"/>
      <c r="BA102" s="544"/>
      <c r="BB102" s="544"/>
      <c r="BC102" s="544"/>
      <c r="BD102" s="544"/>
      <c r="BE102" s="544"/>
      <c r="BF102" s="544"/>
      <c r="BG102" s="544"/>
      <c r="BH102" s="544"/>
      <c r="BI102" s="544"/>
      <c r="BJ102" s="544"/>
      <c r="BK102" s="544"/>
      <c r="BL102" s="544"/>
      <c r="BM102" s="544"/>
      <c r="BN102" s="544"/>
      <c r="BO102" s="544"/>
      <c r="BP102" s="544"/>
      <c r="BQ102" s="544"/>
      <c r="BR102" s="544"/>
      <c r="BS102" s="544"/>
      <c r="BT102" s="544"/>
      <c r="BU102" s="544"/>
      <c r="BV102" s="544"/>
      <c r="BW102" s="544"/>
      <c r="BX102" s="544"/>
      <c r="BY102" s="544"/>
      <c r="BZ102" s="544"/>
      <c r="CA102" s="544"/>
      <c r="CB102" s="544"/>
      <c r="CC102" s="544"/>
      <c r="CD102" s="544"/>
      <c r="CE102" s="544"/>
      <c r="CF102" s="544"/>
      <c r="CG102" s="544"/>
      <c r="CH102" s="544"/>
      <c r="CI102" s="544"/>
      <c r="CJ102" s="544"/>
      <c r="CK102" s="544"/>
      <c r="CL102" s="544"/>
      <c r="CM102" s="544"/>
      <c r="CN102" s="544"/>
      <c r="CO102" s="544"/>
      <c r="CP102" s="544"/>
      <c r="CQ102" s="544"/>
      <c r="CR102" s="544"/>
      <c r="CS102" s="544"/>
      <c r="CT102" s="544"/>
      <c r="CU102" s="544"/>
      <c r="CV102" s="544"/>
      <c r="CW102" s="544"/>
      <c r="CX102" s="544"/>
      <c r="CY102" s="544"/>
      <c r="CZ102" s="544"/>
      <c r="DA102" s="544"/>
      <c r="DB102" s="544"/>
      <c r="DC102" s="544"/>
      <c r="DD102" s="544"/>
      <c r="DE102" s="544"/>
      <c r="DF102" s="544"/>
      <c r="DG102" s="544"/>
      <c r="DH102" s="544"/>
      <c r="DI102" s="544"/>
      <c r="DJ102" s="544"/>
      <c r="DK102" s="544"/>
      <c r="DL102" s="544"/>
      <c r="DM102" s="544"/>
      <c r="DN102" s="544"/>
      <c r="DO102" s="544"/>
      <c r="DP102" s="544"/>
      <c r="DQ102" s="544"/>
      <c r="DR102" s="544"/>
      <c r="DS102" s="544"/>
      <c r="DT102" s="544"/>
      <c r="DU102" s="544"/>
      <c r="DV102" s="544"/>
      <c r="DW102" s="544"/>
      <c r="DX102" s="544"/>
      <c r="DY102" s="544"/>
      <c r="DZ102" s="544"/>
      <c r="EA102" s="544"/>
      <c r="EB102" s="544"/>
      <c r="EC102" s="544"/>
      <c r="ED102" s="544"/>
      <c r="EE102" s="544"/>
      <c r="EF102" s="544"/>
      <c r="EG102" s="544"/>
      <c r="EH102" s="544"/>
      <c r="EI102" s="544"/>
      <c r="EJ102" s="544"/>
      <c r="EK102" s="544"/>
      <c r="EL102" s="544"/>
      <c r="EM102" s="544"/>
      <c r="EN102" s="544"/>
      <c r="EO102" s="544"/>
      <c r="EP102" s="544"/>
      <c r="EQ102" s="544"/>
      <c r="ER102" s="544"/>
      <c r="ES102" s="544"/>
      <c r="ET102" s="544"/>
      <c r="EU102" s="544"/>
      <c r="EV102" s="544"/>
      <c r="EW102" s="544"/>
      <c r="EX102" s="544"/>
      <c r="EY102" s="544"/>
      <c r="EZ102" s="544"/>
      <c r="FA102" s="544"/>
      <c r="FB102" s="544"/>
      <c r="FC102" s="544"/>
      <c r="FD102" s="544"/>
      <c r="FE102" s="544"/>
      <c r="FF102" s="544"/>
      <c r="FG102" s="544"/>
      <c r="FH102" s="544"/>
      <c r="FI102" s="544"/>
      <c r="FJ102" s="544"/>
      <c r="FK102" s="544"/>
      <c r="FL102" s="544"/>
      <c r="FM102" s="544"/>
      <c r="FN102" s="544"/>
      <c r="FO102" s="544"/>
      <c r="FP102" s="544"/>
      <c r="FQ102" s="544"/>
      <c r="FR102" s="544"/>
      <c r="FS102" s="544"/>
      <c r="FT102" s="544"/>
      <c r="FU102" s="544"/>
      <c r="FV102" s="544"/>
      <c r="FW102" s="544"/>
      <c r="FX102" s="544"/>
      <c r="FY102" s="544"/>
      <c r="FZ102" s="544"/>
      <c r="GA102" s="544"/>
      <c r="GB102" s="544"/>
      <c r="GC102" s="544"/>
      <c r="GD102" s="544"/>
      <c r="GE102" s="544"/>
      <c r="GF102" s="544"/>
      <c r="GG102" s="544"/>
      <c r="GH102" s="544"/>
      <c r="GI102" s="544"/>
      <c r="GJ102" s="544"/>
      <c r="GK102" s="544"/>
      <c r="GL102" s="544"/>
      <c r="GM102" s="544"/>
      <c r="GN102" s="544"/>
      <c r="GO102" s="544"/>
      <c r="GP102" s="544"/>
      <c r="GQ102" s="544"/>
      <c r="GR102" s="544"/>
      <c r="GS102" s="544"/>
      <c r="GT102" s="544"/>
      <c r="GU102" s="544"/>
      <c r="GV102" s="544"/>
      <c r="GW102" s="544"/>
      <c r="GX102" s="544"/>
      <c r="GY102" s="544"/>
      <c r="GZ102" s="544"/>
      <c r="HA102" s="544"/>
      <c r="HB102" s="544"/>
      <c r="HC102" s="544"/>
      <c r="HD102" s="544"/>
      <c r="HE102" s="544"/>
      <c r="HF102" s="544"/>
      <c r="HG102" s="544"/>
      <c r="HH102" s="544"/>
      <c r="HI102" s="544"/>
      <c r="HJ102" s="544"/>
      <c r="HK102" s="544"/>
      <c r="HL102" s="544"/>
      <c r="HM102" s="544"/>
      <c r="HN102" s="544"/>
      <c r="HO102" s="544"/>
      <c r="HP102" s="544"/>
      <c r="HQ102" s="544"/>
      <c r="HR102" s="544"/>
      <c r="HS102" s="544"/>
      <c r="HT102" s="544"/>
      <c r="HU102" s="544"/>
      <c r="HV102" s="544"/>
      <c r="HW102" s="544"/>
      <c r="HX102" s="544"/>
      <c r="HY102" s="544"/>
      <c r="HZ102" s="544"/>
      <c r="IA102" s="544"/>
      <c r="IB102" s="544"/>
      <c r="IC102" s="544"/>
      <c r="ID102" s="544"/>
      <c r="IE102" s="544"/>
      <c r="IF102" s="544"/>
      <c r="IG102" s="544"/>
      <c r="IH102" s="544"/>
      <c r="II102" s="544"/>
      <c r="IJ102" s="544"/>
      <c r="IK102" s="544"/>
      <c r="IL102" s="544"/>
      <c r="IM102" s="544"/>
      <c r="IN102" s="544"/>
      <c r="IO102" s="544"/>
      <c r="IP102" s="544"/>
      <c r="IQ102" s="544"/>
      <c r="IR102" s="544"/>
      <c r="IS102" s="544"/>
    </row>
    <row r="103" spans="1:253" ht="31" x14ac:dyDescent="0.35">
      <c r="A103" s="544"/>
      <c r="B103" s="1090" t="s">
        <v>651</v>
      </c>
      <c r="C103" s="881"/>
      <c r="E103" s="907"/>
      <c r="F103" s="908"/>
      <c r="G103" s="909"/>
      <c r="H103" s="544"/>
      <c r="I103" s="544"/>
      <c r="J103" s="544"/>
      <c r="K103" s="544"/>
      <c r="AA103" s="1089" t="s">
        <v>601</v>
      </c>
      <c r="AY103" s="544"/>
      <c r="AZ103" s="544"/>
      <c r="BA103" s="544"/>
      <c r="BB103" s="544"/>
      <c r="BC103" s="544"/>
      <c r="BD103" s="544"/>
      <c r="BE103" s="544"/>
      <c r="BF103" s="544"/>
      <c r="BG103" s="544"/>
      <c r="BH103" s="544"/>
      <c r="BI103" s="544"/>
      <c r="BJ103" s="544"/>
      <c r="BK103" s="544"/>
      <c r="BL103" s="544"/>
      <c r="BM103" s="544"/>
      <c r="BN103" s="544"/>
      <c r="BO103" s="544"/>
      <c r="BP103" s="544"/>
      <c r="BQ103" s="544"/>
      <c r="BR103" s="544"/>
      <c r="BS103" s="544"/>
      <c r="BT103" s="544"/>
      <c r="BU103" s="544"/>
      <c r="BV103" s="544"/>
      <c r="BW103" s="544"/>
      <c r="BX103" s="544"/>
      <c r="BY103" s="544"/>
      <c r="BZ103" s="544"/>
      <c r="CA103" s="544"/>
      <c r="CB103" s="544"/>
      <c r="CC103" s="544"/>
      <c r="CD103" s="544"/>
      <c r="CE103" s="544"/>
      <c r="CF103" s="544"/>
      <c r="CG103" s="544"/>
      <c r="CH103" s="544"/>
      <c r="CI103" s="544"/>
      <c r="CJ103" s="544"/>
      <c r="CK103" s="544"/>
      <c r="CL103" s="544"/>
      <c r="CM103" s="544"/>
      <c r="CN103" s="544"/>
      <c r="CO103" s="544"/>
      <c r="CP103" s="544"/>
      <c r="CQ103" s="544"/>
      <c r="CR103" s="544"/>
      <c r="CS103" s="544"/>
      <c r="CT103" s="544"/>
      <c r="CU103" s="544"/>
      <c r="CV103" s="544"/>
      <c r="CW103" s="544"/>
      <c r="CX103" s="544"/>
      <c r="CY103" s="544"/>
      <c r="CZ103" s="544"/>
      <c r="DA103" s="544"/>
      <c r="DB103" s="544"/>
      <c r="DC103" s="544"/>
      <c r="DD103" s="544"/>
      <c r="DE103" s="544"/>
      <c r="DF103" s="544"/>
      <c r="DG103" s="544"/>
      <c r="DH103" s="544"/>
      <c r="DI103" s="544"/>
      <c r="DJ103" s="544"/>
      <c r="DK103" s="544"/>
      <c r="DL103" s="544"/>
      <c r="DM103" s="544"/>
      <c r="DN103" s="544"/>
      <c r="DO103" s="544"/>
      <c r="DP103" s="544"/>
      <c r="DQ103" s="544"/>
      <c r="DR103" s="544"/>
      <c r="DS103" s="544"/>
      <c r="DT103" s="544"/>
      <c r="DU103" s="544"/>
      <c r="DV103" s="544"/>
      <c r="DW103" s="544"/>
      <c r="DX103" s="544"/>
      <c r="DY103" s="544"/>
      <c r="DZ103" s="544"/>
      <c r="EA103" s="544"/>
      <c r="EB103" s="544"/>
      <c r="EC103" s="544"/>
      <c r="ED103" s="544"/>
      <c r="EE103" s="544"/>
      <c r="EF103" s="544"/>
      <c r="EG103" s="544"/>
      <c r="EH103" s="544"/>
      <c r="EI103" s="544"/>
      <c r="EJ103" s="544"/>
      <c r="EK103" s="544"/>
      <c r="EL103" s="544"/>
      <c r="EM103" s="544"/>
      <c r="EN103" s="544"/>
      <c r="EO103" s="544"/>
      <c r="EP103" s="544"/>
      <c r="EQ103" s="544"/>
      <c r="ER103" s="544"/>
      <c r="ES103" s="544"/>
      <c r="ET103" s="544"/>
      <c r="EU103" s="544"/>
      <c r="EV103" s="544"/>
      <c r="EW103" s="544"/>
      <c r="EX103" s="544"/>
      <c r="EY103" s="544"/>
      <c r="EZ103" s="544"/>
      <c r="FA103" s="544"/>
      <c r="FB103" s="544"/>
      <c r="FC103" s="544"/>
      <c r="FD103" s="544"/>
      <c r="FE103" s="544"/>
      <c r="FF103" s="544"/>
      <c r="FG103" s="544"/>
      <c r="FH103" s="544"/>
      <c r="FI103" s="544"/>
      <c r="FJ103" s="544"/>
      <c r="FK103" s="544"/>
      <c r="FL103" s="544"/>
      <c r="FM103" s="544"/>
      <c r="FN103" s="544"/>
      <c r="FO103" s="544"/>
      <c r="FP103" s="544"/>
      <c r="FQ103" s="544"/>
      <c r="FR103" s="544"/>
      <c r="FS103" s="544"/>
      <c r="FT103" s="544"/>
      <c r="FU103" s="544"/>
      <c r="FV103" s="544"/>
      <c r="FW103" s="544"/>
      <c r="FX103" s="544"/>
      <c r="FY103" s="544"/>
      <c r="FZ103" s="544"/>
      <c r="GA103" s="544"/>
      <c r="GB103" s="544"/>
      <c r="GC103" s="544"/>
      <c r="GD103" s="544"/>
      <c r="GE103" s="544"/>
      <c r="GF103" s="544"/>
      <c r="GG103" s="544"/>
      <c r="GH103" s="544"/>
      <c r="GI103" s="544"/>
      <c r="GJ103" s="544"/>
      <c r="GK103" s="544"/>
      <c r="GL103" s="544"/>
      <c r="GM103" s="544"/>
      <c r="GN103" s="544"/>
      <c r="GO103" s="544"/>
      <c r="GP103" s="544"/>
      <c r="GQ103" s="544"/>
      <c r="GR103" s="544"/>
      <c r="GS103" s="544"/>
      <c r="GT103" s="544"/>
      <c r="GU103" s="544"/>
      <c r="GV103" s="544"/>
      <c r="GW103" s="544"/>
      <c r="GX103" s="544"/>
      <c r="GY103" s="544"/>
      <c r="GZ103" s="544"/>
      <c r="HA103" s="544"/>
      <c r="HB103" s="544"/>
      <c r="HC103" s="544"/>
      <c r="HD103" s="544"/>
      <c r="HE103" s="544"/>
      <c r="HF103" s="544"/>
      <c r="HG103" s="544"/>
      <c r="HH103" s="544"/>
      <c r="HI103" s="544"/>
      <c r="HJ103" s="544"/>
      <c r="HK103" s="544"/>
      <c r="HL103" s="544"/>
      <c r="HM103" s="544"/>
      <c r="HN103" s="544"/>
      <c r="HO103" s="544"/>
      <c r="HP103" s="544"/>
      <c r="HQ103" s="544"/>
      <c r="HR103" s="544"/>
      <c r="HS103" s="544"/>
      <c r="HT103" s="544"/>
      <c r="HU103" s="544"/>
      <c r="HV103" s="544"/>
      <c r="HW103" s="544"/>
      <c r="HX103" s="544"/>
      <c r="HY103" s="544"/>
      <c r="HZ103" s="544"/>
      <c r="IA103" s="544"/>
      <c r="IB103" s="544"/>
      <c r="IC103" s="544"/>
      <c r="ID103" s="544"/>
      <c r="IE103" s="544"/>
      <c r="IF103" s="544"/>
      <c r="IG103" s="544"/>
      <c r="IH103" s="544"/>
      <c r="II103" s="544"/>
      <c r="IJ103" s="544"/>
      <c r="IK103" s="544"/>
      <c r="IL103" s="544"/>
      <c r="IM103" s="544"/>
      <c r="IN103" s="544"/>
      <c r="IO103" s="544"/>
      <c r="IP103" s="544"/>
      <c r="IQ103" s="544"/>
      <c r="IR103" s="544"/>
      <c r="IS103" s="544"/>
    </row>
    <row r="104" spans="1:253" ht="31" x14ac:dyDescent="0.35">
      <c r="A104" s="544"/>
      <c r="B104" s="1090" t="s">
        <v>652</v>
      </c>
      <c r="C104" s="881"/>
      <c r="E104" s="907"/>
      <c r="F104" s="908"/>
      <c r="G104" s="909"/>
      <c r="H104" s="544"/>
      <c r="I104" s="544"/>
      <c r="J104" s="544"/>
      <c r="K104" s="544"/>
      <c r="AA104" s="1089" t="s">
        <v>601</v>
      </c>
      <c r="AY104" s="544"/>
      <c r="AZ104" s="544"/>
      <c r="BA104" s="544"/>
      <c r="BB104" s="544"/>
      <c r="BC104" s="544"/>
      <c r="BD104" s="544"/>
      <c r="BE104" s="544"/>
      <c r="BF104" s="544"/>
      <c r="BG104" s="544"/>
      <c r="BH104" s="544"/>
      <c r="BI104" s="544"/>
      <c r="BJ104" s="544"/>
      <c r="BK104" s="544"/>
      <c r="BL104" s="544"/>
      <c r="BM104" s="544"/>
      <c r="BN104" s="544"/>
      <c r="BO104" s="544"/>
      <c r="BP104" s="544"/>
      <c r="BQ104" s="544"/>
      <c r="BR104" s="544"/>
      <c r="BS104" s="544"/>
      <c r="BT104" s="544"/>
      <c r="BU104" s="544"/>
      <c r="BV104" s="544"/>
      <c r="BW104" s="544"/>
      <c r="BX104" s="544"/>
      <c r="BY104" s="544"/>
      <c r="BZ104" s="544"/>
      <c r="CA104" s="544"/>
      <c r="CB104" s="544"/>
      <c r="CC104" s="544"/>
      <c r="CD104" s="544"/>
      <c r="CE104" s="544"/>
      <c r="CF104" s="544"/>
      <c r="CG104" s="544"/>
      <c r="CH104" s="544"/>
      <c r="CI104" s="544"/>
      <c r="CJ104" s="544"/>
      <c r="CK104" s="544"/>
      <c r="CL104" s="544"/>
      <c r="CM104" s="544"/>
      <c r="CN104" s="544"/>
      <c r="CO104" s="544"/>
      <c r="CP104" s="544"/>
      <c r="CQ104" s="544"/>
      <c r="CR104" s="544"/>
      <c r="CS104" s="544"/>
      <c r="CT104" s="544"/>
      <c r="CU104" s="544"/>
      <c r="CV104" s="544"/>
      <c r="CW104" s="544"/>
      <c r="CX104" s="544"/>
      <c r="CY104" s="544"/>
      <c r="CZ104" s="544"/>
      <c r="DA104" s="544"/>
      <c r="DB104" s="544"/>
      <c r="DC104" s="544"/>
      <c r="DD104" s="544"/>
      <c r="DE104" s="544"/>
      <c r="DF104" s="544"/>
      <c r="DG104" s="544"/>
      <c r="DH104" s="544"/>
      <c r="DI104" s="544"/>
      <c r="DJ104" s="544"/>
      <c r="DK104" s="544"/>
      <c r="DL104" s="544"/>
      <c r="DM104" s="544"/>
      <c r="DN104" s="544"/>
      <c r="DO104" s="544"/>
      <c r="DP104" s="544"/>
      <c r="DQ104" s="544"/>
      <c r="DR104" s="544"/>
      <c r="DS104" s="544"/>
      <c r="DT104" s="544"/>
      <c r="DU104" s="544"/>
      <c r="DV104" s="544"/>
      <c r="DW104" s="544"/>
      <c r="DX104" s="544"/>
      <c r="DY104" s="544"/>
      <c r="DZ104" s="544"/>
      <c r="EA104" s="544"/>
      <c r="EB104" s="544"/>
      <c r="EC104" s="544"/>
      <c r="ED104" s="544"/>
      <c r="EE104" s="544"/>
      <c r="EF104" s="544"/>
      <c r="EG104" s="544"/>
      <c r="EH104" s="544"/>
      <c r="EI104" s="544"/>
      <c r="EJ104" s="544"/>
      <c r="EK104" s="544"/>
      <c r="EL104" s="544"/>
      <c r="EM104" s="544"/>
      <c r="EN104" s="544"/>
      <c r="EO104" s="544"/>
      <c r="EP104" s="544"/>
      <c r="EQ104" s="544"/>
      <c r="ER104" s="544"/>
      <c r="ES104" s="544"/>
      <c r="ET104" s="544"/>
      <c r="EU104" s="544"/>
      <c r="EV104" s="544"/>
      <c r="EW104" s="544"/>
      <c r="EX104" s="544"/>
      <c r="EY104" s="544"/>
      <c r="EZ104" s="544"/>
      <c r="FA104" s="544"/>
      <c r="FB104" s="544"/>
      <c r="FC104" s="544"/>
      <c r="FD104" s="544"/>
      <c r="FE104" s="544"/>
      <c r="FF104" s="544"/>
      <c r="FG104" s="544"/>
      <c r="FH104" s="544"/>
      <c r="FI104" s="544"/>
      <c r="FJ104" s="544"/>
      <c r="FK104" s="544"/>
      <c r="FL104" s="544"/>
      <c r="FM104" s="544"/>
      <c r="FN104" s="544"/>
      <c r="FO104" s="544"/>
      <c r="FP104" s="544"/>
      <c r="FQ104" s="544"/>
      <c r="FR104" s="544"/>
      <c r="FS104" s="544"/>
      <c r="FT104" s="544"/>
      <c r="FU104" s="544"/>
      <c r="FV104" s="544"/>
      <c r="FW104" s="544"/>
      <c r="FX104" s="544"/>
      <c r="FY104" s="544"/>
      <c r="FZ104" s="544"/>
      <c r="GA104" s="544"/>
      <c r="GB104" s="544"/>
      <c r="GC104" s="544"/>
      <c r="GD104" s="544"/>
      <c r="GE104" s="544"/>
      <c r="GF104" s="544"/>
      <c r="GG104" s="544"/>
      <c r="GH104" s="544"/>
      <c r="GI104" s="544"/>
      <c r="GJ104" s="544"/>
      <c r="GK104" s="544"/>
      <c r="GL104" s="544"/>
      <c r="GM104" s="544"/>
      <c r="GN104" s="544"/>
      <c r="GO104" s="544"/>
      <c r="GP104" s="544"/>
      <c r="GQ104" s="544"/>
      <c r="GR104" s="544"/>
      <c r="GS104" s="544"/>
      <c r="GT104" s="544"/>
      <c r="GU104" s="544"/>
      <c r="GV104" s="544"/>
      <c r="GW104" s="544"/>
      <c r="GX104" s="544"/>
      <c r="GY104" s="544"/>
      <c r="GZ104" s="544"/>
      <c r="HA104" s="544"/>
      <c r="HB104" s="544"/>
      <c r="HC104" s="544"/>
      <c r="HD104" s="544"/>
      <c r="HE104" s="544"/>
      <c r="HF104" s="544"/>
      <c r="HG104" s="544"/>
      <c r="HH104" s="544"/>
      <c r="HI104" s="544"/>
      <c r="HJ104" s="544"/>
      <c r="HK104" s="544"/>
      <c r="HL104" s="544"/>
      <c r="HM104" s="544"/>
      <c r="HN104" s="544"/>
      <c r="HO104" s="544"/>
      <c r="HP104" s="544"/>
      <c r="HQ104" s="544"/>
      <c r="HR104" s="544"/>
      <c r="HS104" s="544"/>
      <c r="HT104" s="544"/>
      <c r="HU104" s="544"/>
      <c r="HV104" s="544"/>
      <c r="HW104" s="544"/>
      <c r="HX104" s="544"/>
      <c r="HY104" s="544"/>
      <c r="HZ104" s="544"/>
      <c r="IA104" s="544"/>
      <c r="IB104" s="544"/>
      <c r="IC104" s="544"/>
      <c r="ID104" s="544"/>
      <c r="IE104" s="544"/>
      <c r="IF104" s="544"/>
      <c r="IG104" s="544"/>
      <c r="IH104" s="544"/>
      <c r="II104" s="544"/>
      <c r="IJ104" s="544"/>
      <c r="IK104" s="544"/>
      <c r="IL104" s="544"/>
      <c r="IM104" s="544"/>
      <c r="IN104" s="544"/>
      <c r="IO104" s="544"/>
      <c r="IP104" s="544"/>
      <c r="IQ104" s="544"/>
      <c r="IR104" s="544"/>
      <c r="IS104" s="544"/>
    </row>
    <row r="105" spans="1:253" ht="31" x14ac:dyDescent="0.35">
      <c r="A105" s="544"/>
      <c r="B105" s="1090" t="s">
        <v>653</v>
      </c>
      <c r="C105" s="881"/>
      <c r="E105" s="907"/>
      <c r="F105" s="908"/>
      <c r="G105" s="909"/>
      <c r="H105" s="544"/>
      <c r="I105" s="544"/>
      <c r="J105" s="544"/>
      <c r="K105" s="544"/>
      <c r="AA105" s="1089" t="s">
        <v>601</v>
      </c>
      <c r="AY105" s="544"/>
      <c r="AZ105" s="544"/>
      <c r="BA105" s="544"/>
      <c r="BB105" s="544"/>
      <c r="BC105" s="544"/>
      <c r="BD105" s="544"/>
      <c r="BE105" s="544"/>
      <c r="BF105" s="544"/>
      <c r="BG105" s="544"/>
      <c r="BH105" s="544"/>
      <c r="BI105" s="544"/>
      <c r="BJ105" s="544"/>
      <c r="BK105" s="544"/>
      <c r="BL105" s="544"/>
      <c r="BM105" s="544"/>
      <c r="BN105" s="544"/>
      <c r="BO105" s="544"/>
      <c r="BP105" s="544"/>
      <c r="BQ105" s="544"/>
      <c r="BR105" s="544"/>
      <c r="BS105" s="544"/>
      <c r="BT105" s="544"/>
      <c r="BU105" s="544"/>
      <c r="BV105" s="544"/>
      <c r="BW105" s="544"/>
      <c r="BX105" s="544"/>
      <c r="BY105" s="544"/>
      <c r="BZ105" s="544"/>
      <c r="CA105" s="544"/>
      <c r="CB105" s="544"/>
      <c r="CC105" s="544"/>
      <c r="CD105" s="544"/>
      <c r="CE105" s="544"/>
      <c r="CF105" s="544"/>
      <c r="CG105" s="544"/>
      <c r="CH105" s="544"/>
      <c r="CI105" s="544"/>
      <c r="CJ105" s="544"/>
      <c r="CK105" s="544"/>
      <c r="CL105" s="544"/>
      <c r="CM105" s="544"/>
      <c r="CN105" s="544"/>
      <c r="CO105" s="544"/>
      <c r="CP105" s="544"/>
      <c r="CQ105" s="544"/>
      <c r="CR105" s="544"/>
      <c r="CS105" s="544"/>
      <c r="CT105" s="544"/>
      <c r="CU105" s="544"/>
      <c r="CV105" s="544"/>
      <c r="CW105" s="544"/>
      <c r="CX105" s="544"/>
      <c r="CY105" s="544"/>
      <c r="CZ105" s="544"/>
      <c r="DA105" s="544"/>
      <c r="DB105" s="544"/>
      <c r="DC105" s="544"/>
      <c r="DD105" s="544"/>
      <c r="DE105" s="544"/>
      <c r="DF105" s="544"/>
      <c r="DG105" s="544"/>
      <c r="DH105" s="544"/>
      <c r="DI105" s="544"/>
      <c r="DJ105" s="544"/>
      <c r="DK105" s="544"/>
      <c r="DL105" s="544"/>
      <c r="DM105" s="544"/>
      <c r="DN105" s="544"/>
      <c r="DO105" s="544"/>
      <c r="DP105" s="544"/>
      <c r="DQ105" s="544"/>
      <c r="DR105" s="544"/>
      <c r="DS105" s="544"/>
      <c r="DT105" s="544"/>
      <c r="DU105" s="544"/>
      <c r="DV105" s="544"/>
      <c r="DW105" s="544"/>
      <c r="DX105" s="544"/>
      <c r="DY105" s="544"/>
      <c r="DZ105" s="544"/>
      <c r="EA105" s="544"/>
      <c r="EB105" s="544"/>
      <c r="EC105" s="544"/>
      <c r="ED105" s="544"/>
      <c r="EE105" s="544"/>
      <c r="EF105" s="544"/>
      <c r="EG105" s="544"/>
      <c r="EH105" s="544"/>
      <c r="EI105" s="544"/>
      <c r="EJ105" s="544"/>
      <c r="EK105" s="544"/>
      <c r="EL105" s="544"/>
      <c r="EM105" s="544"/>
      <c r="EN105" s="544"/>
      <c r="EO105" s="544"/>
      <c r="EP105" s="544"/>
      <c r="EQ105" s="544"/>
      <c r="ER105" s="544"/>
      <c r="ES105" s="544"/>
      <c r="ET105" s="544"/>
      <c r="EU105" s="544"/>
      <c r="EV105" s="544"/>
      <c r="EW105" s="544"/>
      <c r="EX105" s="544"/>
      <c r="EY105" s="544"/>
      <c r="EZ105" s="544"/>
      <c r="FA105" s="544"/>
      <c r="FB105" s="544"/>
      <c r="FC105" s="544"/>
      <c r="FD105" s="544"/>
      <c r="FE105" s="544"/>
      <c r="FF105" s="544"/>
      <c r="FG105" s="544"/>
      <c r="FH105" s="544"/>
      <c r="FI105" s="544"/>
      <c r="FJ105" s="544"/>
      <c r="FK105" s="544"/>
      <c r="FL105" s="544"/>
      <c r="FM105" s="544"/>
      <c r="FN105" s="544"/>
      <c r="FO105" s="544"/>
      <c r="FP105" s="544"/>
      <c r="FQ105" s="544"/>
      <c r="FR105" s="544"/>
      <c r="FS105" s="544"/>
      <c r="FT105" s="544"/>
      <c r="FU105" s="544"/>
      <c r="FV105" s="544"/>
      <c r="FW105" s="544"/>
      <c r="FX105" s="544"/>
      <c r="FY105" s="544"/>
      <c r="FZ105" s="544"/>
      <c r="GA105" s="544"/>
      <c r="GB105" s="544"/>
      <c r="GC105" s="544"/>
      <c r="GD105" s="544"/>
      <c r="GE105" s="544"/>
      <c r="GF105" s="544"/>
      <c r="GG105" s="544"/>
      <c r="GH105" s="544"/>
      <c r="GI105" s="544"/>
      <c r="GJ105" s="544"/>
      <c r="GK105" s="544"/>
      <c r="GL105" s="544"/>
      <c r="GM105" s="544"/>
      <c r="GN105" s="544"/>
      <c r="GO105" s="544"/>
      <c r="GP105" s="544"/>
      <c r="GQ105" s="544"/>
      <c r="GR105" s="544"/>
      <c r="GS105" s="544"/>
      <c r="GT105" s="544"/>
      <c r="GU105" s="544"/>
      <c r="GV105" s="544"/>
      <c r="GW105" s="544"/>
      <c r="GX105" s="544"/>
      <c r="GY105" s="544"/>
      <c r="GZ105" s="544"/>
      <c r="HA105" s="544"/>
      <c r="HB105" s="544"/>
      <c r="HC105" s="544"/>
      <c r="HD105" s="544"/>
      <c r="HE105" s="544"/>
      <c r="HF105" s="544"/>
      <c r="HG105" s="544"/>
      <c r="HH105" s="544"/>
      <c r="HI105" s="544"/>
      <c r="HJ105" s="544"/>
      <c r="HK105" s="544"/>
      <c r="HL105" s="544"/>
      <c r="HM105" s="544"/>
      <c r="HN105" s="544"/>
      <c r="HO105" s="544"/>
      <c r="HP105" s="544"/>
      <c r="HQ105" s="544"/>
      <c r="HR105" s="544"/>
      <c r="HS105" s="544"/>
      <c r="HT105" s="544"/>
      <c r="HU105" s="544"/>
      <c r="HV105" s="544"/>
      <c r="HW105" s="544"/>
      <c r="HX105" s="544"/>
      <c r="HY105" s="544"/>
      <c r="HZ105" s="544"/>
      <c r="IA105" s="544"/>
      <c r="IB105" s="544"/>
      <c r="IC105" s="544"/>
      <c r="ID105" s="544"/>
      <c r="IE105" s="544"/>
      <c r="IF105" s="544"/>
      <c r="IG105" s="544"/>
      <c r="IH105" s="544"/>
      <c r="II105" s="544"/>
      <c r="IJ105" s="544"/>
      <c r="IK105" s="544"/>
      <c r="IL105" s="544"/>
      <c r="IM105" s="544"/>
      <c r="IN105" s="544"/>
      <c r="IO105" s="544"/>
      <c r="IP105" s="544"/>
      <c r="IQ105" s="544"/>
      <c r="IR105" s="544"/>
      <c r="IS105" s="544"/>
    </row>
    <row r="106" spans="1:253" ht="31" x14ac:dyDescent="0.35">
      <c r="A106" s="544"/>
      <c r="B106" s="1090" t="s">
        <v>654</v>
      </c>
      <c r="C106" s="881"/>
      <c r="E106" s="907"/>
      <c r="F106" s="908"/>
      <c r="G106" s="909"/>
      <c r="H106" s="544"/>
      <c r="I106" s="544"/>
      <c r="J106" s="544"/>
      <c r="K106" s="544"/>
      <c r="AA106" s="1089" t="s">
        <v>601</v>
      </c>
      <c r="AY106" s="544"/>
      <c r="AZ106" s="544"/>
      <c r="BA106" s="544"/>
      <c r="BB106" s="544"/>
      <c r="BC106" s="544"/>
      <c r="BD106" s="544"/>
      <c r="BE106" s="544"/>
      <c r="BF106" s="544"/>
      <c r="BG106" s="544"/>
      <c r="BH106" s="544"/>
      <c r="BI106" s="544"/>
      <c r="BJ106" s="544"/>
      <c r="BK106" s="544"/>
      <c r="BL106" s="544"/>
      <c r="BM106" s="544"/>
      <c r="BN106" s="544"/>
      <c r="BO106" s="544"/>
      <c r="BP106" s="544"/>
      <c r="BQ106" s="544"/>
      <c r="BR106" s="544"/>
      <c r="BS106" s="544"/>
      <c r="BT106" s="544"/>
      <c r="BU106" s="544"/>
      <c r="BV106" s="544"/>
      <c r="BW106" s="544"/>
      <c r="BX106" s="544"/>
      <c r="BY106" s="544"/>
      <c r="BZ106" s="544"/>
      <c r="CA106" s="544"/>
      <c r="CB106" s="544"/>
      <c r="CC106" s="544"/>
      <c r="CD106" s="544"/>
      <c r="CE106" s="544"/>
      <c r="CF106" s="544"/>
      <c r="CG106" s="544"/>
      <c r="CH106" s="544"/>
      <c r="CI106" s="544"/>
      <c r="CJ106" s="544"/>
      <c r="CK106" s="544"/>
      <c r="CL106" s="544"/>
      <c r="CM106" s="544"/>
      <c r="CN106" s="544"/>
      <c r="CO106" s="544"/>
      <c r="CP106" s="544"/>
      <c r="CQ106" s="544"/>
      <c r="CR106" s="544"/>
      <c r="CS106" s="544"/>
      <c r="CT106" s="544"/>
      <c r="CU106" s="544"/>
      <c r="CV106" s="544"/>
      <c r="CW106" s="544"/>
      <c r="CX106" s="544"/>
      <c r="CY106" s="544"/>
      <c r="CZ106" s="544"/>
      <c r="DA106" s="544"/>
      <c r="DB106" s="544"/>
      <c r="DC106" s="544"/>
      <c r="DD106" s="544"/>
      <c r="DE106" s="544"/>
      <c r="DF106" s="544"/>
      <c r="DG106" s="544"/>
      <c r="DH106" s="544"/>
      <c r="DI106" s="544"/>
      <c r="DJ106" s="544"/>
      <c r="DK106" s="544"/>
      <c r="DL106" s="544"/>
      <c r="DM106" s="544"/>
      <c r="DN106" s="544"/>
      <c r="DO106" s="544"/>
      <c r="DP106" s="544"/>
      <c r="DQ106" s="544"/>
      <c r="DR106" s="544"/>
      <c r="DS106" s="544"/>
      <c r="DT106" s="544"/>
      <c r="DU106" s="544"/>
      <c r="DV106" s="544"/>
      <c r="DW106" s="544"/>
      <c r="DX106" s="544"/>
      <c r="DY106" s="544"/>
      <c r="DZ106" s="544"/>
      <c r="EA106" s="544"/>
      <c r="EB106" s="544"/>
      <c r="EC106" s="544"/>
      <c r="ED106" s="544"/>
      <c r="EE106" s="544"/>
      <c r="EF106" s="544"/>
      <c r="EG106" s="544"/>
      <c r="EH106" s="544"/>
      <c r="EI106" s="544"/>
      <c r="EJ106" s="544"/>
      <c r="EK106" s="544"/>
      <c r="EL106" s="544"/>
      <c r="EM106" s="544"/>
      <c r="EN106" s="544"/>
      <c r="EO106" s="544"/>
      <c r="EP106" s="544"/>
      <c r="EQ106" s="544"/>
      <c r="ER106" s="544"/>
      <c r="ES106" s="544"/>
      <c r="ET106" s="544"/>
      <c r="EU106" s="544"/>
      <c r="EV106" s="544"/>
      <c r="EW106" s="544"/>
      <c r="EX106" s="544"/>
      <c r="EY106" s="544"/>
      <c r="EZ106" s="544"/>
      <c r="FA106" s="544"/>
      <c r="FB106" s="544"/>
      <c r="FC106" s="544"/>
      <c r="FD106" s="544"/>
      <c r="FE106" s="544"/>
      <c r="FF106" s="544"/>
      <c r="FG106" s="544"/>
      <c r="FH106" s="544"/>
      <c r="FI106" s="544"/>
      <c r="FJ106" s="544"/>
      <c r="FK106" s="544"/>
      <c r="FL106" s="544"/>
      <c r="FM106" s="544"/>
      <c r="FN106" s="544"/>
      <c r="FO106" s="544"/>
      <c r="FP106" s="544"/>
      <c r="FQ106" s="544"/>
      <c r="FR106" s="544"/>
      <c r="FS106" s="544"/>
      <c r="FT106" s="544"/>
      <c r="FU106" s="544"/>
      <c r="FV106" s="544"/>
      <c r="FW106" s="544"/>
      <c r="FX106" s="544"/>
      <c r="FY106" s="544"/>
      <c r="FZ106" s="544"/>
      <c r="GA106" s="544"/>
      <c r="GB106" s="544"/>
      <c r="GC106" s="544"/>
      <c r="GD106" s="544"/>
      <c r="GE106" s="544"/>
      <c r="GF106" s="544"/>
      <c r="GG106" s="544"/>
      <c r="GH106" s="544"/>
      <c r="GI106" s="544"/>
      <c r="GJ106" s="544"/>
      <c r="GK106" s="544"/>
      <c r="GL106" s="544"/>
      <c r="GM106" s="544"/>
      <c r="GN106" s="544"/>
      <c r="GO106" s="544"/>
      <c r="GP106" s="544"/>
      <c r="GQ106" s="544"/>
      <c r="GR106" s="544"/>
      <c r="GS106" s="544"/>
      <c r="GT106" s="544"/>
      <c r="GU106" s="544"/>
      <c r="GV106" s="544"/>
      <c r="GW106" s="544"/>
      <c r="GX106" s="544"/>
      <c r="GY106" s="544"/>
      <c r="GZ106" s="544"/>
      <c r="HA106" s="544"/>
      <c r="HB106" s="544"/>
      <c r="HC106" s="544"/>
      <c r="HD106" s="544"/>
      <c r="HE106" s="544"/>
      <c r="HF106" s="544"/>
      <c r="HG106" s="544"/>
      <c r="HH106" s="544"/>
      <c r="HI106" s="544"/>
      <c r="HJ106" s="544"/>
      <c r="HK106" s="544"/>
      <c r="HL106" s="544"/>
      <c r="HM106" s="544"/>
      <c r="HN106" s="544"/>
      <c r="HO106" s="544"/>
      <c r="HP106" s="544"/>
      <c r="HQ106" s="544"/>
      <c r="HR106" s="544"/>
      <c r="HS106" s="544"/>
      <c r="HT106" s="544"/>
      <c r="HU106" s="544"/>
      <c r="HV106" s="544"/>
      <c r="HW106" s="544"/>
      <c r="HX106" s="544"/>
      <c r="HY106" s="544"/>
      <c r="HZ106" s="544"/>
      <c r="IA106" s="544"/>
      <c r="IB106" s="544"/>
      <c r="IC106" s="544"/>
      <c r="ID106" s="544"/>
      <c r="IE106" s="544"/>
      <c r="IF106" s="544"/>
      <c r="IG106" s="544"/>
      <c r="IH106" s="544"/>
      <c r="II106" s="544"/>
      <c r="IJ106" s="544"/>
      <c r="IK106" s="544"/>
      <c r="IL106" s="544"/>
      <c r="IM106" s="544"/>
      <c r="IN106" s="544"/>
      <c r="IO106" s="544"/>
      <c r="IP106" s="544"/>
      <c r="IQ106" s="544"/>
      <c r="IR106" s="544"/>
      <c r="IS106" s="544"/>
    </row>
    <row r="107" spans="1:253" s="544" customFormat="1" ht="17.149999999999999" customHeight="1" x14ac:dyDescent="0.35">
      <c r="B107" s="601"/>
      <c r="C107" s="601"/>
      <c r="D107" s="601"/>
    </row>
    <row r="108" spans="1:253" s="544" customFormat="1" ht="17.149999999999999" customHeight="1" x14ac:dyDescent="0.35">
      <c r="B108" s="572"/>
      <c r="C108" s="572"/>
    </row>
    <row r="109" spans="1:253" s="544" customFormat="1" ht="17.149999999999999" customHeight="1" x14ac:dyDescent="0.35">
      <c r="B109" s="695" t="s">
        <v>46</v>
      </c>
      <c r="C109" s="696"/>
      <c r="D109" s="697"/>
      <c r="E109" s="697"/>
      <c r="F109" s="697"/>
      <c r="G109" s="697"/>
      <c r="H109" s="697"/>
      <c r="I109" s="697"/>
    </row>
    <row r="110" spans="1:253" s="544" customFormat="1" ht="17.149999999999999" customHeight="1" x14ac:dyDescent="0.35">
      <c r="B110" s="572"/>
      <c r="C110" s="572"/>
    </row>
    <row r="111" spans="1:253" s="544" customFormat="1" ht="17.149999999999999" customHeight="1" x14ac:dyDescent="0.35">
      <c r="B111" s="592" t="s">
        <v>667</v>
      </c>
      <c r="C111" s="1091"/>
      <c r="D111" s="679"/>
    </row>
    <row r="112" spans="1:253" ht="28" customHeight="1" x14ac:dyDescent="0.35">
      <c r="A112" s="544"/>
      <c r="B112" s="1484" t="s">
        <v>594</v>
      </c>
      <c r="C112" s="684" t="s">
        <v>374</v>
      </c>
      <c r="E112" s="667" t="s">
        <v>521</v>
      </c>
      <c r="F112" s="1480"/>
      <c r="G112" s="1481"/>
      <c r="H112" s="1474" t="s">
        <v>656</v>
      </c>
      <c r="I112" s="1474" t="s">
        <v>645</v>
      </c>
      <c r="J112" s="544"/>
      <c r="K112" s="544"/>
      <c r="AY112" s="544"/>
      <c r="AZ112" s="544"/>
      <c r="BA112" s="544"/>
      <c r="BB112" s="544"/>
      <c r="BC112" s="544"/>
      <c r="BD112" s="544"/>
      <c r="BE112" s="544"/>
      <c r="BF112" s="544"/>
      <c r="BG112" s="544"/>
      <c r="BH112" s="544"/>
      <c r="BI112" s="544"/>
      <c r="BJ112" s="544"/>
      <c r="BK112" s="544"/>
      <c r="BL112" s="544"/>
      <c r="BM112" s="544"/>
      <c r="BN112" s="544"/>
      <c r="BO112" s="544"/>
      <c r="BP112" s="544"/>
      <c r="BQ112" s="544"/>
      <c r="BR112" s="544"/>
      <c r="BS112" s="544"/>
      <c r="BT112" s="544"/>
      <c r="BU112" s="544"/>
      <c r="BV112" s="544"/>
      <c r="BW112" s="544"/>
      <c r="BX112" s="544"/>
      <c r="BY112" s="544"/>
      <c r="BZ112" s="544"/>
      <c r="CA112" s="544"/>
      <c r="CB112" s="544"/>
      <c r="CC112" s="544"/>
      <c r="CD112" s="544"/>
      <c r="CE112" s="544"/>
      <c r="CF112" s="544"/>
      <c r="CG112" s="544"/>
      <c r="CH112" s="544"/>
      <c r="CI112" s="544"/>
      <c r="CJ112" s="544"/>
      <c r="CK112" s="544"/>
      <c r="CL112" s="544"/>
      <c r="CM112" s="544"/>
      <c r="CN112" s="544"/>
      <c r="CO112" s="544"/>
      <c r="CP112" s="544"/>
      <c r="CQ112" s="544"/>
      <c r="CR112" s="544"/>
      <c r="CS112" s="544"/>
      <c r="CT112" s="544"/>
      <c r="CU112" s="544"/>
      <c r="CV112" s="544"/>
      <c r="CW112" s="544"/>
      <c r="CX112" s="544"/>
      <c r="CY112" s="544"/>
      <c r="CZ112" s="544"/>
      <c r="DA112" s="544"/>
      <c r="DB112" s="544"/>
      <c r="DC112" s="544"/>
      <c r="DD112" s="544"/>
      <c r="DE112" s="544"/>
      <c r="DF112" s="544"/>
      <c r="DG112" s="544"/>
      <c r="DH112" s="544"/>
      <c r="DI112" s="544"/>
      <c r="DJ112" s="544"/>
      <c r="DK112" s="544"/>
      <c r="DL112" s="544"/>
      <c r="DM112" s="544"/>
      <c r="DN112" s="544"/>
      <c r="DO112" s="544"/>
      <c r="DP112" s="544"/>
      <c r="DQ112" s="544"/>
      <c r="DR112" s="544"/>
      <c r="DS112" s="544"/>
      <c r="DT112" s="544"/>
      <c r="DU112" s="544"/>
      <c r="DV112" s="544"/>
      <c r="DW112" s="544"/>
      <c r="DX112" s="544"/>
      <c r="DY112" s="544"/>
      <c r="DZ112" s="544"/>
      <c r="EA112" s="544"/>
      <c r="EB112" s="544"/>
      <c r="EC112" s="544"/>
      <c r="ED112" s="544"/>
      <c r="EE112" s="544"/>
      <c r="EF112" s="544"/>
      <c r="EG112" s="544"/>
      <c r="EH112" s="544"/>
      <c r="EI112" s="544"/>
      <c r="EJ112" s="544"/>
      <c r="EK112" s="544"/>
      <c r="EL112" s="544"/>
      <c r="EM112" s="544"/>
      <c r="EN112" s="544"/>
      <c r="EO112" s="544"/>
      <c r="EP112" s="544"/>
      <c r="EQ112" s="544"/>
      <c r="ER112" s="544"/>
      <c r="ES112" s="544"/>
      <c r="ET112" s="544"/>
      <c r="EU112" s="544"/>
      <c r="EV112" s="544"/>
      <c r="EW112" s="544"/>
      <c r="EX112" s="544"/>
      <c r="EY112" s="544"/>
      <c r="EZ112" s="544"/>
      <c r="FA112" s="544"/>
      <c r="FB112" s="544"/>
      <c r="FC112" s="544"/>
      <c r="FD112" s="544"/>
      <c r="FE112" s="544"/>
      <c r="FF112" s="544"/>
      <c r="FG112" s="544"/>
      <c r="FH112" s="544"/>
      <c r="FI112" s="544"/>
      <c r="FJ112" s="544"/>
      <c r="FK112" s="544"/>
      <c r="FL112" s="544"/>
      <c r="FM112" s="544"/>
      <c r="FN112" s="544"/>
      <c r="FO112" s="544"/>
      <c r="FP112" s="544"/>
      <c r="FQ112" s="544"/>
      <c r="FR112" s="544"/>
      <c r="FS112" s="544"/>
      <c r="FT112" s="544"/>
      <c r="FU112" s="544"/>
      <c r="FV112" s="544"/>
      <c r="FW112" s="544"/>
      <c r="FX112" s="544"/>
      <c r="FY112" s="544"/>
      <c r="FZ112" s="544"/>
      <c r="GA112" s="544"/>
      <c r="GB112" s="544"/>
      <c r="GC112" s="544"/>
      <c r="GD112" s="544"/>
      <c r="GE112" s="544"/>
      <c r="GF112" s="544"/>
      <c r="GG112" s="544"/>
      <c r="GH112" s="544"/>
      <c r="GI112" s="544"/>
      <c r="GJ112" s="544"/>
      <c r="GK112" s="544"/>
      <c r="GL112" s="544"/>
      <c r="GM112" s="544"/>
      <c r="GN112" s="544"/>
      <c r="GO112" s="544"/>
      <c r="GP112" s="544"/>
      <c r="GQ112" s="544"/>
      <c r="GR112" s="544"/>
      <c r="GS112" s="544"/>
      <c r="GT112" s="544"/>
      <c r="GU112" s="544"/>
      <c r="GV112" s="544"/>
      <c r="GW112" s="544"/>
      <c r="GX112" s="544"/>
      <c r="GY112" s="544"/>
      <c r="GZ112" s="544"/>
      <c r="HA112" s="544"/>
      <c r="HB112" s="544"/>
      <c r="HC112" s="544"/>
      <c r="HD112" s="544"/>
      <c r="HE112" s="544"/>
      <c r="HF112" s="544"/>
      <c r="HG112" s="544"/>
      <c r="HH112" s="544"/>
      <c r="HI112" s="544"/>
      <c r="HJ112" s="544"/>
      <c r="HK112" s="544"/>
      <c r="HL112" s="544"/>
      <c r="HM112" s="544"/>
      <c r="HN112" s="544"/>
      <c r="HO112" s="544"/>
      <c r="HP112" s="544"/>
      <c r="HQ112" s="544"/>
      <c r="HR112" s="544"/>
      <c r="HS112" s="544"/>
      <c r="HT112" s="544"/>
      <c r="HU112" s="544"/>
      <c r="HV112" s="544"/>
      <c r="HW112" s="544"/>
      <c r="HX112" s="544"/>
      <c r="HY112" s="544"/>
      <c r="HZ112" s="544"/>
      <c r="IA112" s="544"/>
      <c r="IB112" s="544"/>
      <c r="IC112" s="544"/>
      <c r="ID112" s="544"/>
      <c r="IE112" s="544"/>
      <c r="IF112" s="544"/>
      <c r="IG112" s="544"/>
      <c r="IH112" s="544"/>
      <c r="II112" s="544"/>
      <c r="IJ112" s="544"/>
      <c r="IK112" s="544"/>
      <c r="IL112" s="544"/>
      <c r="IM112" s="544"/>
      <c r="IN112" s="544"/>
      <c r="IO112" s="544"/>
      <c r="IP112" s="544"/>
      <c r="IQ112" s="544"/>
      <c r="IR112" s="544"/>
      <c r="IS112" s="544"/>
    </row>
    <row r="113" spans="1:253" ht="28" customHeight="1" x14ac:dyDescent="0.35">
      <c r="A113" s="544"/>
      <c r="B113" s="600" t="s">
        <v>646</v>
      </c>
      <c r="C113" s="881">
        <v>1</v>
      </c>
      <c r="E113" s="544"/>
      <c r="F113" s="544"/>
      <c r="G113" s="544"/>
      <c r="H113" s="544"/>
      <c r="I113" s="544"/>
      <c r="J113" s="544"/>
      <c r="K113" s="544"/>
      <c r="AY113" s="544"/>
      <c r="AZ113" s="544"/>
      <c r="BA113" s="544"/>
      <c r="BB113" s="544"/>
      <c r="BC113" s="544"/>
      <c r="BD113" s="544"/>
      <c r="BE113" s="544"/>
      <c r="BF113" s="544"/>
      <c r="BG113" s="544"/>
      <c r="BH113" s="544"/>
      <c r="BI113" s="544"/>
      <c r="BJ113" s="544"/>
      <c r="BK113" s="544"/>
      <c r="BL113" s="544"/>
      <c r="BM113" s="544"/>
      <c r="BN113" s="544"/>
      <c r="BO113" s="544"/>
      <c r="BP113" s="544"/>
      <c r="BQ113" s="544"/>
      <c r="BR113" s="544"/>
      <c r="BS113" s="544"/>
      <c r="BT113" s="544"/>
      <c r="BU113" s="544"/>
      <c r="BV113" s="544"/>
      <c r="BW113" s="544"/>
      <c r="BX113" s="544"/>
      <c r="BY113" s="544"/>
      <c r="BZ113" s="544"/>
      <c r="CA113" s="544"/>
      <c r="CB113" s="544"/>
      <c r="CC113" s="544"/>
      <c r="CD113" s="544"/>
      <c r="CE113" s="544"/>
      <c r="CF113" s="544"/>
      <c r="CG113" s="544"/>
      <c r="CH113" s="544"/>
      <c r="CI113" s="544"/>
      <c r="CJ113" s="544"/>
      <c r="CK113" s="544"/>
      <c r="CL113" s="544"/>
      <c r="CM113" s="544"/>
      <c r="CN113" s="544"/>
      <c r="CO113" s="544"/>
      <c r="CP113" s="544"/>
      <c r="CQ113" s="544"/>
      <c r="CR113" s="544"/>
      <c r="CS113" s="544"/>
      <c r="CT113" s="544"/>
      <c r="CU113" s="544"/>
      <c r="CV113" s="544"/>
      <c r="CW113" s="544"/>
      <c r="CX113" s="544"/>
      <c r="CY113" s="544"/>
      <c r="CZ113" s="544"/>
      <c r="DA113" s="544"/>
      <c r="DB113" s="544"/>
      <c r="DC113" s="544"/>
      <c r="DD113" s="544"/>
      <c r="DE113" s="544"/>
      <c r="DF113" s="544"/>
      <c r="DG113" s="544"/>
      <c r="DH113" s="544"/>
      <c r="DI113" s="544"/>
      <c r="DJ113" s="544"/>
      <c r="DK113" s="544"/>
      <c r="DL113" s="544"/>
      <c r="DM113" s="544"/>
      <c r="DN113" s="544"/>
      <c r="DO113" s="544"/>
      <c r="DP113" s="544"/>
      <c r="DQ113" s="544"/>
      <c r="DR113" s="544"/>
      <c r="DS113" s="544"/>
      <c r="DT113" s="544"/>
      <c r="DU113" s="544"/>
      <c r="DV113" s="544"/>
      <c r="DW113" s="544"/>
      <c r="DX113" s="544"/>
      <c r="DY113" s="544"/>
      <c r="DZ113" s="544"/>
      <c r="EA113" s="544"/>
      <c r="EB113" s="544"/>
      <c r="EC113" s="544"/>
      <c r="ED113" s="544"/>
      <c r="EE113" s="544"/>
      <c r="EF113" s="544"/>
      <c r="EG113" s="544"/>
      <c r="EH113" s="544"/>
      <c r="EI113" s="544"/>
      <c r="EJ113" s="544"/>
      <c r="EK113" s="544"/>
      <c r="EL113" s="544"/>
      <c r="EM113" s="544"/>
      <c r="EN113" s="544"/>
      <c r="EO113" s="544"/>
      <c r="EP113" s="544"/>
      <c r="EQ113" s="544"/>
      <c r="ER113" s="544"/>
      <c r="ES113" s="544"/>
      <c r="ET113" s="544"/>
      <c r="EU113" s="544"/>
      <c r="EV113" s="544"/>
      <c r="EW113" s="544"/>
      <c r="EX113" s="544"/>
      <c r="EY113" s="544"/>
      <c r="EZ113" s="544"/>
      <c r="FA113" s="544"/>
      <c r="FB113" s="544"/>
      <c r="FC113" s="544"/>
      <c r="FD113" s="544"/>
      <c r="FE113" s="544"/>
      <c r="FF113" s="544"/>
      <c r="FG113" s="544"/>
      <c r="FH113" s="544"/>
      <c r="FI113" s="544"/>
      <c r="FJ113" s="544"/>
      <c r="FK113" s="544"/>
      <c r="FL113" s="544"/>
      <c r="FM113" s="544"/>
      <c r="FN113" s="544"/>
      <c r="FO113" s="544"/>
      <c r="FP113" s="544"/>
      <c r="FQ113" s="544"/>
      <c r="FR113" s="544"/>
      <c r="FS113" s="544"/>
      <c r="FT113" s="544"/>
      <c r="FU113" s="544"/>
      <c r="FV113" s="544"/>
      <c r="FW113" s="544"/>
      <c r="FX113" s="544"/>
      <c r="FY113" s="544"/>
      <c r="FZ113" s="544"/>
      <c r="GA113" s="544"/>
      <c r="GB113" s="544"/>
      <c r="GC113" s="544"/>
      <c r="GD113" s="544"/>
      <c r="GE113" s="544"/>
      <c r="GF113" s="544"/>
      <c r="GG113" s="544"/>
      <c r="GH113" s="544"/>
      <c r="GI113" s="544"/>
      <c r="GJ113" s="544"/>
      <c r="GK113" s="544"/>
      <c r="GL113" s="544"/>
      <c r="GM113" s="544"/>
      <c r="GN113" s="544"/>
      <c r="GO113" s="544"/>
      <c r="GP113" s="544"/>
      <c r="GQ113" s="544"/>
      <c r="GR113" s="544"/>
      <c r="GS113" s="544"/>
      <c r="GT113" s="544"/>
      <c r="GU113" s="544"/>
      <c r="GV113" s="544"/>
      <c r="GW113" s="544"/>
      <c r="GX113" s="544"/>
      <c r="GY113" s="544"/>
      <c r="GZ113" s="544"/>
      <c r="HA113" s="544"/>
      <c r="HB113" s="544"/>
      <c r="HC113" s="544"/>
      <c r="HD113" s="544"/>
      <c r="HE113" s="544"/>
      <c r="HF113" s="544"/>
      <c r="HG113" s="544"/>
      <c r="HH113" s="544"/>
      <c r="HI113" s="544"/>
      <c r="HJ113" s="544"/>
      <c r="HK113" s="544"/>
      <c r="HL113" s="544"/>
      <c r="HM113" s="544"/>
      <c r="HN113" s="544"/>
      <c r="HO113" s="544"/>
      <c r="HP113" s="544"/>
      <c r="HQ113" s="544"/>
      <c r="HR113" s="544"/>
      <c r="HS113" s="544"/>
      <c r="HT113" s="544"/>
      <c r="HU113" s="544"/>
      <c r="HV113" s="544"/>
      <c r="HW113" s="544"/>
      <c r="HX113" s="544"/>
      <c r="HY113" s="544"/>
      <c r="HZ113" s="544"/>
      <c r="IA113" s="544"/>
      <c r="IB113" s="544"/>
      <c r="IC113" s="544"/>
      <c r="ID113" s="544"/>
      <c r="IE113" s="544"/>
      <c r="IF113" s="544"/>
      <c r="IG113" s="544"/>
      <c r="IH113" s="544"/>
      <c r="II113" s="544"/>
      <c r="IJ113" s="544"/>
      <c r="IK113" s="544"/>
      <c r="IL113" s="544"/>
      <c r="IM113" s="544"/>
      <c r="IN113" s="544"/>
      <c r="IO113" s="544"/>
      <c r="IP113" s="544"/>
      <c r="IQ113" s="544"/>
      <c r="IR113" s="544"/>
      <c r="IS113" s="544"/>
    </row>
    <row r="114" spans="1:253" ht="31" x14ac:dyDescent="0.35">
      <c r="A114" s="544"/>
      <c r="B114" s="1090" t="s">
        <v>661</v>
      </c>
      <c r="C114" s="881"/>
      <c r="E114" s="907"/>
      <c r="F114" s="908"/>
      <c r="G114" s="909"/>
      <c r="H114" s="913"/>
      <c r="I114" s="913"/>
      <c r="J114" s="917" t="s">
        <v>648</v>
      </c>
      <c r="K114" s="544"/>
      <c r="AA114" s="1089" t="s">
        <v>601</v>
      </c>
      <c r="AY114" s="544"/>
      <c r="AZ114" s="544"/>
      <c r="BA114" s="544"/>
      <c r="BB114" s="544"/>
      <c r="BC114" s="544"/>
      <c r="BD114" s="544"/>
      <c r="BE114" s="544"/>
      <c r="BF114" s="544"/>
      <c r="BG114" s="544"/>
      <c r="BH114" s="544"/>
      <c r="BI114" s="544"/>
      <c r="BJ114" s="544"/>
      <c r="BK114" s="544"/>
      <c r="BL114" s="544"/>
      <c r="BM114" s="544"/>
      <c r="BN114" s="544"/>
      <c r="BO114" s="544"/>
      <c r="BP114" s="544"/>
      <c r="BQ114" s="544"/>
      <c r="BR114" s="544"/>
      <c r="BS114" s="544"/>
      <c r="BT114" s="544"/>
      <c r="BU114" s="544"/>
      <c r="BV114" s="544"/>
      <c r="BW114" s="544"/>
      <c r="BX114" s="544"/>
      <c r="BY114" s="544"/>
      <c r="BZ114" s="544"/>
      <c r="CA114" s="544"/>
      <c r="CB114" s="544"/>
      <c r="CC114" s="544"/>
      <c r="CD114" s="544"/>
      <c r="CE114" s="544"/>
      <c r="CF114" s="544"/>
      <c r="CG114" s="544"/>
      <c r="CH114" s="544"/>
      <c r="CI114" s="544"/>
      <c r="CJ114" s="544"/>
      <c r="CK114" s="544"/>
      <c r="CL114" s="544"/>
      <c r="CM114" s="544"/>
      <c r="CN114" s="544"/>
      <c r="CO114" s="544"/>
      <c r="CP114" s="544"/>
      <c r="CQ114" s="544"/>
      <c r="CR114" s="544"/>
      <c r="CS114" s="544"/>
      <c r="CT114" s="544"/>
      <c r="CU114" s="544"/>
      <c r="CV114" s="544"/>
      <c r="CW114" s="544"/>
      <c r="CX114" s="544"/>
      <c r="CY114" s="544"/>
      <c r="CZ114" s="544"/>
      <c r="DA114" s="544"/>
      <c r="DB114" s="544"/>
      <c r="DC114" s="544"/>
      <c r="DD114" s="544"/>
      <c r="DE114" s="544"/>
      <c r="DF114" s="544"/>
      <c r="DG114" s="544"/>
      <c r="DH114" s="544"/>
      <c r="DI114" s="544"/>
      <c r="DJ114" s="544"/>
      <c r="DK114" s="544"/>
      <c r="DL114" s="544"/>
      <c r="DM114" s="544"/>
      <c r="DN114" s="544"/>
      <c r="DO114" s="544"/>
      <c r="DP114" s="544"/>
      <c r="DQ114" s="544"/>
      <c r="DR114" s="544"/>
      <c r="DS114" s="544"/>
      <c r="DT114" s="544"/>
      <c r="DU114" s="544"/>
      <c r="DV114" s="544"/>
      <c r="DW114" s="544"/>
      <c r="DX114" s="544"/>
      <c r="DY114" s="544"/>
      <c r="DZ114" s="544"/>
      <c r="EA114" s="544"/>
      <c r="EB114" s="544"/>
      <c r="EC114" s="544"/>
      <c r="ED114" s="544"/>
      <c r="EE114" s="544"/>
      <c r="EF114" s="544"/>
      <c r="EG114" s="544"/>
      <c r="EH114" s="544"/>
      <c r="EI114" s="544"/>
      <c r="EJ114" s="544"/>
      <c r="EK114" s="544"/>
      <c r="EL114" s="544"/>
      <c r="EM114" s="544"/>
      <c r="EN114" s="544"/>
      <c r="EO114" s="544"/>
      <c r="EP114" s="544"/>
      <c r="EQ114" s="544"/>
      <c r="ER114" s="544"/>
      <c r="ES114" s="544"/>
      <c r="ET114" s="544"/>
      <c r="EU114" s="544"/>
      <c r="EV114" s="544"/>
      <c r="EW114" s="544"/>
      <c r="EX114" s="544"/>
      <c r="EY114" s="544"/>
      <c r="EZ114" s="544"/>
      <c r="FA114" s="544"/>
      <c r="FB114" s="544"/>
      <c r="FC114" s="544"/>
      <c r="FD114" s="544"/>
      <c r="FE114" s="544"/>
      <c r="FF114" s="544"/>
      <c r="FG114" s="544"/>
      <c r="FH114" s="544"/>
      <c r="FI114" s="544"/>
      <c r="FJ114" s="544"/>
      <c r="FK114" s="544"/>
      <c r="FL114" s="544"/>
      <c r="FM114" s="544"/>
      <c r="FN114" s="544"/>
      <c r="FO114" s="544"/>
      <c r="FP114" s="544"/>
      <c r="FQ114" s="544"/>
      <c r="FR114" s="544"/>
      <c r="FS114" s="544"/>
      <c r="FT114" s="544"/>
      <c r="FU114" s="544"/>
      <c r="FV114" s="544"/>
      <c r="FW114" s="544"/>
      <c r="FX114" s="544"/>
      <c r="FY114" s="544"/>
      <c r="FZ114" s="544"/>
      <c r="GA114" s="544"/>
      <c r="GB114" s="544"/>
      <c r="GC114" s="544"/>
      <c r="GD114" s="544"/>
      <c r="GE114" s="544"/>
      <c r="GF114" s="544"/>
      <c r="GG114" s="544"/>
      <c r="GH114" s="544"/>
      <c r="GI114" s="544"/>
      <c r="GJ114" s="544"/>
      <c r="GK114" s="544"/>
      <c r="GL114" s="544"/>
      <c r="GM114" s="544"/>
      <c r="GN114" s="544"/>
      <c r="GO114" s="544"/>
      <c r="GP114" s="544"/>
      <c r="GQ114" s="544"/>
      <c r="GR114" s="544"/>
      <c r="GS114" s="544"/>
      <c r="GT114" s="544"/>
      <c r="GU114" s="544"/>
      <c r="GV114" s="544"/>
      <c r="GW114" s="544"/>
      <c r="GX114" s="544"/>
      <c r="GY114" s="544"/>
      <c r="GZ114" s="544"/>
      <c r="HA114" s="544"/>
      <c r="HB114" s="544"/>
      <c r="HC114" s="544"/>
      <c r="HD114" s="544"/>
      <c r="HE114" s="544"/>
      <c r="HF114" s="544"/>
      <c r="HG114" s="544"/>
      <c r="HH114" s="544"/>
      <c r="HI114" s="544"/>
      <c r="HJ114" s="544"/>
      <c r="HK114" s="544"/>
      <c r="HL114" s="544"/>
      <c r="HM114" s="544"/>
      <c r="HN114" s="544"/>
      <c r="HO114" s="544"/>
      <c r="HP114" s="544"/>
      <c r="HQ114" s="544"/>
      <c r="HR114" s="544"/>
      <c r="HS114" s="544"/>
      <c r="HT114" s="544"/>
      <c r="HU114" s="544"/>
      <c r="HV114" s="544"/>
      <c r="HW114" s="544"/>
      <c r="HX114" s="544"/>
      <c r="HY114" s="544"/>
      <c r="HZ114" s="544"/>
      <c r="IA114" s="544"/>
      <c r="IB114" s="544"/>
      <c r="IC114" s="544"/>
      <c r="ID114" s="544"/>
      <c r="IE114" s="544"/>
      <c r="IF114" s="544"/>
      <c r="IG114" s="544"/>
      <c r="IH114" s="544"/>
      <c r="II114" s="544"/>
      <c r="IJ114" s="544"/>
      <c r="IK114" s="544"/>
      <c r="IL114" s="544"/>
      <c r="IM114" s="544"/>
      <c r="IN114" s="544"/>
      <c r="IO114" s="544"/>
      <c r="IP114" s="544"/>
      <c r="IQ114" s="544"/>
      <c r="IR114" s="544"/>
      <c r="IS114" s="544"/>
    </row>
    <row r="115" spans="1:253" ht="31" x14ac:dyDescent="0.35">
      <c r="A115" s="544"/>
      <c r="B115" s="1090" t="s">
        <v>649</v>
      </c>
      <c r="C115" s="881"/>
      <c r="E115" s="907"/>
      <c r="F115" s="908"/>
      <c r="G115" s="909"/>
      <c r="H115" s="913"/>
      <c r="I115" s="913"/>
      <c r="J115" s="544"/>
      <c r="K115" s="544"/>
      <c r="AA115" s="1089" t="s">
        <v>601</v>
      </c>
      <c r="AY115" s="544"/>
      <c r="AZ115" s="544"/>
      <c r="BA115" s="544"/>
      <c r="BB115" s="544"/>
      <c r="BC115" s="544"/>
      <c r="BD115" s="544"/>
      <c r="BE115" s="544"/>
      <c r="BF115" s="544"/>
      <c r="BG115" s="544"/>
      <c r="BH115" s="544"/>
      <c r="BI115" s="544"/>
      <c r="BJ115" s="544"/>
      <c r="BK115" s="544"/>
      <c r="BL115" s="544"/>
      <c r="BM115" s="544"/>
      <c r="BN115" s="544"/>
      <c r="BO115" s="544"/>
      <c r="BP115" s="544"/>
      <c r="BQ115" s="544"/>
      <c r="BR115" s="544"/>
      <c r="BS115" s="544"/>
      <c r="BT115" s="544"/>
      <c r="BU115" s="544"/>
      <c r="BV115" s="544"/>
      <c r="BW115" s="544"/>
      <c r="BX115" s="544"/>
      <c r="BY115" s="544"/>
      <c r="BZ115" s="544"/>
      <c r="CA115" s="544"/>
      <c r="CB115" s="544"/>
      <c r="CC115" s="544"/>
      <c r="CD115" s="544"/>
      <c r="CE115" s="544"/>
      <c r="CF115" s="544"/>
      <c r="CG115" s="544"/>
      <c r="CH115" s="544"/>
      <c r="CI115" s="544"/>
      <c r="CJ115" s="544"/>
      <c r="CK115" s="544"/>
      <c r="CL115" s="544"/>
      <c r="CM115" s="544"/>
      <c r="CN115" s="544"/>
      <c r="CO115" s="544"/>
      <c r="CP115" s="544"/>
      <c r="CQ115" s="544"/>
      <c r="CR115" s="544"/>
      <c r="CS115" s="544"/>
      <c r="CT115" s="544"/>
      <c r="CU115" s="544"/>
      <c r="CV115" s="544"/>
      <c r="CW115" s="544"/>
      <c r="CX115" s="544"/>
      <c r="CY115" s="544"/>
      <c r="CZ115" s="544"/>
      <c r="DA115" s="544"/>
      <c r="DB115" s="544"/>
      <c r="DC115" s="544"/>
      <c r="DD115" s="544"/>
      <c r="DE115" s="544"/>
      <c r="DF115" s="544"/>
      <c r="DG115" s="544"/>
      <c r="DH115" s="544"/>
      <c r="DI115" s="544"/>
      <c r="DJ115" s="544"/>
      <c r="DK115" s="544"/>
      <c r="DL115" s="544"/>
      <c r="DM115" s="544"/>
      <c r="DN115" s="544"/>
      <c r="DO115" s="544"/>
      <c r="DP115" s="544"/>
      <c r="DQ115" s="544"/>
      <c r="DR115" s="544"/>
      <c r="DS115" s="544"/>
      <c r="DT115" s="544"/>
      <c r="DU115" s="544"/>
      <c r="DV115" s="544"/>
      <c r="DW115" s="544"/>
      <c r="DX115" s="544"/>
      <c r="DY115" s="544"/>
      <c r="DZ115" s="544"/>
      <c r="EA115" s="544"/>
      <c r="EB115" s="544"/>
      <c r="EC115" s="544"/>
      <c r="ED115" s="544"/>
      <c r="EE115" s="544"/>
      <c r="EF115" s="544"/>
      <c r="EG115" s="544"/>
      <c r="EH115" s="544"/>
      <c r="EI115" s="544"/>
      <c r="EJ115" s="544"/>
      <c r="EK115" s="544"/>
      <c r="EL115" s="544"/>
      <c r="EM115" s="544"/>
      <c r="EN115" s="544"/>
      <c r="EO115" s="544"/>
      <c r="EP115" s="544"/>
      <c r="EQ115" s="544"/>
      <c r="ER115" s="544"/>
      <c r="ES115" s="544"/>
      <c r="ET115" s="544"/>
      <c r="EU115" s="544"/>
      <c r="EV115" s="544"/>
      <c r="EW115" s="544"/>
      <c r="EX115" s="544"/>
      <c r="EY115" s="544"/>
      <c r="EZ115" s="544"/>
      <c r="FA115" s="544"/>
      <c r="FB115" s="544"/>
      <c r="FC115" s="544"/>
      <c r="FD115" s="544"/>
      <c r="FE115" s="544"/>
      <c r="FF115" s="544"/>
      <c r="FG115" s="544"/>
      <c r="FH115" s="544"/>
      <c r="FI115" s="544"/>
      <c r="FJ115" s="544"/>
      <c r="FK115" s="544"/>
      <c r="FL115" s="544"/>
      <c r="FM115" s="544"/>
      <c r="FN115" s="544"/>
      <c r="FO115" s="544"/>
      <c r="FP115" s="544"/>
      <c r="FQ115" s="544"/>
      <c r="FR115" s="544"/>
      <c r="FS115" s="544"/>
      <c r="FT115" s="544"/>
      <c r="FU115" s="544"/>
      <c r="FV115" s="544"/>
      <c r="FW115" s="544"/>
      <c r="FX115" s="544"/>
      <c r="FY115" s="544"/>
      <c r="FZ115" s="544"/>
      <c r="GA115" s="544"/>
      <c r="GB115" s="544"/>
      <c r="GC115" s="544"/>
      <c r="GD115" s="544"/>
      <c r="GE115" s="544"/>
      <c r="GF115" s="544"/>
      <c r="GG115" s="544"/>
      <c r="GH115" s="544"/>
      <c r="GI115" s="544"/>
      <c r="GJ115" s="544"/>
      <c r="GK115" s="544"/>
      <c r="GL115" s="544"/>
      <c r="GM115" s="544"/>
      <c r="GN115" s="544"/>
      <c r="GO115" s="544"/>
      <c r="GP115" s="544"/>
      <c r="GQ115" s="544"/>
      <c r="GR115" s="544"/>
      <c r="GS115" s="544"/>
      <c r="GT115" s="544"/>
      <c r="GU115" s="544"/>
      <c r="GV115" s="544"/>
      <c r="GW115" s="544"/>
      <c r="GX115" s="544"/>
      <c r="GY115" s="544"/>
      <c r="GZ115" s="544"/>
      <c r="HA115" s="544"/>
      <c r="HB115" s="544"/>
      <c r="HC115" s="544"/>
      <c r="HD115" s="544"/>
      <c r="HE115" s="544"/>
      <c r="HF115" s="544"/>
      <c r="HG115" s="544"/>
      <c r="HH115" s="544"/>
      <c r="HI115" s="544"/>
      <c r="HJ115" s="544"/>
      <c r="HK115" s="544"/>
      <c r="HL115" s="544"/>
      <c r="HM115" s="544"/>
      <c r="HN115" s="544"/>
      <c r="HO115" s="544"/>
      <c r="HP115" s="544"/>
      <c r="HQ115" s="544"/>
      <c r="HR115" s="544"/>
      <c r="HS115" s="544"/>
      <c r="HT115" s="544"/>
      <c r="HU115" s="544"/>
      <c r="HV115" s="544"/>
      <c r="HW115" s="544"/>
      <c r="HX115" s="544"/>
      <c r="HY115" s="544"/>
      <c r="HZ115" s="544"/>
      <c r="IA115" s="544"/>
      <c r="IB115" s="544"/>
      <c r="IC115" s="544"/>
      <c r="ID115" s="544"/>
      <c r="IE115" s="544"/>
      <c r="IF115" s="544"/>
      <c r="IG115" s="544"/>
      <c r="IH115" s="544"/>
      <c r="II115" s="544"/>
      <c r="IJ115" s="544"/>
      <c r="IK115" s="544"/>
      <c r="IL115" s="544"/>
      <c r="IM115" s="544"/>
      <c r="IN115" s="544"/>
      <c r="IO115" s="544"/>
      <c r="IP115" s="544"/>
      <c r="IQ115" s="544"/>
      <c r="IR115" s="544"/>
      <c r="IS115" s="544"/>
    </row>
    <row r="116" spans="1:253" ht="31" x14ac:dyDescent="0.35">
      <c r="A116" s="544"/>
      <c r="B116" s="1090" t="s">
        <v>658</v>
      </c>
      <c r="C116" s="881"/>
      <c r="E116" s="907"/>
      <c r="F116" s="908"/>
      <c r="G116" s="909"/>
      <c r="H116" s="544"/>
      <c r="I116" s="544"/>
      <c r="J116" s="544"/>
      <c r="K116" s="544"/>
      <c r="AA116" s="1089" t="s">
        <v>601</v>
      </c>
      <c r="AY116" s="544"/>
      <c r="AZ116" s="544"/>
      <c r="BA116" s="544"/>
      <c r="BB116" s="544"/>
      <c r="BC116" s="544"/>
      <c r="BD116" s="544"/>
      <c r="BE116" s="544"/>
      <c r="BF116" s="544"/>
      <c r="BG116" s="544"/>
      <c r="BH116" s="544"/>
      <c r="BI116" s="544"/>
      <c r="BJ116" s="544"/>
      <c r="BK116" s="544"/>
      <c r="BL116" s="544"/>
      <c r="BM116" s="544"/>
      <c r="BN116" s="544"/>
      <c r="BO116" s="544"/>
      <c r="BP116" s="544"/>
      <c r="BQ116" s="544"/>
      <c r="BR116" s="544"/>
      <c r="BS116" s="544"/>
      <c r="BT116" s="544"/>
      <c r="BU116" s="544"/>
      <c r="BV116" s="544"/>
      <c r="BW116" s="544"/>
      <c r="BX116" s="544"/>
      <c r="BY116" s="544"/>
      <c r="BZ116" s="544"/>
      <c r="CA116" s="544"/>
      <c r="CB116" s="544"/>
      <c r="CC116" s="544"/>
      <c r="CD116" s="544"/>
      <c r="CE116" s="544"/>
      <c r="CF116" s="544"/>
      <c r="CG116" s="544"/>
      <c r="CH116" s="544"/>
      <c r="CI116" s="544"/>
      <c r="CJ116" s="544"/>
      <c r="CK116" s="544"/>
      <c r="CL116" s="544"/>
      <c r="CM116" s="544"/>
      <c r="CN116" s="544"/>
      <c r="CO116" s="544"/>
      <c r="CP116" s="544"/>
      <c r="CQ116" s="544"/>
      <c r="CR116" s="544"/>
      <c r="CS116" s="544"/>
      <c r="CT116" s="544"/>
      <c r="CU116" s="544"/>
      <c r="CV116" s="544"/>
      <c r="CW116" s="544"/>
      <c r="CX116" s="544"/>
      <c r="CY116" s="544"/>
      <c r="CZ116" s="544"/>
      <c r="DA116" s="544"/>
      <c r="DB116" s="544"/>
      <c r="DC116" s="544"/>
      <c r="DD116" s="544"/>
      <c r="DE116" s="544"/>
      <c r="DF116" s="544"/>
      <c r="DG116" s="544"/>
      <c r="DH116" s="544"/>
      <c r="DI116" s="544"/>
      <c r="DJ116" s="544"/>
      <c r="DK116" s="544"/>
      <c r="DL116" s="544"/>
      <c r="DM116" s="544"/>
      <c r="DN116" s="544"/>
      <c r="DO116" s="544"/>
      <c r="DP116" s="544"/>
      <c r="DQ116" s="544"/>
      <c r="DR116" s="544"/>
      <c r="DS116" s="544"/>
      <c r="DT116" s="544"/>
      <c r="DU116" s="544"/>
      <c r="DV116" s="544"/>
      <c r="DW116" s="544"/>
      <c r="DX116" s="544"/>
      <c r="DY116" s="544"/>
      <c r="DZ116" s="544"/>
      <c r="EA116" s="544"/>
      <c r="EB116" s="544"/>
      <c r="EC116" s="544"/>
      <c r="ED116" s="544"/>
      <c r="EE116" s="544"/>
      <c r="EF116" s="544"/>
      <c r="EG116" s="544"/>
      <c r="EH116" s="544"/>
      <c r="EI116" s="544"/>
      <c r="EJ116" s="544"/>
      <c r="EK116" s="544"/>
      <c r="EL116" s="544"/>
      <c r="EM116" s="544"/>
      <c r="EN116" s="544"/>
      <c r="EO116" s="544"/>
      <c r="EP116" s="544"/>
      <c r="EQ116" s="544"/>
      <c r="ER116" s="544"/>
      <c r="ES116" s="544"/>
      <c r="ET116" s="544"/>
      <c r="EU116" s="544"/>
      <c r="EV116" s="544"/>
      <c r="EW116" s="544"/>
      <c r="EX116" s="544"/>
      <c r="EY116" s="544"/>
      <c r="EZ116" s="544"/>
      <c r="FA116" s="544"/>
      <c r="FB116" s="544"/>
      <c r="FC116" s="544"/>
      <c r="FD116" s="544"/>
      <c r="FE116" s="544"/>
      <c r="FF116" s="544"/>
      <c r="FG116" s="544"/>
      <c r="FH116" s="544"/>
      <c r="FI116" s="544"/>
      <c r="FJ116" s="544"/>
      <c r="FK116" s="544"/>
      <c r="FL116" s="544"/>
      <c r="FM116" s="544"/>
      <c r="FN116" s="544"/>
      <c r="FO116" s="544"/>
      <c r="FP116" s="544"/>
      <c r="FQ116" s="544"/>
      <c r="FR116" s="544"/>
      <c r="FS116" s="544"/>
      <c r="FT116" s="544"/>
      <c r="FU116" s="544"/>
      <c r="FV116" s="544"/>
      <c r="FW116" s="544"/>
      <c r="FX116" s="544"/>
      <c r="FY116" s="544"/>
      <c r="FZ116" s="544"/>
      <c r="GA116" s="544"/>
      <c r="GB116" s="544"/>
      <c r="GC116" s="544"/>
      <c r="GD116" s="544"/>
      <c r="GE116" s="544"/>
      <c r="GF116" s="544"/>
      <c r="GG116" s="544"/>
      <c r="GH116" s="544"/>
      <c r="GI116" s="544"/>
      <c r="GJ116" s="544"/>
      <c r="GK116" s="544"/>
      <c r="GL116" s="544"/>
      <c r="GM116" s="544"/>
      <c r="GN116" s="544"/>
      <c r="GO116" s="544"/>
      <c r="GP116" s="544"/>
      <c r="GQ116" s="544"/>
      <c r="GR116" s="544"/>
      <c r="GS116" s="544"/>
      <c r="GT116" s="544"/>
      <c r="GU116" s="544"/>
      <c r="GV116" s="544"/>
      <c r="GW116" s="544"/>
      <c r="GX116" s="544"/>
      <c r="GY116" s="544"/>
      <c r="GZ116" s="544"/>
      <c r="HA116" s="544"/>
      <c r="HB116" s="544"/>
      <c r="HC116" s="544"/>
      <c r="HD116" s="544"/>
      <c r="HE116" s="544"/>
      <c r="HF116" s="544"/>
      <c r="HG116" s="544"/>
      <c r="HH116" s="544"/>
      <c r="HI116" s="544"/>
      <c r="HJ116" s="544"/>
      <c r="HK116" s="544"/>
      <c r="HL116" s="544"/>
      <c r="HM116" s="544"/>
      <c r="HN116" s="544"/>
      <c r="HO116" s="544"/>
      <c r="HP116" s="544"/>
      <c r="HQ116" s="544"/>
      <c r="HR116" s="544"/>
      <c r="HS116" s="544"/>
      <c r="HT116" s="544"/>
      <c r="HU116" s="544"/>
      <c r="HV116" s="544"/>
      <c r="HW116" s="544"/>
      <c r="HX116" s="544"/>
      <c r="HY116" s="544"/>
      <c r="HZ116" s="544"/>
      <c r="IA116" s="544"/>
      <c r="IB116" s="544"/>
      <c r="IC116" s="544"/>
      <c r="ID116" s="544"/>
      <c r="IE116" s="544"/>
      <c r="IF116" s="544"/>
      <c r="IG116" s="544"/>
      <c r="IH116" s="544"/>
      <c r="II116" s="544"/>
      <c r="IJ116" s="544"/>
      <c r="IK116" s="544"/>
      <c r="IL116" s="544"/>
      <c r="IM116" s="544"/>
      <c r="IN116" s="544"/>
      <c r="IO116" s="544"/>
      <c r="IP116" s="544"/>
      <c r="IQ116" s="544"/>
      <c r="IR116" s="544"/>
      <c r="IS116" s="544"/>
    </row>
    <row r="117" spans="1:253" ht="31" x14ac:dyDescent="0.35">
      <c r="A117" s="544"/>
      <c r="B117" s="1090" t="s">
        <v>651</v>
      </c>
      <c r="C117" s="881"/>
      <c r="E117" s="907"/>
      <c r="F117" s="908"/>
      <c r="G117" s="909"/>
      <c r="H117" s="544"/>
      <c r="I117" s="544"/>
      <c r="J117" s="544"/>
      <c r="K117" s="544"/>
      <c r="AA117" s="1089" t="s">
        <v>601</v>
      </c>
      <c r="AY117" s="544"/>
      <c r="AZ117" s="544"/>
      <c r="BA117" s="544"/>
      <c r="BB117" s="544"/>
      <c r="BC117" s="544"/>
      <c r="BD117" s="544"/>
      <c r="BE117" s="544"/>
      <c r="BF117" s="544"/>
      <c r="BG117" s="544"/>
      <c r="BH117" s="544"/>
      <c r="BI117" s="544"/>
      <c r="BJ117" s="544"/>
      <c r="BK117" s="544"/>
      <c r="BL117" s="544"/>
      <c r="BM117" s="544"/>
      <c r="BN117" s="544"/>
      <c r="BO117" s="544"/>
      <c r="BP117" s="544"/>
      <c r="BQ117" s="544"/>
      <c r="BR117" s="544"/>
      <c r="BS117" s="544"/>
      <c r="BT117" s="544"/>
      <c r="BU117" s="544"/>
      <c r="BV117" s="544"/>
      <c r="BW117" s="544"/>
      <c r="BX117" s="544"/>
      <c r="BY117" s="544"/>
      <c r="BZ117" s="544"/>
      <c r="CA117" s="544"/>
      <c r="CB117" s="544"/>
      <c r="CC117" s="544"/>
      <c r="CD117" s="544"/>
      <c r="CE117" s="544"/>
      <c r="CF117" s="544"/>
      <c r="CG117" s="544"/>
      <c r="CH117" s="544"/>
      <c r="CI117" s="544"/>
      <c r="CJ117" s="544"/>
      <c r="CK117" s="544"/>
      <c r="CL117" s="544"/>
      <c r="CM117" s="544"/>
      <c r="CN117" s="544"/>
      <c r="CO117" s="544"/>
      <c r="CP117" s="544"/>
      <c r="CQ117" s="544"/>
      <c r="CR117" s="544"/>
      <c r="CS117" s="544"/>
      <c r="CT117" s="544"/>
      <c r="CU117" s="544"/>
      <c r="CV117" s="544"/>
      <c r="CW117" s="544"/>
      <c r="CX117" s="544"/>
      <c r="CY117" s="544"/>
      <c r="CZ117" s="544"/>
      <c r="DA117" s="544"/>
      <c r="DB117" s="544"/>
      <c r="DC117" s="544"/>
      <c r="DD117" s="544"/>
      <c r="DE117" s="544"/>
      <c r="DF117" s="544"/>
      <c r="DG117" s="544"/>
      <c r="DH117" s="544"/>
      <c r="DI117" s="544"/>
      <c r="DJ117" s="544"/>
      <c r="DK117" s="544"/>
      <c r="DL117" s="544"/>
      <c r="DM117" s="544"/>
      <c r="DN117" s="544"/>
      <c r="DO117" s="544"/>
      <c r="DP117" s="544"/>
      <c r="DQ117" s="544"/>
      <c r="DR117" s="544"/>
      <c r="DS117" s="544"/>
      <c r="DT117" s="544"/>
      <c r="DU117" s="544"/>
      <c r="DV117" s="544"/>
      <c r="DW117" s="544"/>
      <c r="DX117" s="544"/>
      <c r="DY117" s="544"/>
      <c r="DZ117" s="544"/>
      <c r="EA117" s="544"/>
      <c r="EB117" s="544"/>
      <c r="EC117" s="544"/>
      <c r="ED117" s="544"/>
      <c r="EE117" s="544"/>
      <c r="EF117" s="544"/>
      <c r="EG117" s="544"/>
      <c r="EH117" s="544"/>
      <c r="EI117" s="544"/>
      <c r="EJ117" s="544"/>
      <c r="EK117" s="544"/>
      <c r="EL117" s="544"/>
      <c r="EM117" s="544"/>
      <c r="EN117" s="544"/>
      <c r="EO117" s="544"/>
      <c r="EP117" s="544"/>
      <c r="EQ117" s="544"/>
      <c r="ER117" s="544"/>
      <c r="ES117" s="544"/>
      <c r="ET117" s="544"/>
      <c r="EU117" s="544"/>
      <c r="EV117" s="544"/>
      <c r="EW117" s="544"/>
      <c r="EX117" s="544"/>
      <c r="EY117" s="544"/>
      <c r="EZ117" s="544"/>
      <c r="FA117" s="544"/>
      <c r="FB117" s="544"/>
      <c r="FC117" s="544"/>
      <c r="FD117" s="544"/>
      <c r="FE117" s="544"/>
      <c r="FF117" s="544"/>
      <c r="FG117" s="544"/>
      <c r="FH117" s="544"/>
      <c r="FI117" s="544"/>
      <c r="FJ117" s="544"/>
      <c r="FK117" s="544"/>
      <c r="FL117" s="544"/>
      <c r="FM117" s="544"/>
      <c r="FN117" s="544"/>
      <c r="FO117" s="544"/>
      <c r="FP117" s="544"/>
      <c r="FQ117" s="544"/>
      <c r="FR117" s="544"/>
      <c r="FS117" s="544"/>
      <c r="FT117" s="544"/>
      <c r="FU117" s="544"/>
      <c r="FV117" s="544"/>
      <c r="FW117" s="544"/>
      <c r="FX117" s="544"/>
      <c r="FY117" s="544"/>
      <c r="FZ117" s="544"/>
      <c r="GA117" s="544"/>
      <c r="GB117" s="544"/>
      <c r="GC117" s="544"/>
      <c r="GD117" s="544"/>
      <c r="GE117" s="544"/>
      <c r="GF117" s="544"/>
      <c r="GG117" s="544"/>
      <c r="GH117" s="544"/>
      <c r="GI117" s="544"/>
      <c r="GJ117" s="544"/>
      <c r="GK117" s="544"/>
      <c r="GL117" s="544"/>
      <c r="GM117" s="544"/>
      <c r="GN117" s="544"/>
      <c r="GO117" s="544"/>
      <c r="GP117" s="544"/>
      <c r="GQ117" s="544"/>
      <c r="GR117" s="544"/>
      <c r="GS117" s="544"/>
      <c r="GT117" s="544"/>
      <c r="GU117" s="544"/>
      <c r="GV117" s="544"/>
      <c r="GW117" s="544"/>
      <c r="GX117" s="544"/>
      <c r="GY117" s="544"/>
      <c r="GZ117" s="544"/>
      <c r="HA117" s="544"/>
      <c r="HB117" s="544"/>
      <c r="HC117" s="544"/>
      <c r="HD117" s="544"/>
      <c r="HE117" s="544"/>
      <c r="HF117" s="544"/>
      <c r="HG117" s="544"/>
      <c r="HH117" s="544"/>
      <c r="HI117" s="544"/>
      <c r="HJ117" s="544"/>
      <c r="HK117" s="544"/>
      <c r="HL117" s="544"/>
      <c r="HM117" s="544"/>
      <c r="HN117" s="544"/>
      <c r="HO117" s="544"/>
      <c r="HP117" s="544"/>
      <c r="HQ117" s="544"/>
      <c r="HR117" s="544"/>
      <c r="HS117" s="544"/>
      <c r="HT117" s="544"/>
      <c r="HU117" s="544"/>
      <c r="HV117" s="544"/>
      <c r="HW117" s="544"/>
      <c r="HX117" s="544"/>
      <c r="HY117" s="544"/>
      <c r="HZ117" s="544"/>
      <c r="IA117" s="544"/>
      <c r="IB117" s="544"/>
      <c r="IC117" s="544"/>
      <c r="ID117" s="544"/>
      <c r="IE117" s="544"/>
      <c r="IF117" s="544"/>
      <c r="IG117" s="544"/>
      <c r="IH117" s="544"/>
      <c r="II117" s="544"/>
      <c r="IJ117" s="544"/>
      <c r="IK117" s="544"/>
      <c r="IL117" s="544"/>
      <c r="IM117" s="544"/>
      <c r="IN117" s="544"/>
      <c r="IO117" s="544"/>
      <c r="IP117" s="544"/>
      <c r="IQ117" s="544"/>
      <c r="IR117" s="544"/>
      <c r="IS117" s="544"/>
    </row>
    <row r="118" spans="1:253" ht="31" x14ac:dyDescent="0.35">
      <c r="A118" s="544"/>
      <c r="B118" s="1090" t="s">
        <v>652</v>
      </c>
      <c r="C118" s="881"/>
      <c r="E118" s="907"/>
      <c r="F118" s="908"/>
      <c r="G118" s="909"/>
      <c r="H118" s="544"/>
      <c r="I118" s="544"/>
      <c r="J118" s="544"/>
      <c r="K118" s="544"/>
      <c r="AA118" s="1089" t="s">
        <v>601</v>
      </c>
      <c r="AY118" s="544"/>
      <c r="AZ118" s="544"/>
      <c r="BA118" s="544"/>
      <c r="BB118" s="544"/>
      <c r="BC118" s="544"/>
      <c r="BD118" s="544"/>
      <c r="BE118" s="544"/>
      <c r="BF118" s="544"/>
      <c r="BG118" s="544"/>
      <c r="BH118" s="544"/>
      <c r="BI118" s="544"/>
      <c r="BJ118" s="544"/>
      <c r="BK118" s="544"/>
      <c r="BL118" s="544"/>
      <c r="BM118" s="544"/>
      <c r="BN118" s="544"/>
      <c r="BO118" s="544"/>
      <c r="BP118" s="544"/>
      <c r="BQ118" s="544"/>
      <c r="BR118" s="544"/>
      <c r="BS118" s="544"/>
      <c r="BT118" s="544"/>
      <c r="BU118" s="544"/>
      <c r="BV118" s="544"/>
      <c r="BW118" s="544"/>
      <c r="BX118" s="544"/>
      <c r="BY118" s="544"/>
      <c r="BZ118" s="544"/>
      <c r="CA118" s="544"/>
      <c r="CB118" s="544"/>
      <c r="CC118" s="544"/>
      <c r="CD118" s="544"/>
      <c r="CE118" s="544"/>
      <c r="CF118" s="544"/>
      <c r="CG118" s="544"/>
      <c r="CH118" s="544"/>
      <c r="CI118" s="544"/>
      <c r="CJ118" s="544"/>
      <c r="CK118" s="544"/>
      <c r="CL118" s="544"/>
      <c r="CM118" s="544"/>
      <c r="CN118" s="544"/>
      <c r="CO118" s="544"/>
      <c r="CP118" s="544"/>
      <c r="CQ118" s="544"/>
      <c r="CR118" s="544"/>
      <c r="CS118" s="544"/>
      <c r="CT118" s="544"/>
      <c r="CU118" s="544"/>
      <c r="CV118" s="544"/>
      <c r="CW118" s="544"/>
      <c r="CX118" s="544"/>
      <c r="CY118" s="544"/>
      <c r="CZ118" s="544"/>
      <c r="DA118" s="544"/>
      <c r="DB118" s="544"/>
      <c r="DC118" s="544"/>
      <c r="DD118" s="544"/>
      <c r="DE118" s="544"/>
      <c r="DF118" s="544"/>
      <c r="DG118" s="544"/>
      <c r="DH118" s="544"/>
      <c r="DI118" s="544"/>
      <c r="DJ118" s="544"/>
      <c r="DK118" s="544"/>
      <c r="DL118" s="544"/>
      <c r="DM118" s="544"/>
      <c r="DN118" s="544"/>
      <c r="DO118" s="544"/>
      <c r="DP118" s="544"/>
      <c r="DQ118" s="544"/>
      <c r="DR118" s="544"/>
      <c r="DS118" s="544"/>
      <c r="DT118" s="544"/>
      <c r="DU118" s="544"/>
      <c r="DV118" s="544"/>
      <c r="DW118" s="544"/>
      <c r="DX118" s="544"/>
      <c r="DY118" s="544"/>
      <c r="DZ118" s="544"/>
      <c r="EA118" s="544"/>
      <c r="EB118" s="544"/>
      <c r="EC118" s="544"/>
      <c r="ED118" s="544"/>
      <c r="EE118" s="544"/>
      <c r="EF118" s="544"/>
      <c r="EG118" s="544"/>
      <c r="EH118" s="544"/>
      <c r="EI118" s="544"/>
      <c r="EJ118" s="544"/>
      <c r="EK118" s="544"/>
      <c r="EL118" s="544"/>
      <c r="EM118" s="544"/>
      <c r="EN118" s="544"/>
      <c r="EO118" s="544"/>
      <c r="EP118" s="544"/>
      <c r="EQ118" s="544"/>
      <c r="ER118" s="544"/>
      <c r="ES118" s="544"/>
      <c r="ET118" s="544"/>
      <c r="EU118" s="544"/>
      <c r="EV118" s="544"/>
      <c r="EW118" s="544"/>
      <c r="EX118" s="544"/>
      <c r="EY118" s="544"/>
      <c r="EZ118" s="544"/>
      <c r="FA118" s="544"/>
      <c r="FB118" s="544"/>
      <c r="FC118" s="544"/>
      <c r="FD118" s="544"/>
      <c r="FE118" s="544"/>
      <c r="FF118" s="544"/>
      <c r="FG118" s="544"/>
      <c r="FH118" s="544"/>
      <c r="FI118" s="544"/>
      <c r="FJ118" s="544"/>
      <c r="FK118" s="544"/>
      <c r="FL118" s="544"/>
      <c r="FM118" s="544"/>
      <c r="FN118" s="544"/>
      <c r="FO118" s="544"/>
      <c r="FP118" s="544"/>
      <c r="FQ118" s="544"/>
      <c r="FR118" s="544"/>
      <c r="FS118" s="544"/>
      <c r="FT118" s="544"/>
      <c r="FU118" s="544"/>
      <c r="FV118" s="544"/>
      <c r="FW118" s="544"/>
      <c r="FX118" s="544"/>
      <c r="FY118" s="544"/>
      <c r="FZ118" s="544"/>
      <c r="GA118" s="544"/>
      <c r="GB118" s="544"/>
      <c r="GC118" s="544"/>
      <c r="GD118" s="544"/>
      <c r="GE118" s="544"/>
      <c r="GF118" s="544"/>
      <c r="GG118" s="544"/>
      <c r="GH118" s="544"/>
      <c r="GI118" s="544"/>
      <c r="GJ118" s="544"/>
      <c r="GK118" s="544"/>
      <c r="GL118" s="544"/>
      <c r="GM118" s="544"/>
      <c r="GN118" s="544"/>
      <c r="GO118" s="544"/>
      <c r="GP118" s="544"/>
      <c r="GQ118" s="544"/>
      <c r="GR118" s="544"/>
      <c r="GS118" s="544"/>
      <c r="GT118" s="544"/>
      <c r="GU118" s="544"/>
      <c r="GV118" s="544"/>
      <c r="GW118" s="544"/>
      <c r="GX118" s="544"/>
      <c r="GY118" s="544"/>
      <c r="GZ118" s="544"/>
      <c r="HA118" s="544"/>
      <c r="HB118" s="544"/>
      <c r="HC118" s="544"/>
      <c r="HD118" s="544"/>
      <c r="HE118" s="544"/>
      <c r="HF118" s="544"/>
      <c r="HG118" s="544"/>
      <c r="HH118" s="544"/>
      <c r="HI118" s="544"/>
      <c r="HJ118" s="544"/>
      <c r="HK118" s="544"/>
      <c r="HL118" s="544"/>
      <c r="HM118" s="544"/>
      <c r="HN118" s="544"/>
      <c r="HO118" s="544"/>
      <c r="HP118" s="544"/>
      <c r="HQ118" s="544"/>
      <c r="HR118" s="544"/>
      <c r="HS118" s="544"/>
      <c r="HT118" s="544"/>
      <c r="HU118" s="544"/>
      <c r="HV118" s="544"/>
      <c r="HW118" s="544"/>
      <c r="HX118" s="544"/>
      <c r="HY118" s="544"/>
      <c r="HZ118" s="544"/>
      <c r="IA118" s="544"/>
      <c r="IB118" s="544"/>
      <c r="IC118" s="544"/>
      <c r="ID118" s="544"/>
      <c r="IE118" s="544"/>
      <c r="IF118" s="544"/>
      <c r="IG118" s="544"/>
      <c r="IH118" s="544"/>
      <c r="II118" s="544"/>
      <c r="IJ118" s="544"/>
      <c r="IK118" s="544"/>
      <c r="IL118" s="544"/>
      <c r="IM118" s="544"/>
      <c r="IN118" s="544"/>
      <c r="IO118" s="544"/>
      <c r="IP118" s="544"/>
      <c r="IQ118" s="544"/>
      <c r="IR118" s="544"/>
      <c r="IS118" s="544"/>
    </row>
    <row r="119" spans="1:253" ht="31" x14ac:dyDescent="0.35">
      <c r="A119" s="544"/>
      <c r="B119" s="1090" t="s">
        <v>653</v>
      </c>
      <c r="C119" s="881"/>
      <c r="E119" s="907"/>
      <c r="F119" s="908"/>
      <c r="G119" s="909"/>
      <c r="H119" s="544"/>
      <c r="I119" s="544"/>
      <c r="J119" s="544"/>
      <c r="K119" s="544"/>
      <c r="AA119" s="1089" t="s">
        <v>601</v>
      </c>
      <c r="AY119" s="544"/>
      <c r="AZ119" s="544"/>
      <c r="BA119" s="544"/>
      <c r="BB119" s="544"/>
      <c r="BC119" s="544"/>
      <c r="BD119" s="544"/>
      <c r="BE119" s="544"/>
      <c r="BF119" s="544"/>
      <c r="BG119" s="544"/>
      <c r="BH119" s="544"/>
      <c r="BI119" s="544"/>
      <c r="BJ119" s="544"/>
      <c r="BK119" s="544"/>
      <c r="BL119" s="544"/>
      <c r="BM119" s="544"/>
      <c r="BN119" s="544"/>
      <c r="BO119" s="544"/>
      <c r="BP119" s="544"/>
      <c r="BQ119" s="544"/>
      <c r="BR119" s="544"/>
      <c r="BS119" s="544"/>
      <c r="BT119" s="544"/>
      <c r="BU119" s="544"/>
      <c r="BV119" s="544"/>
      <c r="BW119" s="544"/>
      <c r="BX119" s="544"/>
      <c r="BY119" s="544"/>
      <c r="BZ119" s="544"/>
      <c r="CA119" s="544"/>
      <c r="CB119" s="544"/>
      <c r="CC119" s="544"/>
      <c r="CD119" s="544"/>
      <c r="CE119" s="544"/>
      <c r="CF119" s="544"/>
      <c r="CG119" s="544"/>
      <c r="CH119" s="544"/>
      <c r="CI119" s="544"/>
      <c r="CJ119" s="544"/>
      <c r="CK119" s="544"/>
      <c r="CL119" s="544"/>
      <c r="CM119" s="544"/>
      <c r="CN119" s="544"/>
      <c r="CO119" s="544"/>
      <c r="CP119" s="544"/>
      <c r="CQ119" s="544"/>
      <c r="CR119" s="544"/>
      <c r="CS119" s="544"/>
      <c r="CT119" s="544"/>
      <c r="CU119" s="544"/>
      <c r="CV119" s="544"/>
      <c r="CW119" s="544"/>
      <c r="CX119" s="544"/>
      <c r="CY119" s="544"/>
      <c r="CZ119" s="544"/>
      <c r="DA119" s="544"/>
      <c r="DB119" s="544"/>
      <c r="DC119" s="544"/>
      <c r="DD119" s="544"/>
      <c r="DE119" s="544"/>
      <c r="DF119" s="544"/>
      <c r="DG119" s="544"/>
      <c r="DH119" s="544"/>
      <c r="DI119" s="544"/>
      <c r="DJ119" s="544"/>
      <c r="DK119" s="544"/>
      <c r="DL119" s="544"/>
      <c r="DM119" s="544"/>
      <c r="DN119" s="544"/>
      <c r="DO119" s="544"/>
      <c r="DP119" s="544"/>
      <c r="DQ119" s="544"/>
      <c r="DR119" s="544"/>
      <c r="DS119" s="544"/>
      <c r="DT119" s="544"/>
      <c r="DU119" s="544"/>
      <c r="DV119" s="544"/>
      <c r="DW119" s="544"/>
      <c r="DX119" s="544"/>
      <c r="DY119" s="544"/>
      <c r="DZ119" s="544"/>
      <c r="EA119" s="544"/>
      <c r="EB119" s="544"/>
      <c r="EC119" s="544"/>
      <c r="ED119" s="544"/>
      <c r="EE119" s="544"/>
      <c r="EF119" s="544"/>
      <c r="EG119" s="544"/>
      <c r="EH119" s="544"/>
      <c r="EI119" s="544"/>
      <c r="EJ119" s="544"/>
      <c r="EK119" s="544"/>
      <c r="EL119" s="544"/>
      <c r="EM119" s="544"/>
      <c r="EN119" s="544"/>
      <c r="EO119" s="544"/>
      <c r="EP119" s="544"/>
      <c r="EQ119" s="544"/>
      <c r="ER119" s="544"/>
      <c r="ES119" s="544"/>
      <c r="ET119" s="544"/>
      <c r="EU119" s="544"/>
      <c r="EV119" s="544"/>
      <c r="EW119" s="544"/>
      <c r="EX119" s="544"/>
      <c r="EY119" s="544"/>
      <c r="EZ119" s="544"/>
      <c r="FA119" s="544"/>
      <c r="FB119" s="544"/>
      <c r="FC119" s="544"/>
      <c r="FD119" s="544"/>
      <c r="FE119" s="544"/>
      <c r="FF119" s="544"/>
      <c r="FG119" s="544"/>
      <c r="FH119" s="544"/>
      <c r="FI119" s="544"/>
      <c r="FJ119" s="544"/>
      <c r="FK119" s="544"/>
      <c r="FL119" s="544"/>
      <c r="FM119" s="544"/>
      <c r="FN119" s="544"/>
      <c r="FO119" s="544"/>
      <c r="FP119" s="544"/>
      <c r="FQ119" s="544"/>
      <c r="FR119" s="544"/>
      <c r="FS119" s="544"/>
      <c r="FT119" s="544"/>
      <c r="FU119" s="544"/>
      <c r="FV119" s="544"/>
      <c r="FW119" s="544"/>
      <c r="FX119" s="544"/>
      <c r="FY119" s="544"/>
      <c r="FZ119" s="544"/>
      <c r="GA119" s="544"/>
      <c r="GB119" s="544"/>
      <c r="GC119" s="544"/>
      <c r="GD119" s="544"/>
      <c r="GE119" s="544"/>
      <c r="GF119" s="544"/>
      <c r="GG119" s="544"/>
      <c r="GH119" s="544"/>
      <c r="GI119" s="544"/>
      <c r="GJ119" s="544"/>
      <c r="GK119" s="544"/>
      <c r="GL119" s="544"/>
      <c r="GM119" s="544"/>
      <c r="GN119" s="544"/>
      <c r="GO119" s="544"/>
      <c r="GP119" s="544"/>
      <c r="GQ119" s="544"/>
      <c r="GR119" s="544"/>
      <c r="GS119" s="544"/>
      <c r="GT119" s="544"/>
      <c r="GU119" s="544"/>
      <c r="GV119" s="544"/>
      <c r="GW119" s="544"/>
      <c r="GX119" s="544"/>
      <c r="GY119" s="544"/>
      <c r="GZ119" s="544"/>
      <c r="HA119" s="544"/>
      <c r="HB119" s="544"/>
      <c r="HC119" s="544"/>
      <c r="HD119" s="544"/>
      <c r="HE119" s="544"/>
      <c r="HF119" s="544"/>
      <c r="HG119" s="544"/>
      <c r="HH119" s="544"/>
      <c r="HI119" s="544"/>
      <c r="HJ119" s="544"/>
      <c r="HK119" s="544"/>
      <c r="HL119" s="544"/>
      <c r="HM119" s="544"/>
      <c r="HN119" s="544"/>
      <c r="HO119" s="544"/>
      <c r="HP119" s="544"/>
      <c r="HQ119" s="544"/>
      <c r="HR119" s="544"/>
      <c r="HS119" s="544"/>
      <c r="HT119" s="544"/>
      <c r="HU119" s="544"/>
      <c r="HV119" s="544"/>
      <c r="HW119" s="544"/>
      <c r="HX119" s="544"/>
      <c r="HY119" s="544"/>
      <c r="HZ119" s="544"/>
      <c r="IA119" s="544"/>
      <c r="IB119" s="544"/>
      <c r="IC119" s="544"/>
      <c r="ID119" s="544"/>
      <c r="IE119" s="544"/>
      <c r="IF119" s="544"/>
      <c r="IG119" s="544"/>
      <c r="IH119" s="544"/>
      <c r="II119" s="544"/>
      <c r="IJ119" s="544"/>
      <c r="IK119" s="544"/>
      <c r="IL119" s="544"/>
      <c r="IM119" s="544"/>
      <c r="IN119" s="544"/>
      <c r="IO119" s="544"/>
      <c r="IP119" s="544"/>
      <c r="IQ119" s="544"/>
      <c r="IR119" s="544"/>
      <c r="IS119" s="544"/>
    </row>
    <row r="120" spans="1:253" ht="31" x14ac:dyDescent="0.35">
      <c r="A120" s="544"/>
      <c r="B120" s="1090" t="s">
        <v>654</v>
      </c>
      <c r="C120" s="881"/>
      <c r="E120" s="907"/>
      <c r="F120" s="908"/>
      <c r="G120" s="909"/>
      <c r="H120" s="544"/>
      <c r="I120" s="544"/>
      <c r="J120" s="544"/>
      <c r="K120" s="544"/>
      <c r="AA120" s="1089" t="s">
        <v>601</v>
      </c>
      <c r="AY120" s="544"/>
      <c r="AZ120" s="544"/>
      <c r="BA120" s="544"/>
      <c r="BB120" s="544"/>
      <c r="BC120" s="544"/>
      <c r="BD120" s="544"/>
      <c r="BE120" s="544"/>
      <c r="BF120" s="544"/>
      <c r="BG120" s="544"/>
      <c r="BH120" s="544"/>
      <c r="BI120" s="544"/>
      <c r="BJ120" s="544"/>
      <c r="BK120" s="544"/>
      <c r="BL120" s="544"/>
      <c r="BM120" s="544"/>
      <c r="BN120" s="544"/>
      <c r="BO120" s="544"/>
      <c r="BP120" s="544"/>
      <c r="BQ120" s="544"/>
      <c r="BR120" s="544"/>
      <c r="BS120" s="544"/>
      <c r="BT120" s="544"/>
      <c r="BU120" s="544"/>
      <c r="BV120" s="544"/>
      <c r="BW120" s="544"/>
      <c r="BX120" s="544"/>
      <c r="BY120" s="544"/>
      <c r="BZ120" s="544"/>
      <c r="CA120" s="544"/>
      <c r="CB120" s="544"/>
      <c r="CC120" s="544"/>
      <c r="CD120" s="544"/>
      <c r="CE120" s="544"/>
      <c r="CF120" s="544"/>
      <c r="CG120" s="544"/>
      <c r="CH120" s="544"/>
      <c r="CI120" s="544"/>
      <c r="CJ120" s="544"/>
      <c r="CK120" s="544"/>
      <c r="CL120" s="544"/>
      <c r="CM120" s="544"/>
      <c r="CN120" s="544"/>
      <c r="CO120" s="544"/>
      <c r="CP120" s="544"/>
      <c r="CQ120" s="544"/>
      <c r="CR120" s="544"/>
      <c r="CS120" s="544"/>
      <c r="CT120" s="544"/>
      <c r="CU120" s="544"/>
      <c r="CV120" s="544"/>
      <c r="CW120" s="544"/>
      <c r="CX120" s="544"/>
      <c r="CY120" s="544"/>
      <c r="CZ120" s="544"/>
      <c r="DA120" s="544"/>
      <c r="DB120" s="544"/>
      <c r="DC120" s="544"/>
      <c r="DD120" s="544"/>
      <c r="DE120" s="544"/>
      <c r="DF120" s="544"/>
      <c r="DG120" s="544"/>
      <c r="DH120" s="544"/>
      <c r="DI120" s="544"/>
      <c r="DJ120" s="544"/>
      <c r="DK120" s="544"/>
      <c r="DL120" s="544"/>
      <c r="DM120" s="544"/>
      <c r="DN120" s="544"/>
      <c r="DO120" s="544"/>
      <c r="DP120" s="544"/>
      <c r="DQ120" s="544"/>
      <c r="DR120" s="544"/>
      <c r="DS120" s="544"/>
      <c r="DT120" s="544"/>
      <c r="DU120" s="544"/>
      <c r="DV120" s="544"/>
      <c r="DW120" s="544"/>
      <c r="DX120" s="544"/>
      <c r="DY120" s="544"/>
      <c r="DZ120" s="544"/>
      <c r="EA120" s="544"/>
      <c r="EB120" s="544"/>
      <c r="EC120" s="544"/>
      <c r="ED120" s="544"/>
      <c r="EE120" s="544"/>
      <c r="EF120" s="544"/>
      <c r="EG120" s="544"/>
      <c r="EH120" s="544"/>
      <c r="EI120" s="544"/>
      <c r="EJ120" s="544"/>
      <c r="EK120" s="544"/>
      <c r="EL120" s="544"/>
      <c r="EM120" s="544"/>
      <c r="EN120" s="544"/>
      <c r="EO120" s="544"/>
      <c r="EP120" s="544"/>
      <c r="EQ120" s="544"/>
      <c r="ER120" s="544"/>
      <c r="ES120" s="544"/>
      <c r="ET120" s="544"/>
      <c r="EU120" s="544"/>
      <c r="EV120" s="544"/>
      <c r="EW120" s="544"/>
      <c r="EX120" s="544"/>
      <c r="EY120" s="544"/>
      <c r="EZ120" s="544"/>
      <c r="FA120" s="544"/>
      <c r="FB120" s="544"/>
      <c r="FC120" s="544"/>
      <c r="FD120" s="544"/>
      <c r="FE120" s="544"/>
      <c r="FF120" s="544"/>
      <c r="FG120" s="544"/>
      <c r="FH120" s="544"/>
      <c r="FI120" s="544"/>
      <c r="FJ120" s="544"/>
      <c r="FK120" s="544"/>
      <c r="FL120" s="544"/>
      <c r="FM120" s="544"/>
      <c r="FN120" s="544"/>
      <c r="FO120" s="544"/>
      <c r="FP120" s="544"/>
      <c r="FQ120" s="544"/>
      <c r="FR120" s="544"/>
      <c r="FS120" s="544"/>
      <c r="FT120" s="544"/>
      <c r="FU120" s="544"/>
      <c r="FV120" s="544"/>
      <c r="FW120" s="544"/>
      <c r="FX120" s="544"/>
      <c r="FY120" s="544"/>
      <c r="FZ120" s="544"/>
      <c r="GA120" s="544"/>
      <c r="GB120" s="544"/>
      <c r="GC120" s="544"/>
      <c r="GD120" s="544"/>
      <c r="GE120" s="544"/>
      <c r="GF120" s="544"/>
      <c r="GG120" s="544"/>
      <c r="GH120" s="544"/>
      <c r="GI120" s="544"/>
      <c r="GJ120" s="544"/>
      <c r="GK120" s="544"/>
      <c r="GL120" s="544"/>
      <c r="GM120" s="544"/>
      <c r="GN120" s="544"/>
      <c r="GO120" s="544"/>
      <c r="GP120" s="544"/>
      <c r="GQ120" s="544"/>
      <c r="GR120" s="544"/>
      <c r="GS120" s="544"/>
      <c r="GT120" s="544"/>
      <c r="GU120" s="544"/>
      <c r="GV120" s="544"/>
      <c r="GW120" s="544"/>
      <c r="GX120" s="544"/>
      <c r="GY120" s="544"/>
      <c r="GZ120" s="544"/>
      <c r="HA120" s="544"/>
      <c r="HB120" s="544"/>
      <c r="HC120" s="544"/>
      <c r="HD120" s="544"/>
      <c r="HE120" s="544"/>
      <c r="HF120" s="544"/>
      <c r="HG120" s="544"/>
      <c r="HH120" s="544"/>
      <c r="HI120" s="544"/>
      <c r="HJ120" s="544"/>
      <c r="HK120" s="544"/>
      <c r="HL120" s="544"/>
      <c r="HM120" s="544"/>
      <c r="HN120" s="544"/>
      <c r="HO120" s="544"/>
      <c r="HP120" s="544"/>
      <c r="HQ120" s="544"/>
      <c r="HR120" s="544"/>
      <c r="HS120" s="544"/>
      <c r="HT120" s="544"/>
      <c r="HU120" s="544"/>
      <c r="HV120" s="544"/>
      <c r="HW120" s="544"/>
      <c r="HX120" s="544"/>
      <c r="HY120" s="544"/>
      <c r="HZ120" s="544"/>
      <c r="IA120" s="544"/>
      <c r="IB120" s="544"/>
      <c r="IC120" s="544"/>
      <c r="ID120" s="544"/>
      <c r="IE120" s="544"/>
      <c r="IF120" s="544"/>
      <c r="IG120" s="544"/>
      <c r="IH120" s="544"/>
      <c r="II120" s="544"/>
      <c r="IJ120" s="544"/>
      <c r="IK120" s="544"/>
      <c r="IL120" s="544"/>
      <c r="IM120" s="544"/>
      <c r="IN120" s="544"/>
      <c r="IO120" s="544"/>
      <c r="IP120" s="544"/>
      <c r="IQ120" s="544"/>
      <c r="IR120" s="544"/>
      <c r="IS120" s="544"/>
    </row>
    <row r="121" spans="1:253" s="544" customFormat="1" ht="17.149999999999999" customHeight="1" x14ac:dyDescent="0.35">
      <c r="B121" s="1091"/>
      <c r="C121" s="679"/>
    </row>
    <row r="122" spans="1:253" s="544" customFormat="1" ht="17.149999999999999" customHeight="1" x14ac:dyDescent="0.35">
      <c r="B122" s="1091"/>
      <c r="C122" s="679"/>
    </row>
    <row r="123" spans="1:253" s="544" customFormat="1" ht="17.149999999999999" customHeight="1" x14ac:dyDescent="0.35">
      <c r="B123" s="592" t="s">
        <v>668</v>
      </c>
      <c r="C123" s="679"/>
    </row>
    <row r="124" spans="1:253" ht="28" customHeight="1" x14ac:dyDescent="0.35">
      <c r="A124" s="544"/>
      <c r="B124" s="1484" t="s">
        <v>594</v>
      </c>
      <c r="C124" s="684" t="s">
        <v>374</v>
      </c>
      <c r="E124" s="667" t="s">
        <v>521</v>
      </c>
      <c r="F124" s="1480"/>
      <c r="G124" s="1481"/>
      <c r="H124" s="1474" t="s">
        <v>656</v>
      </c>
      <c r="I124" s="1474" t="s">
        <v>645</v>
      </c>
      <c r="J124" s="544"/>
      <c r="K124" s="544"/>
      <c r="AY124" s="544"/>
      <c r="AZ124" s="544"/>
      <c r="BA124" s="544"/>
      <c r="BB124" s="544"/>
      <c r="BC124" s="544"/>
      <c r="BD124" s="544"/>
      <c r="BE124" s="544"/>
      <c r="BF124" s="544"/>
      <c r="BG124" s="544"/>
      <c r="BH124" s="544"/>
      <c r="BI124" s="544"/>
      <c r="BJ124" s="544"/>
      <c r="BK124" s="544"/>
      <c r="BL124" s="544"/>
      <c r="BM124" s="544"/>
      <c r="BN124" s="544"/>
      <c r="BO124" s="544"/>
      <c r="BP124" s="544"/>
      <c r="BQ124" s="544"/>
      <c r="BR124" s="544"/>
      <c r="BS124" s="544"/>
      <c r="BT124" s="544"/>
      <c r="BU124" s="544"/>
      <c r="BV124" s="544"/>
      <c r="BW124" s="544"/>
      <c r="BX124" s="544"/>
      <c r="BY124" s="544"/>
      <c r="BZ124" s="544"/>
      <c r="CA124" s="544"/>
      <c r="CB124" s="544"/>
      <c r="CC124" s="544"/>
      <c r="CD124" s="544"/>
      <c r="CE124" s="544"/>
      <c r="CF124" s="544"/>
      <c r="CG124" s="544"/>
      <c r="CH124" s="544"/>
      <c r="CI124" s="544"/>
      <c r="CJ124" s="544"/>
      <c r="CK124" s="544"/>
      <c r="CL124" s="544"/>
      <c r="CM124" s="544"/>
      <c r="CN124" s="544"/>
      <c r="CO124" s="544"/>
      <c r="CP124" s="544"/>
      <c r="CQ124" s="544"/>
      <c r="CR124" s="544"/>
      <c r="CS124" s="544"/>
      <c r="CT124" s="544"/>
      <c r="CU124" s="544"/>
      <c r="CV124" s="544"/>
      <c r="CW124" s="544"/>
      <c r="CX124" s="544"/>
      <c r="CY124" s="544"/>
      <c r="CZ124" s="544"/>
      <c r="DA124" s="544"/>
      <c r="DB124" s="544"/>
      <c r="DC124" s="544"/>
      <c r="DD124" s="544"/>
      <c r="DE124" s="544"/>
      <c r="DF124" s="544"/>
      <c r="DG124" s="544"/>
      <c r="DH124" s="544"/>
      <c r="DI124" s="544"/>
      <c r="DJ124" s="544"/>
      <c r="DK124" s="544"/>
      <c r="DL124" s="544"/>
      <c r="DM124" s="544"/>
      <c r="DN124" s="544"/>
      <c r="DO124" s="544"/>
      <c r="DP124" s="544"/>
      <c r="DQ124" s="544"/>
      <c r="DR124" s="544"/>
      <c r="DS124" s="544"/>
      <c r="DT124" s="544"/>
      <c r="DU124" s="544"/>
      <c r="DV124" s="544"/>
      <c r="DW124" s="544"/>
      <c r="DX124" s="544"/>
      <c r="DY124" s="544"/>
      <c r="DZ124" s="544"/>
      <c r="EA124" s="544"/>
      <c r="EB124" s="544"/>
      <c r="EC124" s="544"/>
      <c r="ED124" s="544"/>
      <c r="EE124" s="544"/>
      <c r="EF124" s="544"/>
      <c r="EG124" s="544"/>
      <c r="EH124" s="544"/>
      <c r="EI124" s="544"/>
      <c r="EJ124" s="544"/>
      <c r="EK124" s="544"/>
      <c r="EL124" s="544"/>
      <c r="EM124" s="544"/>
      <c r="EN124" s="544"/>
      <c r="EO124" s="544"/>
      <c r="EP124" s="544"/>
      <c r="EQ124" s="544"/>
      <c r="ER124" s="544"/>
      <c r="ES124" s="544"/>
      <c r="ET124" s="544"/>
      <c r="EU124" s="544"/>
      <c r="EV124" s="544"/>
      <c r="EW124" s="544"/>
      <c r="EX124" s="544"/>
      <c r="EY124" s="544"/>
      <c r="EZ124" s="544"/>
      <c r="FA124" s="544"/>
      <c r="FB124" s="544"/>
      <c r="FC124" s="544"/>
      <c r="FD124" s="544"/>
      <c r="FE124" s="544"/>
      <c r="FF124" s="544"/>
      <c r="FG124" s="544"/>
      <c r="FH124" s="544"/>
      <c r="FI124" s="544"/>
      <c r="FJ124" s="544"/>
      <c r="FK124" s="544"/>
      <c r="FL124" s="544"/>
      <c r="FM124" s="544"/>
      <c r="FN124" s="544"/>
      <c r="FO124" s="544"/>
      <c r="FP124" s="544"/>
      <c r="FQ124" s="544"/>
      <c r="FR124" s="544"/>
      <c r="FS124" s="544"/>
      <c r="FT124" s="544"/>
      <c r="FU124" s="544"/>
      <c r="FV124" s="544"/>
      <c r="FW124" s="544"/>
      <c r="FX124" s="544"/>
      <c r="FY124" s="544"/>
      <c r="FZ124" s="544"/>
      <c r="GA124" s="544"/>
      <c r="GB124" s="544"/>
      <c r="GC124" s="544"/>
      <c r="GD124" s="544"/>
      <c r="GE124" s="544"/>
      <c r="GF124" s="544"/>
      <c r="GG124" s="544"/>
      <c r="GH124" s="544"/>
      <c r="GI124" s="544"/>
      <c r="GJ124" s="544"/>
      <c r="GK124" s="544"/>
      <c r="GL124" s="544"/>
      <c r="GM124" s="544"/>
      <c r="GN124" s="544"/>
      <c r="GO124" s="544"/>
      <c r="GP124" s="544"/>
      <c r="GQ124" s="544"/>
      <c r="GR124" s="544"/>
      <c r="GS124" s="544"/>
      <c r="GT124" s="544"/>
      <c r="GU124" s="544"/>
      <c r="GV124" s="544"/>
      <c r="GW124" s="544"/>
      <c r="GX124" s="544"/>
      <c r="GY124" s="544"/>
      <c r="GZ124" s="544"/>
      <c r="HA124" s="544"/>
      <c r="HB124" s="544"/>
      <c r="HC124" s="544"/>
      <c r="HD124" s="544"/>
      <c r="HE124" s="544"/>
      <c r="HF124" s="544"/>
      <c r="HG124" s="544"/>
      <c r="HH124" s="544"/>
      <c r="HI124" s="544"/>
      <c r="HJ124" s="544"/>
      <c r="HK124" s="544"/>
      <c r="HL124" s="544"/>
      <c r="HM124" s="544"/>
      <c r="HN124" s="544"/>
      <c r="HO124" s="544"/>
      <c r="HP124" s="544"/>
      <c r="HQ124" s="544"/>
      <c r="HR124" s="544"/>
      <c r="HS124" s="544"/>
      <c r="HT124" s="544"/>
      <c r="HU124" s="544"/>
      <c r="HV124" s="544"/>
      <c r="HW124" s="544"/>
      <c r="HX124" s="544"/>
      <c r="HY124" s="544"/>
      <c r="HZ124" s="544"/>
      <c r="IA124" s="544"/>
      <c r="IB124" s="544"/>
      <c r="IC124" s="544"/>
      <c r="ID124" s="544"/>
      <c r="IE124" s="544"/>
      <c r="IF124" s="544"/>
      <c r="IG124" s="544"/>
      <c r="IH124" s="544"/>
      <c r="II124" s="544"/>
      <c r="IJ124" s="544"/>
      <c r="IK124" s="544"/>
      <c r="IL124" s="544"/>
      <c r="IM124" s="544"/>
      <c r="IN124" s="544"/>
      <c r="IO124" s="544"/>
      <c r="IP124" s="544"/>
      <c r="IQ124" s="544"/>
      <c r="IR124" s="544"/>
      <c r="IS124" s="544"/>
    </row>
    <row r="125" spans="1:253" ht="28" customHeight="1" x14ac:dyDescent="0.35">
      <c r="A125" s="544"/>
      <c r="B125" s="600" t="s">
        <v>646</v>
      </c>
      <c r="C125" s="881">
        <v>1</v>
      </c>
      <c r="E125" s="544"/>
      <c r="F125" s="544"/>
      <c r="G125" s="544"/>
      <c r="H125" s="544"/>
      <c r="I125" s="544"/>
      <c r="J125" s="544"/>
      <c r="K125" s="544"/>
      <c r="AY125" s="544"/>
      <c r="AZ125" s="544"/>
      <c r="BA125" s="544"/>
      <c r="BB125" s="544"/>
      <c r="BC125" s="544"/>
      <c r="BD125" s="544"/>
      <c r="BE125" s="544"/>
      <c r="BF125" s="544"/>
      <c r="BG125" s="544"/>
      <c r="BH125" s="544"/>
      <c r="BI125" s="544"/>
      <c r="BJ125" s="544"/>
      <c r="BK125" s="544"/>
      <c r="BL125" s="544"/>
      <c r="BM125" s="544"/>
      <c r="BN125" s="544"/>
      <c r="BO125" s="544"/>
      <c r="BP125" s="544"/>
      <c r="BQ125" s="544"/>
      <c r="BR125" s="544"/>
      <c r="BS125" s="544"/>
      <c r="BT125" s="544"/>
      <c r="BU125" s="544"/>
      <c r="BV125" s="544"/>
      <c r="BW125" s="544"/>
      <c r="BX125" s="544"/>
      <c r="BY125" s="544"/>
      <c r="BZ125" s="544"/>
      <c r="CA125" s="544"/>
      <c r="CB125" s="544"/>
      <c r="CC125" s="544"/>
      <c r="CD125" s="544"/>
      <c r="CE125" s="544"/>
      <c r="CF125" s="544"/>
      <c r="CG125" s="544"/>
      <c r="CH125" s="544"/>
      <c r="CI125" s="544"/>
      <c r="CJ125" s="544"/>
      <c r="CK125" s="544"/>
      <c r="CL125" s="544"/>
      <c r="CM125" s="544"/>
      <c r="CN125" s="544"/>
      <c r="CO125" s="544"/>
      <c r="CP125" s="544"/>
      <c r="CQ125" s="544"/>
      <c r="CR125" s="544"/>
      <c r="CS125" s="544"/>
      <c r="CT125" s="544"/>
      <c r="CU125" s="544"/>
      <c r="CV125" s="544"/>
      <c r="CW125" s="544"/>
      <c r="CX125" s="544"/>
      <c r="CY125" s="544"/>
      <c r="CZ125" s="544"/>
      <c r="DA125" s="544"/>
      <c r="DB125" s="544"/>
      <c r="DC125" s="544"/>
      <c r="DD125" s="544"/>
      <c r="DE125" s="544"/>
      <c r="DF125" s="544"/>
      <c r="DG125" s="544"/>
      <c r="DH125" s="544"/>
      <c r="DI125" s="544"/>
      <c r="DJ125" s="544"/>
      <c r="DK125" s="544"/>
      <c r="DL125" s="544"/>
      <c r="DM125" s="544"/>
      <c r="DN125" s="544"/>
      <c r="DO125" s="544"/>
      <c r="DP125" s="544"/>
      <c r="DQ125" s="544"/>
      <c r="DR125" s="544"/>
      <c r="DS125" s="544"/>
      <c r="DT125" s="544"/>
      <c r="DU125" s="544"/>
      <c r="DV125" s="544"/>
      <c r="DW125" s="544"/>
      <c r="DX125" s="544"/>
      <c r="DY125" s="544"/>
      <c r="DZ125" s="544"/>
      <c r="EA125" s="544"/>
      <c r="EB125" s="544"/>
      <c r="EC125" s="544"/>
      <c r="ED125" s="544"/>
      <c r="EE125" s="544"/>
      <c r="EF125" s="544"/>
      <c r="EG125" s="544"/>
      <c r="EH125" s="544"/>
      <c r="EI125" s="544"/>
      <c r="EJ125" s="544"/>
      <c r="EK125" s="544"/>
      <c r="EL125" s="544"/>
      <c r="EM125" s="544"/>
      <c r="EN125" s="544"/>
      <c r="EO125" s="544"/>
      <c r="EP125" s="544"/>
      <c r="EQ125" s="544"/>
      <c r="ER125" s="544"/>
      <c r="ES125" s="544"/>
      <c r="ET125" s="544"/>
      <c r="EU125" s="544"/>
      <c r="EV125" s="544"/>
      <c r="EW125" s="544"/>
      <c r="EX125" s="544"/>
      <c r="EY125" s="544"/>
      <c r="EZ125" s="544"/>
      <c r="FA125" s="544"/>
      <c r="FB125" s="544"/>
      <c r="FC125" s="544"/>
      <c r="FD125" s="544"/>
      <c r="FE125" s="544"/>
      <c r="FF125" s="544"/>
      <c r="FG125" s="544"/>
      <c r="FH125" s="544"/>
      <c r="FI125" s="544"/>
      <c r="FJ125" s="544"/>
      <c r="FK125" s="544"/>
      <c r="FL125" s="544"/>
      <c r="FM125" s="544"/>
      <c r="FN125" s="544"/>
      <c r="FO125" s="544"/>
      <c r="FP125" s="544"/>
      <c r="FQ125" s="544"/>
      <c r="FR125" s="544"/>
      <c r="FS125" s="544"/>
      <c r="FT125" s="544"/>
      <c r="FU125" s="544"/>
      <c r="FV125" s="544"/>
      <c r="FW125" s="544"/>
      <c r="FX125" s="544"/>
      <c r="FY125" s="544"/>
      <c r="FZ125" s="544"/>
      <c r="GA125" s="544"/>
      <c r="GB125" s="544"/>
      <c r="GC125" s="544"/>
      <c r="GD125" s="544"/>
      <c r="GE125" s="544"/>
      <c r="GF125" s="544"/>
      <c r="GG125" s="544"/>
      <c r="GH125" s="544"/>
      <c r="GI125" s="544"/>
      <c r="GJ125" s="544"/>
      <c r="GK125" s="544"/>
      <c r="GL125" s="544"/>
      <c r="GM125" s="544"/>
      <c r="GN125" s="544"/>
      <c r="GO125" s="544"/>
      <c r="GP125" s="544"/>
      <c r="GQ125" s="544"/>
      <c r="GR125" s="544"/>
      <c r="GS125" s="544"/>
      <c r="GT125" s="544"/>
      <c r="GU125" s="544"/>
      <c r="GV125" s="544"/>
      <c r="GW125" s="544"/>
      <c r="GX125" s="544"/>
      <c r="GY125" s="544"/>
      <c r="GZ125" s="544"/>
      <c r="HA125" s="544"/>
      <c r="HB125" s="544"/>
      <c r="HC125" s="544"/>
      <c r="HD125" s="544"/>
      <c r="HE125" s="544"/>
      <c r="HF125" s="544"/>
      <c r="HG125" s="544"/>
      <c r="HH125" s="544"/>
      <c r="HI125" s="544"/>
      <c r="HJ125" s="544"/>
      <c r="HK125" s="544"/>
      <c r="HL125" s="544"/>
      <c r="HM125" s="544"/>
      <c r="HN125" s="544"/>
      <c r="HO125" s="544"/>
      <c r="HP125" s="544"/>
      <c r="HQ125" s="544"/>
      <c r="HR125" s="544"/>
      <c r="HS125" s="544"/>
      <c r="HT125" s="544"/>
      <c r="HU125" s="544"/>
      <c r="HV125" s="544"/>
      <c r="HW125" s="544"/>
      <c r="HX125" s="544"/>
      <c r="HY125" s="544"/>
      <c r="HZ125" s="544"/>
      <c r="IA125" s="544"/>
      <c r="IB125" s="544"/>
      <c r="IC125" s="544"/>
      <c r="ID125" s="544"/>
      <c r="IE125" s="544"/>
      <c r="IF125" s="544"/>
      <c r="IG125" s="544"/>
      <c r="IH125" s="544"/>
      <c r="II125" s="544"/>
      <c r="IJ125" s="544"/>
      <c r="IK125" s="544"/>
      <c r="IL125" s="544"/>
      <c r="IM125" s="544"/>
      <c r="IN125" s="544"/>
      <c r="IO125" s="544"/>
      <c r="IP125" s="544"/>
      <c r="IQ125" s="544"/>
      <c r="IR125" s="544"/>
      <c r="IS125" s="544"/>
    </row>
    <row r="126" spans="1:253" ht="31" x14ac:dyDescent="0.35">
      <c r="A126" s="544"/>
      <c r="B126" s="1090" t="s">
        <v>661</v>
      </c>
      <c r="C126" s="881"/>
      <c r="E126" s="907"/>
      <c r="F126" s="908"/>
      <c r="G126" s="909"/>
      <c r="H126" s="913"/>
      <c r="I126" s="913"/>
      <c r="J126" s="917" t="s">
        <v>648</v>
      </c>
      <c r="K126" s="544"/>
      <c r="AA126" s="1089" t="s">
        <v>601</v>
      </c>
      <c r="AY126" s="544"/>
      <c r="AZ126" s="544"/>
      <c r="BA126" s="544"/>
      <c r="BB126" s="544"/>
      <c r="BC126" s="544"/>
      <c r="BD126" s="544"/>
      <c r="BE126" s="544"/>
      <c r="BF126" s="544"/>
      <c r="BG126" s="544"/>
      <c r="BH126" s="544"/>
      <c r="BI126" s="544"/>
      <c r="BJ126" s="544"/>
      <c r="BK126" s="544"/>
      <c r="BL126" s="544"/>
      <c r="BM126" s="544"/>
      <c r="BN126" s="544"/>
      <c r="BO126" s="544"/>
      <c r="BP126" s="544"/>
      <c r="BQ126" s="544"/>
      <c r="BR126" s="544"/>
      <c r="BS126" s="544"/>
      <c r="BT126" s="544"/>
      <c r="BU126" s="544"/>
      <c r="BV126" s="544"/>
      <c r="BW126" s="544"/>
      <c r="BX126" s="544"/>
      <c r="BY126" s="544"/>
      <c r="BZ126" s="544"/>
      <c r="CA126" s="544"/>
      <c r="CB126" s="544"/>
      <c r="CC126" s="544"/>
      <c r="CD126" s="544"/>
      <c r="CE126" s="544"/>
      <c r="CF126" s="544"/>
      <c r="CG126" s="544"/>
      <c r="CH126" s="544"/>
      <c r="CI126" s="544"/>
      <c r="CJ126" s="544"/>
      <c r="CK126" s="544"/>
      <c r="CL126" s="544"/>
      <c r="CM126" s="544"/>
      <c r="CN126" s="544"/>
      <c r="CO126" s="544"/>
      <c r="CP126" s="544"/>
      <c r="CQ126" s="544"/>
      <c r="CR126" s="544"/>
      <c r="CS126" s="544"/>
      <c r="CT126" s="544"/>
      <c r="CU126" s="544"/>
      <c r="CV126" s="544"/>
      <c r="CW126" s="544"/>
      <c r="CX126" s="544"/>
      <c r="CY126" s="544"/>
      <c r="CZ126" s="544"/>
      <c r="DA126" s="544"/>
      <c r="DB126" s="544"/>
      <c r="DC126" s="544"/>
      <c r="DD126" s="544"/>
      <c r="DE126" s="544"/>
      <c r="DF126" s="544"/>
      <c r="DG126" s="544"/>
      <c r="DH126" s="544"/>
      <c r="DI126" s="544"/>
      <c r="DJ126" s="544"/>
      <c r="DK126" s="544"/>
      <c r="DL126" s="544"/>
      <c r="DM126" s="544"/>
      <c r="DN126" s="544"/>
      <c r="DO126" s="544"/>
      <c r="DP126" s="544"/>
      <c r="DQ126" s="544"/>
      <c r="DR126" s="544"/>
      <c r="DS126" s="544"/>
      <c r="DT126" s="544"/>
      <c r="DU126" s="544"/>
      <c r="DV126" s="544"/>
      <c r="DW126" s="544"/>
      <c r="DX126" s="544"/>
      <c r="DY126" s="544"/>
      <c r="DZ126" s="544"/>
      <c r="EA126" s="544"/>
      <c r="EB126" s="544"/>
      <c r="EC126" s="544"/>
      <c r="ED126" s="544"/>
      <c r="EE126" s="544"/>
      <c r="EF126" s="544"/>
      <c r="EG126" s="544"/>
      <c r="EH126" s="544"/>
      <c r="EI126" s="544"/>
      <c r="EJ126" s="544"/>
      <c r="EK126" s="544"/>
      <c r="EL126" s="544"/>
      <c r="EM126" s="544"/>
      <c r="EN126" s="544"/>
      <c r="EO126" s="544"/>
      <c r="EP126" s="544"/>
      <c r="EQ126" s="544"/>
      <c r="ER126" s="544"/>
      <c r="ES126" s="544"/>
      <c r="ET126" s="544"/>
      <c r="EU126" s="544"/>
      <c r="EV126" s="544"/>
      <c r="EW126" s="544"/>
      <c r="EX126" s="544"/>
      <c r="EY126" s="544"/>
      <c r="EZ126" s="544"/>
      <c r="FA126" s="544"/>
      <c r="FB126" s="544"/>
      <c r="FC126" s="544"/>
      <c r="FD126" s="544"/>
      <c r="FE126" s="544"/>
      <c r="FF126" s="544"/>
      <c r="FG126" s="544"/>
      <c r="FH126" s="544"/>
      <c r="FI126" s="544"/>
      <c r="FJ126" s="544"/>
      <c r="FK126" s="544"/>
      <c r="FL126" s="544"/>
      <c r="FM126" s="544"/>
      <c r="FN126" s="544"/>
      <c r="FO126" s="544"/>
      <c r="FP126" s="544"/>
      <c r="FQ126" s="544"/>
      <c r="FR126" s="544"/>
      <c r="FS126" s="544"/>
      <c r="FT126" s="544"/>
      <c r="FU126" s="544"/>
      <c r="FV126" s="544"/>
      <c r="FW126" s="544"/>
      <c r="FX126" s="544"/>
      <c r="FY126" s="544"/>
      <c r="FZ126" s="544"/>
      <c r="GA126" s="544"/>
      <c r="GB126" s="544"/>
      <c r="GC126" s="544"/>
      <c r="GD126" s="544"/>
      <c r="GE126" s="544"/>
      <c r="GF126" s="544"/>
      <c r="GG126" s="544"/>
      <c r="GH126" s="544"/>
      <c r="GI126" s="544"/>
      <c r="GJ126" s="544"/>
      <c r="GK126" s="544"/>
      <c r="GL126" s="544"/>
      <c r="GM126" s="544"/>
      <c r="GN126" s="544"/>
      <c r="GO126" s="544"/>
      <c r="GP126" s="544"/>
      <c r="GQ126" s="544"/>
      <c r="GR126" s="544"/>
      <c r="GS126" s="544"/>
      <c r="GT126" s="544"/>
      <c r="GU126" s="544"/>
      <c r="GV126" s="544"/>
      <c r="GW126" s="544"/>
      <c r="GX126" s="544"/>
      <c r="GY126" s="544"/>
      <c r="GZ126" s="544"/>
      <c r="HA126" s="544"/>
      <c r="HB126" s="544"/>
      <c r="HC126" s="544"/>
      <c r="HD126" s="544"/>
      <c r="HE126" s="544"/>
      <c r="HF126" s="544"/>
      <c r="HG126" s="544"/>
      <c r="HH126" s="544"/>
      <c r="HI126" s="544"/>
      <c r="HJ126" s="544"/>
      <c r="HK126" s="544"/>
      <c r="HL126" s="544"/>
      <c r="HM126" s="544"/>
      <c r="HN126" s="544"/>
      <c r="HO126" s="544"/>
      <c r="HP126" s="544"/>
      <c r="HQ126" s="544"/>
      <c r="HR126" s="544"/>
      <c r="HS126" s="544"/>
      <c r="HT126" s="544"/>
      <c r="HU126" s="544"/>
      <c r="HV126" s="544"/>
      <c r="HW126" s="544"/>
      <c r="HX126" s="544"/>
      <c r="HY126" s="544"/>
      <c r="HZ126" s="544"/>
      <c r="IA126" s="544"/>
      <c r="IB126" s="544"/>
      <c r="IC126" s="544"/>
      <c r="ID126" s="544"/>
      <c r="IE126" s="544"/>
      <c r="IF126" s="544"/>
      <c r="IG126" s="544"/>
      <c r="IH126" s="544"/>
      <c r="II126" s="544"/>
      <c r="IJ126" s="544"/>
      <c r="IK126" s="544"/>
      <c r="IL126" s="544"/>
      <c r="IM126" s="544"/>
      <c r="IN126" s="544"/>
      <c r="IO126" s="544"/>
      <c r="IP126" s="544"/>
      <c r="IQ126" s="544"/>
      <c r="IR126" s="544"/>
      <c r="IS126" s="544"/>
    </row>
    <row r="127" spans="1:253" ht="31" x14ac:dyDescent="0.35">
      <c r="A127" s="544"/>
      <c r="B127" s="1090" t="s">
        <v>649</v>
      </c>
      <c r="C127" s="881"/>
      <c r="E127" s="907"/>
      <c r="F127" s="908"/>
      <c r="G127" s="909"/>
      <c r="H127" s="913"/>
      <c r="I127" s="913"/>
      <c r="J127" s="544"/>
      <c r="K127" s="544"/>
      <c r="AA127" s="1089" t="s">
        <v>601</v>
      </c>
      <c r="AY127" s="544"/>
      <c r="AZ127" s="544"/>
      <c r="BA127" s="544"/>
      <c r="BB127" s="544"/>
      <c r="BC127" s="544"/>
      <c r="BD127" s="544"/>
      <c r="BE127" s="544"/>
      <c r="BF127" s="544"/>
      <c r="BG127" s="544"/>
      <c r="BH127" s="544"/>
      <c r="BI127" s="544"/>
      <c r="BJ127" s="544"/>
      <c r="BK127" s="544"/>
      <c r="BL127" s="544"/>
      <c r="BM127" s="544"/>
      <c r="BN127" s="544"/>
      <c r="BO127" s="544"/>
      <c r="BP127" s="544"/>
      <c r="BQ127" s="544"/>
      <c r="BR127" s="544"/>
      <c r="BS127" s="544"/>
      <c r="BT127" s="544"/>
      <c r="BU127" s="544"/>
      <c r="BV127" s="544"/>
      <c r="BW127" s="544"/>
      <c r="BX127" s="544"/>
      <c r="BY127" s="544"/>
      <c r="BZ127" s="544"/>
      <c r="CA127" s="544"/>
      <c r="CB127" s="544"/>
      <c r="CC127" s="544"/>
      <c r="CD127" s="544"/>
      <c r="CE127" s="544"/>
      <c r="CF127" s="544"/>
      <c r="CG127" s="544"/>
      <c r="CH127" s="544"/>
      <c r="CI127" s="544"/>
      <c r="CJ127" s="544"/>
      <c r="CK127" s="544"/>
      <c r="CL127" s="544"/>
      <c r="CM127" s="544"/>
      <c r="CN127" s="544"/>
      <c r="CO127" s="544"/>
      <c r="CP127" s="544"/>
      <c r="CQ127" s="544"/>
      <c r="CR127" s="544"/>
      <c r="CS127" s="544"/>
      <c r="CT127" s="544"/>
      <c r="CU127" s="544"/>
      <c r="CV127" s="544"/>
      <c r="CW127" s="544"/>
      <c r="CX127" s="544"/>
      <c r="CY127" s="544"/>
      <c r="CZ127" s="544"/>
      <c r="DA127" s="544"/>
      <c r="DB127" s="544"/>
      <c r="DC127" s="544"/>
      <c r="DD127" s="544"/>
      <c r="DE127" s="544"/>
      <c r="DF127" s="544"/>
      <c r="DG127" s="544"/>
      <c r="DH127" s="544"/>
      <c r="DI127" s="544"/>
      <c r="DJ127" s="544"/>
      <c r="DK127" s="544"/>
      <c r="DL127" s="544"/>
      <c r="DM127" s="544"/>
      <c r="DN127" s="544"/>
      <c r="DO127" s="544"/>
      <c r="DP127" s="544"/>
      <c r="DQ127" s="544"/>
      <c r="DR127" s="544"/>
      <c r="DS127" s="544"/>
      <c r="DT127" s="544"/>
      <c r="DU127" s="544"/>
      <c r="DV127" s="544"/>
      <c r="DW127" s="544"/>
      <c r="DX127" s="544"/>
      <c r="DY127" s="544"/>
      <c r="DZ127" s="544"/>
      <c r="EA127" s="544"/>
      <c r="EB127" s="544"/>
      <c r="EC127" s="544"/>
      <c r="ED127" s="544"/>
      <c r="EE127" s="544"/>
      <c r="EF127" s="544"/>
      <c r="EG127" s="544"/>
      <c r="EH127" s="544"/>
      <c r="EI127" s="544"/>
      <c r="EJ127" s="544"/>
      <c r="EK127" s="544"/>
      <c r="EL127" s="544"/>
      <c r="EM127" s="544"/>
      <c r="EN127" s="544"/>
      <c r="EO127" s="544"/>
      <c r="EP127" s="544"/>
      <c r="EQ127" s="544"/>
      <c r="ER127" s="544"/>
      <c r="ES127" s="544"/>
      <c r="ET127" s="544"/>
      <c r="EU127" s="544"/>
      <c r="EV127" s="544"/>
      <c r="EW127" s="544"/>
      <c r="EX127" s="544"/>
      <c r="EY127" s="544"/>
      <c r="EZ127" s="544"/>
      <c r="FA127" s="544"/>
      <c r="FB127" s="544"/>
      <c r="FC127" s="544"/>
      <c r="FD127" s="544"/>
      <c r="FE127" s="544"/>
      <c r="FF127" s="544"/>
      <c r="FG127" s="544"/>
      <c r="FH127" s="544"/>
      <c r="FI127" s="544"/>
      <c r="FJ127" s="544"/>
      <c r="FK127" s="544"/>
      <c r="FL127" s="544"/>
      <c r="FM127" s="544"/>
      <c r="FN127" s="544"/>
      <c r="FO127" s="544"/>
      <c r="FP127" s="544"/>
      <c r="FQ127" s="544"/>
      <c r="FR127" s="544"/>
      <c r="FS127" s="544"/>
      <c r="FT127" s="544"/>
      <c r="FU127" s="544"/>
      <c r="FV127" s="544"/>
      <c r="FW127" s="544"/>
      <c r="FX127" s="544"/>
      <c r="FY127" s="544"/>
      <c r="FZ127" s="544"/>
      <c r="GA127" s="544"/>
      <c r="GB127" s="544"/>
      <c r="GC127" s="544"/>
      <c r="GD127" s="544"/>
      <c r="GE127" s="544"/>
      <c r="GF127" s="544"/>
      <c r="GG127" s="544"/>
      <c r="GH127" s="544"/>
      <c r="GI127" s="544"/>
      <c r="GJ127" s="544"/>
      <c r="GK127" s="544"/>
      <c r="GL127" s="544"/>
      <c r="GM127" s="544"/>
      <c r="GN127" s="544"/>
      <c r="GO127" s="544"/>
      <c r="GP127" s="544"/>
      <c r="GQ127" s="544"/>
      <c r="GR127" s="544"/>
      <c r="GS127" s="544"/>
      <c r="GT127" s="544"/>
      <c r="GU127" s="544"/>
      <c r="GV127" s="544"/>
      <c r="GW127" s="544"/>
      <c r="GX127" s="544"/>
      <c r="GY127" s="544"/>
      <c r="GZ127" s="544"/>
      <c r="HA127" s="544"/>
      <c r="HB127" s="544"/>
      <c r="HC127" s="544"/>
      <c r="HD127" s="544"/>
      <c r="HE127" s="544"/>
      <c r="HF127" s="544"/>
      <c r="HG127" s="544"/>
      <c r="HH127" s="544"/>
      <c r="HI127" s="544"/>
      <c r="HJ127" s="544"/>
      <c r="HK127" s="544"/>
      <c r="HL127" s="544"/>
      <c r="HM127" s="544"/>
      <c r="HN127" s="544"/>
      <c r="HO127" s="544"/>
      <c r="HP127" s="544"/>
      <c r="HQ127" s="544"/>
      <c r="HR127" s="544"/>
      <c r="HS127" s="544"/>
      <c r="HT127" s="544"/>
      <c r="HU127" s="544"/>
      <c r="HV127" s="544"/>
      <c r="HW127" s="544"/>
      <c r="HX127" s="544"/>
      <c r="HY127" s="544"/>
      <c r="HZ127" s="544"/>
      <c r="IA127" s="544"/>
      <c r="IB127" s="544"/>
      <c r="IC127" s="544"/>
      <c r="ID127" s="544"/>
      <c r="IE127" s="544"/>
      <c r="IF127" s="544"/>
      <c r="IG127" s="544"/>
      <c r="IH127" s="544"/>
      <c r="II127" s="544"/>
      <c r="IJ127" s="544"/>
      <c r="IK127" s="544"/>
      <c r="IL127" s="544"/>
      <c r="IM127" s="544"/>
      <c r="IN127" s="544"/>
      <c r="IO127" s="544"/>
      <c r="IP127" s="544"/>
      <c r="IQ127" s="544"/>
      <c r="IR127" s="544"/>
      <c r="IS127" s="544"/>
    </row>
    <row r="128" spans="1:253" ht="31" x14ac:dyDescent="0.35">
      <c r="A128" s="544"/>
      <c r="B128" s="1090" t="s">
        <v>658</v>
      </c>
      <c r="C128" s="881"/>
      <c r="E128" s="907"/>
      <c r="F128" s="908"/>
      <c r="G128" s="909"/>
      <c r="H128" s="544"/>
      <c r="I128" s="544"/>
      <c r="J128" s="544"/>
      <c r="K128" s="544"/>
      <c r="AA128" s="1089" t="s">
        <v>601</v>
      </c>
      <c r="AY128" s="544"/>
      <c r="AZ128" s="544"/>
      <c r="BA128" s="544"/>
      <c r="BB128" s="544"/>
      <c r="BC128" s="544"/>
      <c r="BD128" s="544"/>
      <c r="BE128" s="544"/>
      <c r="BF128" s="544"/>
      <c r="BG128" s="544"/>
      <c r="BH128" s="544"/>
      <c r="BI128" s="544"/>
      <c r="BJ128" s="544"/>
      <c r="BK128" s="544"/>
      <c r="BL128" s="544"/>
      <c r="BM128" s="544"/>
      <c r="BN128" s="544"/>
      <c r="BO128" s="544"/>
      <c r="BP128" s="544"/>
      <c r="BQ128" s="544"/>
      <c r="BR128" s="544"/>
      <c r="BS128" s="544"/>
      <c r="BT128" s="544"/>
      <c r="BU128" s="544"/>
      <c r="BV128" s="544"/>
      <c r="BW128" s="544"/>
      <c r="BX128" s="544"/>
      <c r="BY128" s="544"/>
      <c r="BZ128" s="544"/>
      <c r="CA128" s="544"/>
      <c r="CB128" s="544"/>
      <c r="CC128" s="544"/>
      <c r="CD128" s="544"/>
      <c r="CE128" s="544"/>
      <c r="CF128" s="544"/>
      <c r="CG128" s="544"/>
      <c r="CH128" s="544"/>
      <c r="CI128" s="544"/>
      <c r="CJ128" s="544"/>
      <c r="CK128" s="544"/>
      <c r="CL128" s="544"/>
      <c r="CM128" s="544"/>
      <c r="CN128" s="544"/>
      <c r="CO128" s="544"/>
      <c r="CP128" s="544"/>
      <c r="CQ128" s="544"/>
      <c r="CR128" s="544"/>
      <c r="CS128" s="544"/>
      <c r="CT128" s="544"/>
      <c r="CU128" s="544"/>
      <c r="CV128" s="544"/>
      <c r="CW128" s="544"/>
      <c r="CX128" s="544"/>
      <c r="CY128" s="544"/>
      <c r="CZ128" s="544"/>
      <c r="DA128" s="544"/>
      <c r="DB128" s="544"/>
      <c r="DC128" s="544"/>
      <c r="DD128" s="544"/>
      <c r="DE128" s="544"/>
      <c r="DF128" s="544"/>
      <c r="DG128" s="544"/>
      <c r="DH128" s="544"/>
      <c r="DI128" s="544"/>
      <c r="DJ128" s="544"/>
      <c r="DK128" s="544"/>
      <c r="DL128" s="544"/>
      <c r="DM128" s="544"/>
      <c r="DN128" s="544"/>
      <c r="DO128" s="544"/>
      <c r="DP128" s="544"/>
      <c r="DQ128" s="544"/>
      <c r="DR128" s="544"/>
      <c r="DS128" s="544"/>
      <c r="DT128" s="544"/>
      <c r="DU128" s="544"/>
      <c r="DV128" s="544"/>
      <c r="DW128" s="544"/>
      <c r="DX128" s="544"/>
      <c r="DY128" s="544"/>
      <c r="DZ128" s="544"/>
      <c r="EA128" s="544"/>
      <c r="EB128" s="544"/>
      <c r="EC128" s="544"/>
      <c r="ED128" s="544"/>
      <c r="EE128" s="544"/>
      <c r="EF128" s="544"/>
      <c r="EG128" s="544"/>
      <c r="EH128" s="544"/>
      <c r="EI128" s="544"/>
      <c r="EJ128" s="544"/>
      <c r="EK128" s="544"/>
      <c r="EL128" s="544"/>
      <c r="EM128" s="544"/>
      <c r="EN128" s="544"/>
      <c r="EO128" s="544"/>
      <c r="EP128" s="544"/>
      <c r="EQ128" s="544"/>
      <c r="ER128" s="544"/>
      <c r="ES128" s="544"/>
      <c r="ET128" s="544"/>
      <c r="EU128" s="544"/>
      <c r="EV128" s="544"/>
      <c r="EW128" s="544"/>
      <c r="EX128" s="544"/>
      <c r="EY128" s="544"/>
      <c r="EZ128" s="544"/>
      <c r="FA128" s="544"/>
      <c r="FB128" s="544"/>
      <c r="FC128" s="544"/>
      <c r="FD128" s="544"/>
      <c r="FE128" s="544"/>
      <c r="FF128" s="544"/>
      <c r="FG128" s="544"/>
      <c r="FH128" s="544"/>
      <c r="FI128" s="544"/>
      <c r="FJ128" s="544"/>
      <c r="FK128" s="544"/>
      <c r="FL128" s="544"/>
      <c r="FM128" s="544"/>
      <c r="FN128" s="544"/>
      <c r="FO128" s="544"/>
      <c r="FP128" s="544"/>
      <c r="FQ128" s="544"/>
      <c r="FR128" s="544"/>
      <c r="FS128" s="544"/>
      <c r="FT128" s="544"/>
      <c r="FU128" s="544"/>
      <c r="FV128" s="544"/>
      <c r="FW128" s="544"/>
      <c r="FX128" s="544"/>
      <c r="FY128" s="544"/>
      <c r="FZ128" s="544"/>
      <c r="GA128" s="544"/>
      <c r="GB128" s="544"/>
      <c r="GC128" s="544"/>
      <c r="GD128" s="544"/>
      <c r="GE128" s="544"/>
      <c r="GF128" s="544"/>
      <c r="GG128" s="544"/>
      <c r="GH128" s="544"/>
      <c r="GI128" s="544"/>
      <c r="GJ128" s="544"/>
      <c r="GK128" s="544"/>
      <c r="GL128" s="544"/>
      <c r="GM128" s="544"/>
      <c r="GN128" s="544"/>
      <c r="GO128" s="544"/>
      <c r="GP128" s="544"/>
      <c r="GQ128" s="544"/>
      <c r="GR128" s="544"/>
      <c r="GS128" s="544"/>
      <c r="GT128" s="544"/>
      <c r="GU128" s="544"/>
      <c r="GV128" s="544"/>
      <c r="GW128" s="544"/>
      <c r="GX128" s="544"/>
      <c r="GY128" s="544"/>
      <c r="GZ128" s="544"/>
      <c r="HA128" s="544"/>
      <c r="HB128" s="544"/>
      <c r="HC128" s="544"/>
      <c r="HD128" s="544"/>
      <c r="HE128" s="544"/>
      <c r="HF128" s="544"/>
      <c r="HG128" s="544"/>
      <c r="HH128" s="544"/>
      <c r="HI128" s="544"/>
      <c r="HJ128" s="544"/>
      <c r="HK128" s="544"/>
      <c r="HL128" s="544"/>
      <c r="HM128" s="544"/>
      <c r="HN128" s="544"/>
      <c r="HO128" s="544"/>
      <c r="HP128" s="544"/>
      <c r="HQ128" s="544"/>
      <c r="HR128" s="544"/>
      <c r="HS128" s="544"/>
      <c r="HT128" s="544"/>
      <c r="HU128" s="544"/>
      <c r="HV128" s="544"/>
      <c r="HW128" s="544"/>
      <c r="HX128" s="544"/>
      <c r="HY128" s="544"/>
      <c r="HZ128" s="544"/>
      <c r="IA128" s="544"/>
      <c r="IB128" s="544"/>
      <c r="IC128" s="544"/>
      <c r="ID128" s="544"/>
      <c r="IE128" s="544"/>
      <c r="IF128" s="544"/>
      <c r="IG128" s="544"/>
      <c r="IH128" s="544"/>
      <c r="II128" s="544"/>
      <c r="IJ128" s="544"/>
      <c r="IK128" s="544"/>
      <c r="IL128" s="544"/>
      <c r="IM128" s="544"/>
      <c r="IN128" s="544"/>
      <c r="IO128" s="544"/>
      <c r="IP128" s="544"/>
      <c r="IQ128" s="544"/>
      <c r="IR128" s="544"/>
      <c r="IS128" s="544"/>
    </row>
    <row r="129" spans="1:253" ht="31" x14ac:dyDescent="0.35">
      <c r="A129" s="544"/>
      <c r="B129" s="1090" t="s">
        <v>651</v>
      </c>
      <c r="C129" s="881"/>
      <c r="E129" s="907"/>
      <c r="F129" s="908"/>
      <c r="G129" s="909"/>
      <c r="H129" s="544"/>
      <c r="I129" s="544"/>
      <c r="J129" s="544"/>
      <c r="K129" s="544"/>
      <c r="AA129" s="1089" t="s">
        <v>601</v>
      </c>
      <c r="AY129" s="544"/>
      <c r="AZ129" s="544"/>
      <c r="BA129" s="544"/>
      <c r="BB129" s="544"/>
      <c r="BC129" s="544"/>
      <c r="BD129" s="544"/>
      <c r="BE129" s="544"/>
      <c r="BF129" s="544"/>
      <c r="BG129" s="544"/>
      <c r="BH129" s="544"/>
      <c r="BI129" s="544"/>
      <c r="BJ129" s="544"/>
      <c r="BK129" s="544"/>
      <c r="BL129" s="544"/>
      <c r="BM129" s="544"/>
      <c r="BN129" s="544"/>
      <c r="BO129" s="544"/>
      <c r="BP129" s="544"/>
      <c r="BQ129" s="544"/>
      <c r="BR129" s="544"/>
      <c r="BS129" s="544"/>
      <c r="BT129" s="544"/>
      <c r="BU129" s="544"/>
      <c r="BV129" s="544"/>
      <c r="BW129" s="544"/>
      <c r="BX129" s="544"/>
      <c r="BY129" s="544"/>
      <c r="BZ129" s="544"/>
      <c r="CA129" s="544"/>
      <c r="CB129" s="544"/>
      <c r="CC129" s="544"/>
      <c r="CD129" s="544"/>
      <c r="CE129" s="544"/>
      <c r="CF129" s="544"/>
      <c r="CG129" s="544"/>
      <c r="CH129" s="544"/>
      <c r="CI129" s="544"/>
      <c r="CJ129" s="544"/>
      <c r="CK129" s="544"/>
      <c r="CL129" s="544"/>
      <c r="CM129" s="544"/>
      <c r="CN129" s="544"/>
      <c r="CO129" s="544"/>
      <c r="CP129" s="544"/>
      <c r="CQ129" s="544"/>
      <c r="CR129" s="544"/>
      <c r="CS129" s="544"/>
      <c r="CT129" s="544"/>
      <c r="CU129" s="544"/>
      <c r="CV129" s="544"/>
      <c r="CW129" s="544"/>
      <c r="CX129" s="544"/>
      <c r="CY129" s="544"/>
      <c r="CZ129" s="544"/>
      <c r="DA129" s="544"/>
      <c r="DB129" s="544"/>
      <c r="DC129" s="544"/>
      <c r="DD129" s="544"/>
      <c r="DE129" s="544"/>
      <c r="DF129" s="544"/>
      <c r="DG129" s="544"/>
      <c r="DH129" s="544"/>
      <c r="DI129" s="544"/>
      <c r="DJ129" s="544"/>
      <c r="DK129" s="544"/>
      <c r="DL129" s="544"/>
      <c r="DM129" s="544"/>
      <c r="DN129" s="544"/>
      <c r="DO129" s="544"/>
      <c r="DP129" s="544"/>
      <c r="DQ129" s="544"/>
      <c r="DR129" s="544"/>
      <c r="DS129" s="544"/>
      <c r="DT129" s="544"/>
      <c r="DU129" s="544"/>
      <c r="DV129" s="544"/>
      <c r="DW129" s="544"/>
      <c r="DX129" s="544"/>
      <c r="DY129" s="544"/>
      <c r="DZ129" s="544"/>
      <c r="EA129" s="544"/>
      <c r="EB129" s="544"/>
      <c r="EC129" s="544"/>
      <c r="ED129" s="544"/>
      <c r="EE129" s="544"/>
      <c r="EF129" s="544"/>
      <c r="EG129" s="544"/>
      <c r="EH129" s="544"/>
      <c r="EI129" s="544"/>
      <c r="EJ129" s="544"/>
      <c r="EK129" s="544"/>
      <c r="EL129" s="544"/>
      <c r="EM129" s="544"/>
      <c r="EN129" s="544"/>
      <c r="EO129" s="544"/>
      <c r="EP129" s="544"/>
      <c r="EQ129" s="544"/>
      <c r="ER129" s="544"/>
      <c r="ES129" s="544"/>
      <c r="ET129" s="544"/>
      <c r="EU129" s="544"/>
      <c r="EV129" s="544"/>
      <c r="EW129" s="544"/>
      <c r="EX129" s="544"/>
      <c r="EY129" s="544"/>
      <c r="EZ129" s="544"/>
      <c r="FA129" s="544"/>
      <c r="FB129" s="544"/>
      <c r="FC129" s="544"/>
      <c r="FD129" s="544"/>
      <c r="FE129" s="544"/>
      <c r="FF129" s="544"/>
      <c r="FG129" s="544"/>
      <c r="FH129" s="544"/>
      <c r="FI129" s="544"/>
      <c r="FJ129" s="544"/>
      <c r="FK129" s="544"/>
      <c r="FL129" s="544"/>
      <c r="FM129" s="544"/>
      <c r="FN129" s="544"/>
      <c r="FO129" s="544"/>
      <c r="FP129" s="544"/>
      <c r="FQ129" s="544"/>
      <c r="FR129" s="544"/>
      <c r="FS129" s="544"/>
      <c r="FT129" s="544"/>
      <c r="FU129" s="544"/>
      <c r="FV129" s="544"/>
      <c r="FW129" s="544"/>
      <c r="FX129" s="544"/>
      <c r="FY129" s="544"/>
      <c r="FZ129" s="544"/>
      <c r="GA129" s="544"/>
      <c r="GB129" s="544"/>
      <c r="GC129" s="544"/>
      <c r="GD129" s="544"/>
      <c r="GE129" s="544"/>
      <c r="GF129" s="544"/>
      <c r="GG129" s="544"/>
      <c r="GH129" s="544"/>
      <c r="GI129" s="544"/>
      <c r="GJ129" s="544"/>
      <c r="GK129" s="544"/>
      <c r="GL129" s="544"/>
      <c r="GM129" s="544"/>
      <c r="GN129" s="544"/>
      <c r="GO129" s="544"/>
      <c r="GP129" s="544"/>
      <c r="GQ129" s="544"/>
      <c r="GR129" s="544"/>
      <c r="GS129" s="544"/>
      <c r="GT129" s="544"/>
      <c r="GU129" s="544"/>
      <c r="GV129" s="544"/>
      <c r="GW129" s="544"/>
      <c r="GX129" s="544"/>
      <c r="GY129" s="544"/>
      <c r="GZ129" s="544"/>
      <c r="HA129" s="544"/>
      <c r="HB129" s="544"/>
      <c r="HC129" s="544"/>
      <c r="HD129" s="544"/>
      <c r="HE129" s="544"/>
      <c r="HF129" s="544"/>
      <c r="HG129" s="544"/>
      <c r="HH129" s="544"/>
      <c r="HI129" s="544"/>
      <c r="HJ129" s="544"/>
      <c r="HK129" s="544"/>
      <c r="HL129" s="544"/>
      <c r="HM129" s="544"/>
      <c r="HN129" s="544"/>
      <c r="HO129" s="544"/>
      <c r="HP129" s="544"/>
      <c r="HQ129" s="544"/>
      <c r="HR129" s="544"/>
      <c r="HS129" s="544"/>
      <c r="HT129" s="544"/>
      <c r="HU129" s="544"/>
      <c r="HV129" s="544"/>
      <c r="HW129" s="544"/>
      <c r="HX129" s="544"/>
      <c r="HY129" s="544"/>
      <c r="HZ129" s="544"/>
      <c r="IA129" s="544"/>
      <c r="IB129" s="544"/>
      <c r="IC129" s="544"/>
      <c r="ID129" s="544"/>
      <c r="IE129" s="544"/>
      <c r="IF129" s="544"/>
      <c r="IG129" s="544"/>
      <c r="IH129" s="544"/>
      <c r="II129" s="544"/>
      <c r="IJ129" s="544"/>
      <c r="IK129" s="544"/>
      <c r="IL129" s="544"/>
      <c r="IM129" s="544"/>
      <c r="IN129" s="544"/>
      <c r="IO129" s="544"/>
      <c r="IP129" s="544"/>
      <c r="IQ129" s="544"/>
      <c r="IR129" s="544"/>
      <c r="IS129" s="544"/>
    </row>
    <row r="130" spans="1:253" ht="31" x14ac:dyDescent="0.35">
      <c r="A130" s="544"/>
      <c r="B130" s="1090" t="s">
        <v>652</v>
      </c>
      <c r="C130" s="881"/>
      <c r="E130" s="907"/>
      <c r="F130" s="908"/>
      <c r="G130" s="909"/>
      <c r="H130" s="544"/>
      <c r="I130" s="544"/>
      <c r="J130" s="544"/>
      <c r="K130" s="544"/>
      <c r="AA130" s="1089" t="s">
        <v>601</v>
      </c>
      <c r="AY130" s="544"/>
      <c r="AZ130" s="544"/>
      <c r="BA130" s="544"/>
      <c r="BB130" s="544"/>
      <c r="BC130" s="544"/>
      <c r="BD130" s="544"/>
      <c r="BE130" s="544"/>
      <c r="BF130" s="544"/>
      <c r="BG130" s="544"/>
      <c r="BH130" s="544"/>
      <c r="BI130" s="544"/>
      <c r="BJ130" s="544"/>
      <c r="BK130" s="544"/>
      <c r="BL130" s="544"/>
      <c r="BM130" s="544"/>
      <c r="BN130" s="544"/>
      <c r="BO130" s="544"/>
      <c r="BP130" s="544"/>
      <c r="BQ130" s="544"/>
      <c r="BR130" s="544"/>
      <c r="BS130" s="544"/>
      <c r="BT130" s="544"/>
      <c r="BU130" s="544"/>
      <c r="BV130" s="544"/>
      <c r="BW130" s="544"/>
      <c r="BX130" s="544"/>
      <c r="BY130" s="544"/>
      <c r="BZ130" s="544"/>
      <c r="CA130" s="544"/>
      <c r="CB130" s="544"/>
      <c r="CC130" s="544"/>
      <c r="CD130" s="544"/>
      <c r="CE130" s="544"/>
      <c r="CF130" s="544"/>
      <c r="CG130" s="544"/>
      <c r="CH130" s="544"/>
      <c r="CI130" s="544"/>
      <c r="CJ130" s="544"/>
      <c r="CK130" s="544"/>
      <c r="CL130" s="544"/>
      <c r="CM130" s="544"/>
      <c r="CN130" s="544"/>
      <c r="CO130" s="544"/>
      <c r="CP130" s="544"/>
      <c r="CQ130" s="544"/>
      <c r="CR130" s="544"/>
      <c r="CS130" s="544"/>
      <c r="CT130" s="544"/>
      <c r="CU130" s="544"/>
      <c r="CV130" s="544"/>
      <c r="CW130" s="544"/>
      <c r="CX130" s="544"/>
      <c r="CY130" s="544"/>
      <c r="CZ130" s="544"/>
      <c r="DA130" s="544"/>
      <c r="DB130" s="544"/>
      <c r="DC130" s="544"/>
      <c r="DD130" s="544"/>
      <c r="DE130" s="544"/>
      <c r="DF130" s="544"/>
      <c r="DG130" s="544"/>
      <c r="DH130" s="544"/>
      <c r="DI130" s="544"/>
      <c r="DJ130" s="544"/>
      <c r="DK130" s="544"/>
      <c r="DL130" s="544"/>
      <c r="DM130" s="544"/>
      <c r="DN130" s="544"/>
      <c r="DO130" s="544"/>
      <c r="DP130" s="544"/>
      <c r="DQ130" s="544"/>
      <c r="DR130" s="544"/>
      <c r="DS130" s="544"/>
      <c r="DT130" s="544"/>
      <c r="DU130" s="544"/>
      <c r="DV130" s="544"/>
      <c r="DW130" s="544"/>
      <c r="DX130" s="544"/>
      <c r="DY130" s="544"/>
      <c r="DZ130" s="544"/>
      <c r="EA130" s="544"/>
      <c r="EB130" s="544"/>
      <c r="EC130" s="544"/>
      <c r="ED130" s="544"/>
      <c r="EE130" s="544"/>
      <c r="EF130" s="544"/>
      <c r="EG130" s="544"/>
      <c r="EH130" s="544"/>
      <c r="EI130" s="544"/>
      <c r="EJ130" s="544"/>
      <c r="EK130" s="544"/>
      <c r="EL130" s="544"/>
      <c r="EM130" s="544"/>
      <c r="EN130" s="544"/>
      <c r="EO130" s="544"/>
      <c r="EP130" s="544"/>
      <c r="EQ130" s="544"/>
      <c r="ER130" s="544"/>
      <c r="ES130" s="544"/>
      <c r="ET130" s="544"/>
      <c r="EU130" s="544"/>
      <c r="EV130" s="544"/>
      <c r="EW130" s="544"/>
      <c r="EX130" s="544"/>
      <c r="EY130" s="544"/>
      <c r="EZ130" s="544"/>
      <c r="FA130" s="544"/>
      <c r="FB130" s="544"/>
      <c r="FC130" s="544"/>
      <c r="FD130" s="544"/>
      <c r="FE130" s="544"/>
      <c r="FF130" s="544"/>
      <c r="FG130" s="544"/>
      <c r="FH130" s="544"/>
      <c r="FI130" s="544"/>
      <c r="FJ130" s="544"/>
      <c r="FK130" s="544"/>
      <c r="FL130" s="544"/>
      <c r="FM130" s="544"/>
      <c r="FN130" s="544"/>
      <c r="FO130" s="544"/>
      <c r="FP130" s="544"/>
      <c r="FQ130" s="544"/>
      <c r="FR130" s="544"/>
      <c r="FS130" s="544"/>
      <c r="FT130" s="544"/>
      <c r="FU130" s="544"/>
      <c r="FV130" s="544"/>
      <c r="FW130" s="544"/>
      <c r="FX130" s="544"/>
      <c r="FY130" s="544"/>
      <c r="FZ130" s="544"/>
      <c r="GA130" s="544"/>
      <c r="GB130" s="544"/>
      <c r="GC130" s="544"/>
      <c r="GD130" s="544"/>
      <c r="GE130" s="544"/>
      <c r="GF130" s="544"/>
      <c r="GG130" s="544"/>
      <c r="GH130" s="544"/>
      <c r="GI130" s="544"/>
      <c r="GJ130" s="544"/>
      <c r="GK130" s="544"/>
      <c r="GL130" s="544"/>
      <c r="GM130" s="544"/>
      <c r="GN130" s="544"/>
      <c r="GO130" s="544"/>
      <c r="GP130" s="544"/>
      <c r="GQ130" s="544"/>
      <c r="GR130" s="544"/>
      <c r="GS130" s="544"/>
      <c r="GT130" s="544"/>
      <c r="GU130" s="544"/>
      <c r="GV130" s="544"/>
      <c r="GW130" s="544"/>
      <c r="GX130" s="544"/>
      <c r="GY130" s="544"/>
      <c r="GZ130" s="544"/>
      <c r="HA130" s="544"/>
      <c r="HB130" s="544"/>
      <c r="HC130" s="544"/>
      <c r="HD130" s="544"/>
      <c r="HE130" s="544"/>
      <c r="HF130" s="544"/>
      <c r="HG130" s="544"/>
      <c r="HH130" s="544"/>
      <c r="HI130" s="544"/>
      <c r="HJ130" s="544"/>
      <c r="HK130" s="544"/>
      <c r="HL130" s="544"/>
      <c r="HM130" s="544"/>
      <c r="HN130" s="544"/>
      <c r="HO130" s="544"/>
      <c r="HP130" s="544"/>
      <c r="HQ130" s="544"/>
      <c r="HR130" s="544"/>
      <c r="HS130" s="544"/>
      <c r="HT130" s="544"/>
      <c r="HU130" s="544"/>
      <c r="HV130" s="544"/>
      <c r="HW130" s="544"/>
      <c r="HX130" s="544"/>
      <c r="HY130" s="544"/>
      <c r="HZ130" s="544"/>
      <c r="IA130" s="544"/>
      <c r="IB130" s="544"/>
      <c r="IC130" s="544"/>
      <c r="ID130" s="544"/>
      <c r="IE130" s="544"/>
      <c r="IF130" s="544"/>
      <c r="IG130" s="544"/>
      <c r="IH130" s="544"/>
      <c r="II130" s="544"/>
      <c r="IJ130" s="544"/>
      <c r="IK130" s="544"/>
      <c r="IL130" s="544"/>
      <c r="IM130" s="544"/>
      <c r="IN130" s="544"/>
      <c r="IO130" s="544"/>
      <c r="IP130" s="544"/>
      <c r="IQ130" s="544"/>
      <c r="IR130" s="544"/>
      <c r="IS130" s="544"/>
    </row>
    <row r="131" spans="1:253" ht="31" x14ac:dyDescent="0.35">
      <c r="A131" s="544"/>
      <c r="B131" s="1090" t="s">
        <v>653</v>
      </c>
      <c r="C131" s="881"/>
      <c r="E131" s="907"/>
      <c r="F131" s="908"/>
      <c r="G131" s="909"/>
      <c r="H131" s="544"/>
      <c r="I131" s="544"/>
      <c r="J131" s="544"/>
      <c r="K131" s="544"/>
      <c r="AA131" s="1089" t="s">
        <v>601</v>
      </c>
      <c r="AY131" s="544"/>
      <c r="AZ131" s="544"/>
      <c r="BA131" s="544"/>
      <c r="BB131" s="544"/>
      <c r="BC131" s="544"/>
      <c r="BD131" s="544"/>
      <c r="BE131" s="544"/>
      <c r="BF131" s="544"/>
      <c r="BG131" s="544"/>
      <c r="BH131" s="544"/>
      <c r="BI131" s="544"/>
      <c r="BJ131" s="544"/>
      <c r="BK131" s="544"/>
      <c r="BL131" s="544"/>
      <c r="BM131" s="544"/>
      <c r="BN131" s="544"/>
      <c r="BO131" s="544"/>
      <c r="BP131" s="544"/>
      <c r="BQ131" s="544"/>
      <c r="BR131" s="544"/>
      <c r="BS131" s="544"/>
      <c r="BT131" s="544"/>
      <c r="BU131" s="544"/>
      <c r="BV131" s="544"/>
      <c r="BW131" s="544"/>
      <c r="BX131" s="544"/>
      <c r="BY131" s="544"/>
      <c r="BZ131" s="544"/>
      <c r="CA131" s="544"/>
      <c r="CB131" s="544"/>
      <c r="CC131" s="544"/>
      <c r="CD131" s="544"/>
      <c r="CE131" s="544"/>
      <c r="CF131" s="544"/>
      <c r="CG131" s="544"/>
      <c r="CH131" s="544"/>
      <c r="CI131" s="544"/>
      <c r="CJ131" s="544"/>
      <c r="CK131" s="544"/>
      <c r="CL131" s="544"/>
      <c r="CM131" s="544"/>
      <c r="CN131" s="544"/>
      <c r="CO131" s="544"/>
      <c r="CP131" s="544"/>
      <c r="CQ131" s="544"/>
      <c r="CR131" s="544"/>
      <c r="CS131" s="544"/>
      <c r="CT131" s="544"/>
      <c r="CU131" s="544"/>
      <c r="CV131" s="544"/>
      <c r="CW131" s="544"/>
      <c r="CX131" s="544"/>
      <c r="CY131" s="544"/>
      <c r="CZ131" s="544"/>
      <c r="DA131" s="544"/>
      <c r="DB131" s="544"/>
      <c r="DC131" s="544"/>
      <c r="DD131" s="544"/>
      <c r="DE131" s="544"/>
      <c r="DF131" s="544"/>
      <c r="DG131" s="544"/>
      <c r="DH131" s="544"/>
      <c r="DI131" s="544"/>
      <c r="DJ131" s="544"/>
      <c r="DK131" s="544"/>
      <c r="DL131" s="544"/>
      <c r="DM131" s="544"/>
      <c r="DN131" s="544"/>
      <c r="DO131" s="544"/>
      <c r="DP131" s="544"/>
      <c r="DQ131" s="544"/>
      <c r="DR131" s="544"/>
      <c r="DS131" s="544"/>
      <c r="DT131" s="544"/>
      <c r="DU131" s="544"/>
      <c r="DV131" s="544"/>
      <c r="DW131" s="544"/>
      <c r="DX131" s="544"/>
      <c r="DY131" s="544"/>
      <c r="DZ131" s="544"/>
      <c r="EA131" s="544"/>
      <c r="EB131" s="544"/>
      <c r="EC131" s="544"/>
      <c r="ED131" s="544"/>
      <c r="EE131" s="544"/>
      <c r="EF131" s="544"/>
      <c r="EG131" s="544"/>
      <c r="EH131" s="544"/>
      <c r="EI131" s="544"/>
      <c r="EJ131" s="544"/>
      <c r="EK131" s="544"/>
      <c r="EL131" s="544"/>
      <c r="EM131" s="544"/>
      <c r="EN131" s="544"/>
      <c r="EO131" s="544"/>
      <c r="EP131" s="544"/>
      <c r="EQ131" s="544"/>
      <c r="ER131" s="544"/>
      <c r="ES131" s="544"/>
      <c r="ET131" s="544"/>
      <c r="EU131" s="544"/>
      <c r="EV131" s="544"/>
      <c r="EW131" s="544"/>
      <c r="EX131" s="544"/>
      <c r="EY131" s="544"/>
      <c r="EZ131" s="544"/>
      <c r="FA131" s="544"/>
      <c r="FB131" s="544"/>
      <c r="FC131" s="544"/>
      <c r="FD131" s="544"/>
      <c r="FE131" s="544"/>
      <c r="FF131" s="544"/>
      <c r="FG131" s="544"/>
      <c r="FH131" s="544"/>
      <c r="FI131" s="544"/>
      <c r="FJ131" s="544"/>
      <c r="FK131" s="544"/>
      <c r="FL131" s="544"/>
      <c r="FM131" s="544"/>
      <c r="FN131" s="544"/>
      <c r="FO131" s="544"/>
      <c r="FP131" s="544"/>
      <c r="FQ131" s="544"/>
      <c r="FR131" s="544"/>
      <c r="FS131" s="544"/>
      <c r="FT131" s="544"/>
      <c r="FU131" s="544"/>
      <c r="FV131" s="544"/>
      <c r="FW131" s="544"/>
      <c r="FX131" s="544"/>
      <c r="FY131" s="544"/>
      <c r="FZ131" s="544"/>
      <c r="GA131" s="544"/>
      <c r="GB131" s="544"/>
      <c r="GC131" s="544"/>
      <c r="GD131" s="544"/>
      <c r="GE131" s="544"/>
      <c r="GF131" s="544"/>
      <c r="GG131" s="544"/>
      <c r="GH131" s="544"/>
      <c r="GI131" s="544"/>
      <c r="GJ131" s="544"/>
      <c r="GK131" s="544"/>
      <c r="GL131" s="544"/>
      <c r="GM131" s="544"/>
      <c r="GN131" s="544"/>
      <c r="GO131" s="544"/>
      <c r="GP131" s="544"/>
      <c r="GQ131" s="544"/>
      <c r="GR131" s="544"/>
      <c r="GS131" s="544"/>
      <c r="GT131" s="544"/>
      <c r="GU131" s="544"/>
      <c r="GV131" s="544"/>
      <c r="GW131" s="544"/>
      <c r="GX131" s="544"/>
      <c r="GY131" s="544"/>
      <c r="GZ131" s="544"/>
      <c r="HA131" s="544"/>
      <c r="HB131" s="544"/>
      <c r="HC131" s="544"/>
      <c r="HD131" s="544"/>
      <c r="HE131" s="544"/>
      <c r="HF131" s="544"/>
      <c r="HG131" s="544"/>
      <c r="HH131" s="544"/>
      <c r="HI131" s="544"/>
      <c r="HJ131" s="544"/>
      <c r="HK131" s="544"/>
      <c r="HL131" s="544"/>
      <c r="HM131" s="544"/>
      <c r="HN131" s="544"/>
      <c r="HO131" s="544"/>
      <c r="HP131" s="544"/>
      <c r="HQ131" s="544"/>
      <c r="HR131" s="544"/>
      <c r="HS131" s="544"/>
      <c r="HT131" s="544"/>
      <c r="HU131" s="544"/>
      <c r="HV131" s="544"/>
      <c r="HW131" s="544"/>
      <c r="HX131" s="544"/>
      <c r="HY131" s="544"/>
      <c r="HZ131" s="544"/>
      <c r="IA131" s="544"/>
      <c r="IB131" s="544"/>
      <c r="IC131" s="544"/>
      <c r="ID131" s="544"/>
      <c r="IE131" s="544"/>
      <c r="IF131" s="544"/>
      <c r="IG131" s="544"/>
      <c r="IH131" s="544"/>
      <c r="II131" s="544"/>
      <c r="IJ131" s="544"/>
      <c r="IK131" s="544"/>
      <c r="IL131" s="544"/>
      <c r="IM131" s="544"/>
      <c r="IN131" s="544"/>
      <c r="IO131" s="544"/>
      <c r="IP131" s="544"/>
      <c r="IQ131" s="544"/>
      <c r="IR131" s="544"/>
      <c r="IS131" s="544"/>
    </row>
    <row r="132" spans="1:253" ht="31" x14ac:dyDescent="0.35">
      <c r="A132" s="544"/>
      <c r="B132" s="1090" t="s">
        <v>654</v>
      </c>
      <c r="C132" s="881"/>
      <c r="E132" s="907"/>
      <c r="F132" s="908"/>
      <c r="G132" s="909"/>
      <c r="H132" s="544"/>
      <c r="I132" s="544"/>
      <c r="J132" s="544"/>
      <c r="K132" s="544"/>
      <c r="AA132" s="1089" t="s">
        <v>601</v>
      </c>
      <c r="AY132" s="544"/>
      <c r="AZ132" s="544"/>
      <c r="BA132" s="544"/>
      <c r="BB132" s="544"/>
      <c r="BC132" s="544"/>
      <c r="BD132" s="544"/>
      <c r="BE132" s="544"/>
      <c r="BF132" s="544"/>
      <c r="BG132" s="544"/>
      <c r="BH132" s="544"/>
      <c r="BI132" s="544"/>
      <c r="BJ132" s="544"/>
      <c r="BK132" s="544"/>
      <c r="BL132" s="544"/>
      <c r="BM132" s="544"/>
      <c r="BN132" s="544"/>
      <c r="BO132" s="544"/>
      <c r="BP132" s="544"/>
      <c r="BQ132" s="544"/>
      <c r="BR132" s="544"/>
      <c r="BS132" s="544"/>
      <c r="BT132" s="544"/>
      <c r="BU132" s="544"/>
      <c r="BV132" s="544"/>
      <c r="BW132" s="544"/>
      <c r="BX132" s="544"/>
      <c r="BY132" s="544"/>
      <c r="BZ132" s="544"/>
      <c r="CA132" s="544"/>
      <c r="CB132" s="544"/>
      <c r="CC132" s="544"/>
      <c r="CD132" s="544"/>
      <c r="CE132" s="544"/>
      <c r="CF132" s="544"/>
      <c r="CG132" s="544"/>
      <c r="CH132" s="544"/>
      <c r="CI132" s="544"/>
      <c r="CJ132" s="544"/>
      <c r="CK132" s="544"/>
      <c r="CL132" s="544"/>
      <c r="CM132" s="544"/>
      <c r="CN132" s="544"/>
      <c r="CO132" s="544"/>
      <c r="CP132" s="544"/>
      <c r="CQ132" s="544"/>
      <c r="CR132" s="544"/>
      <c r="CS132" s="544"/>
      <c r="CT132" s="544"/>
      <c r="CU132" s="544"/>
      <c r="CV132" s="544"/>
      <c r="CW132" s="544"/>
      <c r="CX132" s="544"/>
      <c r="CY132" s="544"/>
      <c r="CZ132" s="544"/>
      <c r="DA132" s="544"/>
      <c r="DB132" s="544"/>
      <c r="DC132" s="544"/>
      <c r="DD132" s="544"/>
      <c r="DE132" s="544"/>
      <c r="DF132" s="544"/>
      <c r="DG132" s="544"/>
      <c r="DH132" s="544"/>
      <c r="DI132" s="544"/>
      <c r="DJ132" s="544"/>
      <c r="DK132" s="544"/>
      <c r="DL132" s="544"/>
      <c r="DM132" s="544"/>
      <c r="DN132" s="544"/>
      <c r="DO132" s="544"/>
      <c r="DP132" s="544"/>
      <c r="DQ132" s="544"/>
      <c r="DR132" s="544"/>
      <c r="DS132" s="544"/>
      <c r="DT132" s="544"/>
      <c r="DU132" s="544"/>
      <c r="DV132" s="544"/>
      <c r="DW132" s="544"/>
      <c r="DX132" s="544"/>
      <c r="DY132" s="544"/>
      <c r="DZ132" s="544"/>
      <c r="EA132" s="544"/>
      <c r="EB132" s="544"/>
      <c r="EC132" s="544"/>
      <c r="ED132" s="544"/>
      <c r="EE132" s="544"/>
      <c r="EF132" s="544"/>
      <c r="EG132" s="544"/>
      <c r="EH132" s="544"/>
      <c r="EI132" s="544"/>
      <c r="EJ132" s="544"/>
      <c r="EK132" s="544"/>
      <c r="EL132" s="544"/>
      <c r="EM132" s="544"/>
      <c r="EN132" s="544"/>
      <c r="EO132" s="544"/>
      <c r="EP132" s="544"/>
      <c r="EQ132" s="544"/>
      <c r="ER132" s="544"/>
      <c r="ES132" s="544"/>
      <c r="ET132" s="544"/>
      <c r="EU132" s="544"/>
      <c r="EV132" s="544"/>
      <c r="EW132" s="544"/>
      <c r="EX132" s="544"/>
      <c r="EY132" s="544"/>
      <c r="EZ132" s="544"/>
      <c r="FA132" s="544"/>
      <c r="FB132" s="544"/>
      <c r="FC132" s="544"/>
      <c r="FD132" s="544"/>
      <c r="FE132" s="544"/>
      <c r="FF132" s="544"/>
      <c r="FG132" s="544"/>
      <c r="FH132" s="544"/>
      <c r="FI132" s="544"/>
      <c r="FJ132" s="544"/>
      <c r="FK132" s="544"/>
      <c r="FL132" s="544"/>
      <c r="FM132" s="544"/>
      <c r="FN132" s="544"/>
      <c r="FO132" s="544"/>
      <c r="FP132" s="544"/>
      <c r="FQ132" s="544"/>
      <c r="FR132" s="544"/>
      <c r="FS132" s="544"/>
      <c r="FT132" s="544"/>
      <c r="FU132" s="544"/>
      <c r="FV132" s="544"/>
      <c r="FW132" s="544"/>
      <c r="FX132" s="544"/>
      <c r="FY132" s="544"/>
      <c r="FZ132" s="544"/>
      <c r="GA132" s="544"/>
      <c r="GB132" s="544"/>
      <c r="GC132" s="544"/>
      <c r="GD132" s="544"/>
      <c r="GE132" s="544"/>
      <c r="GF132" s="544"/>
      <c r="GG132" s="544"/>
      <c r="GH132" s="544"/>
      <c r="GI132" s="544"/>
      <c r="GJ132" s="544"/>
      <c r="GK132" s="544"/>
      <c r="GL132" s="544"/>
      <c r="GM132" s="544"/>
      <c r="GN132" s="544"/>
      <c r="GO132" s="544"/>
      <c r="GP132" s="544"/>
      <c r="GQ132" s="544"/>
      <c r="GR132" s="544"/>
      <c r="GS132" s="544"/>
      <c r="GT132" s="544"/>
      <c r="GU132" s="544"/>
      <c r="GV132" s="544"/>
      <c r="GW132" s="544"/>
      <c r="GX132" s="544"/>
      <c r="GY132" s="544"/>
      <c r="GZ132" s="544"/>
      <c r="HA132" s="544"/>
      <c r="HB132" s="544"/>
      <c r="HC132" s="544"/>
      <c r="HD132" s="544"/>
      <c r="HE132" s="544"/>
      <c r="HF132" s="544"/>
      <c r="HG132" s="544"/>
      <c r="HH132" s="544"/>
      <c r="HI132" s="544"/>
      <c r="HJ132" s="544"/>
      <c r="HK132" s="544"/>
      <c r="HL132" s="544"/>
      <c r="HM132" s="544"/>
      <c r="HN132" s="544"/>
      <c r="HO132" s="544"/>
      <c r="HP132" s="544"/>
      <c r="HQ132" s="544"/>
      <c r="HR132" s="544"/>
      <c r="HS132" s="544"/>
      <c r="HT132" s="544"/>
      <c r="HU132" s="544"/>
      <c r="HV132" s="544"/>
      <c r="HW132" s="544"/>
      <c r="HX132" s="544"/>
      <c r="HY132" s="544"/>
      <c r="HZ132" s="544"/>
      <c r="IA132" s="544"/>
      <c r="IB132" s="544"/>
      <c r="IC132" s="544"/>
      <c r="ID132" s="544"/>
      <c r="IE132" s="544"/>
      <c r="IF132" s="544"/>
      <c r="IG132" s="544"/>
      <c r="IH132" s="544"/>
      <c r="II132" s="544"/>
      <c r="IJ132" s="544"/>
      <c r="IK132" s="544"/>
      <c r="IL132" s="544"/>
      <c r="IM132" s="544"/>
      <c r="IN132" s="544"/>
      <c r="IO132" s="544"/>
      <c r="IP132" s="544"/>
      <c r="IQ132" s="544"/>
      <c r="IR132" s="544"/>
      <c r="IS132" s="544"/>
    </row>
    <row r="133" spans="1:253" s="544" customFormat="1" ht="17.149999999999999" customHeight="1" x14ac:dyDescent="0.35">
      <c r="B133" s="572"/>
      <c r="C133" s="572"/>
    </row>
    <row r="134" spans="1:253" s="544" customFormat="1" ht="17.149999999999999" customHeight="1" x14ac:dyDescent="0.35">
      <c r="B134" s="572"/>
      <c r="C134" s="572"/>
    </row>
    <row r="135" spans="1:253" s="544" customFormat="1" ht="17.149999999999999" customHeight="1" x14ac:dyDescent="0.35">
      <c r="B135" s="695" t="s">
        <v>669</v>
      </c>
      <c r="C135" s="696"/>
      <c r="D135" s="697"/>
      <c r="E135" s="697"/>
      <c r="F135" s="697"/>
      <c r="G135" s="697"/>
      <c r="H135" s="697"/>
      <c r="I135" s="697"/>
    </row>
    <row r="136" spans="1:253" s="544" customFormat="1" ht="17.149999999999999" customHeight="1" x14ac:dyDescent="0.35">
      <c r="B136" s="572"/>
      <c r="C136" s="572"/>
    </row>
    <row r="137" spans="1:253" s="544" customFormat="1" ht="17.149999999999999" customHeight="1" x14ac:dyDescent="0.35">
      <c r="B137" s="592" t="s">
        <v>670</v>
      </c>
      <c r="C137" s="1091"/>
      <c r="D137" s="661"/>
    </row>
    <row r="138" spans="1:253" ht="28" customHeight="1" x14ac:dyDescent="0.35">
      <c r="A138" s="544"/>
      <c r="B138" s="1484" t="s">
        <v>594</v>
      </c>
      <c r="C138" s="684" t="s">
        <v>374</v>
      </c>
      <c r="E138" s="667" t="s">
        <v>521</v>
      </c>
      <c r="F138" s="1480"/>
      <c r="G138" s="1481"/>
      <c r="H138" s="1474" t="s">
        <v>656</v>
      </c>
      <c r="I138" s="1474" t="s">
        <v>645</v>
      </c>
      <c r="J138" s="544"/>
      <c r="K138" s="544"/>
      <c r="AY138" s="544"/>
      <c r="AZ138" s="544"/>
      <c r="BA138" s="544"/>
      <c r="BB138" s="544"/>
      <c r="BC138" s="544"/>
      <c r="BD138" s="544"/>
      <c r="BE138" s="544"/>
      <c r="BF138" s="544"/>
      <c r="BG138" s="544"/>
      <c r="BH138" s="544"/>
      <c r="BI138" s="544"/>
      <c r="BJ138" s="544"/>
      <c r="BK138" s="544"/>
      <c r="BL138" s="544"/>
      <c r="BM138" s="544"/>
      <c r="BN138" s="544"/>
      <c r="BO138" s="544"/>
      <c r="BP138" s="544"/>
      <c r="BQ138" s="544"/>
      <c r="BR138" s="544"/>
      <c r="BS138" s="544"/>
      <c r="BT138" s="544"/>
      <c r="BU138" s="544"/>
      <c r="BV138" s="544"/>
      <c r="BW138" s="544"/>
      <c r="BX138" s="544"/>
      <c r="BY138" s="544"/>
      <c r="BZ138" s="544"/>
      <c r="CA138" s="544"/>
      <c r="CB138" s="544"/>
      <c r="CC138" s="544"/>
      <c r="CD138" s="544"/>
      <c r="CE138" s="544"/>
      <c r="CF138" s="544"/>
      <c r="CG138" s="544"/>
      <c r="CH138" s="544"/>
      <c r="CI138" s="544"/>
      <c r="CJ138" s="544"/>
      <c r="CK138" s="544"/>
      <c r="CL138" s="544"/>
      <c r="CM138" s="544"/>
      <c r="CN138" s="544"/>
      <c r="CO138" s="544"/>
      <c r="CP138" s="544"/>
      <c r="CQ138" s="544"/>
      <c r="CR138" s="544"/>
      <c r="CS138" s="544"/>
      <c r="CT138" s="544"/>
      <c r="CU138" s="544"/>
      <c r="CV138" s="544"/>
      <c r="CW138" s="544"/>
      <c r="CX138" s="544"/>
      <c r="CY138" s="544"/>
      <c r="CZ138" s="544"/>
      <c r="DA138" s="544"/>
      <c r="DB138" s="544"/>
      <c r="DC138" s="544"/>
      <c r="DD138" s="544"/>
      <c r="DE138" s="544"/>
      <c r="DF138" s="544"/>
      <c r="DG138" s="544"/>
      <c r="DH138" s="544"/>
      <c r="DI138" s="544"/>
      <c r="DJ138" s="544"/>
      <c r="DK138" s="544"/>
      <c r="DL138" s="544"/>
      <c r="DM138" s="544"/>
      <c r="DN138" s="544"/>
      <c r="DO138" s="544"/>
      <c r="DP138" s="544"/>
      <c r="DQ138" s="544"/>
      <c r="DR138" s="544"/>
      <c r="DS138" s="544"/>
      <c r="DT138" s="544"/>
      <c r="DU138" s="544"/>
      <c r="DV138" s="544"/>
      <c r="DW138" s="544"/>
      <c r="DX138" s="544"/>
      <c r="DY138" s="544"/>
      <c r="DZ138" s="544"/>
      <c r="EA138" s="544"/>
      <c r="EB138" s="544"/>
      <c r="EC138" s="544"/>
      <c r="ED138" s="544"/>
      <c r="EE138" s="544"/>
      <c r="EF138" s="544"/>
      <c r="EG138" s="544"/>
      <c r="EH138" s="544"/>
      <c r="EI138" s="544"/>
      <c r="EJ138" s="544"/>
      <c r="EK138" s="544"/>
      <c r="EL138" s="544"/>
      <c r="EM138" s="544"/>
      <c r="EN138" s="544"/>
      <c r="EO138" s="544"/>
      <c r="EP138" s="544"/>
      <c r="EQ138" s="544"/>
      <c r="ER138" s="544"/>
      <c r="ES138" s="544"/>
      <c r="ET138" s="544"/>
      <c r="EU138" s="544"/>
      <c r="EV138" s="544"/>
      <c r="EW138" s="544"/>
      <c r="EX138" s="544"/>
      <c r="EY138" s="544"/>
      <c r="EZ138" s="544"/>
      <c r="FA138" s="544"/>
      <c r="FB138" s="544"/>
      <c r="FC138" s="544"/>
      <c r="FD138" s="544"/>
      <c r="FE138" s="544"/>
      <c r="FF138" s="544"/>
      <c r="FG138" s="544"/>
      <c r="FH138" s="544"/>
      <c r="FI138" s="544"/>
      <c r="FJ138" s="544"/>
      <c r="FK138" s="544"/>
      <c r="FL138" s="544"/>
      <c r="FM138" s="544"/>
      <c r="FN138" s="544"/>
      <c r="FO138" s="544"/>
      <c r="FP138" s="544"/>
      <c r="FQ138" s="544"/>
      <c r="FR138" s="544"/>
      <c r="FS138" s="544"/>
      <c r="FT138" s="544"/>
      <c r="FU138" s="544"/>
      <c r="FV138" s="544"/>
      <c r="FW138" s="544"/>
      <c r="FX138" s="544"/>
      <c r="FY138" s="544"/>
      <c r="FZ138" s="544"/>
      <c r="GA138" s="544"/>
      <c r="GB138" s="544"/>
      <c r="GC138" s="544"/>
      <c r="GD138" s="544"/>
      <c r="GE138" s="544"/>
      <c r="GF138" s="544"/>
      <c r="GG138" s="544"/>
      <c r="GH138" s="544"/>
      <c r="GI138" s="544"/>
      <c r="GJ138" s="544"/>
      <c r="GK138" s="544"/>
      <c r="GL138" s="544"/>
      <c r="GM138" s="544"/>
      <c r="GN138" s="544"/>
      <c r="GO138" s="544"/>
      <c r="GP138" s="544"/>
      <c r="GQ138" s="544"/>
      <c r="GR138" s="544"/>
      <c r="GS138" s="544"/>
      <c r="GT138" s="544"/>
      <c r="GU138" s="544"/>
      <c r="GV138" s="544"/>
      <c r="GW138" s="544"/>
      <c r="GX138" s="544"/>
      <c r="GY138" s="544"/>
      <c r="GZ138" s="544"/>
      <c r="HA138" s="544"/>
      <c r="HB138" s="544"/>
      <c r="HC138" s="544"/>
      <c r="HD138" s="544"/>
      <c r="HE138" s="544"/>
      <c r="HF138" s="544"/>
      <c r="HG138" s="544"/>
      <c r="HH138" s="544"/>
      <c r="HI138" s="544"/>
      <c r="HJ138" s="544"/>
      <c r="HK138" s="544"/>
      <c r="HL138" s="544"/>
      <c r="HM138" s="544"/>
      <c r="HN138" s="544"/>
      <c r="HO138" s="544"/>
      <c r="HP138" s="544"/>
      <c r="HQ138" s="544"/>
      <c r="HR138" s="544"/>
      <c r="HS138" s="544"/>
      <c r="HT138" s="544"/>
      <c r="HU138" s="544"/>
      <c r="HV138" s="544"/>
      <c r="HW138" s="544"/>
      <c r="HX138" s="544"/>
      <c r="HY138" s="544"/>
      <c r="HZ138" s="544"/>
      <c r="IA138" s="544"/>
      <c r="IB138" s="544"/>
      <c r="IC138" s="544"/>
      <c r="ID138" s="544"/>
      <c r="IE138" s="544"/>
      <c r="IF138" s="544"/>
      <c r="IG138" s="544"/>
      <c r="IH138" s="544"/>
      <c r="II138" s="544"/>
      <c r="IJ138" s="544"/>
      <c r="IK138" s="544"/>
      <c r="IL138" s="544"/>
      <c r="IM138" s="544"/>
      <c r="IN138" s="544"/>
      <c r="IO138" s="544"/>
      <c r="IP138" s="544"/>
      <c r="IQ138" s="544"/>
      <c r="IR138" s="544"/>
      <c r="IS138" s="544"/>
    </row>
    <row r="139" spans="1:253" ht="28" customHeight="1" x14ac:dyDescent="0.35">
      <c r="A139" s="544"/>
      <c r="B139" s="600" t="s">
        <v>646</v>
      </c>
      <c r="C139" s="881">
        <v>1</v>
      </c>
      <c r="E139" s="544"/>
      <c r="F139" s="544"/>
      <c r="G139" s="544"/>
      <c r="H139" s="544"/>
      <c r="I139" s="544"/>
      <c r="J139" s="544"/>
      <c r="K139" s="544"/>
      <c r="AY139" s="544"/>
      <c r="AZ139" s="544"/>
      <c r="BA139" s="544"/>
      <c r="BB139" s="544"/>
      <c r="BC139" s="544"/>
      <c r="BD139" s="544"/>
      <c r="BE139" s="544"/>
      <c r="BF139" s="544"/>
      <c r="BG139" s="544"/>
      <c r="BH139" s="544"/>
      <c r="BI139" s="544"/>
      <c r="BJ139" s="544"/>
      <c r="BK139" s="544"/>
      <c r="BL139" s="544"/>
      <c r="BM139" s="544"/>
      <c r="BN139" s="544"/>
      <c r="BO139" s="544"/>
      <c r="BP139" s="544"/>
      <c r="BQ139" s="544"/>
      <c r="BR139" s="544"/>
      <c r="BS139" s="544"/>
      <c r="BT139" s="544"/>
      <c r="BU139" s="544"/>
      <c r="BV139" s="544"/>
      <c r="BW139" s="544"/>
      <c r="BX139" s="544"/>
      <c r="BY139" s="544"/>
      <c r="BZ139" s="544"/>
      <c r="CA139" s="544"/>
      <c r="CB139" s="544"/>
      <c r="CC139" s="544"/>
      <c r="CD139" s="544"/>
      <c r="CE139" s="544"/>
      <c r="CF139" s="544"/>
      <c r="CG139" s="544"/>
      <c r="CH139" s="544"/>
      <c r="CI139" s="544"/>
      <c r="CJ139" s="544"/>
      <c r="CK139" s="544"/>
      <c r="CL139" s="544"/>
      <c r="CM139" s="544"/>
      <c r="CN139" s="544"/>
      <c r="CO139" s="544"/>
      <c r="CP139" s="544"/>
      <c r="CQ139" s="544"/>
      <c r="CR139" s="544"/>
      <c r="CS139" s="544"/>
      <c r="CT139" s="544"/>
      <c r="CU139" s="544"/>
      <c r="CV139" s="544"/>
      <c r="CW139" s="544"/>
      <c r="CX139" s="544"/>
      <c r="CY139" s="544"/>
      <c r="CZ139" s="544"/>
      <c r="DA139" s="544"/>
      <c r="DB139" s="544"/>
      <c r="DC139" s="544"/>
      <c r="DD139" s="544"/>
      <c r="DE139" s="544"/>
      <c r="DF139" s="544"/>
      <c r="DG139" s="544"/>
      <c r="DH139" s="544"/>
      <c r="DI139" s="544"/>
      <c r="DJ139" s="544"/>
      <c r="DK139" s="544"/>
      <c r="DL139" s="544"/>
      <c r="DM139" s="544"/>
      <c r="DN139" s="544"/>
      <c r="DO139" s="544"/>
      <c r="DP139" s="544"/>
      <c r="DQ139" s="544"/>
      <c r="DR139" s="544"/>
      <c r="DS139" s="544"/>
      <c r="DT139" s="544"/>
      <c r="DU139" s="544"/>
      <c r="DV139" s="544"/>
      <c r="DW139" s="544"/>
      <c r="DX139" s="544"/>
      <c r="DY139" s="544"/>
      <c r="DZ139" s="544"/>
      <c r="EA139" s="544"/>
      <c r="EB139" s="544"/>
      <c r="EC139" s="544"/>
      <c r="ED139" s="544"/>
      <c r="EE139" s="544"/>
      <c r="EF139" s="544"/>
      <c r="EG139" s="544"/>
      <c r="EH139" s="544"/>
      <c r="EI139" s="544"/>
      <c r="EJ139" s="544"/>
      <c r="EK139" s="544"/>
      <c r="EL139" s="544"/>
      <c r="EM139" s="544"/>
      <c r="EN139" s="544"/>
      <c r="EO139" s="544"/>
      <c r="EP139" s="544"/>
      <c r="EQ139" s="544"/>
      <c r="ER139" s="544"/>
      <c r="ES139" s="544"/>
      <c r="ET139" s="544"/>
      <c r="EU139" s="544"/>
      <c r="EV139" s="544"/>
      <c r="EW139" s="544"/>
      <c r="EX139" s="544"/>
      <c r="EY139" s="544"/>
      <c r="EZ139" s="544"/>
      <c r="FA139" s="544"/>
      <c r="FB139" s="544"/>
      <c r="FC139" s="544"/>
      <c r="FD139" s="544"/>
      <c r="FE139" s="544"/>
      <c r="FF139" s="544"/>
      <c r="FG139" s="544"/>
      <c r="FH139" s="544"/>
      <c r="FI139" s="544"/>
      <c r="FJ139" s="544"/>
      <c r="FK139" s="544"/>
      <c r="FL139" s="544"/>
      <c r="FM139" s="544"/>
      <c r="FN139" s="544"/>
      <c r="FO139" s="544"/>
      <c r="FP139" s="544"/>
      <c r="FQ139" s="544"/>
      <c r="FR139" s="544"/>
      <c r="FS139" s="544"/>
      <c r="FT139" s="544"/>
      <c r="FU139" s="544"/>
      <c r="FV139" s="544"/>
      <c r="FW139" s="544"/>
      <c r="FX139" s="544"/>
      <c r="FY139" s="544"/>
      <c r="FZ139" s="544"/>
      <c r="GA139" s="544"/>
      <c r="GB139" s="544"/>
      <c r="GC139" s="544"/>
      <c r="GD139" s="544"/>
      <c r="GE139" s="544"/>
      <c r="GF139" s="544"/>
      <c r="GG139" s="544"/>
      <c r="GH139" s="544"/>
      <c r="GI139" s="544"/>
      <c r="GJ139" s="544"/>
      <c r="GK139" s="544"/>
      <c r="GL139" s="544"/>
      <c r="GM139" s="544"/>
      <c r="GN139" s="544"/>
      <c r="GO139" s="544"/>
      <c r="GP139" s="544"/>
      <c r="GQ139" s="544"/>
      <c r="GR139" s="544"/>
      <c r="GS139" s="544"/>
      <c r="GT139" s="544"/>
      <c r="GU139" s="544"/>
      <c r="GV139" s="544"/>
      <c r="GW139" s="544"/>
      <c r="GX139" s="544"/>
      <c r="GY139" s="544"/>
      <c r="GZ139" s="544"/>
      <c r="HA139" s="544"/>
      <c r="HB139" s="544"/>
      <c r="HC139" s="544"/>
      <c r="HD139" s="544"/>
      <c r="HE139" s="544"/>
      <c r="HF139" s="544"/>
      <c r="HG139" s="544"/>
      <c r="HH139" s="544"/>
      <c r="HI139" s="544"/>
      <c r="HJ139" s="544"/>
      <c r="HK139" s="544"/>
      <c r="HL139" s="544"/>
      <c r="HM139" s="544"/>
      <c r="HN139" s="544"/>
      <c r="HO139" s="544"/>
      <c r="HP139" s="544"/>
      <c r="HQ139" s="544"/>
      <c r="HR139" s="544"/>
      <c r="HS139" s="544"/>
      <c r="HT139" s="544"/>
      <c r="HU139" s="544"/>
      <c r="HV139" s="544"/>
      <c r="HW139" s="544"/>
      <c r="HX139" s="544"/>
      <c r="HY139" s="544"/>
      <c r="HZ139" s="544"/>
      <c r="IA139" s="544"/>
      <c r="IB139" s="544"/>
      <c r="IC139" s="544"/>
      <c r="ID139" s="544"/>
      <c r="IE139" s="544"/>
      <c r="IF139" s="544"/>
      <c r="IG139" s="544"/>
      <c r="IH139" s="544"/>
      <c r="II139" s="544"/>
      <c r="IJ139" s="544"/>
      <c r="IK139" s="544"/>
      <c r="IL139" s="544"/>
      <c r="IM139" s="544"/>
      <c r="IN139" s="544"/>
      <c r="IO139" s="544"/>
      <c r="IP139" s="544"/>
      <c r="IQ139" s="544"/>
      <c r="IR139" s="544"/>
      <c r="IS139" s="544"/>
    </row>
    <row r="140" spans="1:253" ht="31" x14ac:dyDescent="0.35">
      <c r="A140" s="544"/>
      <c r="B140" s="1090" t="s">
        <v>661</v>
      </c>
      <c r="C140" s="881"/>
      <c r="E140" s="907"/>
      <c r="F140" s="908"/>
      <c r="G140" s="909"/>
      <c r="H140" s="913"/>
      <c r="I140" s="913"/>
      <c r="J140" s="917" t="s">
        <v>648</v>
      </c>
      <c r="K140" s="544"/>
      <c r="AA140" s="1089" t="s">
        <v>601</v>
      </c>
      <c r="AY140" s="544"/>
      <c r="AZ140" s="544"/>
      <c r="BA140" s="544"/>
      <c r="BB140" s="544"/>
      <c r="BC140" s="544"/>
      <c r="BD140" s="544"/>
      <c r="BE140" s="544"/>
      <c r="BF140" s="544"/>
      <c r="BG140" s="544"/>
      <c r="BH140" s="544"/>
      <c r="BI140" s="544"/>
      <c r="BJ140" s="544"/>
      <c r="BK140" s="544"/>
      <c r="BL140" s="544"/>
      <c r="BM140" s="544"/>
      <c r="BN140" s="544"/>
      <c r="BO140" s="544"/>
      <c r="BP140" s="544"/>
      <c r="BQ140" s="544"/>
      <c r="BR140" s="544"/>
      <c r="BS140" s="544"/>
      <c r="BT140" s="544"/>
      <c r="BU140" s="544"/>
      <c r="BV140" s="544"/>
      <c r="BW140" s="544"/>
      <c r="BX140" s="544"/>
      <c r="BY140" s="544"/>
      <c r="BZ140" s="544"/>
      <c r="CA140" s="544"/>
      <c r="CB140" s="544"/>
      <c r="CC140" s="544"/>
      <c r="CD140" s="544"/>
      <c r="CE140" s="544"/>
      <c r="CF140" s="544"/>
      <c r="CG140" s="544"/>
      <c r="CH140" s="544"/>
      <c r="CI140" s="544"/>
      <c r="CJ140" s="544"/>
      <c r="CK140" s="544"/>
      <c r="CL140" s="544"/>
      <c r="CM140" s="544"/>
      <c r="CN140" s="544"/>
      <c r="CO140" s="544"/>
      <c r="CP140" s="544"/>
      <c r="CQ140" s="544"/>
      <c r="CR140" s="544"/>
      <c r="CS140" s="544"/>
      <c r="CT140" s="544"/>
      <c r="CU140" s="544"/>
      <c r="CV140" s="544"/>
      <c r="CW140" s="544"/>
      <c r="CX140" s="544"/>
      <c r="CY140" s="544"/>
      <c r="CZ140" s="544"/>
      <c r="DA140" s="544"/>
      <c r="DB140" s="544"/>
      <c r="DC140" s="544"/>
      <c r="DD140" s="544"/>
      <c r="DE140" s="544"/>
      <c r="DF140" s="544"/>
      <c r="DG140" s="544"/>
      <c r="DH140" s="544"/>
      <c r="DI140" s="544"/>
      <c r="DJ140" s="544"/>
      <c r="DK140" s="544"/>
      <c r="DL140" s="544"/>
      <c r="DM140" s="544"/>
      <c r="DN140" s="544"/>
      <c r="DO140" s="544"/>
      <c r="DP140" s="544"/>
      <c r="DQ140" s="544"/>
      <c r="DR140" s="544"/>
      <c r="DS140" s="544"/>
      <c r="DT140" s="544"/>
      <c r="DU140" s="544"/>
      <c r="DV140" s="544"/>
      <c r="DW140" s="544"/>
      <c r="DX140" s="544"/>
      <c r="DY140" s="544"/>
      <c r="DZ140" s="544"/>
      <c r="EA140" s="544"/>
      <c r="EB140" s="544"/>
      <c r="EC140" s="544"/>
      <c r="ED140" s="544"/>
      <c r="EE140" s="544"/>
      <c r="EF140" s="544"/>
      <c r="EG140" s="544"/>
      <c r="EH140" s="544"/>
      <c r="EI140" s="544"/>
      <c r="EJ140" s="544"/>
      <c r="EK140" s="544"/>
      <c r="EL140" s="544"/>
      <c r="EM140" s="544"/>
      <c r="EN140" s="544"/>
      <c r="EO140" s="544"/>
      <c r="EP140" s="544"/>
      <c r="EQ140" s="544"/>
      <c r="ER140" s="544"/>
      <c r="ES140" s="544"/>
      <c r="ET140" s="544"/>
      <c r="EU140" s="544"/>
      <c r="EV140" s="544"/>
      <c r="EW140" s="544"/>
      <c r="EX140" s="544"/>
      <c r="EY140" s="544"/>
      <c r="EZ140" s="544"/>
      <c r="FA140" s="544"/>
      <c r="FB140" s="544"/>
      <c r="FC140" s="544"/>
      <c r="FD140" s="544"/>
      <c r="FE140" s="544"/>
      <c r="FF140" s="544"/>
      <c r="FG140" s="544"/>
      <c r="FH140" s="544"/>
      <c r="FI140" s="544"/>
      <c r="FJ140" s="544"/>
      <c r="FK140" s="544"/>
      <c r="FL140" s="544"/>
      <c r="FM140" s="544"/>
      <c r="FN140" s="544"/>
      <c r="FO140" s="544"/>
      <c r="FP140" s="544"/>
      <c r="FQ140" s="544"/>
      <c r="FR140" s="544"/>
      <c r="FS140" s="544"/>
      <c r="FT140" s="544"/>
      <c r="FU140" s="544"/>
      <c r="FV140" s="544"/>
      <c r="FW140" s="544"/>
      <c r="FX140" s="544"/>
      <c r="FY140" s="544"/>
      <c r="FZ140" s="544"/>
      <c r="GA140" s="544"/>
      <c r="GB140" s="544"/>
      <c r="GC140" s="544"/>
      <c r="GD140" s="544"/>
      <c r="GE140" s="544"/>
      <c r="GF140" s="544"/>
      <c r="GG140" s="544"/>
      <c r="GH140" s="544"/>
      <c r="GI140" s="544"/>
      <c r="GJ140" s="544"/>
      <c r="GK140" s="544"/>
      <c r="GL140" s="544"/>
      <c r="GM140" s="544"/>
      <c r="GN140" s="544"/>
      <c r="GO140" s="544"/>
      <c r="GP140" s="544"/>
      <c r="GQ140" s="544"/>
      <c r="GR140" s="544"/>
      <c r="GS140" s="544"/>
      <c r="GT140" s="544"/>
      <c r="GU140" s="544"/>
      <c r="GV140" s="544"/>
      <c r="GW140" s="544"/>
      <c r="GX140" s="544"/>
      <c r="GY140" s="544"/>
      <c r="GZ140" s="544"/>
      <c r="HA140" s="544"/>
      <c r="HB140" s="544"/>
      <c r="HC140" s="544"/>
      <c r="HD140" s="544"/>
      <c r="HE140" s="544"/>
      <c r="HF140" s="544"/>
      <c r="HG140" s="544"/>
      <c r="HH140" s="544"/>
      <c r="HI140" s="544"/>
      <c r="HJ140" s="544"/>
      <c r="HK140" s="544"/>
      <c r="HL140" s="544"/>
      <c r="HM140" s="544"/>
      <c r="HN140" s="544"/>
      <c r="HO140" s="544"/>
      <c r="HP140" s="544"/>
      <c r="HQ140" s="544"/>
      <c r="HR140" s="544"/>
      <c r="HS140" s="544"/>
      <c r="HT140" s="544"/>
      <c r="HU140" s="544"/>
      <c r="HV140" s="544"/>
      <c r="HW140" s="544"/>
      <c r="HX140" s="544"/>
      <c r="HY140" s="544"/>
      <c r="HZ140" s="544"/>
      <c r="IA140" s="544"/>
      <c r="IB140" s="544"/>
      <c r="IC140" s="544"/>
      <c r="ID140" s="544"/>
      <c r="IE140" s="544"/>
      <c r="IF140" s="544"/>
      <c r="IG140" s="544"/>
      <c r="IH140" s="544"/>
      <c r="II140" s="544"/>
      <c r="IJ140" s="544"/>
      <c r="IK140" s="544"/>
      <c r="IL140" s="544"/>
      <c r="IM140" s="544"/>
      <c r="IN140" s="544"/>
      <c r="IO140" s="544"/>
      <c r="IP140" s="544"/>
      <c r="IQ140" s="544"/>
      <c r="IR140" s="544"/>
      <c r="IS140" s="544"/>
    </row>
    <row r="141" spans="1:253" ht="31" x14ac:dyDescent="0.35">
      <c r="A141" s="544"/>
      <c r="B141" s="1090" t="s">
        <v>649</v>
      </c>
      <c r="C141" s="881"/>
      <c r="E141" s="907"/>
      <c r="F141" s="908"/>
      <c r="G141" s="909"/>
      <c r="H141" s="913"/>
      <c r="I141" s="913"/>
      <c r="J141" s="544"/>
      <c r="K141" s="544"/>
      <c r="AA141" s="1089" t="s">
        <v>601</v>
      </c>
      <c r="AY141" s="544"/>
      <c r="AZ141" s="544"/>
      <c r="BA141" s="544"/>
      <c r="BB141" s="544"/>
      <c r="BC141" s="544"/>
      <c r="BD141" s="544"/>
      <c r="BE141" s="544"/>
      <c r="BF141" s="544"/>
      <c r="BG141" s="544"/>
      <c r="BH141" s="544"/>
      <c r="BI141" s="544"/>
      <c r="BJ141" s="544"/>
      <c r="BK141" s="544"/>
      <c r="BL141" s="544"/>
      <c r="BM141" s="544"/>
      <c r="BN141" s="544"/>
      <c r="BO141" s="544"/>
      <c r="BP141" s="544"/>
      <c r="BQ141" s="544"/>
      <c r="BR141" s="544"/>
      <c r="BS141" s="544"/>
      <c r="BT141" s="544"/>
      <c r="BU141" s="544"/>
      <c r="BV141" s="544"/>
      <c r="BW141" s="544"/>
      <c r="BX141" s="544"/>
      <c r="BY141" s="544"/>
      <c r="BZ141" s="544"/>
      <c r="CA141" s="544"/>
      <c r="CB141" s="544"/>
      <c r="CC141" s="544"/>
      <c r="CD141" s="544"/>
      <c r="CE141" s="544"/>
      <c r="CF141" s="544"/>
      <c r="CG141" s="544"/>
      <c r="CH141" s="544"/>
      <c r="CI141" s="544"/>
      <c r="CJ141" s="544"/>
      <c r="CK141" s="544"/>
      <c r="CL141" s="544"/>
      <c r="CM141" s="544"/>
      <c r="CN141" s="544"/>
      <c r="CO141" s="544"/>
      <c r="CP141" s="544"/>
      <c r="CQ141" s="544"/>
      <c r="CR141" s="544"/>
      <c r="CS141" s="544"/>
      <c r="CT141" s="544"/>
      <c r="CU141" s="544"/>
      <c r="CV141" s="544"/>
      <c r="CW141" s="544"/>
      <c r="CX141" s="544"/>
      <c r="CY141" s="544"/>
      <c r="CZ141" s="544"/>
      <c r="DA141" s="544"/>
      <c r="DB141" s="544"/>
      <c r="DC141" s="544"/>
      <c r="DD141" s="544"/>
      <c r="DE141" s="544"/>
      <c r="DF141" s="544"/>
      <c r="DG141" s="544"/>
      <c r="DH141" s="544"/>
      <c r="DI141" s="544"/>
      <c r="DJ141" s="544"/>
      <c r="DK141" s="544"/>
      <c r="DL141" s="544"/>
      <c r="DM141" s="544"/>
      <c r="DN141" s="544"/>
      <c r="DO141" s="544"/>
      <c r="DP141" s="544"/>
      <c r="DQ141" s="544"/>
      <c r="DR141" s="544"/>
      <c r="DS141" s="544"/>
      <c r="DT141" s="544"/>
      <c r="DU141" s="544"/>
      <c r="DV141" s="544"/>
      <c r="DW141" s="544"/>
      <c r="DX141" s="544"/>
      <c r="DY141" s="544"/>
      <c r="DZ141" s="544"/>
      <c r="EA141" s="544"/>
      <c r="EB141" s="544"/>
      <c r="EC141" s="544"/>
      <c r="ED141" s="544"/>
      <c r="EE141" s="544"/>
      <c r="EF141" s="544"/>
      <c r="EG141" s="544"/>
      <c r="EH141" s="544"/>
      <c r="EI141" s="544"/>
      <c r="EJ141" s="544"/>
      <c r="EK141" s="544"/>
      <c r="EL141" s="544"/>
      <c r="EM141" s="544"/>
      <c r="EN141" s="544"/>
      <c r="EO141" s="544"/>
      <c r="EP141" s="544"/>
      <c r="EQ141" s="544"/>
      <c r="ER141" s="544"/>
      <c r="ES141" s="544"/>
      <c r="ET141" s="544"/>
      <c r="EU141" s="544"/>
      <c r="EV141" s="544"/>
      <c r="EW141" s="544"/>
      <c r="EX141" s="544"/>
      <c r="EY141" s="544"/>
      <c r="EZ141" s="544"/>
      <c r="FA141" s="544"/>
      <c r="FB141" s="544"/>
      <c r="FC141" s="544"/>
      <c r="FD141" s="544"/>
      <c r="FE141" s="544"/>
      <c r="FF141" s="544"/>
      <c r="FG141" s="544"/>
      <c r="FH141" s="544"/>
      <c r="FI141" s="544"/>
      <c r="FJ141" s="544"/>
      <c r="FK141" s="544"/>
      <c r="FL141" s="544"/>
      <c r="FM141" s="544"/>
      <c r="FN141" s="544"/>
      <c r="FO141" s="544"/>
      <c r="FP141" s="544"/>
      <c r="FQ141" s="544"/>
      <c r="FR141" s="544"/>
      <c r="FS141" s="544"/>
      <c r="FT141" s="544"/>
      <c r="FU141" s="544"/>
      <c r="FV141" s="544"/>
      <c r="FW141" s="544"/>
      <c r="FX141" s="544"/>
      <c r="FY141" s="544"/>
      <c r="FZ141" s="544"/>
      <c r="GA141" s="544"/>
      <c r="GB141" s="544"/>
      <c r="GC141" s="544"/>
      <c r="GD141" s="544"/>
      <c r="GE141" s="544"/>
      <c r="GF141" s="544"/>
      <c r="GG141" s="544"/>
      <c r="GH141" s="544"/>
      <c r="GI141" s="544"/>
      <c r="GJ141" s="544"/>
      <c r="GK141" s="544"/>
      <c r="GL141" s="544"/>
      <c r="GM141" s="544"/>
      <c r="GN141" s="544"/>
      <c r="GO141" s="544"/>
      <c r="GP141" s="544"/>
      <c r="GQ141" s="544"/>
      <c r="GR141" s="544"/>
      <c r="GS141" s="544"/>
      <c r="GT141" s="544"/>
      <c r="GU141" s="544"/>
      <c r="GV141" s="544"/>
      <c r="GW141" s="544"/>
      <c r="GX141" s="544"/>
      <c r="GY141" s="544"/>
      <c r="GZ141" s="544"/>
      <c r="HA141" s="544"/>
      <c r="HB141" s="544"/>
      <c r="HC141" s="544"/>
      <c r="HD141" s="544"/>
      <c r="HE141" s="544"/>
      <c r="HF141" s="544"/>
      <c r="HG141" s="544"/>
      <c r="HH141" s="544"/>
      <c r="HI141" s="544"/>
      <c r="HJ141" s="544"/>
      <c r="HK141" s="544"/>
      <c r="HL141" s="544"/>
      <c r="HM141" s="544"/>
      <c r="HN141" s="544"/>
      <c r="HO141" s="544"/>
      <c r="HP141" s="544"/>
      <c r="HQ141" s="544"/>
      <c r="HR141" s="544"/>
      <c r="HS141" s="544"/>
      <c r="HT141" s="544"/>
      <c r="HU141" s="544"/>
      <c r="HV141" s="544"/>
      <c r="HW141" s="544"/>
      <c r="HX141" s="544"/>
      <c r="HY141" s="544"/>
      <c r="HZ141" s="544"/>
      <c r="IA141" s="544"/>
      <c r="IB141" s="544"/>
      <c r="IC141" s="544"/>
      <c r="ID141" s="544"/>
      <c r="IE141" s="544"/>
      <c r="IF141" s="544"/>
      <c r="IG141" s="544"/>
      <c r="IH141" s="544"/>
      <c r="II141" s="544"/>
      <c r="IJ141" s="544"/>
      <c r="IK141" s="544"/>
      <c r="IL141" s="544"/>
      <c r="IM141" s="544"/>
      <c r="IN141" s="544"/>
      <c r="IO141" s="544"/>
      <c r="IP141" s="544"/>
      <c r="IQ141" s="544"/>
      <c r="IR141" s="544"/>
      <c r="IS141" s="544"/>
    </row>
    <row r="142" spans="1:253" ht="31" x14ac:dyDescent="0.35">
      <c r="A142" s="544"/>
      <c r="B142" s="1090" t="s">
        <v>658</v>
      </c>
      <c r="C142" s="881"/>
      <c r="E142" s="907"/>
      <c r="F142" s="908"/>
      <c r="G142" s="909"/>
      <c r="H142" s="544"/>
      <c r="I142" s="544"/>
      <c r="J142" s="544"/>
      <c r="K142" s="544"/>
      <c r="AA142" s="1089" t="s">
        <v>601</v>
      </c>
      <c r="AY142" s="544"/>
      <c r="AZ142" s="544"/>
      <c r="BA142" s="544"/>
      <c r="BB142" s="544"/>
      <c r="BC142" s="544"/>
      <c r="BD142" s="544"/>
      <c r="BE142" s="544"/>
      <c r="BF142" s="544"/>
      <c r="BG142" s="544"/>
      <c r="BH142" s="544"/>
      <c r="BI142" s="544"/>
      <c r="BJ142" s="544"/>
      <c r="BK142" s="544"/>
      <c r="BL142" s="544"/>
      <c r="BM142" s="544"/>
      <c r="BN142" s="544"/>
      <c r="BO142" s="544"/>
      <c r="BP142" s="544"/>
      <c r="BQ142" s="544"/>
      <c r="BR142" s="544"/>
      <c r="BS142" s="544"/>
      <c r="BT142" s="544"/>
      <c r="BU142" s="544"/>
      <c r="BV142" s="544"/>
      <c r="BW142" s="544"/>
      <c r="BX142" s="544"/>
      <c r="BY142" s="544"/>
      <c r="BZ142" s="544"/>
      <c r="CA142" s="544"/>
      <c r="CB142" s="544"/>
      <c r="CC142" s="544"/>
      <c r="CD142" s="544"/>
      <c r="CE142" s="544"/>
      <c r="CF142" s="544"/>
      <c r="CG142" s="544"/>
      <c r="CH142" s="544"/>
      <c r="CI142" s="544"/>
      <c r="CJ142" s="544"/>
      <c r="CK142" s="544"/>
      <c r="CL142" s="544"/>
      <c r="CM142" s="544"/>
      <c r="CN142" s="544"/>
      <c r="CO142" s="544"/>
      <c r="CP142" s="544"/>
      <c r="CQ142" s="544"/>
      <c r="CR142" s="544"/>
      <c r="CS142" s="544"/>
      <c r="CT142" s="544"/>
      <c r="CU142" s="544"/>
      <c r="CV142" s="544"/>
      <c r="CW142" s="544"/>
      <c r="CX142" s="544"/>
      <c r="CY142" s="544"/>
      <c r="CZ142" s="544"/>
      <c r="DA142" s="544"/>
      <c r="DB142" s="544"/>
      <c r="DC142" s="544"/>
      <c r="DD142" s="544"/>
      <c r="DE142" s="544"/>
      <c r="DF142" s="544"/>
      <c r="DG142" s="544"/>
      <c r="DH142" s="544"/>
      <c r="DI142" s="544"/>
      <c r="DJ142" s="544"/>
      <c r="DK142" s="544"/>
      <c r="DL142" s="544"/>
      <c r="DM142" s="544"/>
      <c r="DN142" s="544"/>
      <c r="DO142" s="544"/>
      <c r="DP142" s="544"/>
      <c r="DQ142" s="544"/>
      <c r="DR142" s="544"/>
      <c r="DS142" s="544"/>
      <c r="DT142" s="544"/>
      <c r="DU142" s="544"/>
      <c r="DV142" s="544"/>
      <c r="DW142" s="544"/>
      <c r="DX142" s="544"/>
      <c r="DY142" s="544"/>
      <c r="DZ142" s="544"/>
      <c r="EA142" s="544"/>
      <c r="EB142" s="544"/>
      <c r="EC142" s="544"/>
      <c r="ED142" s="544"/>
      <c r="EE142" s="544"/>
      <c r="EF142" s="544"/>
      <c r="EG142" s="544"/>
      <c r="EH142" s="544"/>
      <c r="EI142" s="544"/>
      <c r="EJ142" s="544"/>
      <c r="EK142" s="544"/>
      <c r="EL142" s="544"/>
      <c r="EM142" s="544"/>
      <c r="EN142" s="544"/>
      <c r="EO142" s="544"/>
      <c r="EP142" s="544"/>
      <c r="EQ142" s="544"/>
      <c r="ER142" s="544"/>
      <c r="ES142" s="544"/>
      <c r="ET142" s="544"/>
      <c r="EU142" s="544"/>
      <c r="EV142" s="544"/>
      <c r="EW142" s="544"/>
      <c r="EX142" s="544"/>
      <c r="EY142" s="544"/>
      <c r="EZ142" s="544"/>
      <c r="FA142" s="544"/>
      <c r="FB142" s="544"/>
      <c r="FC142" s="544"/>
      <c r="FD142" s="544"/>
      <c r="FE142" s="544"/>
      <c r="FF142" s="544"/>
      <c r="FG142" s="544"/>
      <c r="FH142" s="544"/>
      <c r="FI142" s="544"/>
      <c r="FJ142" s="544"/>
      <c r="FK142" s="544"/>
      <c r="FL142" s="544"/>
      <c r="FM142" s="544"/>
      <c r="FN142" s="544"/>
      <c r="FO142" s="544"/>
      <c r="FP142" s="544"/>
      <c r="FQ142" s="544"/>
      <c r="FR142" s="544"/>
      <c r="FS142" s="544"/>
      <c r="FT142" s="544"/>
      <c r="FU142" s="544"/>
      <c r="FV142" s="544"/>
      <c r="FW142" s="544"/>
      <c r="FX142" s="544"/>
      <c r="FY142" s="544"/>
      <c r="FZ142" s="544"/>
      <c r="GA142" s="544"/>
      <c r="GB142" s="544"/>
      <c r="GC142" s="544"/>
      <c r="GD142" s="544"/>
      <c r="GE142" s="544"/>
      <c r="GF142" s="544"/>
      <c r="GG142" s="544"/>
      <c r="GH142" s="544"/>
      <c r="GI142" s="544"/>
      <c r="GJ142" s="544"/>
      <c r="GK142" s="544"/>
      <c r="GL142" s="544"/>
      <c r="GM142" s="544"/>
      <c r="GN142" s="544"/>
      <c r="GO142" s="544"/>
      <c r="GP142" s="544"/>
      <c r="GQ142" s="544"/>
      <c r="GR142" s="544"/>
      <c r="GS142" s="544"/>
      <c r="GT142" s="544"/>
      <c r="GU142" s="544"/>
      <c r="GV142" s="544"/>
      <c r="GW142" s="544"/>
      <c r="GX142" s="544"/>
      <c r="GY142" s="544"/>
      <c r="GZ142" s="544"/>
      <c r="HA142" s="544"/>
      <c r="HB142" s="544"/>
      <c r="HC142" s="544"/>
      <c r="HD142" s="544"/>
      <c r="HE142" s="544"/>
      <c r="HF142" s="544"/>
      <c r="HG142" s="544"/>
      <c r="HH142" s="544"/>
      <c r="HI142" s="544"/>
      <c r="HJ142" s="544"/>
      <c r="HK142" s="544"/>
      <c r="HL142" s="544"/>
      <c r="HM142" s="544"/>
      <c r="HN142" s="544"/>
      <c r="HO142" s="544"/>
      <c r="HP142" s="544"/>
      <c r="HQ142" s="544"/>
      <c r="HR142" s="544"/>
      <c r="HS142" s="544"/>
      <c r="HT142" s="544"/>
      <c r="HU142" s="544"/>
      <c r="HV142" s="544"/>
      <c r="HW142" s="544"/>
      <c r="HX142" s="544"/>
      <c r="HY142" s="544"/>
      <c r="HZ142" s="544"/>
      <c r="IA142" s="544"/>
      <c r="IB142" s="544"/>
      <c r="IC142" s="544"/>
      <c r="ID142" s="544"/>
      <c r="IE142" s="544"/>
      <c r="IF142" s="544"/>
      <c r="IG142" s="544"/>
      <c r="IH142" s="544"/>
      <c r="II142" s="544"/>
      <c r="IJ142" s="544"/>
      <c r="IK142" s="544"/>
      <c r="IL142" s="544"/>
      <c r="IM142" s="544"/>
      <c r="IN142" s="544"/>
      <c r="IO142" s="544"/>
      <c r="IP142" s="544"/>
      <c r="IQ142" s="544"/>
      <c r="IR142" s="544"/>
      <c r="IS142" s="544"/>
    </row>
    <row r="143" spans="1:253" ht="31" x14ac:dyDescent="0.35">
      <c r="A143" s="544"/>
      <c r="B143" s="1090" t="s">
        <v>651</v>
      </c>
      <c r="C143" s="881"/>
      <c r="E143" s="907"/>
      <c r="F143" s="908"/>
      <c r="G143" s="909"/>
      <c r="H143" s="544"/>
      <c r="I143" s="544"/>
      <c r="J143" s="544"/>
      <c r="K143" s="544"/>
      <c r="AA143" s="1089" t="s">
        <v>601</v>
      </c>
      <c r="AY143" s="544"/>
      <c r="AZ143" s="544"/>
      <c r="BA143" s="544"/>
      <c r="BB143" s="544"/>
      <c r="BC143" s="544"/>
      <c r="BD143" s="544"/>
      <c r="BE143" s="544"/>
      <c r="BF143" s="544"/>
      <c r="BG143" s="544"/>
      <c r="BH143" s="544"/>
      <c r="BI143" s="544"/>
      <c r="BJ143" s="544"/>
      <c r="BK143" s="544"/>
      <c r="BL143" s="544"/>
      <c r="BM143" s="544"/>
      <c r="BN143" s="544"/>
      <c r="BO143" s="544"/>
      <c r="BP143" s="544"/>
      <c r="BQ143" s="544"/>
      <c r="BR143" s="544"/>
      <c r="BS143" s="544"/>
      <c r="BT143" s="544"/>
      <c r="BU143" s="544"/>
      <c r="BV143" s="544"/>
      <c r="BW143" s="544"/>
      <c r="BX143" s="544"/>
      <c r="BY143" s="544"/>
      <c r="BZ143" s="544"/>
      <c r="CA143" s="544"/>
      <c r="CB143" s="544"/>
      <c r="CC143" s="544"/>
      <c r="CD143" s="544"/>
      <c r="CE143" s="544"/>
      <c r="CF143" s="544"/>
      <c r="CG143" s="544"/>
      <c r="CH143" s="544"/>
      <c r="CI143" s="544"/>
      <c r="CJ143" s="544"/>
      <c r="CK143" s="544"/>
      <c r="CL143" s="544"/>
      <c r="CM143" s="544"/>
      <c r="CN143" s="544"/>
      <c r="CO143" s="544"/>
      <c r="CP143" s="544"/>
      <c r="CQ143" s="544"/>
      <c r="CR143" s="544"/>
      <c r="CS143" s="544"/>
      <c r="CT143" s="544"/>
      <c r="CU143" s="544"/>
      <c r="CV143" s="544"/>
      <c r="CW143" s="544"/>
      <c r="CX143" s="544"/>
      <c r="CY143" s="544"/>
      <c r="CZ143" s="544"/>
      <c r="DA143" s="544"/>
      <c r="DB143" s="544"/>
      <c r="DC143" s="544"/>
      <c r="DD143" s="544"/>
      <c r="DE143" s="544"/>
      <c r="DF143" s="544"/>
      <c r="DG143" s="544"/>
      <c r="DH143" s="544"/>
      <c r="DI143" s="544"/>
      <c r="DJ143" s="544"/>
      <c r="DK143" s="544"/>
      <c r="DL143" s="544"/>
      <c r="DM143" s="544"/>
      <c r="DN143" s="544"/>
      <c r="DO143" s="544"/>
      <c r="DP143" s="544"/>
      <c r="DQ143" s="544"/>
      <c r="DR143" s="544"/>
      <c r="DS143" s="544"/>
      <c r="DT143" s="544"/>
      <c r="DU143" s="544"/>
      <c r="DV143" s="544"/>
      <c r="DW143" s="544"/>
      <c r="DX143" s="544"/>
      <c r="DY143" s="544"/>
      <c r="DZ143" s="544"/>
      <c r="EA143" s="544"/>
      <c r="EB143" s="544"/>
      <c r="EC143" s="544"/>
      <c r="ED143" s="544"/>
      <c r="EE143" s="544"/>
      <c r="EF143" s="544"/>
      <c r="EG143" s="544"/>
      <c r="EH143" s="544"/>
      <c r="EI143" s="544"/>
      <c r="EJ143" s="544"/>
      <c r="EK143" s="544"/>
      <c r="EL143" s="544"/>
      <c r="EM143" s="544"/>
      <c r="EN143" s="544"/>
      <c r="EO143" s="544"/>
      <c r="EP143" s="544"/>
      <c r="EQ143" s="544"/>
      <c r="ER143" s="544"/>
      <c r="ES143" s="544"/>
      <c r="ET143" s="544"/>
      <c r="EU143" s="544"/>
      <c r="EV143" s="544"/>
      <c r="EW143" s="544"/>
      <c r="EX143" s="544"/>
      <c r="EY143" s="544"/>
      <c r="EZ143" s="544"/>
      <c r="FA143" s="544"/>
      <c r="FB143" s="544"/>
      <c r="FC143" s="544"/>
      <c r="FD143" s="544"/>
      <c r="FE143" s="544"/>
      <c r="FF143" s="544"/>
      <c r="FG143" s="544"/>
      <c r="FH143" s="544"/>
      <c r="FI143" s="544"/>
      <c r="FJ143" s="544"/>
      <c r="FK143" s="544"/>
      <c r="FL143" s="544"/>
      <c r="FM143" s="544"/>
      <c r="FN143" s="544"/>
      <c r="FO143" s="544"/>
      <c r="FP143" s="544"/>
      <c r="FQ143" s="544"/>
      <c r="FR143" s="544"/>
      <c r="FS143" s="544"/>
      <c r="FT143" s="544"/>
      <c r="FU143" s="544"/>
      <c r="FV143" s="544"/>
      <c r="FW143" s="544"/>
      <c r="FX143" s="544"/>
      <c r="FY143" s="544"/>
      <c r="FZ143" s="544"/>
      <c r="GA143" s="544"/>
      <c r="GB143" s="544"/>
      <c r="GC143" s="544"/>
      <c r="GD143" s="544"/>
      <c r="GE143" s="544"/>
      <c r="GF143" s="544"/>
      <c r="GG143" s="544"/>
      <c r="GH143" s="544"/>
      <c r="GI143" s="544"/>
      <c r="GJ143" s="544"/>
      <c r="GK143" s="544"/>
      <c r="GL143" s="544"/>
      <c r="GM143" s="544"/>
      <c r="GN143" s="544"/>
      <c r="GO143" s="544"/>
      <c r="GP143" s="544"/>
      <c r="GQ143" s="544"/>
      <c r="GR143" s="544"/>
      <c r="GS143" s="544"/>
      <c r="GT143" s="544"/>
      <c r="GU143" s="544"/>
      <c r="GV143" s="544"/>
      <c r="GW143" s="544"/>
      <c r="GX143" s="544"/>
      <c r="GY143" s="544"/>
      <c r="GZ143" s="544"/>
      <c r="HA143" s="544"/>
      <c r="HB143" s="544"/>
      <c r="HC143" s="544"/>
      <c r="HD143" s="544"/>
      <c r="HE143" s="544"/>
      <c r="HF143" s="544"/>
      <c r="HG143" s="544"/>
      <c r="HH143" s="544"/>
      <c r="HI143" s="544"/>
      <c r="HJ143" s="544"/>
      <c r="HK143" s="544"/>
      <c r="HL143" s="544"/>
      <c r="HM143" s="544"/>
      <c r="HN143" s="544"/>
      <c r="HO143" s="544"/>
      <c r="HP143" s="544"/>
      <c r="HQ143" s="544"/>
      <c r="HR143" s="544"/>
      <c r="HS143" s="544"/>
      <c r="HT143" s="544"/>
      <c r="HU143" s="544"/>
      <c r="HV143" s="544"/>
      <c r="HW143" s="544"/>
      <c r="HX143" s="544"/>
      <c r="HY143" s="544"/>
      <c r="HZ143" s="544"/>
      <c r="IA143" s="544"/>
      <c r="IB143" s="544"/>
      <c r="IC143" s="544"/>
      <c r="ID143" s="544"/>
      <c r="IE143" s="544"/>
      <c r="IF143" s="544"/>
      <c r="IG143" s="544"/>
      <c r="IH143" s="544"/>
      <c r="II143" s="544"/>
      <c r="IJ143" s="544"/>
      <c r="IK143" s="544"/>
      <c r="IL143" s="544"/>
      <c r="IM143" s="544"/>
      <c r="IN143" s="544"/>
      <c r="IO143" s="544"/>
      <c r="IP143" s="544"/>
      <c r="IQ143" s="544"/>
      <c r="IR143" s="544"/>
      <c r="IS143" s="544"/>
    </row>
    <row r="144" spans="1:253" ht="31" x14ac:dyDescent="0.35">
      <c r="A144" s="544"/>
      <c r="B144" s="1090" t="s">
        <v>652</v>
      </c>
      <c r="C144" s="881"/>
      <c r="E144" s="907"/>
      <c r="F144" s="908"/>
      <c r="G144" s="909"/>
      <c r="H144" s="544"/>
      <c r="I144" s="544"/>
      <c r="J144" s="544"/>
      <c r="K144" s="544"/>
      <c r="AA144" s="1089" t="s">
        <v>601</v>
      </c>
      <c r="AY144" s="544"/>
      <c r="AZ144" s="544"/>
      <c r="BA144" s="544"/>
      <c r="BB144" s="544"/>
      <c r="BC144" s="544"/>
      <c r="BD144" s="544"/>
      <c r="BE144" s="544"/>
      <c r="BF144" s="544"/>
      <c r="BG144" s="544"/>
      <c r="BH144" s="544"/>
      <c r="BI144" s="544"/>
      <c r="BJ144" s="544"/>
      <c r="BK144" s="544"/>
      <c r="BL144" s="544"/>
      <c r="BM144" s="544"/>
      <c r="BN144" s="544"/>
      <c r="BO144" s="544"/>
      <c r="BP144" s="544"/>
      <c r="BQ144" s="544"/>
      <c r="BR144" s="544"/>
      <c r="BS144" s="544"/>
      <c r="BT144" s="544"/>
      <c r="BU144" s="544"/>
      <c r="BV144" s="544"/>
      <c r="BW144" s="544"/>
      <c r="BX144" s="544"/>
      <c r="BY144" s="544"/>
      <c r="BZ144" s="544"/>
      <c r="CA144" s="544"/>
      <c r="CB144" s="544"/>
      <c r="CC144" s="544"/>
      <c r="CD144" s="544"/>
      <c r="CE144" s="544"/>
      <c r="CF144" s="544"/>
      <c r="CG144" s="544"/>
      <c r="CH144" s="544"/>
      <c r="CI144" s="544"/>
      <c r="CJ144" s="544"/>
      <c r="CK144" s="544"/>
      <c r="CL144" s="544"/>
      <c r="CM144" s="544"/>
      <c r="CN144" s="544"/>
      <c r="CO144" s="544"/>
      <c r="CP144" s="544"/>
      <c r="CQ144" s="544"/>
      <c r="CR144" s="544"/>
      <c r="CS144" s="544"/>
      <c r="CT144" s="544"/>
      <c r="CU144" s="544"/>
      <c r="CV144" s="544"/>
      <c r="CW144" s="544"/>
      <c r="CX144" s="544"/>
      <c r="CY144" s="544"/>
      <c r="CZ144" s="544"/>
      <c r="DA144" s="544"/>
      <c r="DB144" s="544"/>
      <c r="DC144" s="544"/>
      <c r="DD144" s="544"/>
      <c r="DE144" s="544"/>
      <c r="DF144" s="544"/>
      <c r="DG144" s="544"/>
      <c r="DH144" s="544"/>
      <c r="DI144" s="544"/>
      <c r="DJ144" s="544"/>
      <c r="DK144" s="544"/>
      <c r="DL144" s="544"/>
      <c r="DM144" s="544"/>
      <c r="DN144" s="544"/>
      <c r="DO144" s="544"/>
      <c r="DP144" s="544"/>
      <c r="DQ144" s="544"/>
      <c r="DR144" s="544"/>
      <c r="DS144" s="544"/>
      <c r="DT144" s="544"/>
      <c r="DU144" s="544"/>
      <c r="DV144" s="544"/>
      <c r="DW144" s="544"/>
      <c r="DX144" s="544"/>
      <c r="DY144" s="544"/>
      <c r="DZ144" s="544"/>
      <c r="EA144" s="544"/>
      <c r="EB144" s="544"/>
      <c r="EC144" s="544"/>
      <c r="ED144" s="544"/>
      <c r="EE144" s="544"/>
      <c r="EF144" s="544"/>
      <c r="EG144" s="544"/>
      <c r="EH144" s="544"/>
      <c r="EI144" s="544"/>
      <c r="EJ144" s="544"/>
      <c r="EK144" s="544"/>
      <c r="EL144" s="544"/>
      <c r="EM144" s="544"/>
      <c r="EN144" s="544"/>
      <c r="EO144" s="544"/>
      <c r="EP144" s="544"/>
      <c r="EQ144" s="544"/>
      <c r="ER144" s="544"/>
      <c r="ES144" s="544"/>
      <c r="ET144" s="544"/>
      <c r="EU144" s="544"/>
      <c r="EV144" s="544"/>
      <c r="EW144" s="544"/>
      <c r="EX144" s="544"/>
      <c r="EY144" s="544"/>
      <c r="EZ144" s="544"/>
      <c r="FA144" s="544"/>
      <c r="FB144" s="544"/>
      <c r="FC144" s="544"/>
      <c r="FD144" s="544"/>
      <c r="FE144" s="544"/>
      <c r="FF144" s="544"/>
      <c r="FG144" s="544"/>
      <c r="FH144" s="544"/>
      <c r="FI144" s="544"/>
      <c r="FJ144" s="544"/>
      <c r="FK144" s="544"/>
      <c r="FL144" s="544"/>
      <c r="FM144" s="544"/>
      <c r="FN144" s="544"/>
      <c r="FO144" s="544"/>
      <c r="FP144" s="544"/>
      <c r="FQ144" s="544"/>
      <c r="FR144" s="544"/>
      <c r="FS144" s="544"/>
      <c r="FT144" s="544"/>
      <c r="FU144" s="544"/>
      <c r="FV144" s="544"/>
      <c r="FW144" s="544"/>
      <c r="FX144" s="544"/>
      <c r="FY144" s="544"/>
      <c r="FZ144" s="544"/>
      <c r="GA144" s="544"/>
      <c r="GB144" s="544"/>
      <c r="GC144" s="544"/>
      <c r="GD144" s="544"/>
      <c r="GE144" s="544"/>
      <c r="GF144" s="544"/>
      <c r="GG144" s="544"/>
      <c r="GH144" s="544"/>
      <c r="GI144" s="544"/>
      <c r="GJ144" s="544"/>
      <c r="GK144" s="544"/>
      <c r="GL144" s="544"/>
      <c r="GM144" s="544"/>
      <c r="GN144" s="544"/>
      <c r="GO144" s="544"/>
      <c r="GP144" s="544"/>
      <c r="GQ144" s="544"/>
      <c r="GR144" s="544"/>
      <c r="GS144" s="544"/>
      <c r="GT144" s="544"/>
      <c r="GU144" s="544"/>
      <c r="GV144" s="544"/>
      <c r="GW144" s="544"/>
      <c r="GX144" s="544"/>
      <c r="GY144" s="544"/>
      <c r="GZ144" s="544"/>
      <c r="HA144" s="544"/>
      <c r="HB144" s="544"/>
      <c r="HC144" s="544"/>
      <c r="HD144" s="544"/>
      <c r="HE144" s="544"/>
      <c r="HF144" s="544"/>
      <c r="HG144" s="544"/>
      <c r="HH144" s="544"/>
      <c r="HI144" s="544"/>
      <c r="HJ144" s="544"/>
      <c r="HK144" s="544"/>
      <c r="HL144" s="544"/>
      <c r="HM144" s="544"/>
      <c r="HN144" s="544"/>
      <c r="HO144" s="544"/>
      <c r="HP144" s="544"/>
      <c r="HQ144" s="544"/>
      <c r="HR144" s="544"/>
      <c r="HS144" s="544"/>
      <c r="HT144" s="544"/>
      <c r="HU144" s="544"/>
      <c r="HV144" s="544"/>
      <c r="HW144" s="544"/>
      <c r="HX144" s="544"/>
      <c r="HY144" s="544"/>
      <c r="HZ144" s="544"/>
      <c r="IA144" s="544"/>
      <c r="IB144" s="544"/>
      <c r="IC144" s="544"/>
      <c r="ID144" s="544"/>
      <c r="IE144" s="544"/>
      <c r="IF144" s="544"/>
      <c r="IG144" s="544"/>
      <c r="IH144" s="544"/>
      <c r="II144" s="544"/>
      <c r="IJ144" s="544"/>
      <c r="IK144" s="544"/>
      <c r="IL144" s="544"/>
      <c r="IM144" s="544"/>
      <c r="IN144" s="544"/>
      <c r="IO144" s="544"/>
      <c r="IP144" s="544"/>
      <c r="IQ144" s="544"/>
      <c r="IR144" s="544"/>
      <c r="IS144" s="544"/>
    </row>
    <row r="145" spans="1:253" ht="31" x14ac:dyDescent="0.35">
      <c r="A145" s="544"/>
      <c r="B145" s="1090" t="s">
        <v>653</v>
      </c>
      <c r="C145" s="881"/>
      <c r="E145" s="907"/>
      <c r="F145" s="908"/>
      <c r="G145" s="909"/>
      <c r="H145" s="544"/>
      <c r="I145" s="544"/>
      <c r="J145" s="544"/>
      <c r="K145" s="544"/>
      <c r="AA145" s="1089" t="s">
        <v>601</v>
      </c>
      <c r="AY145" s="544"/>
      <c r="AZ145" s="544"/>
      <c r="BA145" s="544"/>
      <c r="BB145" s="544"/>
      <c r="BC145" s="544"/>
      <c r="BD145" s="544"/>
      <c r="BE145" s="544"/>
      <c r="BF145" s="544"/>
      <c r="BG145" s="544"/>
      <c r="BH145" s="544"/>
      <c r="BI145" s="544"/>
      <c r="BJ145" s="544"/>
      <c r="BK145" s="544"/>
      <c r="BL145" s="544"/>
      <c r="BM145" s="544"/>
      <c r="BN145" s="544"/>
      <c r="BO145" s="544"/>
      <c r="BP145" s="544"/>
      <c r="BQ145" s="544"/>
      <c r="BR145" s="544"/>
      <c r="BS145" s="544"/>
      <c r="BT145" s="544"/>
      <c r="BU145" s="544"/>
      <c r="BV145" s="544"/>
      <c r="BW145" s="544"/>
      <c r="BX145" s="544"/>
      <c r="BY145" s="544"/>
      <c r="BZ145" s="544"/>
      <c r="CA145" s="544"/>
      <c r="CB145" s="544"/>
      <c r="CC145" s="544"/>
      <c r="CD145" s="544"/>
      <c r="CE145" s="544"/>
      <c r="CF145" s="544"/>
      <c r="CG145" s="544"/>
      <c r="CH145" s="544"/>
      <c r="CI145" s="544"/>
      <c r="CJ145" s="544"/>
      <c r="CK145" s="544"/>
      <c r="CL145" s="544"/>
      <c r="CM145" s="544"/>
      <c r="CN145" s="544"/>
      <c r="CO145" s="544"/>
      <c r="CP145" s="544"/>
      <c r="CQ145" s="544"/>
      <c r="CR145" s="544"/>
      <c r="CS145" s="544"/>
      <c r="CT145" s="544"/>
      <c r="CU145" s="544"/>
      <c r="CV145" s="544"/>
      <c r="CW145" s="544"/>
      <c r="CX145" s="544"/>
      <c r="CY145" s="544"/>
      <c r="CZ145" s="544"/>
      <c r="DA145" s="544"/>
      <c r="DB145" s="544"/>
      <c r="DC145" s="544"/>
      <c r="DD145" s="544"/>
      <c r="DE145" s="544"/>
      <c r="DF145" s="544"/>
      <c r="DG145" s="544"/>
      <c r="DH145" s="544"/>
      <c r="DI145" s="544"/>
      <c r="DJ145" s="544"/>
      <c r="DK145" s="544"/>
      <c r="DL145" s="544"/>
      <c r="DM145" s="544"/>
      <c r="DN145" s="544"/>
      <c r="DO145" s="544"/>
      <c r="DP145" s="544"/>
      <c r="DQ145" s="544"/>
      <c r="DR145" s="544"/>
      <c r="DS145" s="544"/>
      <c r="DT145" s="544"/>
      <c r="DU145" s="544"/>
      <c r="DV145" s="544"/>
      <c r="DW145" s="544"/>
      <c r="DX145" s="544"/>
      <c r="DY145" s="544"/>
      <c r="DZ145" s="544"/>
      <c r="EA145" s="544"/>
      <c r="EB145" s="544"/>
      <c r="EC145" s="544"/>
      <c r="ED145" s="544"/>
      <c r="EE145" s="544"/>
      <c r="EF145" s="544"/>
      <c r="EG145" s="544"/>
      <c r="EH145" s="544"/>
      <c r="EI145" s="544"/>
      <c r="EJ145" s="544"/>
      <c r="EK145" s="544"/>
      <c r="EL145" s="544"/>
      <c r="EM145" s="544"/>
      <c r="EN145" s="544"/>
      <c r="EO145" s="544"/>
      <c r="EP145" s="544"/>
      <c r="EQ145" s="544"/>
      <c r="ER145" s="544"/>
      <c r="ES145" s="544"/>
      <c r="ET145" s="544"/>
      <c r="EU145" s="544"/>
      <c r="EV145" s="544"/>
      <c r="EW145" s="544"/>
      <c r="EX145" s="544"/>
      <c r="EY145" s="544"/>
      <c r="EZ145" s="544"/>
      <c r="FA145" s="544"/>
      <c r="FB145" s="544"/>
      <c r="FC145" s="544"/>
      <c r="FD145" s="544"/>
      <c r="FE145" s="544"/>
      <c r="FF145" s="544"/>
      <c r="FG145" s="544"/>
      <c r="FH145" s="544"/>
      <c r="FI145" s="544"/>
      <c r="FJ145" s="544"/>
      <c r="FK145" s="544"/>
      <c r="FL145" s="544"/>
      <c r="FM145" s="544"/>
      <c r="FN145" s="544"/>
      <c r="FO145" s="544"/>
      <c r="FP145" s="544"/>
      <c r="FQ145" s="544"/>
      <c r="FR145" s="544"/>
      <c r="FS145" s="544"/>
      <c r="FT145" s="544"/>
      <c r="FU145" s="544"/>
      <c r="FV145" s="544"/>
      <c r="FW145" s="544"/>
      <c r="FX145" s="544"/>
      <c r="FY145" s="544"/>
      <c r="FZ145" s="544"/>
      <c r="GA145" s="544"/>
      <c r="GB145" s="544"/>
      <c r="GC145" s="544"/>
      <c r="GD145" s="544"/>
      <c r="GE145" s="544"/>
      <c r="GF145" s="544"/>
      <c r="GG145" s="544"/>
      <c r="GH145" s="544"/>
      <c r="GI145" s="544"/>
      <c r="GJ145" s="544"/>
      <c r="GK145" s="544"/>
      <c r="GL145" s="544"/>
      <c r="GM145" s="544"/>
      <c r="GN145" s="544"/>
      <c r="GO145" s="544"/>
      <c r="GP145" s="544"/>
      <c r="GQ145" s="544"/>
      <c r="GR145" s="544"/>
      <c r="GS145" s="544"/>
      <c r="GT145" s="544"/>
      <c r="GU145" s="544"/>
      <c r="GV145" s="544"/>
      <c r="GW145" s="544"/>
      <c r="GX145" s="544"/>
      <c r="GY145" s="544"/>
      <c r="GZ145" s="544"/>
      <c r="HA145" s="544"/>
      <c r="HB145" s="544"/>
      <c r="HC145" s="544"/>
      <c r="HD145" s="544"/>
      <c r="HE145" s="544"/>
      <c r="HF145" s="544"/>
      <c r="HG145" s="544"/>
      <c r="HH145" s="544"/>
      <c r="HI145" s="544"/>
      <c r="HJ145" s="544"/>
      <c r="HK145" s="544"/>
      <c r="HL145" s="544"/>
      <c r="HM145" s="544"/>
      <c r="HN145" s="544"/>
      <c r="HO145" s="544"/>
      <c r="HP145" s="544"/>
      <c r="HQ145" s="544"/>
      <c r="HR145" s="544"/>
      <c r="HS145" s="544"/>
      <c r="HT145" s="544"/>
      <c r="HU145" s="544"/>
      <c r="HV145" s="544"/>
      <c r="HW145" s="544"/>
      <c r="HX145" s="544"/>
      <c r="HY145" s="544"/>
      <c r="HZ145" s="544"/>
      <c r="IA145" s="544"/>
      <c r="IB145" s="544"/>
      <c r="IC145" s="544"/>
      <c r="ID145" s="544"/>
      <c r="IE145" s="544"/>
      <c r="IF145" s="544"/>
      <c r="IG145" s="544"/>
      <c r="IH145" s="544"/>
      <c r="II145" s="544"/>
      <c r="IJ145" s="544"/>
      <c r="IK145" s="544"/>
      <c r="IL145" s="544"/>
      <c r="IM145" s="544"/>
      <c r="IN145" s="544"/>
      <c r="IO145" s="544"/>
      <c r="IP145" s="544"/>
      <c r="IQ145" s="544"/>
      <c r="IR145" s="544"/>
      <c r="IS145" s="544"/>
    </row>
    <row r="146" spans="1:253" ht="31" x14ac:dyDescent="0.35">
      <c r="A146" s="544"/>
      <c r="B146" s="1090" t="s">
        <v>654</v>
      </c>
      <c r="C146" s="881"/>
      <c r="E146" s="907"/>
      <c r="F146" s="908"/>
      <c r="G146" s="909"/>
      <c r="H146" s="544"/>
      <c r="I146" s="544"/>
      <c r="J146" s="544"/>
      <c r="K146" s="544"/>
      <c r="AA146" s="1089" t="s">
        <v>601</v>
      </c>
      <c r="AY146" s="544"/>
      <c r="AZ146" s="544"/>
      <c r="BA146" s="544"/>
      <c r="BB146" s="544"/>
      <c r="BC146" s="544"/>
      <c r="BD146" s="544"/>
      <c r="BE146" s="544"/>
      <c r="BF146" s="544"/>
      <c r="BG146" s="544"/>
      <c r="BH146" s="544"/>
      <c r="BI146" s="544"/>
      <c r="BJ146" s="544"/>
      <c r="BK146" s="544"/>
      <c r="BL146" s="544"/>
      <c r="BM146" s="544"/>
      <c r="BN146" s="544"/>
      <c r="BO146" s="544"/>
      <c r="BP146" s="544"/>
      <c r="BQ146" s="544"/>
      <c r="BR146" s="544"/>
      <c r="BS146" s="544"/>
      <c r="BT146" s="544"/>
      <c r="BU146" s="544"/>
      <c r="BV146" s="544"/>
      <c r="BW146" s="544"/>
      <c r="BX146" s="544"/>
      <c r="BY146" s="544"/>
      <c r="BZ146" s="544"/>
      <c r="CA146" s="544"/>
      <c r="CB146" s="544"/>
      <c r="CC146" s="544"/>
      <c r="CD146" s="544"/>
      <c r="CE146" s="544"/>
      <c r="CF146" s="544"/>
      <c r="CG146" s="544"/>
      <c r="CH146" s="544"/>
      <c r="CI146" s="544"/>
      <c r="CJ146" s="544"/>
      <c r="CK146" s="544"/>
      <c r="CL146" s="544"/>
      <c r="CM146" s="544"/>
      <c r="CN146" s="544"/>
      <c r="CO146" s="544"/>
      <c r="CP146" s="544"/>
      <c r="CQ146" s="544"/>
      <c r="CR146" s="544"/>
      <c r="CS146" s="544"/>
      <c r="CT146" s="544"/>
      <c r="CU146" s="544"/>
      <c r="CV146" s="544"/>
      <c r="CW146" s="544"/>
      <c r="CX146" s="544"/>
      <c r="CY146" s="544"/>
      <c r="CZ146" s="544"/>
      <c r="DA146" s="544"/>
      <c r="DB146" s="544"/>
      <c r="DC146" s="544"/>
      <c r="DD146" s="544"/>
      <c r="DE146" s="544"/>
      <c r="DF146" s="544"/>
      <c r="DG146" s="544"/>
      <c r="DH146" s="544"/>
      <c r="DI146" s="544"/>
      <c r="DJ146" s="544"/>
      <c r="DK146" s="544"/>
      <c r="DL146" s="544"/>
      <c r="DM146" s="544"/>
      <c r="DN146" s="544"/>
      <c r="DO146" s="544"/>
      <c r="DP146" s="544"/>
      <c r="DQ146" s="544"/>
      <c r="DR146" s="544"/>
      <c r="DS146" s="544"/>
      <c r="DT146" s="544"/>
      <c r="DU146" s="544"/>
      <c r="DV146" s="544"/>
      <c r="DW146" s="544"/>
      <c r="DX146" s="544"/>
      <c r="DY146" s="544"/>
      <c r="DZ146" s="544"/>
      <c r="EA146" s="544"/>
      <c r="EB146" s="544"/>
      <c r="EC146" s="544"/>
      <c r="ED146" s="544"/>
      <c r="EE146" s="544"/>
      <c r="EF146" s="544"/>
      <c r="EG146" s="544"/>
      <c r="EH146" s="544"/>
      <c r="EI146" s="544"/>
      <c r="EJ146" s="544"/>
      <c r="EK146" s="544"/>
      <c r="EL146" s="544"/>
      <c r="EM146" s="544"/>
      <c r="EN146" s="544"/>
      <c r="EO146" s="544"/>
      <c r="EP146" s="544"/>
      <c r="EQ146" s="544"/>
      <c r="ER146" s="544"/>
      <c r="ES146" s="544"/>
      <c r="ET146" s="544"/>
      <c r="EU146" s="544"/>
      <c r="EV146" s="544"/>
      <c r="EW146" s="544"/>
      <c r="EX146" s="544"/>
      <c r="EY146" s="544"/>
      <c r="EZ146" s="544"/>
      <c r="FA146" s="544"/>
      <c r="FB146" s="544"/>
      <c r="FC146" s="544"/>
      <c r="FD146" s="544"/>
      <c r="FE146" s="544"/>
      <c r="FF146" s="544"/>
      <c r="FG146" s="544"/>
      <c r="FH146" s="544"/>
      <c r="FI146" s="544"/>
      <c r="FJ146" s="544"/>
      <c r="FK146" s="544"/>
      <c r="FL146" s="544"/>
      <c r="FM146" s="544"/>
      <c r="FN146" s="544"/>
      <c r="FO146" s="544"/>
      <c r="FP146" s="544"/>
      <c r="FQ146" s="544"/>
      <c r="FR146" s="544"/>
      <c r="FS146" s="544"/>
      <c r="FT146" s="544"/>
      <c r="FU146" s="544"/>
      <c r="FV146" s="544"/>
      <c r="FW146" s="544"/>
      <c r="FX146" s="544"/>
      <c r="FY146" s="544"/>
      <c r="FZ146" s="544"/>
      <c r="GA146" s="544"/>
      <c r="GB146" s="544"/>
      <c r="GC146" s="544"/>
      <c r="GD146" s="544"/>
      <c r="GE146" s="544"/>
      <c r="GF146" s="544"/>
      <c r="GG146" s="544"/>
      <c r="GH146" s="544"/>
      <c r="GI146" s="544"/>
      <c r="GJ146" s="544"/>
      <c r="GK146" s="544"/>
      <c r="GL146" s="544"/>
      <c r="GM146" s="544"/>
      <c r="GN146" s="544"/>
      <c r="GO146" s="544"/>
      <c r="GP146" s="544"/>
      <c r="GQ146" s="544"/>
      <c r="GR146" s="544"/>
      <c r="GS146" s="544"/>
      <c r="GT146" s="544"/>
      <c r="GU146" s="544"/>
      <c r="GV146" s="544"/>
      <c r="GW146" s="544"/>
      <c r="GX146" s="544"/>
      <c r="GY146" s="544"/>
      <c r="GZ146" s="544"/>
      <c r="HA146" s="544"/>
      <c r="HB146" s="544"/>
      <c r="HC146" s="544"/>
      <c r="HD146" s="544"/>
      <c r="HE146" s="544"/>
      <c r="HF146" s="544"/>
      <c r="HG146" s="544"/>
      <c r="HH146" s="544"/>
      <c r="HI146" s="544"/>
      <c r="HJ146" s="544"/>
      <c r="HK146" s="544"/>
      <c r="HL146" s="544"/>
      <c r="HM146" s="544"/>
      <c r="HN146" s="544"/>
      <c r="HO146" s="544"/>
      <c r="HP146" s="544"/>
      <c r="HQ146" s="544"/>
      <c r="HR146" s="544"/>
      <c r="HS146" s="544"/>
      <c r="HT146" s="544"/>
      <c r="HU146" s="544"/>
      <c r="HV146" s="544"/>
      <c r="HW146" s="544"/>
      <c r="HX146" s="544"/>
      <c r="HY146" s="544"/>
      <c r="HZ146" s="544"/>
      <c r="IA146" s="544"/>
      <c r="IB146" s="544"/>
      <c r="IC146" s="544"/>
      <c r="ID146" s="544"/>
      <c r="IE146" s="544"/>
      <c r="IF146" s="544"/>
      <c r="IG146" s="544"/>
      <c r="IH146" s="544"/>
      <c r="II146" s="544"/>
      <c r="IJ146" s="544"/>
      <c r="IK146" s="544"/>
      <c r="IL146" s="544"/>
      <c r="IM146" s="544"/>
      <c r="IN146" s="544"/>
      <c r="IO146" s="544"/>
      <c r="IP146" s="544"/>
      <c r="IQ146" s="544"/>
      <c r="IR146" s="544"/>
      <c r="IS146" s="544"/>
    </row>
    <row r="147" spans="1:253" s="544" customFormat="1" ht="17.149999999999999" customHeight="1" x14ac:dyDescent="0.35">
      <c r="B147" s="601"/>
      <c r="C147" s="601"/>
      <c r="D147" s="523"/>
    </row>
    <row r="148" spans="1:253" s="544" customFormat="1" ht="17.149999999999999" customHeight="1" x14ac:dyDescent="0.35">
      <c r="B148" s="645"/>
      <c r="C148" s="1091"/>
      <c r="D148" s="661"/>
    </row>
    <row r="149" spans="1:253" s="544" customFormat="1" ht="17.149999999999999" customHeight="1" x14ac:dyDescent="0.35">
      <c r="B149" s="592" t="s">
        <v>671</v>
      </c>
      <c r="C149" s="1091"/>
      <c r="D149" s="661"/>
    </row>
    <row r="150" spans="1:253" ht="28" customHeight="1" x14ac:dyDescent="0.35">
      <c r="A150" s="544"/>
      <c r="B150" s="1484" t="s">
        <v>594</v>
      </c>
      <c r="C150" s="684" t="s">
        <v>374</v>
      </c>
      <c r="E150" s="667" t="s">
        <v>521</v>
      </c>
      <c r="F150" s="1480"/>
      <c r="G150" s="1481"/>
      <c r="H150" s="1474" t="s">
        <v>656</v>
      </c>
      <c r="I150" s="1474" t="s">
        <v>645</v>
      </c>
      <c r="J150" s="544"/>
      <c r="K150" s="544"/>
      <c r="AY150" s="544"/>
      <c r="AZ150" s="544"/>
      <c r="BA150" s="544"/>
      <c r="BB150" s="544"/>
      <c r="BC150" s="544"/>
      <c r="BD150" s="544"/>
      <c r="BE150" s="544"/>
      <c r="BF150" s="544"/>
      <c r="BG150" s="544"/>
      <c r="BH150" s="544"/>
      <c r="BI150" s="544"/>
      <c r="BJ150" s="544"/>
      <c r="BK150" s="544"/>
      <c r="BL150" s="544"/>
      <c r="BM150" s="544"/>
      <c r="BN150" s="544"/>
      <c r="BO150" s="544"/>
      <c r="BP150" s="544"/>
      <c r="BQ150" s="544"/>
      <c r="BR150" s="544"/>
      <c r="BS150" s="544"/>
      <c r="BT150" s="544"/>
      <c r="BU150" s="544"/>
      <c r="BV150" s="544"/>
      <c r="BW150" s="544"/>
      <c r="BX150" s="544"/>
      <c r="BY150" s="544"/>
      <c r="BZ150" s="544"/>
      <c r="CA150" s="544"/>
      <c r="CB150" s="544"/>
      <c r="CC150" s="544"/>
      <c r="CD150" s="544"/>
      <c r="CE150" s="544"/>
      <c r="CF150" s="544"/>
      <c r="CG150" s="544"/>
      <c r="CH150" s="544"/>
      <c r="CI150" s="544"/>
      <c r="CJ150" s="544"/>
      <c r="CK150" s="544"/>
      <c r="CL150" s="544"/>
      <c r="CM150" s="544"/>
      <c r="CN150" s="544"/>
      <c r="CO150" s="544"/>
      <c r="CP150" s="544"/>
      <c r="CQ150" s="544"/>
      <c r="CR150" s="544"/>
      <c r="CS150" s="544"/>
      <c r="CT150" s="544"/>
      <c r="CU150" s="544"/>
      <c r="CV150" s="544"/>
      <c r="CW150" s="544"/>
      <c r="CX150" s="544"/>
      <c r="CY150" s="544"/>
      <c r="CZ150" s="544"/>
      <c r="DA150" s="544"/>
      <c r="DB150" s="544"/>
      <c r="DC150" s="544"/>
      <c r="DD150" s="544"/>
      <c r="DE150" s="544"/>
      <c r="DF150" s="544"/>
      <c r="DG150" s="544"/>
      <c r="DH150" s="544"/>
      <c r="DI150" s="544"/>
      <c r="DJ150" s="544"/>
      <c r="DK150" s="544"/>
      <c r="DL150" s="544"/>
      <c r="DM150" s="544"/>
      <c r="DN150" s="544"/>
      <c r="DO150" s="544"/>
      <c r="DP150" s="544"/>
      <c r="DQ150" s="544"/>
      <c r="DR150" s="544"/>
      <c r="DS150" s="544"/>
      <c r="DT150" s="544"/>
      <c r="DU150" s="544"/>
      <c r="DV150" s="544"/>
      <c r="DW150" s="544"/>
      <c r="DX150" s="544"/>
      <c r="DY150" s="544"/>
      <c r="DZ150" s="544"/>
      <c r="EA150" s="544"/>
      <c r="EB150" s="544"/>
      <c r="EC150" s="544"/>
      <c r="ED150" s="544"/>
      <c r="EE150" s="544"/>
      <c r="EF150" s="544"/>
      <c r="EG150" s="544"/>
      <c r="EH150" s="544"/>
      <c r="EI150" s="544"/>
      <c r="EJ150" s="544"/>
      <c r="EK150" s="544"/>
      <c r="EL150" s="544"/>
      <c r="EM150" s="544"/>
      <c r="EN150" s="544"/>
      <c r="EO150" s="544"/>
      <c r="EP150" s="544"/>
      <c r="EQ150" s="544"/>
      <c r="ER150" s="544"/>
      <c r="ES150" s="544"/>
      <c r="ET150" s="544"/>
      <c r="EU150" s="544"/>
      <c r="EV150" s="544"/>
      <c r="EW150" s="544"/>
      <c r="EX150" s="544"/>
      <c r="EY150" s="544"/>
      <c r="EZ150" s="544"/>
      <c r="FA150" s="544"/>
      <c r="FB150" s="544"/>
      <c r="FC150" s="544"/>
      <c r="FD150" s="544"/>
      <c r="FE150" s="544"/>
      <c r="FF150" s="544"/>
      <c r="FG150" s="544"/>
      <c r="FH150" s="544"/>
      <c r="FI150" s="544"/>
      <c r="FJ150" s="544"/>
      <c r="FK150" s="544"/>
      <c r="FL150" s="544"/>
      <c r="FM150" s="544"/>
      <c r="FN150" s="544"/>
      <c r="FO150" s="544"/>
      <c r="FP150" s="544"/>
      <c r="FQ150" s="544"/>
      <c r="FR150" s="544"/>
      <c r="FS150" s="544"/>
      <c r="FT150" s="544"/>
      <c r="FU150" s="544"/>
      <c r="FV150" s="544"/>
      <c r="FW150" s="544"/>
      <c r="FX150" s="544"/>
      <c r="FY150" s="544"/>
      <c r="FZ150" s="544"/>
      <c r="GA150" s="544"/>
      <c r="GB150" s="544"/>
      <c r="GC150" s="544"/>
      <c r="GD150" s="544"/>
      <c r="GE150" s="544"/>
      <c r="GF150" s="544"/>
      <c r="GG150" s="544"/>
      <c r="GH150" s="544"/>
      <c r="GI150" s="544"/>
      <c r="GJ150" s="544"/>
      <c r="GK150" s="544"/>
      <c r="GL150" s="544"/>
      <c r="GM150" s="544"/>
      <c r="GN150" s="544"/>
      <c r="GO150" s="544"/>
      <c r="GP150" s="544"/>
      <c r="GQ150" s="544"/>
      <c r="GR150" s="544"/>
      <c r="GS150" s="544"/>
      <c r="GT150" s="544"/>
      <c r="GU150" s="544"/>
      <c r="GV150" s="544"/>
      <c r="GW150" s="544"/>
      <c r="GX150" s="544"/>
      <c r="GY150" s="544"/>
      <c r="GZ150" s="544"/>
      <c r="HA150" s="544"/>
      <c r="HB150" s="544"/>
      <c r="HC150" s="544"/>
      <c r="HD150" s="544"/>
      <c r="HE150" s="544"/>
      <c r="HF150" s="544"/>
      <c r="HG150" s="544"/>
      <c r="HH150" s="544"/>
      <c r="HI150" s="544"/>
      <c r="HJ150" s="544"/>
      <c r="HK150" s="544"/>
      <c r="HL150" s="544"/>
      <c r="HM150" s="544"/>
      <c r="HN150" s="544"/>
      <c r="HO150" s="544"/>
      <c r="HP150" s="544"/>
      <c r="HQ150" s="544"/>
      <c r="HR150" s="544"/>
      <c r="HS150" s="544"/>
      <c r="HT150" s="544"/>
      <c r="HU150" s="544"/>
      <c r="HV150" s="544"/>
      <c r="HW150" s="544"/>
      <c r="HX150" s="544"/>
      <c r="HY150" s="544"/>
      <c r="HZ150" s="544"/>
      <c r="IA150" s="544"/>
      <c r="IB150" s="544"/>
      <c r="IC150" s="544"/>
      <c r="ID150" s="544"/>
      <c r="IE150" s="544"/>
      <c r="IF150" s="544"/>
      <c r="IG150" s="544"/>
      <c r="IH150" s="544"/>
      <c r="II150" s="544"/>
      <c r="IJ150" s="544"/>
      <c r="IK150" s="544"/>
      <c r="IL150" s="544"/>
      <c r="IM150" s="544"/>
      <c r="IN150" s="544"/>
      <c r="IO150" s="544"/>
      <c r="IP150" s="544"/>
      <c r="IQ150" s="544"/>
      <c r="IR150" s="544"/>
      <c r="IS150" s="544"/>
    </row>
    <row r="151" spans="1:253" ht="28" customHeight="1" x14ac:dyDescent="0.35">
      <c r="A151" s="544"/>
      <c r="B151" s="600" t="s">
        <v>646</v>
      </c>
      <c r="C151" s="881">
        <v>1</v>
      </c>
      <c r="E151" s="544"/>
      <c r="F151" s="544"/>
      <c r="G151" s="544"/>
      <c r="H151" s="544"/>
      <c r="I151" s="544"/>
      <c r="J151" s="544"/>
      <c r="K151" s="544"/>
      <c r="AY151" s="544"/>
      <c r="AZ151" s="544"/>
      <c r="BA151" s="544"/>
      <c r="BB151" s="544"/>
      <c r="BC151" s="544"/>
      <c r="BD151" s="544"/>
      <c r="BE151" s="544"/>
      <c r="BF151" s="544"/>
      <c r="BG151" s="544"/>
      <c r="BH151" s="544"/>
      <c r="BI151" s="544"/>
      <c r="BJ151" s="544"/>
      <c r="BK151" s="544"/>
      <c r="BL151" s="544"/>
      <c r="BM151" s="544"/>
      <c r="BN151" s="544"/>
      <c r="BO151" s="544"/>
      <c r="BP151" s="544"/>
      <c r="BQ151" s="544"/>
      <c r="BR151" s="544"/>
      <c r="BS151" s="544"/>
      <c r="BT151" s="544"/>
      <c r="BU151" s="544"/>
      <c r="BV151" s="544"/>
      <c r="BW151" s="544"/>
      <c r="BX151" s="544"/>
      <c r="BY151" s="544"/>
      <c r="BZ151" s="544"/>
      <c r="CA151" s="544"/>
      <c r="CB151" s="544"/>
      <c r="CC151" s="544"/>
      <c r="CD151" s="544"/>
      <c r="CE151" s="544"/>
      <c r="CF151" s="544"/>
      <c r="CG151" s="544"/>
      <c r="CH151" s="544"/>
      <c r="CI151" s="544"/>
      <c r="CJ151" s="544"/>
      <c r="CK151" s="544"/>
      <c r="CL151" s="544"/>
      <c r="CM151" s="544"/>
      <c r="CN151" s="544"/>
      <c r="CO151" s="544"/>
      <c r="CP151" s="544"/>
      <c r="CQ151" s="544"/>
      <c r="CR151" s="544"/>
      <c r="CS151" s="544"/>
      <c r="CT151" s="544"/>
      <c r="CU151" s="544"/>
      <c r="CV151" s="544"/>
      <c r="CW151" s="544"/>
      <c r="CX151" s="544"/>
      <c r="CY151" s="544"/>
      <c r="CZ151" s="544"/>
      <c r="DA151" s="544"/>
      <c r="DB151" s="544"/>
      <c r="DC151" s="544"/>
      <c r="DD151" s="544"/>
      <c r="DE151" s="544"/>
      <c r="DF151" s="544"/>
      <c r="DG151" s="544"/>
      <c r="DH151" s="544"/>
      <c r="DI151" s="544"/>
      <c r="DJ151" s="544"/>
      <c r="DK151" s="544"/>
      <c r="DL151" s="544"/>
      <c r="DM151" s="544"/>
      <c r="DN151" s="544"/>
      <c r="DO151" s="544"/>
      <c r="DP151" s="544"/>
      <c r="DQ151" s="544"/>
      <c r="DR151" s="544"/>
      <c r="DS151" s="544"/>
      <c r="DT151" s="544"/>
      <c r="DU151" s="544"/>
      <c r="DV151" s="544"/>
      <c r="DW151" s="544"/>
      <c r="DX151" s="544"/>
      <c r="DY151" s="544"/>
      <c r="DZ151" s="544"/>
      <c r="EA151" s="544"/>
      <c r="EB151" s="544"/>
      <c r="EC151" s="544"/>
      <c r="ED151" s="544"/>
      <c r="EE151" s="544"/>
      <c r="EF151" s="544"/>
      <c r="EG151" s="544"/>
      <c r="EH151" s="544"/>
      <c r="EI151" s="544"/>
      <c r="EJ151" s="544"/>
      <c r="EK151" s="544"/>
      <c r="EL151" s="544"/>
      <c r="EM151" s="544"/>
      <c r="EN151" s="544"/>
      <c r="EO151" s="544"/>
      <c r="EP151" s="544"/>
      <c r="EQ151" s="544"/>
      <c r="ER151" s="544"/>
      <c r="ES151" s="544"/>
      <c r="ET151" s="544"/>
      <c r="EU151" s="544"/>
      <c r="EV151" s="544"/>
      <c r="EW151" s="544"/>
      <c r="EX151" s="544"/>
      <c r="EY151" s="544"/>
      <c r="EZ151" s="544"/>
      <c r="FA151" s="544"/>
      <c r="FB151" s="544"/>
      <c r="FC151" s="544"/>
      <c r="FD151" s="544"/>
      <c r="FE151" s="544"/>
      <c r="FF151" s="544"/>
      <c r="FG151" s="544"/>
      <c r="FH151" s="544"/>
      <c r="FI151" s="544"/>
      <c r="FJ151" s="544"/>
      <c r="FK151" s="544"/>
      <c r="FL151" s="544"/>
      <c r="FM151" s="544"/>
      <c r="FN151" s="544"/>
      <c r="FO151" s="544"/>
      <c r="FP151" s="544"/>
      <c r="FQ151" s="544"/>
      <c r="FR151" s="544"/>
      <c r="FS151" s="544"/>
      <c r="FT151" s="544"/>
      <c r="FU151" s="544"/>
      <c r="FV151" s="544"/>
      <c r="FW151" s="544"/>
      <c r="FX151" s="544"/>
      <c r="FY151" s="544"/>
      <c r="FZ151" s="544"/>
      <c r="GA151" s="544"/>
      <c r="GB151" s="544"/>
      <c r="GC151" s="544"/>
      <c r="GD151" s="544"/>
      <c r="GE151" s="544"/>
      <c r="GF151" s="544"/>
      <c r="GG151" s="544"/>
      <c r="GH151" s="544"/>
      <c r="GI151" s="544"/>
      <c r="GJ151" s="544"/>
      <c r="GK151" s="544"/>
      <c r="GL151" s="544"/>
      <c r="GM151" s="544"/>
      <c r="GN151" s="544"/>
      <c r="GO151" s="544"/>
      <c r="GP151" s="544"/>
      <c r="GQ151" s="544"/>
      <c r="GR151" s="544"/>
      <c r="GS151" s="544"/>
      <c r="GT151" s="544"/>
      <c r="GU151" s="544"/>
      <c r="GV151" s="544"/>
      <c r="GW151" s="544"/>
      <c r="GX151" s="544"/>
      <c r="GY151" s="544"/>
      <c r="GZ151" s="544"/>
      <c r="HA151" s="544"/>
      <c r="HB151" s="544"/>
      <c r="HC151" s="544"/>
      <c r="HD151" s="544"/>
      <c r="HE151" s="544"/>
      <c r="HF151" s="544"/>
      <c r="HG151" s="544"/>
      <c r="HH151" s="544"/>
      <c r="HI151" s="544"/>
      <c r="HJ151" s="544"/>
      <c r="HK151" s="544"/>
      <c r="HL151" s="544"/>
      <c r="HM151" s="544"/>
      <c r="HN151" s="544"/>
      <c r="HO151" s="544"/>
      <c r="HP151" s="544"/>
      <c r="HQ151" s="544"/>
      <c r="HR151" s="544"/>
      <c r="HS151" s="544"/>
      <c r="HT151" s="544"/>
      <c r="HU151" s="544"/>
      <c r="HV151" s="544"/>
      <c r="HW151" s="544"/>
      <c r="HX151" s="544"/>
      <c r="HY151" s="544"/>
      <c r="HZ151" s="544"/>
      <c r="IA151" s="544"/>
      <c r="IB151" s="544"/>
      <c r="IC151" s="544"/>
      <c r="ID151" s="544"/>
      <c r="IE151" s="544"/>
      <c r="IF151" s="544"/>
      <c r="IG151" s="544"/>
      <c r="IH151" s="544"/>
      <c r="II151" s="544"/>
      <c r="IJ151" s="544"/>
      <c r="IK151" s="544"/>
      <c r="IL151" s="544"/>
      <c r="IM151" s="544"/>
      <c r="IN151" s="544"/>
      <c r="IO151" s="544"/>
      <c r="IP151" s="544"/>
      <c r="IQ151" s="544"/>
      <c r="IR151" s="544"/>
      <c r="IS151" s="544"/>
    </row>
    <row r="152" spans="1:253" ht="31" x14ac:dyDescent="0.35">
      <c r="A152" s="544"/>
      <c r="B152" s="1090" t="s">
        <v>661</v>
      </c>
      <c r="C152" s="881"/>
      <c r="E152" s="907"/>
      <c r="F152" s="908"/>
      <c r="G152" s="909"/>
      <c r="H152" s="913"/>
      <c r="I152" s="913"/>
      <c r="J152" s="917" t="s">
        <v>648</v>
      </c>
      <c r="K152" s="544"/>
      <c r="AA152" s="1089" t="s">
        <v>601</v>
      </c>
      <c r="AY152" s="544"/>
      <c r="AZ152" s="544"/>
      <c r="BA152" s="544"/>
      <c r="BB152" s="544"/>
      <c r="BC152" s="544"/>
      <c r="BD152" s="544"/>
      <c r="BE152" s="544"/>
      <c r="BF152" s="544"/>
      <c r="BG152" s="544"/>
      <c r="BH152" s="544"/>
      <c r="BI152" s="544"/>
      <c r="BJ152" s="544"/>
      <c r="BK152" s="544"/>
      <c r="BL152" s="544"/>
      <c r="BM152" s="544"/>
      <c r="BN152" s="544"/>
      <c r="BO152" s="544"/>
      <c r="BP152" s="544"/>
      <c r="BQ152" s="544"/>
      <c r="BR152" s="544"/>
      <c r="BS152" s="544"/>
      <c r="BT152" s="544"/>
      <c r="BU152" s="544"/>
      <c r="BV152" s="544"/>
      <c r="BW152" s="544"/>
      <c r="BX152" s="544"/>
      <c r="BY152" s="544"/>
      <c r="BZ152" s="544"/>
      <c r="CA152" s="544"/>
      <c r="CB152" s="544"/>
      <c r="CC152" s="544"/>
      <c r="CD152" s="544"/>
      <c r="CE152" s="544"/>
      <c r="CF152" s="544"/>
      <c r="CG152" s="544"/>
      <c r="CH152" s="544"/>
      <c r="CI152" s="544"/>
      <c r="CJ152" s="544"/>
      <c r="CK152" s="544"/>
      <c r="CL152" s="544"/>
      <c r="CM152" s="544"/>
      <c r="CN152" s="544"/>
      <c r="CO152" s="544"/>
      <c r="CP152" s="544"/>
      <c r="CQ152" s="544"/>
      <c r="CR152" s="544"/>
      <c r="CS152" s="544"/>
      <c r="CT152" s="544"/>
      <c r="CU152" s="544"/>
      <c r="CV152" s="544"/>
      <c r="CW152" s="544"/>
      <c r="CX152" s="544"/>
      <c r="CY152" s="544"/>
      <c r="CZ152" s="544"/>
      <c r="DA152" s="544"/>
      <c r="DB152" s="544"/>
      <c r="DC152" s="544"/>
      <c r="DD152" s="544"/>
      <c r="DE152" s="544"/>
      <c r="DF152" s="544"/>
      <c r="DG152" s="544"/>
      <c r="DH152" s="544"/>
      <c r="DI152" s="544"/>
      <c r="DJ152" s="544"/>
      <c r="DK152" s="544"/>
      <c r="DL152" s="544"/>
      <c r="DM152" s="544"/>
      <c r="DN152" s="544"/>
      <c r="DO152" s="544"/>
      <c r="DP152" s="544"/>
      <c r="DQ152" s="544"/>
      <c r="DR152" s="544"/>
      <c r="DS152" s="544"/>
      <c r="DT152" s="544"/>
      <c r="DU152" s="544"/>
      <c r="DV152" s="544"/>
      <c r="DW152" s="544"/>
      <c r="DX152" s="544"/>
      <c r="DY152" s="544"/>
      <c r="DZ152" s="544"/>
      <c r="EA152" s="544"/>
      <c r="EB152" s="544"/>
      <c r="EC152" s="544"/>
      <c r="ED152" s="544"/>
      <c r="EE152" s="544"/>
      <c r="EF152" s="544"/>
      <c r="EG152" s="544"/>
      <c r="EH152" s="544"/>
      <c r="EI152" s="544"/>
      <c r="EJ152" s="544"/>
      <c r="EK152" s="544"/>
      <c r="EL152" s="544"/>
      <c r="EM152" s="544"/>
      <c r="EN152" s="544"/>
      <c r="EO152" s="544"/>
      <c r="EP152" s="544"/>
      <c r="EQ152" s="544"/>
      <c r="ER152" s="544"/>
      <c r="ES152" s="544"/>
      <c r="ET152" s="544"/>
      <c r="EU152" s="544"/>
      <c r="EV152" s="544"/>
      <c r="EW152" s="544"/>
      <c r="EX152" s="544"/>
      <c r="EY152" s="544"/>
      <c r="EZ152" s="544"/>
      <c r="FA152" s="544"/>
      <c r="FB152" s="544"/>
      <c r="FC152" s="544"/>
      <c r="FD152" s="544"/>
      <c r="FE152" s="544"/>
      <c r="FF152" s="544"/>
      <c r="FG152" s="544"/>
      <c r="FH152" s="544"/>
      <c r="FI152" s="544"/>
      <c r="FJ152" s="544"/>
      <c r="FK152" s="544"/>
      <c r="FL152" s="544"/>
      <c r="FM152" s="544"/>
      <c r="FN152" s="544"/>
      <c r="FO152" s="544"/>
      <c r="FP152" s="544"/>
      <c r="FQ152" s="544"/>
      <c r="FR152" s="544"/>
      <c r="FS152" s="544"/>
      <c r="FT152" s="544"/>
      <c r="FU152" s="544"/>
      <c r="FV152" s="544"/>
      <c r="FW152" s="544"/>
      <c r="FX152" s="544"/>
      <c r="FY152" s="544"/>
      <c r="FZ152" s="544"/>
      <c r="GA152" s="544"/>
      <c r="GB152" s="544"/>
      <c r="GC152" s="544"/>
      <c r="GD152" s="544"/>
      <c r="GE152" s="544"/>
      <c r="GF152" s="544"/>
      <c r="GG152" s="544"/>
      <c r="GH152" s="544"/>
      <c r="GI152" s="544"/>
      <c r="GJ152" s="544"/>
      <c r="GK152" s="544"/>
      <c r="GL152" s="544"/>
      <c r="GM152" s="544"/>
      <c r="GN152" s="544"/>
      <c r="GO152" s="544"/>
      <c r="GP152" s="544"/>
      <c r="GQ152" s="544"/>
      <c r="GR152" s="544"/>
      <c r="GS152" s="544"/>
      <c r="GT152" s="544"/>
      <c r="GU152" s="544"/>
      <c r="GV152" s="544"/>
      <c r="GW152" s="544"/>
      <c r="GX152" s="544"/>
      <c r="GY152" s="544"/>
      <c r="GZ152" s="544"/>
      <c r="HA152" s="544"/>
      <c r="HB152" s="544"/>
      <c r="HC152" s="544"/>
      <c r="HD152" s="544"/>
      <c r="HE152" s="544"/>
      <c r="HF152" s="544"/>
      <c r="HG152" s="544"/>
      <c r="HH152" s="544"/>
      <c r="HI152" s="544"/>
      <c r="HJ152" s="544"/>
      <c r="HK152" s="544"/>
      <c r="HL152" s="544"/>
      <c r="HM152" s="544"/>
      <c r="HN152" s="544"/>
      <c r="HO152" s="544"/>
      <c r="HP152" s="544"/>
      <c r="HQ152" s="544"/>
      <c r="HR152" s="544"/>
      <c r="HS152" s="544"/>
      <c r="HT152" s="544"/>
      <c r="HU152" s="544"/>
      <c r="HV152" s="544"/>
      <c r="HW152" s="544"/>
      <c r="HX152" s="544"/>
      <c r="HY152" s="544"/>
      <c r="HZ152" s="544"/>
      <c r="IA152" s="544"/>
      <c r="IB152" s="544"/>
      <c r="IC152" s="544"/>
      <c r="ID152" s="544"/>
      <c r="IE152" s="544"/>
      <c r="IF152" s="544"/>
      <c r="IG152" s="544"/>
      <c r="IH152" s="544"/>
      <c r="II152" s="544"/>
      <c r="IJ152" s="544"/>
      <c r="IK152" s="544"/>
      <c r="IL152" s="544"/>
      <c r="IM152" s="544"/>
      <c r="IN152" s="544"/>
      <c r="IO152" s="544"/>
      <c r="IP152" s="544"/>
      <c r="IQ152" s="544"/>
      <c r="IR152" s="544"/>
      <c r="IS152" s="544"/>
    </row>
    <row r="153" spans="1:253" ht="31" x14ac:dyDescent="0.35">
      <c r="A153" s="544"/>
      <c r="B153" s="1090" t="s">
        <v>649</v>
      </c>
      <c r="C153" s="881"/>
      <c r="E153" s="907"/>
      <c r="F153" s="908"/>
      <c r="G153" s="909"/>
      <c r="H153" s="913"/>
      <c r="I153" s="913"/>
      <c r="J153" s="544"/>
      <c r="K153" s="544"/>
      <c r="AA153" s="1089" t="s">
        <v>601</v>
      </c>
      <c r="AY153" s="544"/>
      <c r="AZ153" s="544"/>
      <c r="BA153" s="544"/>
      <c r="BB153" s="544"/>
      <c r="BC153" s="544"/>
      <c r="BD153" s="544"/>
      <c r="BE153" s="544"/>
      <c r="BF153" s="544"/>
      <c r="BG153" s="544"/>
      <c r="BH153" s="544"/>
      <c r="BI153" s="544"/>
      <c r="BJ153" s="544"/>
      <c r="BK153" s="544"/>
      <c r="BL153" s="544"/>
      <c r="BM153" s="544"/>
      <c r="BN153" s="544"/>
      <c r="BO153" s="544"/>
      <c r="BP153" s="544"/>
      <c r="BQ153" s="544"/>
      <c r="BR153" s="544"/>
      <c r="BS153" s="544"/>
      <c r="BT153" s="544"/>
      <c r="BU153" s="544"/>
      <c r="BV153" s="544"/>
      <c r="BW153" s="544"/>
      <c r="BX153" s="544"/>
      <c r="BY153" s="544"/>
      <c r="BZ153" s="544"/>
      <c r="CA153" s="544"/>
      <c r="CB153" s="544"/>
      <c r="CC153" s="544"/>
      <c r="CD153" s="544"/>
      <c r="CE153" s="544"/>
      <c r="CF153" s="544"/>
      <c r="CG153" s="544"/>
      <c r="CH153" s="544"/>
      <c r="CI153" s="544"/>
      <c r="CJ153" s="544"/>
      <c r="CK153" s="544"/>
      <c r="CL153" s="544"/>
      <c r="CM153" s="544"/>
      <c r="CN153" s="544"/>
      <c r="CO153" s="544"/>
      <c r="CP153" s="544"/>
      <c r="CQ153" s="544"/>
      <c r="CR153" s="544"/>
      <c r="CS153" s="544"/>
      <c r="CT153" s="544"/>
      <c r="CU153" s="544"/>
      <c r="CV153" s="544"/>
      <c r="CW153" s="544"/>
      <c r="CX153" s="544"/>
      <c r="CY153" s="544"/>
      <c r="CZ153" s="544"/>
      <c r="DA153" s="544"/>
      <c r="DB153" s="544"/>
      <c r="DC153" s="544"/>
      <c r="DD153" s="544"/>
      <c r="DE153" s="544"/>
      <c r="DF153" s="544"/>
      <c r="DG153" s="544"/>
      <c r="DH153" s="544"/>
      <c r="DI153" s="544"/>
      <c r="DJ153" s="544"/>
      <c r="DK153" s="544"/>
      <c r="DL153" s="544"/>
      <c r="DM153" s="544"/>
      <c r="DN153" s="544"/>
      <c r="DO153" s="544"/>
      <c r="DP153" s="544"/>
      <c r="DQ153" s="544"/>
      <c r="DR153" s="544"/>
      <c r="DS153" s="544"/>
      <c r="DT153" s="544"/>
      <c r="DU153" s="544"/>
      <c r="DV153" s="544"/>
      <c r="DW153" s="544"/>
      <c r="DX153" s="544"/>
      <c r="DY153" s="544"/>
      <c r="DZ153" s="544"/>
      <c r="EA153" s="544"/>
      <c r="EB153" s="544"/>
      <c r="EC153" s="544"/>
      <c r="ED153" s="544"/>
      <c r="EE153" s="544"/>
      <c r="EF153" s="544"/>
      <c r="EG153" s="544"/>
      <c r="EH153" s="544"/>
      <c r="EI153" s="544"/>
      <c r="EJ153" s="544"/>
      <c r="EK153" s="544"/>
      <c r="EL153" s="544"/>
      <c r="EM153" s="544"/>
      <c r="EN153" s="544"/>
      <c r="EO153" s="544"/>
      <c r="EP153" s="544"/>
      <c r="EQ153" s="544"/>
      <c r="ER153" s="544"/>
      <c r="ES153" s="544"/>
      <c r="ET153" s="544"/>
      <c r="EU153" s="544"/>
      <c r="EV153" s="544"/>
      <c r="EW153" s="544"/>
      <c r="EX153" s="544"/>
      <c r="EY153" s="544"/>
      <c r="EZ153" s="544"/>
      <c r="FA153" s="544"/>
      <c r="FB153" s="544"/>
      <c r="FC153" s="544"/>
      <c r="FD153" s="544"/>
      <c r="FE153" s="544"/>
      <c r="FF153" s="544"/>
      <c r="FG153" s="544"/>
      <c r="FH153" s="544"/>
      <c r="FI153" s="544"/>
      <c r="FJ153" s="544"/>
      <c r="FK153" s="544"/>
      <c r="FL153" s="544"/>
      <c r="FM153" s="544"/>
      <c r="FN153" s="544"/>
      <c r="FO153" s="544"/>
      <c r="FP153" s="544"/>
      <c r="FQ153" s="544"/>
      <c r="FR153" s="544"/>
      <c r="FS153" s="544"/>
      <c r="FT153" s="544"/>
      <c r="FU153" s="544"/>
      <c r="FV153" s="544"/>
      <c r="FW153" s="544"/>
      <c r="FX153" s="544"/>
      <c r="FY153" s="544"/>
      <c r="FZ153" s="544"/>
      <c r="GA153" s="544"/>
      <c r="GB153" s="544"/>
      <c r="GC153" s="544"/>
      <c r="GD153" s="544"/>
      <c r="GE153" s="544"/>
      <c r="GF153" s="544"/>
      <c r="GG153" s="544"/>
      <c r="GH153" s="544"/>
      <c r="GI153" s="544"/>
      <c r="GJ153" s="544"/>
      <c r="GK153" s="544"/>
      <c r="GL153" s="544"/>
      <c r="GM153" s="544"/>
      <c r="GN153" s="544"/>
      <c r="GO153" s="544"/>
      <c r="GP153" s="544"/>
      <c r="GQ153" s="544"/>
      <c r="GR153" s="544"/>
      <c r="GS153" s="544"/>
      <c r="GT153" s="544"/>
      <c r="GU153" s="544"/>
      <c r="GV153" s="544"/>
      <c r="GW153" s="544"/>
      <c r="GX153" s="544"/>
      <c r="GY153" s="544"/>
      <c r="GZ153" s="544"/>
      <c r="HA153" s="544"/>
      <c r="HB153" s="544"/>
      <c r="HC153" s="544"/>
      <c r="HD153" s="544"/>
      <c r="HE153" s="544"/>
      <c r="HF153" s="544"/>
      <c r="HG153" s="544"/>
      <c r="HH153" s="544"/>
      <c r="HI153" s="544"/>
      <c r="HJ153" s="544"/>
      <c r="HK153" s="544"/>
      <c r="HL153" s="544"/>
      <c r="HM153" s="544"/>
      <c r="HN153" s="544"/>
      <c r="HO153" s="544"/>
      <c r="HP153" s="544"/>
      <c r="HQ153" s="544"/>
      <c r="HR153" s="544"/>
      <c r="HS153" s="544"/>
      <c r="HT153" s="544"/>
      <c r="HU153" s="544"/>
      <c r="HV153" s="544"/>
      <c r="HW153" s="544"/>
      <c r="HX153" s="544"/>
      <c r="HY153" s="544"/>
      <c r="HZ153" s="544"/>
      <c r="IA153" s="544"/>
      <c r="IB153" s="544"/>
      <c r="IC153" s="544"/>
      <c r="ID153" s="544"/>
      <c r="IE153" s="544"/>
      <c r="IF153" s="544"/>
      <c r="IG153" s="544"/>
      <c r="IH153" s="544"/>
      <c r="II153" s="544"/>
      <c r="IJ153" s="544"/>
      <c r="IK153" s="544"/>
      <c r="IL153" s="544"/>
      <c r="IM153" s="544"/>
      <c r="IN153" s="544"/>
      <c r="IO153" s="544"/>
      <c r="IP153" s="544"/>
      <c r="IQ153" s="544"/>
      <c r="IR153" s="544"/>
      <c r="IS153" s="544"/>
    </row>
    <row r="154" spans="1:253" ht="31" x14ac:dyDescent="0.35">
      <c r="A154" s="544"/>
      <c r="B154" s="1090" t="s">
        <v>658</v>
      </c>
      <c r="C154" s="881"/>
      <c r="E154" s="907"/>
      <c r="F154" s="908"/>
      <c r="G154" s="909"/>
      <c r="H154" s="544"/>
      <c r="I154" s="544"/>
      <c r="J154" s="544"/>
      <c r="K154" s="544"/>
      <c r="AA154" s="1089" t="s">
        <v>601</v>
      </c>
      <c r="AY154" s="544"/>
      <c r="AZ154" s="544"/>
      <c r="BA154" s="544"/>
      <c r="BB154" s="544"/>
      <c r="BC154" s="544"/>
      <c r="BD154" s="544"/>
      <c r="BE154" s="544"/>
      <c r="BF154" s="544"/>
      <c r="BG154" s="544"/>
      <c r="BH154" s="544"/>
      <c r="BI154" s="544"/>
      <c r="BJ154" s="544"/>
      <c r="BK154" s="544"/>
      <c r="BL154" s="544"/>
      <c r="BM154" s="544"/>
      <c r="BN154" s="544"/>
      <c r="BO154" s="544"/>
      <c r="BP154" s="544"/>
      <c r="BQ154" s="544"/>
      <c r="BR154" s="544"/>
      <c r="BS154" s="544"/>
      <c r="BT154" s="544"/>
      <c r="BU154" s="544"/>
      <c r="BV154" s="544"/>
      <c r="BW154" s="544"/>
      <c r="BX154" s="544"/>
      <c r="BY154" s="544"/>
      <c r="BZ154" s="544"/>
      <c r="CA154" s="544"/>
      <c r="CB154" s="544"/>
      <c r="CC154" s="544"/>
      <c r="CD154" s="544"/>
      <c r="CE154" s="544"/>
      <c r="CF154" s="544"/>
      <c r="CG154" s="544"/>
      <c r="CH154" s="544"/>
      <c r="CI154" s="544"/>
      <c r="CJ154" s="544"/>
      <c r="CK154" s="544"/>
      <c r="CL154" s="544"/>
      <c r="CM154" s="544"/>
      <c r="CN154" s="544"/>
      <c r="CO154" s="544"/>
      <c r="CP154" s="544"/>
      <c r="CQ154" s="544"/>
      <c r="CR154" s="544"/>
      <c r="CS154" s="544"/>
      <c r="CT154" s="544"/>
      <c r="CU154" s="544"/>
      <c r="CV154" s="544"/>
      <c r="CW154" s="544"/>
      <c r="CX154" s="544"/>
      <c r="CY154" s="544"/>
      <c r="CZ154" s="544"/>
      <c r="DA154" s="544"/>
      <c r="DB154" s="544"/>
      <c r="DC154" s="544"/>
      <c r="DD154" s="544"/>
      <c r="DE154" s="544"/>
      <c r="DF154" s="544"/>
      <c r="DG154" s="544"/>
      <c r="DH154" s="544"/>
      <c r="DI154" s="544"/>
      <c r="DJ154" s="544"/>
      <c r="DK154" s="544"/>
      <c r="DL154" s="544"/>
      <c r="DM154" s="544"/>
      <c r="DN154" s="544"/>
      <c r="DO154" s="544"/>
      <c r="DP154" s="544"/>
      <c r="DQ154" s="544"/>
      <c r="DR154" s="544"/>
      <c r="DS154" s="544"/>
      <c r="DT154" s="544"/>
      <c r="DU154" s="544"/>
      <c r="DV154" s="544"/>
      <c r="DW154" s="544"/>
      <c r="DX154" s="544"/>
      <c r="DY154" s="544"/>
      <c r="DZ154" s="544"/>
      <c r="EA154" s="544"/>
      <c r="EB154" s="544"/>
      <c r="EC154" s="544"/>
      <c r="ED154" s="544"/>
      <c r="EE154" s="544"/>
      <c r="EF154" s="544"/>
      <c r="EG154" s="544"/>
      <c r="EH154" s="544"/>
      <c r="EI154" s="544"/>
      <c r="EJ154" s="544"/>
      <c r="EK154" s="544"/>
      <c r="EL154" s="544"/>
      <c r="EM154" s="544"/>
      <c r="EN154" s="544"/>
      <c r="EO154" s="544"/>
      <c r="EP154" s="544"/>
      <c r="EQ154" s="544"/>
      <c r="ER154" s="544"/>
      <c r="ES154" s="544"/>
      <c r="ET154" s="544"/>
      <c r="EU154" s="544"/>
      <c r="EV154" s="544"/>
      <c r="EW154" s="544"/>
      <c r="EX154" s="544"/>
      <c r="EY154" s="544"/>
      <c r="EZ154" s="544"/>
      <c r="FA154" s="544"/>
      <c r="FB154" s="544"/>
      <c r="FC154" s="544"/>
      <c r="FD154" s="544"/>
      <c r="FE154" s="544"/>
      <c r="FF154" s="544"/>
      <c r="FG154" s="544"/>
      <c r="FH154" s="544"/>
      <c r="FI154" s="544"/>
      <c r="FJ154" s="544"/>
      <c r="FK154" s="544"/>
      <c r="FL154" s="544"/>
      <c r="FM154" s="544"/>
      <c r="FN154" s="544"/>
      <c r="FO154" s="544"/>
      <c r="FP154" s="544"/>
      <c r="FQ154" s="544"/>
      <c r="FR154" s="544"/>
      <c r="FS154" s="544"/>
      <c r="FT154" s="544"/>
      <c r="FU154" s="544"/>
      <c r="FV154" s="544"/>
      <c r="FW154" s="544"/>
      <c r="FX154" s="544"/>
      <c r="FY154" s="544"/>
      <c r="FZ154" s="544"/>
      <c r="GA154" s="544"/>
      <c r="GB154" s="544"/>
      <c r="GC154" s="544"/>
      <c r="GD154" s="544"/>
      <c r="GE154" s="544"/>
      <c r="GF154" s="544"/>
      <c r="GG154" s="544"/>
      <c r="GH154" s="544"/>
      <c r="GI154" s="544"/>
      <c r="GJ154" s="544"/>
      <c r="GK154" s="544"/>
      <c r="GL154" s="544"/>
      <c r="GM154" s="544"/>
      <c r="GN154" s="544"/>
      <c r="GO154" s="544"/>
      <c r="GP154" s="544"/>
      <c r="GQ154" s="544"/>
      <c r="GR154" s="544"/>
      <c r="GS154" s="544"/>
      <c r="GT154" s="544"/>
      <c r="GU154" s="544"/>
      <c r="GV154" s="544"/>
      <c r="GW154" s="544"/>
      <c r="GX154" s="544"/>
      <c r="GY154" s="544"/>
      <c r="GZ154" s="544"/>
      <c r="HA154" s="544"/>
      <c r="HB154" s="544"/>
      <c r="HC154" s="544"/>
      <c r="HD154" s="544"/>
      <c r="HE154" s="544"/>
      <c r="HF154" s="544"/>
      <c r="HG154" s="544"/>
      <c r="HH154" s="544"/>
      <c r="HI154" s="544"/>
      <c r="HJ154" s="544"/>
      <c r="HK154" s="544"/>
      <c r="HL154" s="544"/>
      <c r="HM154" s="544"/>
      <c r="HN154" s="544"/>
      <c r="HO154" s="544"/>
      <c r="HP154" s="544"/>
      <c r="HQ154" s="544"/>
      <c r="HR154" s="544"/>
      <c r="HS154" s="544"/>
      <c r="HT154" s="544"/>
      <c r="HU154" s="544"/>
      <c r="HV154" s="544"/>
      <c r="HW154" s="544"/>
      <c r="HX154" s="544"/>
      <c r="HY154" s="544"/>
      <c r="HZ154" s="544"/>
      <c r="IA154" s="544"/>
      <c r="IB154" s="544"/>
      <c r="IC154" s="544"/>
      <c r="ID154" s="544"/>
      <c r="IE154" s="544"/>
      <c r="IF154" s="544"/>
      <c r="IG154" s="544"/>
      <c r="IH154" s="544"/>
      <c r="II154" s="544"/>
      <c r="IJ154" s="544"/>
      <c r="IK154" s="544"/>
      <c r="IL154" s="544"/>
      <c r="IM154" s="544"/>
      <c r="IN154" s="544"/>
      <c r="IO154" s="544"/>
      <c r="IP154" s="544"/>
      <c r="IQ154" s="544"/>
      <c r="IR154" s="544"/>
      <c r="IS154" s="544"/>
    </row>
    <row r="155" spans="1:253" ht="31" x14ac:dyDescent="0.35">
      <c r="A155" s="544"/>
      <c r="B155" s="1090" t="s">
        <v>651</v>
      </c>
      <c r="C155" s="881"/>
      <c r="E155" s="907"/>
      <c r="F155" s="908"/>
      <c r="G155" s="909"/>
      <c r="H155" s="544"/>
      <c r="I155" s="544"/>
      <c r="J155" s="544"/>
      <c r="K155" s="544"/>
      <c r="AA155" s="1089" t="s">
        <v>601</v>
      </c>
      <c r="AY155" s="544"/>
      <c r="AZ155" s="544"/>
      <c r="BA155" s="544"/>
      <c r="BB155" s="544"/>
      <c r="BC155" s="544"/>
      <c r="BD155" s="544"/>
      <c r="BE155" s="544"/>
      <c r="BF155" s="544"/>
      <c r="BG155" s="544"/>
      <c r="BH155" s="544"/>
      <c r="BI155" s="544"/>
      <c r="BJ155" s="544"/>
      <c r="BK155" s="544"/>
      <c r="BL155" s="544"/>
      <c r="BM155" s="544"/>
      <c r="BN155" s="544"/>
      <c r="BO155" s="544"/>
      <c r="BP155" s="544"/>
      <c r="BQ155" s="544"/>
      <c r="BR155" s="544"/>
      <c r="BS155" s="544"/>
      <c r="BT155" s="544"/>
      <c r="BU155" s="544"/>
      <c r="BV155" s="544"/>
      <c r="BW155" s="544"/>
      <c r="BX155" s="544"/>
      <c r="BY155" s="544"/>
      <c r="BZ155" s="544"/>
      <c r="CA155" s="544"/>
      <c r="CB155" s="544"/>
      <c r="CC155" s="544"/>
      <c r="CD155" s="544"/>
      <c r="CE155" s="544"/>
      <c r="CF155" s="544"/>
      <c r="CG155" s="544"/>
      <c r="CH155" s="544"/>
      <c r="CI155" s="544"/>
      <c r="CJ155" s="544"/>
      <c r="CK155" s="544"/>
      <c r="CL155" s="544"/>
      <c r="CM155" s="544"/>
      <c r="CN155" s="544"/>
      <c r="CO155" s="544"/>
      <c r="CP155" s="544"/>
      <c r="CQ155" s="544"/>
      <c r="CR155" s="544"/>
      <c r="CS155" s="544"/>
      <c r="CT155" s="544"/>
      <c r="CU155" s="544"/>
      <c r="CV155" s="544"/>
      <c r="CW155" s="544"/>
      <c r="CX155" s="544"/>
      <c r="CY155" s="544"/>
      <c r="CZ155" s="544"/>
      <c r="DA155" s="544"/>
      <c r="DB155" s="544"/>
      <c r="DC155" s="544"/>
      <c r="DD155" s="544"/>
      <c r="DE155" s="544"/>
      <c r="DF155" s="544"/>
      <c r="DG155" s="544"/>
      <c r="DH155" s="544"/>
      <c r="DI155" s="544"/>
      <c r="DJ155" s="544"/>
      <c r="DK155" s="544"/>
      <c r="DL155" s="544"/>
      <c r="DM155" s="544"/>
      <c r="DN155" s="544"/>
      <c r="DO155" s="544"/>
      <c r="DP155" s="544"/>
      <c r="DQ155" s="544"/>
      <c r="DR155" s="544"/>
      <c r="DS155" s="544"/>
      <c r="DT155" s="544"/>
      <c r="DU155" s="544"/>
      <c r="DV155" s="544"/>
      <c r="DW155" s="544"/>
      <c r="DX155" s="544"/>
      <c r="DY155" s="544"/>
      <c r="DZ155" s="544"/>
      <c r="EA155" s="544"/>
      <c r="EB155" s="544"/>
      <c r="EC155" s="544"/>
      <c r="ED155" s="544"/>
      <c r="EE155" s="544"/>
      <c r="EF155" s="544"/>
      <c r="EG155" s="544"/>
      <c r="EH155" s="544"/>
      <c r="EI155" s="544"/>
      <c r="EJ155" s="544"/>
      <c r="EK155" s="544"/>
      <c r="EL155" s="544"/>
      <c r="EM155" s="544"/>
      <c r="EN155" s="544"/>
      <c r="EO155" s="544"/>
      <c r="EP155" s="544"/>
      <c r="EQ155" s="544"/>
      <c r="ER155" s="544"/>
      <c r="ES155" s="544"/>
      <c r="ET155" s="544"/>
      <c r="EU155" s="544"/>
      <c r="EV155" s="544"/>
      <c r="EW155" s="544"/>
      <c r="EX155" s="544"/>
      <c r="EY155" s="544"/>
      <c r="EZ155" s="544"/>
      <c r="FA155" s="544"/>
      <c r="FB155" s="544"/>
      <c r="FC155" s="544"/>
      <c r="FD155" s="544"/>
      <c r="FE155" s="544"/>
      <c r="FF155" s="544"/>
      <c r="FG155" s="544"/>
      <c r="FH155" s="544"/>
      <c r="FI155" s="544"/>
      <c r="FJ155" s="544"/>
      <c r="FK155" s="544"/>
      <c r="FL155" s="544"/>
      <c r="FM155" s="544"/>
      <c r="FN155" s="544"/>
      <c r="FO155" s="544"/>
      <c r="FP155" s="544"/>
      <c r="FQ155" s="544"/>
      <c r="FR155" s="544"/>
      <c r="FS155" s="544"/>
      <c r="FT155" s="544"/>
      <c r="FU155" s="544"/>
      <c r="FV155" s="544"/>
      <c r="FW155" s="544"/>
      <c r="FX155" s="544"/>
      <c r="FY155" s="544"/>
      <c r="FZ155" s="544"/>
      <c r="GA155" s="544"/>
      <c r="GB155" s="544"/>
      <c r="GC155" s="544"/>
      <c r="GD155" s="544"/>
      <c r="GE155" s="544"/>
      <c r="GF155" s="544"/>
      <c r="GG155" s="544"/>
      <c r="GH155" s="544"/>
      <c r="GI155" s="544"/>
      <c r="GJ155" s="544"/>
      <c r="GK155" s="544"/>
      <c r="GL155" s="544"/>
      <c r="GM155" s="544"/>
      <c r="GN155" s="544"/>
      <c r="GO155" s="544"/>
      <c r="GP155" s="544"/>
      <c r="GQ155" s="544"/>
      <c r="GR155" s="544"/>
      <c r="GS155" s="544"/>
      <c r="GT155" s="544"/>
      <c r="GU155" s="544"/>
      <c r="GV155" s="544"/>
      <c r="GW155" s="544"/>
      <c r="GX155" s="544"/>
      <c r="GY155" s="544"/>
      <c r="GZ155" s="544"/>
      <c r="HA155" s="544"/>
      <c r="HB155" s="544"/>
      <c r="HC155" s="544"/>
      <c r="HD155" s="544"/>
      <c r="HE155" s="544"/>
      <c r="HF155" s="544"/>
      <c r="HG155" s="544"/>
      <c r="HH155" s="544"/>
      <c r="HI155" s="544"/>
      <c r="HJ155" s="544"/>
      <c r="HK155" s="544"/>
      <c r="HL155" s="544"/>
      <c r="HM155" s="544"/>
      <c r="HN155" s="544"/>
      <c r="HO155" s="544"/>
      <c r="HP155" s="544"/>
      <c r="HQ155" s="544"/>
      <c r="HR155" s="544"/>
      <c r="HS155" s="544"/>
      <c r="HT155" s="544"/>
      <c r="HU155" s="544"/>
      <c r="HV155" s="544"/>
      <c r="HW155" s="544"/>
      <c r="HX155" s="544"/>
      <c r="HY155" s="544"/>
      <c r="HZ155" s="544"/>
      <c r="IA155" s="544"/>
      <c r="IB155" s="544"/>
      <c r="IC155" s="544"/>
      <c r="ID155" s="544"/>
      <c r="IE155" s="544"/>
      <c r="IF155" s="544"/>
      <c r="IG155" s="544"/>
      <c r="IH155" s="544"/>
      <c r="II155" s="544"/>
      <c r="IJ155" s="544"/>
      <c r="IK155" s="544"/>
      <c r="IL155" s="544"/>
      <c r="IM155" s="544"/>
      <c r="IN155" s="544"/>
      <c r="IO155" s="544"/>
      <c r="IP155" s="544"/>
      <c r="IQ155" s="544"/>
      <c r="IR155" s="544"/>
      <c r="IS155" s="544"/>
    </row>
    <row r="156" spans="1:253" ht="31" x14ac:dyDescent="0.35">
      <c r="A156" s="544"/>
      <c r="B156" s="1090" t="s">
        <v>652</v>
      </c>
      <c r="C156" s="881"/>
      <c r="E156" s="907"/>
      <c r="F156" s="908"/>
      <c r="G156" s="909"/>
      <c r="H156" s="544"/>
      <c r="I156" s="544"/>
      <c r="J156" s="544"/>
      <c r="K156" s="544"/>
      <c r="AA156" s="1089" t="s">
        <v>601</v>
      </c>
      <c r="AY156" s="544"/>
      <c r="AZ156" s="544"/>
      <c r="BA156" s="544"/>
      <c r="BB156" s="544"/>
      <c r="BC156" s="544"/>
      <c r="BD156" s="544"/>
      <c r="BE156" s="544"/>
      <c r="BF156" s="544"/>
      <c r="BG156" s="544"/>
      <c r="BH156" s="544"/>
      <c r="BI156" s="544"/>
      <c r="BJ156" s="544"/>
      <c r="BK156" s="544"/>
      <c r="BL156" s="544"/>
      <c r="BM156" s="544"/>
      <c r="BN156" s="544"/>
      <c r="BO156" s="544"/>
      <c r="BP156" s="544"/>
      <c r="BQ156" s="544"/>
      <c r="BR156" s="544"/>
      <c r="BS156" s="544"/>
      <c r="BT156" s="544"/>
      <c r="BU156" s="544"/>
      <c r="BV156" s="544"/>
      <c r="BW156" s="544"/>
      <c r="BX156" s="544"/>
      <c r="BY156" s="544"/>
      <c r="BZ156" s="544"/>
      <c r="CA156" s="544"/>
      <c r="CB156" s="544"/>
      <c r="CC156" s="544"/>
      <c r="CD156" s="544"/>
      <c r="CE156" s="544"/>
      <c r="CF156" s="544"/>
      <c r="CG156" s="544"/>
      <c r="CH156" s="544"/>
      <c r="CI156" s="544"/>
      <c r="CJ156" s="544"/>
      <c r="CK156" s="544"/>
      <c r="CL156" s="544"/>
      <c r="CM156" s="544"/>
      <c r="CN156" s="544"/>
      <c r="CO156" s="544"/>
      <c r="CP156" s="544"/>
      <c r="CQ156" s="544"/>
      <c r="CR156" s="544"/>
      <c r="CS156" s="544"/>
      <c r="CT156" s="544"/>
      <c r="CU156" s="544"/>
      <c r="CV156" s="544"/>
      <c r="CW156" s="544"/>
      <c r="CX156" s="544"/>
      <c r="CY156" s="544"/>
      <c r="CZ156" s="544"/>
      <c r="DA156" s="544"/>
      <c r="DB156" s="544"/>
      <c r="DC156" s="544"/>
      <c r="DD156" s="544"/>
      <c r="DE156" s="544"/>
      <c r="DF156" s="544"/>
      <c r="DG156" s="544"/>
      <c r="DH156" s="544"/>
      <c r="DI156" s="544"/>
      <c r="DJ156" s="544"/>
      <c r="DK156" s="544"/>
      <c r="DL156" s="544"/>
      <c r="DM156" s="544"/>
      <c r="DN156" s="544"/>
      <c r="DO156" s="544"/>
      <c r="DP156" s="544"/>
      <c r="DQ156" s="544"/>
      <c r="DR156" s="544"/>
      <c r="DS156" s="544"/>
      <c r="DT156" s="544"/>
      <c r="DU156" s="544"/>
      <c r="DV156" s="544"/>
      <c r="DW156" s="544"/>
      <c r="DX156" s="544"/>
      <c r="DY156" s="544"/>
      <c r="DZ156" s="544"/>
      <c r="EA156" s="544"/>
      <c r="EB156" s="544"/>
      <c r="EC156" s="544"/>
      <c r="ED156" s="544"/>
      <c r="EE156" s="544"/>
      <c r="EF156" s="544"/>
      <c r="EG156" s="544"/>
      <c r="EH156" s="544"/>
      <c r="EI156" s="544"/>
      <c r="EJ156" s="544"/>
      <c r="EK156" s="544"/>
      <c r="EL156" s="544"/>
      <c r="EM156" s="544"/>
      <c r="EN156" s="544"/>
      <c r="EO156" s="544"/>
      <c r="EP156" s="544"/>
      <c r="EQ156" s="544"/>
      <c r="ER156" s="544"/>
      <c r="ES156" s="544"/>
      <c r="ET156" s="544"/>
      <c r="EU156" s="544"/>
      <c r="EV156" s="544"/>
      <c r="EW156" s="544"/>
      <c r="EX156" s="544"/>
      <c r="EY156" s="544"/>
      <c r="EZ156" s="544"/>
      <c r="FA156" s="544"/>
      <c r="FB156" s="544"/>
      <c r="FC156" s="544"/>
      <c r="FD156" s="544"/>
      <c r="FE156" s="544"/>
      <c r="FF156" s="544"/>
      <c r="FG156" s="544"/>
      <c r="FH156" s="544"/>
      <c r="FI156" s="544"/>
      <c r="FJ156" s="544"/>
      <c r="FK156" s="544"/>
      <c r="FL156" s="544"/>
      <c r="FM156" s="544"/>
      <c r="FN156" s="544"/>
      <c r="FO156" s="544"/>
      <c r="FP156" s="544"/>
      <c r="FQ156" s="544"/>
      <c r="FR156" s="544"/>
      <c r="FS156" s="544"/>
      <c r="FT156" s="544"/>
      <c r="FU156" s="544"/>
      <c r="FV156" s="544"/>
      <c r="FW156" s="544"/>
      <c r="FX156" s="544"/>
      <c r="FY156" s="544"/>
      <c r="FZ156" s="544"/>
      <c r="GA156" s="544"/>
      <c r="GB156" s="544"/>
      <c r="GC156" s="544"/>
      <c r="GD156" s="544"/>
      <c r="GE156" s="544"/>
      <c r="GF156" s="544"/>
      <c r="GG156" s="544"/>
      <c r="GH156" s="544"/>
      <c r="GI156" s="544"/>
      <c r="GJ156" s="544"/>
      <c r="GK156" s="544"/>
      <c r="GL156" s="544"/>
      <c r="GM156" s="544"/>
      <c r="GN156" s="544"/>
      <c r="GO156" s="544"/>
      <c r="GP156" s="544"/>
      <c r="GQ156" s="544"/>
      <c r="GR156" s="544"/>
      <c r="GS156" s="544"/>
      <c r="GT156" s="544"/>
      <c r="GU156" s="544"/>
      <c r="GV156" s="544"/>
      <c r="GW156" s="544"/>
      <c r="GX156" s="544"/>
      <c r="GY156" s="544"/>
      <c r="GZ156" s="544"/>
      <c r="HA156" s="544"/>
      <c r="HB156" s="544"/>
      <c r="HC156" s="544"/>
      <c r="HD156" s="544"/>
      <c r="HE156" s="544"/>
      <c r="HF156" s="544"/>
      <c r="HG156" s="544"/>
      <c r="HH156" s="544"/>
      <c r="HI156" s="544"/>
      <c r="HJ156" s="544"/>
      <c r="HK156" s="544"/>
      <c r="HL156" s="544"/>
      <c r="HM156" s="544"/>
      <c r="HN156" s="544"/>
      <c r="HO156" s="544"/>
      <c r="HP156" s="544"/>
      <c r="HQ156" s="544"/>
      <c r="HR156" s="544"/>
      <c r="HS156" s="544"/>
      <c r="HT156" s="544"/>
      <c r="HU156" s="544"/>
      <c r="HV156" s="544"/>
      <c r="HW156" s="544"/>
      <c r="HX156" s="544"/>
      <c r="HY156" s="544"/>
      <c r="HZ156" s="544"/>
      <c r="IA156" s="544"/>
      <c r="IB156" s="544"/>
      <c r="IC156" s="544"/>
      <c r="ID156" s="544"/>
      <c r="IE156" s="544"/>
      <c r="IF156" s="544"/>
      <c r="IG156" s="544"/>
      <c r="IH156" s="544"/>
      <c r="II156" s="544"/>
      <c r="IJ156" s="544"/>
      <c r="IK156" s="544"/>
      <c r="IL156" s="544"/>
      <c r="IM156" s="544"/>
      <c r="IN156" s="544"/>
      <c r="IO156" s="544"/>
      <c r="IP156" s="544"/>
      <c r="IQ156" s="544"/>
      <c r="IR156" s="544"/>
      <c r="IS156" s="544"/>
    </row>
    <row r="157" spans="1:253" ht="31" x14ac:dyDescent="0.35">
      <c r="A157" s="544"/>
      <c r="B157" s="1090" t="s">
        <v>653</v>
      </c>
      <c r="C157" s="881"/>
      <c r="E157" s="907"/>
      <c r="F157" s="908"/>
      <c r="G157" s="909"/>
      <c r="H157" s="544"/>
      <c r="I157" s="544"/>
      <c r="J157" s="544"/>
      <c r="K157" s="544"/>
      <c r="AA157" s="1089" t="s">
        <v>601</v>
      </c>
      <c r="AY157" s="544"/>
      <c r="AZ157" s="544"/>
      <c r="BA157" s="544"/>
      <c r="BB157" s="544"/>
      <c r="BC157" s="544"/>
      <c r="BD157" s="544"/>
      <c r="BE157" s="544"/>
      <c r="BF157" s="544"/>
      <c r="BG157" s="544"/>
      <c r="BH157" s="544"/>
      <c r="BI157" s="544"/>
      <c r="BJ157" s="544"/>
      <c r="BK157" s="544"/>
      <c r="BL157" s="544"/>
      <c r="BM157" s="544"/>
      <c r="BN157" s="544"/>
      <c r="BO157" s="544"/>
      <c r="BP157" s="544"/>
      <c r="BQ157" s="544"/>
      <c r="BR157" s="544"/>
      <c r="BS157" s="544"/>
      <c r="BT157" s="544"/>
      <c r="BU157" s="544"/>
      <c r="BV157" s="544"/>
      <c r="BW157" s="544"/>
      <c r="BX157" s="544"/>
      <c r="BY157" s="544"/>
      <c r="BZ157" s="544"/>
      <c r="CA157" s="544"/>
      <c r="CB157" s="544"/>
      <c r="CC157" s="544"/>
      <c r="CD157" s="544"/>
      <c r="CE157" s="544"/>
      <c r="CF157" s="544"/>
      <c r="CG157" s="544"/>
      <c r="CH157" s="544"/>
      <c r="CI157" s="544"/>
      <c r="CJ157" s="544"/>
      <c r="CK157" s="544"/>
      <c r="CL157" s="544"/>
      <c r="CM157" s="544"/>
      <c r="CN157" s="544"/>
      <c r="CO157" s="544"/>
      <c r="CP157" s="544"/>
      <c r="CQ157" s="544"/>
      <c r="CR157" s="544"/>
      <c r="CS157" s="544"/>
      <c r="CT157" s="544"/>
      <c r="CU157" s="544"/>
      <c r="CV157" s="544"/>
      <c r="CW157" s="544"/>
      <c r="CX157" s="544"/>
      <c r="CY157" s="544"/>
      <c r="CZ157" s="544"/>
      <c r="DA157" s="544"/>
      <c r="DB157" s="544"/>
      <c r="DC157" s="544"/>
      <c r="DD157" s="544"/>
      <c r="DE157" s="544"/>
      <c r="DF157" s="544"/>
      <c r="DG157" s="544"/>
      <c r="DH157" s="544"/>
      <c r="DI157" s="544"/>
      <c r="DJ157" s="544"/>
      <c r="DK157" s="544"/>
      <c r="DL157" s="544"/>
      <c r="DM157" s="544"/>
      <c r="DN157" s="544"/>
      <c r="DO157" s="544"/>
      <c r="DP157" s="544"/>
      <c r="DQ157" s="544"/>
      <c r="DR157" s="544"/>
      <c r="DS157" s="544"/>
      <c r="DT157" s="544"/>
      <c r="DU157" s="544"/>
      <c r="DV157" s="544"/>
      <c r="DW157" s="544"/>
      <c r="DX157" s="544"/>
      <c r="DY157" s="544"/>
      <c r="DZ157" s="544"/>
      <c r="EA157" s="544"/>
      <c r="EB157" s="544"/>
      <c r="EC157" s="544"/>
      <c r="ED157" s="544"/>
      <c r="EE157" s="544"/>
      <c r="EF157" s="544"/>
      <c r="EG157" s="544"/>
      <c r="EH157" s="544"/>
      <c r="EI157" s="544"/>
      <c r="EJ157" s="544"/>
      <c r="EK157" s="544"/>
      <c r="EL157" s="544"/>
      <c r="EM157" s="544"/>
      <c r="EN157" s="544"/>
      <c r="EO157" s="544"/>
      <c r="EP157" s="544"/>
      <c r="EQ157" s="544"/>
      <c r="ER157" s="544"/>
      <c r="ES157" s="544"/>
      <c r="ET157" s="544"/>
      <c r="EU157" s="544"/>
      <c r="EV157" s="544"/>
      <c r="EW157" s="544"/>
      <c r="EX157" s="544"/>
      <c r="EY157" s="544"/>
      <c r="EZ157" s="544"/>
      <c r="FA157" s="544"/>
      <c r="FB157" s="544"/>
      <c r="FC157" s="544"/>
      <c r="FD157" s="544"/>
      <c r="FE157" s="544"/>
      <c r="FF157" s="544"/>
      <c r="FG157" s="544"/>
      <c r="FH157" s="544"/>
      <c r="FI157" s="544"/>
      <c r="FJ157" s="544"/>
      <c r="FK157" s="544"/>
      <c r="FL157" s="544"/>
      <c r="FM157" s="544"/>
      <c r="FN157" s="544"/>
      <c r="FO157" s="544"/>
      <c r="FP157" s="544"/>
      <c r="FQ157" s="544"/>
      <c r="FR157" s="544"/>
      <c r="FS157" s="544"/>
      <c r="FT157" s="544"/>
      <c r="FU157" s="544"/>
      <c r="FV157" s="544"/>
      <c r="FW157" s="544"/>
      <c r="FX157" s="544"/>
      <c r="FY157" s="544"/>
      <c r="FZ157" s="544"/>
      <c r="GA157" s="544"/>
      <c r="GB157" s="544"/>
      <c r="GC157" s="544"/>
      <c r="GD157" s="544"/>
      <c r="GE157" s="544"/>
      <c r="GF157" s="544"/>
      <c r="GG157" s="544"/>
      <c r="GH157" s="544"/>
      <c r="GI157" s="544"/>
      <c r="GJ157" s="544"/>
      <c r="GK157" s="544"/>
      <c r="GL157" s="544"/>
      <c r="GM157" s="544"/>
      <c r="GN157" s="544"/>
      <c r="GO157" s="544"/>
      <c r="GP157" s="544"/>
      <c r="GQ157" s="544"/>
      <c r="GR157" s="544"/>
      <c r="GS157" s="544"/>
      <c r="GT157" s="544"/>
      <c r="GU157" s="544"/>
      <c r="GV157" s="544"/>
      <c r="GW157" s="544"/>
      <c r="GX157" s="544"/>
      <c r="GY157" s="544"/>
      <c r="GZ157" s="544"/>
      <c r="HA157" s="544"/>
      <c r="HB157" s="544"/>
      <c r="HC157" s="544"/>
      <c r="HD157" s="544"/>
      <c r="HE157" s="544"/>
      <c r="HF157" s="544"/>
      <c r="HG157" s="544"/>
      <c r="HH157" s="544"/>
      <c r="HI157" s="544"/>
      <c r="HJ157" s="544"/>
      <c r="HK157" s="544"/>
      <c r="HL157" s="544"/>
      <c r="HM157" s="544"/>
      <c r="HN157" s="544"/>
      <c r="HO157" s="544"/>
      <c r="HP157" s="544"/>
      <c r="HQ157" s="544"/>
      <c r="HR157" s="544"/>
      <c r="HS157" s="544"/>
      <c r="HT157" s="544"/>
      <c r="HU157" s="544"/>
      <c r="HV157" s="544"/>
      <c r="HW157" s="544"/>
      <c r="HX157" s="544"/>
      <c r="HY157" s="544"/>
      <c r="HZ157" s="544"/>
      <c r="IA157" s="544"/>
      <c r="IB157" s="544"/>
      <c r="IC157" s="544"/>
      <c r="ID157" s="544"/>
      <c r="IE157" s="544"/>
      <c r="IF157" s="544"/>
      <c r="IG157" s="544"/>
      <c r="IH157" s="544"/>
      <c r="II157" s="544"/>
      <c r="IJ157" s="544"/>
      <c r="IK157" s="544"/>
      <c r="IL157" s="544"/>
      <c r="IM157" s="544"/>
      <c r="IN157" s="544"/>
      <c r="IO157" s="544"/>
      <c r="IP157" s="544"/>
      <c r="IQ157" s="544"/>
      <c r="IR157" s="544"/>
      <c r="IS157" s="544"/>
    </row>
    <row r="158" spans="1:253" ht="31" x14ac:dyDescent="0.35">
      <c r="A158" s="544"/>
      <c r="B158" s="1090" t="s">
        <v>654</v>
      </c>
      <c r="C158" s="881"/>
      <c r="E158" s="907"/>
      <c r="F158" s="908"/>
      <c r="G158" s="909"/>
      <c r="H158" s="544"/>
      <c r="I158" s="544"/>
      <c r="J158" s="544"/>
      <c r="K158" s="544"/>
      <c r="AA158" s="1089" t="s">
        <v>601</v>
      </c>
      <c r="AY158" s="544"/>
      <c r="AZ158" s="544"/>
      <c r="BA158" s="544"/>
      <c r="BB158" s="544"/>
      <c r="BC158" s="544"/>
      <c r="BD158" s="544"/>
      <c r="BE158" s="544"/>
      <c r="BF158" s="544"/>
      <c r="BG158" s="544"/>
      <c r="BH158" s="544"/>
      <c r="BI158" s="544"/>
      <c r="BJ158" s="544"/>
      <c r="BK158" s="544"/>
      <c r="BL158" s="544"/>
      <c r="BM158" s="544"/>
      <c r="BN158" s="544"/>
      <c r="BO158" s="544"/>
      <c r="BP158" s="544"/>
      <c r="BQ158" s="544"/>
      <c r="BR158" s="544"/>
      <c r="BS158" s="544"/>
      <c r="BT158" s="544"/>
      <c r="BU158" s="544"/>
      <c r="BV158" s="544"/>
      <c r="BW158" s="544"/>
      <c r="BX158" s="544"/>
      <c r="BY158" s="544"/>
      <c r="BZ158" s="544"/>
      <c r="CA158" s="544"/>
      <c r="CB158" s="544"/>
      <c r="CC158" s="544"/>
      <c r="CD158" s="544"/>
      <c r="CE158" s="544"/>
      <c r="CF158" s="544"/>
      <c r="CG158" s="544"/>
      <c r="CH158" s="544"/>
      <c r="CI158" s="544"/>
      <c r="CJ158" s="544"/>
      <c r="CK158" s="544"/>
      <c r="CL158" s="544"/>
      <c r="CM158" s="544"/>
      <c r="CN158" s="544"/>
      <c r="CO158" s="544"/>
      <c r="CP158" s="544"/>
      <c r="CQ158" s="544"/>
      <c r="CR158" s="544"/>
      <c r="CS158" s="544"/>
      <c r="CT158" s="544"/>
      <c r="CU158" s="544"/>
      <c r="CV158" s="544"/>
      <c r="CW158" s="544"/>
      <c r="CX158" s="544"/>
      <c r="CY158" s="544"/>
      <c r="CZ158" s="544"/>
      <c r="DA158" s="544"/>
      <c r="DB158" s="544"/>
      <c r="DC158" s="544"/>
      <c r="DD158" s="544"/>
      <c r="DE158" s="544"/>
      <c r="DF158" s="544"/>
      <c r="DG158" s="544"/>
      <c r="DH158" s="544"/>
      <c r="DI158" s="544"/>
      <c r="DJ158" s="544"/>
      <c r="DK158" s="544"/>
      <c r="DL158" s="544"/>
      <c r="DM158" s="544"/>
      <c r="DN158" s="544"/>
      <c r="DO158" s="544"/>
      <c r="DP158" s="544"/>
      <c r="DQ158" s="544"/>
      <c r="DR158" s="544"/>
      <c r="DS158" s="544"/>
      <c r="DT158" s="544"/>
      <c r="DU158" s="544"/>
      <c r="DV158" s="544"/>
      <c r="DW158" s="544"/>
      <c r="DX158" s="544"/>
      <c r="DY158" s="544"/>
      <c r="DZ158" s="544"/>
      <c r="EA158" s="544"/>
      <c r="EB158" s="544"/>
      <c r="EC158" s="544"/>
      <c r="ED158" s="544"/>
      <c r="EE158" s="544"/>
      <c r="EF158" s="544"/>
      <c r="EG158" s="544"/>
      <c r="EH158" s="544"/>
      <c r="EI158" s="544"/>
      <c r="EJ158" s="544"/>
      <c r="EK158" s="544"/>
      <c r="EL158" s="544"/>
      <c r="EM158" s="544"/>
      <c r="EN158" s="544"/>
      <c r="EO158" s="544"/>
      <c r="EP158" s="544"/>
      <c r="EQ158" s="544"/>
      <c r="ER158" s="544"/>
      <c r="ES158" s="544"/>
      <c r="ET158" s="544"/>
      <c r="EU158" s="544"/>
      <c r="EV158" s="544"/>
      <c r="EW158" s="544"/>
      <c r="EX158" s="544"/>
      <c r="EY158" s="544"/>
      <c r="EZ158" s="544"/>
      <c r="FA158" s="544"/>
      <c r="FB158" s="544"/>
      <c r="FC158" s="544"/>
      <c r="FD158" s="544"/>
      <c r="FE158" s="544"/>
      <c r="FF158" s="544"/>
      <c r="FG158" s="544"/>
      <c r="FH158" s="544"/>
      <c r="FI158" s="544"/>
      <c r="FJ158" s="544"/>
      <c r="FK158" s="544"/>
      <c r="FL158" s="544"/>
      <c r="FM158" s="544"/>
      <c r="FN158" s="544"/>
      <c r="FO158" s="544"/>
      <c r="FP158" s="544"/>
      <c r="FQ158" s="544"/>
      <c r="FR158" s="544"/>
      <c r="FS158" s="544"/>
      <c r="FT158" s="544"/>
      <c r="FU158" s="544"/>
      <c r="FV158" s="544"/>
      <c r="FW158" s="544"/>
      <c r="FX158" s="544"/>
      <c r="FY158" s="544"/>
      <c r="FZ158" s="544"/>
      <c r="GA158" s="544"/>
      <c r="GB158" s="544"/>
      <c r="GC158" s="544"/>
      <c r="GD158" s="544"/>
      <c r="GE158" s="544"/>
      <c r="GF158" s="544"/>
      <c r="GG158" s="544"/>
      <c r="GH158" s="544"/>
      <c r="GI158" s="544"/>
      <c r="GJ158" s="544"/>
      <c r="GK158" s="544"/>
      <c r="GL158" s="544"/>
      <c r="GM158" s="544"/>
      <c r="GN158" s="544"/>
      <c r="GO158" s="544"/>
      <c r="GP158" s="544"/>
      <c r="GQ158" s="544"/>
      <c r="GR158" s="544"/>
      <c r="GS158" s="544"/>
      <c r="GT158" s="544"/>
      <c r="GU158" s="544"/>
      <c r="GV158" s="544"/>
      <c r="GW158" s="544"/>
      <c r="GX158" s="544"/>
      <c r="GY158" s="544"/>
      <c r="GZ158" s="544"/>
      <c r="HA158" s="544"/>
      <c r="HB158" s="544"/>
      <c r="HC158" s="544"/>
      <c r="HD158" s="544"/>
      <c r="HE158" s="544"/>
      <c r="HF158" s="544"/>
      <c r="HG158" s="544"/>
      <c r="HH158" s="544"/>
      <c r="HI158" s="544"/>
      <c r="HJ158" s="544"/>
      <c r="HK158" s="544"/>
      <c r="HL158" s="544"/>
      <c r="HM158" s="544"/>
      <c r="HN158" s="544"/>
      <c r="HO158" s="544"/>
      <c r="HP158" s="544"/>
      <c r="HQ158" s="544"/>
      <c r="HR158" s="544"/>
      <c r="HS158" s="544"/>
      <c r="HT158" s="544"/>
      <c r="HU158" s="544"/>
      <c r="HV158" s="544"/>
      <c r="HW158" s="544"/>
      <c r="HX158" s="544"/>
      <c r="HY158" s="544"/>
      <c r="HZ158" s="544"/>
      <c r="IA158" s="544"/>
      <c r="IB158" s="544"/>
      <c r="IC158" s="544"/>
      <c r="ID158" s="544"/>
      <c r="IE158" s="544"/>
      <c r="IF158" s="544"/>
      <c r="IG158" s="544"/>
      <c r="IH158" s="544"/>
      <c r="II158" s="544"/>
      <c r="IJ158" s="544"/>
      <c r="IK158" s="544"/>
      <c r="IL158" s="544"/>
      <c r="IM158" s="544"/>
      <c r="IN158" s="544"/>
      <c r="IO158" s="544"/>
      <c r="IP158" s="544"/>
      <c r="IQ158" s="544"/>
      <c r="IR158" s="544"/>
      <c r="IS158" s="544"/>
    </row>
    <row r="159" spans="1:253" s="544" customFormat="1" ht="17.149999999999999" customHeight="1" x14ac:dyDescent="0.35">
      <c r="B159" s="601"/>
      <c r="C159" s="601"/>
      <c r="D159" s="523"/>
    </row>
    <row r="160" spans="1:253" s="544" customFormat="1" ht="17.149999999999999" customHeight="1" x14ac:dyDescent="0.35">
      <c r="B160" s="645"/>
      <c r="C160" s="645"/>
      <c r="D160" s="523"/>
    </row>
    <row r="161" spans="1:253" s="544" customFormat="1" ht="17.149999999999999" customHeight="1" x14ac:dyDescent="0.35">
      <c r="B161" s="592" t="s">
        <v>672</v>
      </c>
      <c r="C161" s="1091"/>
      <c r="D161" s="661"/>
    </row>
    <row r="162" spans="1:253" ht="28" customHeight="1" x14ac:dyDescent="0.35">
      <c r="A162" s="544"/>
      <c r="B162" s="1484" t="s">
        <v>594</v>
      </c>
      <c r="C162" s="684" t="s">
        <v>374</v>
      </c>
      <c r="E162" s="667" t="s">
        <v>521</v>
      </c>
      <c r="F162" s="1480"/>
      <c r="G162" s="1481"/>
      <c r="H162" s="1474" t="s">
        <v>656</v>
      </c>
      <c r="I162" s="1474" t="s">
        <v>645</v>
      </c>
      <c r="J162" s="544"/>
      <c r="K162" s="544"/>
      <c r="AY162" s="544"/>
      <c r="AZ162" s="544"/>
      <c r="BA162" s="544"/>
      <c r="BB162" s="544"/>
      <c r="BC162" s="544"/>
      <c r="BD162" s="544"/>
      <c r="BE162" s="544"/>
      <c r="BF162" s="544"/>
      <c r="BG162" s="544"/>
      <c r="BH162" s="544"/>
      <c r="BI162" s="544"/>
      <c r="BJ162" s="544"/>
      <c r="BK162" s="544"/>
      <c r="BL162" s="544"/>
      <c r="BM162" s="544"/>
      <c r="BN162" s="544"/>
      <c r="BO162" s="544"/>
      <c r="BP162" s="544"/>
      <c r="BQ162" s="544"/>
      <c r="BR162" s="544"/>
      <c r="BS162" s="544"/>
      <c r="BT162" s="544"/>
      <c r="BU162" s="544"/>
      <c r="BV162" s="544"/>
      <c r="BW162" s="544"/>
      <c r="BX162" s="544"/>
      <c r="BY162" s="544"/>
      <c r="BZ162" s="544"/>
      <c r="CA162" s="544"/>
      <c r="CB162" s="544"/>
      <c r="CC162" s="544"/>
      <c r="CD162" s="544"/>
      <c r="CE162" s="544"/>
      <c r="CF162" s="544"/>
      <c r="CG162" s="544"/>
      <c r="CH162" s="544"/>
      <c r="CI162" s="544"/>
      <c r="CJ162" s="544"/>
      <c r="CK162" s="544"/>
      <c r="CL162" s="544"/>
      <c r="CM162" s="544"/>
      <c r="CN162" s="544"/>
      <c r="CO162" s="544"/>
      <c r="CP162" s="544"/>
      <c r="CQ162" s="544"/>
      <c r="CR162" s="544"/>
      <c r="CS162" s="544"/>
      <c r="CT162" s="544"/>
      <c r="CU162" s="544"/>
      <c r="CV162" s="544"/>
      <c r="CW162" s="544"/>
      <c r="CX162" s="544"/>
      <c r="CY162" s="544"/>
      <c r="CZ162" s="544"/>
      <c r="DA162" s="544"/>
      <c r="DB162" s="544"/>
      <c r="DC162" s="544"/>
      <c r="DD162" s="544"/>
      <c r="DE162" s="544"/>
      <c r="DF162" s="544"/>
      <c r="DG162" s="544"/>
      <c r="DH162" s="544"/>
      <c r="DI162" s="544"/>
      <c r="DJ162" s="544"/>
      <c r="DK162" s="544"/>
      <c r="DL162" s="544"/>
      <c r="DM162" s="544"/>
      <c r="DN162" s="544"/>
      <c r="DO162" s="544"/>
      <c r="DP162" s="544"/>
      <c r="DQ162" s="544"/>
      <c r="DR162" s="544"/>
      <c r="DS162" s="544"/>
      <c r="DT162" s="544"/>
      <c r="DU162" s="544"/>
      <c r="DV162" s="544"/>
      <c r="DW162" s="544"/>
      <c r="DX162" s="544"/>
      <c r="DY162" s="544"/>
      <c r="DZ162" s="544"/>
      <c r="EA162" s="544"/>
      <c r="EB162" s="544"/>
      <c r="EC162" s="544"/>
      <c r="ED162" s="544"/>
      <c r="EE162" s="544"/>
      <c r="EF162" s="544"/>
      <c r="EG162" s="544"/>
      <c r="EH162" s="544"/>
      <c r="EI162" s="544"/>
      <c r="EJ162" s="544"/>
      <c r="EK162" s="544"/>
      <c r="EL162" s="544"/>
      <c r="EM162" s="544"/>
      <c r="EN162" s="544"/>
      <c r="EO162" s="544"/>
      <c r="EP162" s="544"/>
      <c r="EQ162" s="544"/>
      <c r="ER162" s="544"/>
      <c r="ES162" s="544"/>
      <c r="ET162" s="544"/>
      <c r="EU162" s="544"/>
      <c r="EV162" s="544"/>
      <c r="EW162" s="544"/>
      <c r="EX162" s="544"/>
      <c r="EY162" s="544"/>
      <c r="EZ162" s="544"/>
      <c r="FA162" s="544"/>
      <c r="FB162" s="544"/>
      <c r="FC162" s="544"/>
      <c r="FD162" s="544"/>
      <c r="FE162" s="544"/>
      <c r="FF162" s="544"/>
      <c r="FG162" s="544"/>
      <c r="FH162" s="544"/>
      <c r="FI162" s="544"/>
      <c r="FJ162" s="544"/>
      <c r="FK162" s="544"/>
      <c r="FL162" s="544"/>
      <c r="FM162" s="544"/>
      <c r="FN162" s="544"/>
      <c r="FO162" s="544"/>
      <c r="FP162" s="544"/>
      <c r="FQ162" s="544"/>
      <c r="FR162" s="544"/>
      <c r="FS162" s="544"/>
      <c r="FT162" s="544"/>
      <c r="FU162" s="544"/>
      <c r="FV162" s="544"/>
      <c r="FW162" s="544"/>
      <c r="FX162" s="544"/>
      <c r="FY162" s="544"/>
      <c r="FZ162" s="544"/>
      <c r="GA162" s="544"/>
      <c r="GB162" s="544"/>
      <c r="GC162" s="544"/>
      <c r="GD162" s="544"/>
      <c r="GE162" s="544"/>
      <c r="GF162" s="544"/>
      <c r="GG162" s="544"/>
      <c r="GH162" s="544"/>
      <c r="GI162" s="544"/>
      <c r="GJ162" s="544"/>
      <c r="GK162" s="544"/>
      <c r="GL162" s="544"/>
      <c r="GM162" s="544"/>
      <c r="GN162" s="544"/>
      <c r="GO162" s="544"/>
      <c r="GP162" s="544"/>
      <c r="GQ162" s="544"/>
      <c r="GR162" s="544"/>
      <c r="GS162" s="544"/>
      <c r="GT162" s="544"/>
      <c r="GU162" s="544"/>
      <c r="GV162" s="544"/>
      <c r="GW162" s="544"/>
      <c r="GX162" s="544"/>
      <c r="GY162" s="544"/>
      <c r="GZ162" s="544"/>
      <c r="HA162" s="544"/>
      <c r="HB162" s="544"/>
      <c r="HC162" s="544"/>
      <c r="HD162" s="544"/>
      <c r="HE162" s="544"/>
      <c r="HF162" s="544"/>
      <c r="HG162" s="544"/>
      <c r="HH162" s="544"/>
      <c r="HI162" s="544"/>
      <c r="HJ162" s="544"/>
      <c r="HK162" s="544"/>
      <c r="HL162" s="544"/>
      <c r="HM162" s="544"/>
      <c r="HN162" s="544"/>
      <c r="HO162" s="544"/>
      <c r="HP162" s="544"/>
      <c r="HQ162" s="544"/>
      <c r="HR162" s="544"/>
      <c r="HS162" s="544"/>
      <c r="HT162" s="544"/>
      <c r="HU162" s="544"/>
      <c r="HV162" s="544"/>
      <c r="HW162" s="544"/>
      <c r="HX162" s="544"/>
      <c r="HY162" s="544"/>
      <c r="HZ162" s="544"/>
      <c r="IA162" s="544"/>
      <c r="IB162" s="544"/>
      <c r="IC162" s="544"/>
      <c r="ID162" s="544"/>
      <c r="IE162" s="544"/>
      <c r="IF162" s="544"/>
      <c r="IG162" s="544"/>
      <c r="IH162" s="544"/>
      <c r="II162" s="544"/>
      <c r="IJ162" s="544"/>
      <c r="IK162" s="544"/>
      <c r="IL162" s="544"/>
      <c r="IM162" s="544"/>
      <c r="IN162" s="544"/>
      <c r="IO162" s="544"/>
      <c r="IP162" s="544"/>
      <c r="IQ162" s="544"/>
      <c r="IR162" s="544"/>
      <c r="IS162" s="544"/>
    </row>
    <row r="163" spans="1:253" ht="28" customHeight="1" x14ac:dyDescent="0.35">
      <c r="A163" s="544"/>
      <c r="B163" s="600" t="s">
        <v>646</v>
      </c>
      <c r="C163" s="881">
        <v>1</v>
      </c>
      <c r="E163" s="544"/>
      <c r="F163" s="544"/>
      <c r="G163" s="544"/>
      <c r="H163" s="544"/>
      <c r="I163" s="544"/>
      <c r="J163" s="544"/>
      <c r="K163" s="544"/>
      <c r="AY163" s="544"/>
      <c r="AZ163" s="544"/>
      <c r="BA163" s="544"/>
      <c r="BB163" s="544"/>
      <c r="BC163" s="544"/>
      <c r="BD163" s="544"/>
      <c r="BE163" s="544"/>
      <c r="BF163" s="544"/>
      <c r="BG163" s="544"/>
      <c r="BH163" s="544"/>
      <c r="BI163" s="544"/>
      <c r="BJ163" s="544"/>
      <c r="BK163" s="544"/>
      <c r="BL163" s="544"/>
      <c r="BM163" s="544"/>
      <c r="BN163" s="544"/>
      <c r="BO163" s="544"/>
      <c r="BP163" s="544"/>
      <c r="BQ163" s="544"/>
      <c r="BR163" s="544"/>
      <c r="BS163" s="544"/>
      <c r="BT163" s="544"/>
      <c r="BU163" s="544"/>
      <c r="BV163" s="544"/>
      <c r="BW163" s="544"/>
      <c r="BX163" s="544"/>
      <c r="BY163" s="544"/>
      <c r="BZ163" s="544"/>
      <c r="CA163" s="544"/>
      <c r="CB163" s="544"/>
      <c r="CC163" s="544"/>
      <c r="CD163" s="544"/>
      <c r="CE163" s="544"/>
      <c r="CF163" s="544"/>
      <c r="CG163" s="544"/>
      <c r="CH163" s="544"/>
      <c r="CI163" s="544"/>
      <c r="CJ163" s="544"/>
      <c r="CK163" s="544"/>
      <c r="CL163" s="544"/>
      <c r="CM163" s="544"/>
      <c r="CN163" s="544"/>
      <c r="CO163" s="544"/>
      <c r="CP163" s="544"/>
      <c r="CQ163" s="544"/>
      <c r="CR163" s="544"/>
      <c r="CS163" s="544"/>
      <c r="CT163" s="544"/>
      <c r="CU163" s="544"/>
      <c r="CV163" s="544"/>
      <c r="CW163" s="544"/>
      <c r="CX163" s="544"/>
      <c r="CY163" s="544"/>
      <c r="CZ163" s="544"/>
      <c r="DA163" s="544"/>
      <c r="DB163" s="544"/>
      <c r="DC163" s="544"/>
      <c r="DD163" s="544"/>
      <c r="DE163" s="544"/>
      <c r="DF163" s="544"/>
      <c r="DG163" s="544"/>
      <c r="DH163" s="544"/>
      <c r="DI163" s="544"/>
      <c r="DJ163" s="544"/>
      <c r="DK163" s="544"/>
      <c r="DL163" s="544"/>
      <c r="DM163" s="544"/>
      <c r="DN163" s="544"/>
      <c r="DO163" s="544"/>
      <c r="DP163" s="544"/>
      <c r="DQ163" s="544"/>
      <c r="DR163" s="544"/>
      <c r="DS163" s="544"/>
      <c r="DT163" s="544"/>
      <c r="DU163" s="544"/>
      <c r="DV163" s="544"/>
      <c r="DW163" s="544"/>
      <c r="DX163" s="544"/>
      <c r="DY163" s="544"/>
      <c r="DZ163" s="544"/>
      <c r="EA163" s="544"/>
      <c r="EB163" s="544"/>
      <c r="EC163" s="544"/>
      <c r="ED163" s="544"/>
      <c r="EE163" s="544"/>
      <c r="EF163" s="544"/>
      <c r="EG163" s="544"/>
      <c r="EH163" s="544"/>
      <c r="EI163" s="544"/>
      <c r="EJ163" s="544"/>
      <c r="EK163" s="544"/>
      <c r="EL163" s="544"/>
      <c r="EM163" s="544"/>
      <c r="EN163" s="544"/>
      <c r="EO163" s="544"/>
      <c r="EP163" s="544"/>
      <c r="EQ163" s="544"/>
      <c r="ER163" s="544"/>
      <c r="ES163" s="544"/>
      <c r="ET163" s="544"/>
      <c r="EU163" s="544"/>
      <c r="EV163" s="544"/>
      <c r="EW163" s="544"/>
      <c r="EX163" s="544"/>
      <c r="EY163" s="544"/>
      <c r="EZ163" s="544"/>
      <c r="FA163" s="544"/>
      <c r="FB163" s="544"/>
      <c r="FC163" s="544"/>
      <c r="FD163" s="544"/>
      <c r="FE163" s="544"/>
      <c r="FF163" s="544"/>
      <c r="FG163" s="544"/>
      <c r="FH163" s="544"/>
      <c r="FI163" s="544"/>
      <c r="FJ163" s="544"/>
      <c r="FK163" s="544"/>
      <c r="FL163" s="544"/>
      <c r="FM163" s="544"/>
      <c r="FN163" s="544"/>
      <c r="FO163" s="544"/>
      <c r="FP163" s="544"/>
      <c r="FQ163" s="544"/>
      <c r="FR163" s="544"/>
      <c r="FS163" s="544"/>
      <c r="FT163" s="544"/>
      <c r="FU163" s="544"/>
      <c r="FV163" s="544"/>
      <c r="FW163" s="544"/>
      <c r="FX163" s="544"/>
      <c r="FY163" s="544"/>
      <c r="FZ163" s="544"/>
      <c r="GA163" s="544"/>
      <c r="GB163" s="544"/>
      <c r="GC163" s="544"/>
      <c r="GD163" s="544"/>
      <c r="GE163" s="544"/>
      <c r="GF163" s="544"/>
      <c r="GG163" s="544"/>
      <c r="GH163" s="544"/>
      <c r="GI163" s="544"/>
      <c r="GJ163" s="544"/>
      <c r="GK163" s="544"/>
      <c r="GL163" s="544"/>
      <c r="GM163" s="544"/>
      <c r="GN163" s="544"/>
      <c r="GO163" s="544"/>
      <c r="GP163" s="544"/>
      <c r="GQ163" s="544"/>
      <c r="GR163" s="544"/>
      <c r="GS163" s="544"/>
      <c r="GT163" s="544"/>
      <c r="GU163" s="544"/>
      <c r="GV163" s="544"/>
      <c r="GW163" s="544"/>
      <c r="GX163" s="544"/>
      <c r="GY163" s="544"/>
      <c r="GZ163" s="544"/>
      <c r="HA163" s="544"/>
      <c r="HB163" s="544"/>
      <c r="HC163" s="544"/>
      <c r="HD163" s="544"/>
      <c r="HE163" s="544"/>
      <c r="HF163" s="544"/>
      <c r="HG163" s="544"/>
      <c r="HH163" s="544"/>
      <c r="HI163" s="544"/>
      <c r="HJ163" s="544"/>
      <c r="HK163" s="544"/>
      <c r="HL163" s="544"/>
      <c r="HM163" s="544"/>
      <c r="HN163" s="544"/>
      <c r="HO163" s="544"/>
      <c r="HP163" s="544"/>
      <c r="HQ163" s="544"/>
      <c r="HR163" s="544"/>
      <c r="HS163" s="544"/>
      <c r="HT163" s="544"/>
      <c r="HU163" s="544"/>
      <c r="HV163" s="544"/>
      <c r="HW163" s="544"/>
      <c r="HX163" s="544"/>
      <c r="HY163" s="544"/>
      <c r="HZ163" s="544"/>
      <c r="IA163" s="544"/>
      <c r="IB163" s="544"/>
      <c r="IC163" s="544"/>
      <c r="ID163" s="544"/>
      <c r="IE163" s="544"/>
      <c r="IF163" s="544"/>
      <c r="IG163" s="544"/>
      <c r="IH163" s="544"/>
      <c r="II163" s="544"/>
      <c r="IJ163" s="544"/>
      <c r="IK163" s="544"/>
      <c r="IL163" s="544"/>
      <c r="IM163" s="544"/>
      <c r="IN163" s="544"/>
      <c r="IO163" s="544"/>
      <c r="IP163" s="544"/>
      <c r="IQ163" s="544"/>
      <c r="IR163" s="544"/>
      <c r="IS163" s="544"/>
    </row>
    <row r="164" spans="1:253" ht="31" x14ac:dyDescent="0.35">
      <c r="A164" s="544"/>
      <c r="B164" s="1090" t="s">
        <v>661</v>
      </c>
      <c r="C164" s="881"/>
      <c r="E164" s="907"/>
      <c r="F164" s="908"/>
      <c r="G164" s="909"/>
      <c r="H164" s="913"/>
      <c r="I164" s="913"/>
      <c r="J164" s="917" t="s">
        <v>648</v>
      </c>
      <c r="K164" s="544"/>
      <c r="AA164" s="1089" t="s">
        <v>601</v>
      </c>
      <c r="AY164" s="544"/>
      <c r="AZ164" s="544"/>
      <c r="BA164" s="544"/>
      <c r="BB164" s="544"/>
      <c r="BC164" s="544"/>
      <c r="BD164" s="544"/>
      <c r="BE164" s="544"/>
      <c r="BF164" s="544"/>
      <c r="BG164" s="544"/>
      <c r="BH164" s="544"/>
      <c r="BI164" s="544"/>
      <c r="BJ164" s="544"/>
      <c r="BK164" s="544"/>
      <c r="BL164" s="544"/>
      <c r="BM164" s="544"/>
      <c r="BN164" s="544"/>
      <c r="BO164" s="544"/>
      <c r="BP164" s="544"/>
      <c r="BQ164" s="544"/>
      <c r="BR164" s="544"/>
      <c r="BS164" s="544"/>
      <c r="BT164" s="544"/>
      <c r="BU164" s="544"/>
      <c r="BV164" s="544"/>
      <c r="BW164" s="544"/>
      <c r="BX164" s="544"/>
      <c r="BY164" s="544"/>
      <c r="BZ164" s="544"/>
      <c r="CA164" s="544"/>
      <c r="CB164" s="544"/>
      <c r="CC164" s="544"/>
      <c r="CD164" s="544"/>
      <c r="CE164" s="544"/>
      <c r="CF164" s="544"/>
      <c r="CG164" s="544"/>
      <c r="CH164" s="544"/>
      <c r="CI164" s="544"/>
      <c r="CJ164" s="544"/>
      <c r="CK164" s="544"/>
      <c r="CL164" s="544"/>
      <c r="CM164" s="544"/>
      <c r="CN164" s="544"/>
      <c r="CO164" s="544"/>
      <c r="CP164" s="544"/>
      <c r="CQ164" s="544"/>
      <c r="CR164" s="544"/>
      <c r="CS164" s="544"/>
      <c r="CT164" s="544"/>
      <c r="CU164" s="544"/>
      <c r="CV164" s="544"/>
      <c r="CW164" s="544"/>
      <c r="CX164" s="544"/>
      <c r="CY164" s="544"/>
      <c r="CZ164" s="544"/>
      <c r="DA164" s="544"/>
      <c r="DB164" s="544"/>
      <c r="DC164" s="544"/>
      <c r="DD164" s="544"/>
      <c r="DE164" s="544"/>
      <c r="DF164" s="544"/>
      <c r="DG164" s="544"/>
      <c r="DH164" s="544"/>
      <c r="DI164" s="544"/>
      <c r="DJ164" s="544"/>
      <c r="DK164" s="544"/>
      <c r="DL164" s="544"/>
      <c r="DM164" s="544"/>
      <c r="DN164" s="544"/>
      <c r="DO164" s="544"/>
      <c r="DP164" s="544"/>
      <c r="DQ164" s="544"/>
      <c r="DR164" s="544"/>
      <c r="DS164" s="544"/>
      <c r="DT164" s="544"/>
      <c r="DU164" s="544"/>
      <c r="DV164" s="544"/>
      <c r="DW164" s="544"/>
      <c r="DX164" s="544"/>
      <c r="DY164" s="544"/>
      <c r="DZ164" s="544"/>
      <c r="EA164" s="544"/>
      <c r="EB164" s="544"/>
      <c r="EC164" s="544"/>
      <c r="ED164" s="544"/>
      <c r="EE164" s="544"/>
      <c r="EF164" s="544"/>
      <c r="EG164" s="544"/>
      <c r="EH164" s="544"/>
      <c r="EI164" s="544"/>
      <c r="EJ164" s="544"/>
      <c r="EK164" s="544"/>
      <c r="EL164" s="544"/>
      <c r="EM164" s="544"/>
      <c r="EN164" s="544"/>
      <c r="EO164" s="544"/>
      <c r="EP164" s="544"/>
      <c r="EQ164" s="544"/>
      <c r="ER164" s="544"/>
      <c r="ES164" s="544"/>
      <c r="ET164" s="544"/>
      <c r="EU164" s="544"/>
      <c r="EV164" s="544"/>
      <c r="EW164" s="544"/>
      <c r="EX164" s="544"/>
      <c r="EY164" s="544"/>
      <c r="EZ164" s="544"/>
      <c r="FA164" s="544"/>
      <c r="FB164" s="544"/>
      <c r="FC164" s="544"/>
      <c r="FD164" s="544"/>
      <c r="FE164" s="544"/>
      <c r="FF164" s="544"/>
      <c r="FG164" s="544"/>
      <c r="FH164" s="544"/>
      <c r="FI164" s="544"/>
      <c r="FJ164" s="544"/>
      <c r="FK164" s="544"/>
      <c r="FL164" s="544"/>
      <c r="FM164" s="544"/>
      <c r="FN164" s="544"/>
      <c r="FO164" s="544"/>
      <c r="FP164" s="544"/>
      <c r="FQ164" s="544"/>
      <c r="FR164" s="544"/>
      <c r="FS164" s="544"/>
      <c r="FT164" s="544"/>
      <c r="FU164" s="544"/>
      <c r="FV164" s="544"/>
      <c r="FW164" s="544"/>
      <c r="FX164" s="544"/>
      <c r="FY164" s="544"/>
      <c r="FZ164" s="544"/>
      <c r="GA164" s="544"/>
      <c r="GB164" s="544"/>
      <c r="GC164" s="544"/>
      <c r="GD164" s="544"/>
      <c r="GE164" s="544"/>
      <c r="GF164" s="544"/>
      <c r="GG164" s="544"/>
      <c r="GH164" s="544"/>
      <c r="GI164" s="544"/>
      <c r="GJ164" s="544"/>
      <c r="GK164" s="544"/>
      <c r="GL164" s="544"/>
      <c r="GM164" s="544"/>
      <c r="GN164" s="544"/>
      <c r="GO164" s="544"/>
      <c r="GP164" s="544"/>
      <c r="GQ164" s="544"/>
      <c r="GR164" s="544"/>
      <c r="GS164" s="544"/>
      <c r="GT164" s="544"/>
      <c r="GU164" s="544"/>
      <c r="GV164" s="544"/>
      <c r="GW164" s="544"/>
      <c r="GX164" s="544"/>
      <c r="GY164" s="544"/>
      <c r="GZ164" s="544"/>
      <c r="HA164" s="544"/>
      <c r="HB164" s="544"/>
      <c r="HC164" s="544"/>
      <c r="HD164" s="544"/>
      <c r="HE164" s="544"/>
      <c r="HF164" s="544"/>
      <c r="HG164" s="544"/>
      <c r="HH164" s="544"/>
      <c r="HI164" s="544"/>
      <c r="HJ164" s="544"/>
      <c r="HK164" s="544"/>
      <c r="HL164" s="544"/>
      <c r="HM164" s="544"/>
      <c r="HN164" s="544"/>
      <c r="HO164" s="544"/>
      <c r="HP164" s="544"/>
      <c r="HQ164" s="544"/>
      <c r="HR164" s="544"/>
      <c r="HS164" s="544"/>
      <c r="HT164" s="544"/>
      <c r="HU164" s="544"/>
      <c r="HV164" s="544"/>
      <c r="HW164" s="544"/>
      <c r="HX164" s="544"/>
      <c r="HY164" s="544"/>
      <c r="HZ164" s="544"/>
      <c r="IA164" s="544"/>
      <c r="IB164" s="544"/>
      <c r="IC164" s="544"/>
      <c r="ID164" s="544"/>
      <c r="IE164" s="544"/>
      <c r="IF164" s="544"/>
      <c r="IG164" s="544"/>
      <c r="IH164" s="544"/>
      <c r="II164" s="544"/>
      <c r="IJ164" s="544"/>
      <c r="IK164" s="544"/>
      <c r="IL164" s="544"/>
      <c r="IM164" s="544"/>
      <c r="IN164" s="544"/>
      <c r="IO164" s="544"/>
      <c r="IP164" s="544"/>
      <c r="IQ164" s="544"/>
      <c r="IR164" s="544"/>
      <c r="IS164" s="544"/>
    </row>
    <row r="165" spans="1:253" ht="31" x14ac:dyDescent="0.35">
      <c r="A165" s="544"/>
      <c r="B165" s="1090" t="s">
        <v>649</v>
      </c>
      <c r="C165" s="881"/>
      <c r="E165" s="907"/>
      <c r="F165" s="908"/>
      <c r="G165" s="909"/>
      <c r="H165" s="913"/>
      <c r="I165" s="913"/>
      <c r="J165" s="544"/>
      <c r="K165" s="544"/>
      <c r="AA165" s="1089" t="s">
        <v>601</v>
      </c>
      <c r="AY165" s="544"/>
      <c r="AZ165" s="544"/>
      <c r="BA165" s="544"/>
      <c r="BB165" s="544"/>
      <c r="BC165" s="544"/>
      <c r="BD165" s="544"/>
      <c r="BE165" s="544"/>
      <c r="BF165" s="544"/>
      <c r="BG165" s="544"/>
      <c r="BH165" s="544"/>
      <c r="BI165" s="544"/>
      <c r="BJ165" s="544"/>
      <c r="BK165" s="544"/>
      <c r="BL165" s="544"/>
      <c r="BM165" s="544"/>
      <c r="BN165" s="544"/>
      <c r="BO165" s="544"/>
      <c r="BP165" s="544"/>
      <c r="BQ165" s="544"/>
      <c r="BR165" s="544"/>
      <c r="BS165" s="544"/>
      <c r="BT165" s="544"/>
      <c r="BU165" s="544"/>
      <c r="BV165" s="544"/>
      <c r="BW165" s="544"/>
      <c r="BX165" s="544"/>
      <c r="BY165" s="544"/>
      <c r="BZ165" s="544"/>
      <c r="CA165" s="544"/>
      <c r="CB165" s="544"/>
      <c r="CC165" s="544"/>
      <c r="CD165" s="544"/>
      <c r="CE165" s="544"/>
      <c r="CF165" s="544"/>
      <c r="CG165" s="544"/>
      <c r="CH165" s="544"/>
      <c r="CI165" s="544"/>
      <c r="CJ165" s="544"/>
      <c r="CK165" s="544"/>
      <c r="CL165" s="544"/>
      <c r="CM165" s="544"/>
      <c r="CN165" s="544"/>
      <c r="CO165" s="544"/>
      <c r="CP165" s="544"/>
      <c r="CQ165" s="544"/>
      <c r="CR165" s="544"/>
      <c r="CS165" s="544"/>
      <c r="CT165" s="544"/>
      <c r="CU165" s="544"/>
      <c r="CV165" s="544"/>
      <c r="CW165" s="544"/>
      <c r="CX165" s="544"/>
      <c r="CY165" s="544"/>
      <c r="CZ165" s="544"/>
      <c r="DA165" s="544"/>
      <c r="DB165" s="544"/>
      <c r="DC165" s="544"/>
      <c r="DD165" s="544"/>
      <c r="DE165" s="544"/>
      <c r="DF165" s="544"/>
      <c r="DG165" s="544"/>
      <c r="DH165" s="544"/>
      <c r="DI165" s="544"/>
      <c r="DJ165" s="544"/>
      <c r="DK165" s="544"/>
      <c r="DL165" s="544"/>
      <c r="DM165" s="544"/>
      <c r="DN165" s="544"/>
      <c r="DO165" s="544"/>
      <c r="DP165" s="544"/>
      <c r="DQ165" s="544"/>
      <c r="DR165" s="544"/>
      <c r="DS165" s="544"/>
      <c r="DT165" s="544"/>
      <c r="DU165" s="544"/>
      <c r="DV165" s="544"/>
      <c r="DW165" s="544"/>
      <c r="DX165" s="544"/>
      <c r="DY165" s="544"/>
      <c r="DZ165" s="544"/>
      <c r="EA165" s="544"/>
      <c r="EB165" s="544"/>
      <c r="EC165" s="544"/>
      <c r="ED165" s="544"/>
      <c r="EE165" s="544"/>
      <c r="EF165" s="544"/>
      <c r="EG165" s="544"/>
      <c r="EH165" s="544"/>
      <c r="EI165" s="544"/>
      <c r="EJ165" s="544"/>
      <c r="EK165" s="544"/>
      <c r="EL165" s="544"/>
      <c r="EM165" s="544"/>
      <c r="EN165" s="544"/>
      <c r="EO165" s="544"/>
      <c r="EP165" s="544"/>
      <c r="EQ165" s="544"/>
      <c r="ER165" s="544"/>
      <c r="ES165" s="544"/>
      <c r="ET165" s="544"/>
      <c r="EU165" s="544"/>
      <c r="EV165" s="544"/>
      <c r="EW165" s="544"/>
      <c r="EX165" s="544"/>
      <c r="EY165" s="544"/>
      <c r="EZ165" s="544"/>
      <c r="FA165" s="544"/>
      <c r="FB165" s="544"/>
      <c r="FC165" s="544"/>
      <c r="FD165" s="544"/>
      <c r="FE165" s="544"/>
      <c r="FF165" s="544"/>
      <c r="FG165" s="544"/>
      <c r="FH165" s="544"/>
      <c r="FI165" s="544"/>
      <c r="FJ165" s="544"/>
      <c r="FK165" s="544"/>
      <c r="FL165" s="544"/>
      <c r="FM165" s="544"/>
      <c r="FN165" s="544"/>
      <c r="FO165" s="544"/>
      <c r="FP165" s="544"/>
      <c r="FQ165" s="544"/>
      <c r="FR165" s="544"/>
      <c r="FS165" s="544"/>
      <c r="FT165" s="544"/>
      <c r="FU165" s="544"/>
      <c r="FV165" s="544"/>
      <c r="FW165" s="544"/>
      <c r="FX165" s="544"/>
      <c r="FY165" s="544"/>
      <c r="FZ165" s="544"/>
      <c r="GA165" s="544"/>
      <c r="GB165" s="544"/>
      <c r="GC165" s="544"/>
      <c r="GD165" s="544"/>
      <c r="GE165" s="544"/>
      <c r="GF165" s="544"/>
      <c r="GG165" s="544"/>
      <c r="GH165" s="544"/>
      <c r="GI165" s="544"/>
      <c r="GJ165" s="544"/>
      <c r="GK165" s="544"/>
      <c r="GL165" s="544"/>
      <c r="GM165" s="544"/>
      <c r="GN165" s="544"/>
      <c r="GO165" s="544"/>
      <c r="GP165" s="544"/>
      <c r="GQ165" s="544"/>
      <c r="GR165" s="544"/>
      <c r="GS165" s="544"/>
      <c r="GT165" s="544"/>
      <c r="GU165" s="544"/>
      <c r="GV165" s="544"/>
      <c r="GW165" s="544"/>
      <c r="GX165" s="544"/>
      <c r="GY165" s="544"/>
      <c r="GZ165" s="544"/>
      <c r="HA165" s="544"/>
      <c r="HB165" s="544"/>
      <c r="HC165" s="544"/>
      <c r="HD165" s="544"/>
      <c r="HE165" s="544"/>
      <c r="HF165" s="544"/>
      <c r="HG165" s="544"/>
      <c r="HH165" s="544"/>
      <c r="HI165" s="544"/>
      <c r="HJ165" s="544"/>
      <c r="HK165" s="544"/>
      <c r="HL165" s="544"/>
      <c r="HM165" s="544"/>
      <c r="HN165" s="544"/>
      <c r="HO165" s="544"/>
      <c r="HP165" s="544"/>
      <c r="HQ165" s="544"/>
      <c r="HR165" s="544"/>
      <c r="HS165" s="544"/>
      <c r="HT165" s="544"/>
      <c r="HU165" s="544"/>
      <c r="HV165" s="544"/>
      <c r="HW165" s="544"/>
      <c r="HX165" s="544"/>
      <c r="HY165" s="544"/>
      <c r="HZ165" s="544"/>
      <c r="IA165" s="544"/>
      <c r="IB165" s="544"/>
      <c r="IC165" s="544"/>
      <c r="ID165" s="544"/>
      <c r="IE165" s="544"/>
      <c r="IF165" s="544"/>
      <c r="IG165" s="544"/>
      <c r="IH165" s="544"/>
      <c r="II165" s="544"/>
      <c r="IJ165" s="544"/>
      <c r="IK165" s="544"/>
      <c r="IL165" s="544"/>
      <c r="IM165" s="544"/>
      <c r="IN165" s="544"/>
      <c r="IO165" s="544"/>
      <c r="IP165" s="544"/>
      <c r="IQ165" s="544"/>
      <c r="IR165" s="544"/>
      <c r="IS165" s="544"/>
    </row>
    <row r="166" spans="1:253" ht="31" x14ac:dyDescent="0.35">
      <c r="A166" s="544"/>
      <c r="B166" s="1090" t="s">
        <v>658</v>
      </c>
      <c r="C166" s="881"/>
      <c r="E166" s="907"/>
      <c r="F166" s="908"/>
      <c r="G166" s="909"/>
      <c r="H166" s="544"/>
      <c r="I166" s="544"/>
      <c r="J166" s="544"/>
      <c r="K166" s="544"/>
      <c r="AA166" s="1089" t="s">
        <v>601</v>
      </c>
      <c r="AY166" s="544"/>
      <c r="AZ166" s="544"/>
      <c r="BA166" s="544"/>
      <c r="BB166" s="544"/>
      <c r="BC166" s="544"/>
      <c r="BD166" s="544"/>
      <c r="BE166" s="544"/>
      <c r="BF166" s="544"/>
      <c r="BG166" s="544"/>
      <c r="BH166" s="544"/>
      <c r="BI166" s="544"/>
      <c r="BJ166" s="544"/>
      <c r="BK166" s="544"/>
      <c r="BL166" s="544"/>
      <c r="BM166" s="544"/>
      <c r="BN166" s="544"/>
      <c r="BO166" s="544"/>
      <c r="BP166" s="544"/>
      <c r="BQ166" s="544"/>
      <c r="BR166" s="544"/>
      <c r="BS166" s="544"/>
      <c r="BT166" s="544"/>
      <c r="BU166" s="544"/>
      <c r="BV166" s="544"/>
      <c r="BW166" s="544"/>
      <c r="BX166" s="544"/>
      <c r="BY166" s="544"/>
      <c r="BZ166" s="544"/>
      <c r="CA166" s="544"/>
      <c r="CB166" s="544"/>
      <c r="CC166" s="544"/>
      <c r="CD166" s="544"/>
      <c r="CE166" s="544"/>
      <c r="CF166" s="544"/>
      <c r="CG166" s="544"/>
      <c r="CH166" s="544"/>
      <c r="CI166" s="544"/>
      <c r="CJ166" s="544"/>
      <c r="CK166" s="544"/>
      <c r="CL166" s="544"/>
      <c r="CM166" s="544"/>
      <c r="CN166" s="544"/>
      <c r="CO166" s="544"/>
      <c r="CP166" s="544"/>
      <c r="CQ166" s="544"/>
      <c r="CR166" s="544"/>
      <c r="CS166" s="544"/>
      <c r="CT166" s="544"/>
      <c r="CU166" s="544"/>
      <c r="CV166" s="544"/>
      <c r="CW166" s="544"/>
      <c r="CX166" s="544"/>
      <c r="CY166" s="544"/>
      <c r="CZ166" s="544"/>
      <c r="DA166" s="544"/>
      <c r="DB166" s="544"/>
      <c r="DC166" s="544"/>
      <c r="DD166" s="544"/>
      <c r="DE166" s="544"/>
      <c r="DF166" s="544"/>
      <c r="DG166" s="544"/>
      <c r="DH166" s="544"/>
      <c r="DI166" s="544"/>
      <c r="DJ166" s="544"/>
      <c r="DK166" s="544"/>
      <c r="DL166" s="544"/>
      <c r="DM166" s="544"/>
      <c r="DN166" s="544"/>
      <c r="DO166" s="544"/>
      <c r="DP166" s="544"/>
      <c r="DQ166" s="544"/>
      <c r="DR166" s="544"/>
      <c r="DS166" s="544"/>
      <c r="DT166" s="544"/>
      <c r="DU166" s="544"/>
      <c r="DV166" s="544"/>
      <c r="DW166" s="544"/>
      <c r="DX166" s="544"/>
      <c r="DY166" s="544"/>
      <c r="DZ166" s="544"/>
      <c r="EA166" s="544"/>
      <c r="EB166" s="544"/>
      <c r="EC166" s="544"/>
      <c r="ED166" s="544"/>
      <c r="EE166" s="544"/>
      <c r="EF166" s="544"/>
      <c r="EG166" s="544"/>
      <c r="EH166" s="544"/>
      <c r="EI166" s="544"/>
      <c r="EJ166" s="544"/>
      <c r="EK166" s="544"/>
      <c r="EL166" s="544"/>
      <c r="EM166" s="544"/>
      <c r="EN166" s="544"/>
      <c r="EO166" s="544"/>
      <c r="EP166" s="544"/>
      <c r="EQ166" s="544"/>
      <c r="ER166" s="544"/>
      <c r="ES166" s="544"/>
      <c r="ET166" s="544"/>
      <c r="EU166" s="544"/>
      <c r="EV166" s="544"/>
      <c r="EW166" s="544"/>
      <c r="EX166" s="544"/>
      <c r="EY166" s="544"/>
      <c r="EZ166" s="544"/>
      <c r="FA166" s="544"/>
      <c r="FB166" s="544"/>
      <c r="FC166" s="544"/>
      <c r="FD166" s="544"/>
      <c r="FE166" s="544"/>
      <c r="FF166" s="544"/>
      <c r="FG166" s="544"/>
      <c r="FH166" s="544"/>
      <c r="FI166" s="544"/>
      <c r="FJ166" s="544"/>
      <c r="FK166" s="544"/>
      <c r="FL166" s="544"/>
      <c r="FM166" s="544"/>
      <c r="FN166" s="544"/>
      <c r="FO166" s="544"/>
      <c r="FP166" s="544"/>
      <c r="FQ166" s="544"/>
      <c r="FR166" s="544"/>
      <c r="FS166" s="544"/>
      <c r="FT166" s="544"/>
      <c r="FU166" s="544"/>
      <c r="FV166" s="544"/>
      <c r="FW166" s="544"/>
      <c r="FX166" s="544"/>
      <c r="FY166" s="544"/>
      <c r="FZ166" s="544"/>
      <c r="GA166" s="544"/>
      <c r="GB166" s="544"/>
      <c r="GC166" s="544"/>
      <c r="GD166" s="544"/>
      <c r="GE166" s="544"/>
      <c r="GF166" s="544"/>
      <c r="GG166" s="544"/>
      <c r="GH166" s="544"/>
      <c r="GI166" s="544"/>
      <c r="GJ166" s="544"/>
      <c r="GK166" s="544"/>
      <c r="GL166" s="544"/>
      <c r="GM166" s="544"/>
      <c r="GN166" s="544"/>
      <c r="GO166" s="544"/>
      <c r="GP166" s="544"/>
      <c r="GQ166" s="544"/>
      <c r="GR166" s="544"/>
      <c r="GS166" s="544"/>
      <c r="GT166" s="544"/>
      <c r="GU166" s="544"/>
      <c r="GV166" s="544"/>
      <c r="GW166" s="544"/>
      <c r="GX166" s="544"/>
      <c r="GY166" s="544"/>
      <c r="GZ166" s="544"/>
      <c r="HA166" s="544"/>
      <c r="HB166" s="544"/>
      <c r="HC166" s="544"/>
      <c r="HD166" s="544"/>
      <c r="HE166" s="544"/>
      <c r="HF166" s="544"/>
      <c r="HG166" s="544"/>
      <c r="HH166" s="544"/>
      <c r="HI166" s="544"/>
      <c r="HJ166" s="544"/>
      <c r="HK166" s="544"/>
      <c r="HL166" s="544"/>
      <c r="HM166" s="544"/>
      <c r="HN166" s="544"/>
      <c r="HO166" s="544"/>
      <c r="HP166" s="544"/>
      <c r="HQ166" s="544"/>
      <c r="HR166" s="544"/>
      <c r="HS166" s="544"/>
      <c r="HT166" s="544"/>
      <c r="HU166" s="544"/>
      <c r="HV166" s="544"/>
      <c r="HW166" s="544"/>
      <c r="HX166" s="544"/>
      <c r="HY166" s="544"/>
      <c r="HZ166" s="544"/>
      <c r="IA166" s="544"/>
      <c r="IB166" s="544"/>
      <c r="IC166" s="544"/>
      <c r="ID166" s="544"/>
      <c r="IE166" s="544"/>
      <c r="IF166" s="544"/>
      <c r="IG166" s="544"/>
      <c r="IH166" s="544"/>
      <c r="II166" s="544"/>
      <c r="IJ166" s="544"/>
      <c r="IK166" s="544"/>
      <c r="IL166" s="544"/>
      <c r="IM166" s="544"/>
      <c r="IN166" s="544"/>
      <c r="IO166" s="544"/>
      <c r="IP166" s="544"/>
      <c r="IQ166" s="544"/>
      <c r="IR166" s="544"/>
      <c r="IS166" s="544"/>
    </row>
    <row r="167" spans="1:253" ht="31" x14ac:dyDescent="0.35">
      <c r="A167" s="544"/>
      <c r="B167" s="1090" t="s">
        <v>651</v>
      </c>
      <c r="C167" s="881"/>
      <c r="E167" s="907"/>
      <c r="F167" s="908"/>
      <c r="G167" s="909"/>
      <c r="H167" s="544"/>
      <c r="I167" s="544"/>
      <c r="J167" s="544"/>
      <c r="K167" s="544"/>
      <c r="AA167" s="1089" t="s">
        <v>601</v>
      </c>
      <c r="AY167" s="544"/>
      <c r="AZ167" s="544"/>
      <c r="BA167" s="544"/>
      <c r="BB167" s="544"/>
      <c r="BC167" s="544"/>
      <c r="BD167" s="544"/>
      <c r="BE167" s="544"/>
      <c r="BF167" s="544"/>
      <c r="BG167" s="544"/>
      <c r="BH167" s="544"/>
      <c r="BI167" s="544"/>
      <c r="BJ167" s="544"/>
      <c r="BK167" s="544"/>
      <c r="BL167" s="544"/>
      <c r="BM167" s="544"/>
      <c r="BN167" s="544"/>
      <c r="BO167" s="544"/>
      <c r="BP167" s="544"/>
      <c r="BQ167" s="544"/>
      <c r="BR167" s="544"/>
      <c r="BS167" s="544"/>
      <c r="BT167" s="544"/>
      <c r="BU167" s="544"/>
      <c r="BV167" s="544"/>
      <c r="BW167" s="544"/>
      <c r="BX167" s="544"/>
      <c r="BY167" s="544"/>
      <c r="BZ167" s="544"/>
      <c r="CA167" s="544"/>
      <c r="CB167" s="544"/>
      <c r="CC167" s="544"/>
      <c r="CD167" s="544"/>
      <c r="CE167" s="544"/>
      <c r="CF167" s="544"/>
      <c r="CG167" s="544"/>
      <c r="CH167" s="544"/>
      <c r="CI167" s="544"/>
      <c r="CJ167" s="544"/>
      <c r="CK167" s="544"/>
      <c r="CL167" s="544"/>
      <c r="CM167" s="544"/>
      <c r="CN167" s="544"/>
      <c r="CO167" s="544"/>
      <c r="CP167" s="544"/>
      <c r="CQ167" s="544"/>
      <c r="CR167" s="544"/>
      <c r="CS167" s="544"/>
      <c r="CT167" s="544"/>
      <c r="CU167" s="544"/>
      <c r="CV167" s="544"/>
      <c r="CW167" s="544"/>
      <c r="CX167" s="544"/>
      <c r="CY167" s="544"/>
      <c r="CZ167" s="544"/>
      <c r="DA167" s="544"/>
      <c r="DB167" s="544"/>
      <c r="DC167" s="544"/>
      <c r="DD167" s="544"/>
      <c r="DE167" s="544"/>
      <c r="DF167" s="544"/>
      <c r="DG167" s="544"/>
      <c r="DH167" s="544"/>
      <c r="DI167" s="544"/>
      <c r="DJ167" s="544"/>
      <c r="DK167" s="544"/>
      <c r="DL167" s="544"/>
      <c r="DM167" s="544"/>
      <c r="DN167" s="544"/>
      <c r="DO167" s="544"/>
      <c r="DP167" s="544"/>
      <c r="DQ167" s="544"/>
      <c r="DR167" s="544"/>
      <c r="DS167" s="544"/>
      <c r="DT167" s="544"/>
      <c r="DU167" s="544"/>
      <c r="DV167" s="544"/>
      <c r="DW167" s="544"/>
      <c r="DX167" s="544"/>
      <c r="DY167" s="544"/>
      <c r="DZ167" s="544"/>
      <c r="EA167" s="544"/>
      <c r="EB167" s="544"/>
      <c r="EC167" s="544"/>
      <c r="ED167" s="544"/>
      <c r="EE167" s="544"/>
      <c r="EF167" s="544"/>
      <c r="EG167" s="544"/>
      <c r="EH167" s="544"/>
      <c r="EI167" s="544"/>
      <c r="EJ167" s="544"/>
      <c r="EK167" s="544"/>
      <c r="EL167" s="544"/>
      <c r="EM167" s="544"/>
      <c r="EN167" s="544"/>
      <c r="EO167" s="544"/>
      <c r="EP167" s="544"/>
      <c r="EQ167" s="544"/>
      <c r="ER167" s="544"/>
      <c r="ES167" s="544"/>
      <c r="ET167" s="544"/>
      <c r="EU167" s="544"/>
      <c r="EV167" s="544"/>
      <c r="EW167" s="544"/>
      <c r="EX167" s="544"/>
      <c r="EY167" s="544"/>
      <c r="EZ167" s="544"/>
      <c r="FA167" s="544"/>
      <c r="FB167" s="544"/>
      <c r="FC167" s="544"/>
      <c r="FD167" s="544"/>
      <c r="FE167" s="544"/>
      <c r="FF167" s="544"/>
      <c r="FG167" s="544"/>
      <c r="FH167" s="544"/>
      <c r="FI167" s="544"/>
      <c r="FJ167" s="544"/>
      <c r="FK167" s="544"/>
      <c r="FL167" s="544"/>
      <c r="FM167" s="544"/>
      <c r="FN167" s="544"/>
      <c r="FO167" s="544"/>
      <c r="FP167" s="544"/>
      <c r="FQ167" s="544"/>
      <c r="FR167" s="544"/>
      <c r="FS167" s="544"/>
      <c r="FT167" s="544"/>
      <c r="FU167" s="544"/>
      <c r="FV167" s="544"/>
      <c r="FW167" s="544"/>
      <c r="FX167" s="544"/>
      <c r="FY167" s="544"/>
      <c r="FZ167" s="544"/>
      <c r="GA167" s="544"/>
      <c r="GB167" s="544"/>
      <c r="GC167" s="544"/>
      <c r="GD167" s="544"/>
      <c r="GE167" s="544"/>
      <c r="GF167" s="544"/>
      <c r="GG167" s="544"/>
      <c r="GH167" s="544"/>
      <c r="GI167" s="544"/>
      <c r="GJ167" s="544"/>
      <c r="GK167" s="544"/>
      <c r="GL167" s="544"/>
      <c r="GM167" s="544"/>
      <c r="GN167" s="544"/>
      <c r="GO167" s="544"/>
      <c r="GP167" s="544"/>
      <c r="GQ167" s="544"/>
      <c r="GR167" s="544"/>
      <c r="GS167" s="544"/>
      <c r="GT167" s="544"/>
      <c r="GU167" s="544"/>
      <c r="GV167" s="544"/>
      <c r="GW167" s="544"/>
      <c r="GX167" s="544"/>
      <c r="GY167" s="544"/>
      <c r="GZ167" s="544"/>
      <c r="HA167" s="544"/>
      <c r="HB167" s="544"/>
      <c r="HC167" s="544"/>
      <c r="HD167" s="544"/>
      <c r="HE167" s="544"/>
      <c r="HF167" s="544"/>
      <c r="HG167" s="544"/>
      <c r="HH167" s="544"/>
      <c r="HI167" s="544"/>
      <c r="HJ167" s="544"/>
      <c r="HK167" s="544"/>
      <c r="HL167" s="544"/>
      <c r="HM167" s="544"/>
      <c r="HN167" s="544"/>
      <c r="HO167" s="544"/>
      <c r="HP167" s="544"/>
      <c r="HQ167" s="544"/>
      <c r="HR167" s="544"/>
      <c r="HS167" s="544"/>
      <c r="HT167" s="544"/>
      <c r="HU167" s="544"/>
      <c r="HV167" s="544"/>
      <c r="HW167" s="544"/>
      <c r="HX167" s="544"/>
      <c r="HY167" s="544"/>
      <c r="HZ167" s="544"/>
      <c r="IA167" s="544"/>
      <c r="IB167" s="544"/>
      <c r="IC167" s="544"/>
      <c r="ID167" s="544"/>
      <c r="IE167" s="544"/>
      <c r="IF167" s="544"/>
      <c r="IG167" s="544"/>
      <c r="IH167" s="544"/>
      <c r="II167" s="544"/>
      <c r="IJ167" s="544"/>
      <c r="IK167" s="544"/>
      <c r="IL167" s="544"/>
      <c r="IM167" s="544"/>
      <c r="IN167" s="544"/>
      <c r="IO167" s="544"/>
      <c r="IP167" s="544"/>
      <c r="IQ167" s="544"/>
      <c r="IR167" s="544"/>
      <c r="IS167" s="544"/>
    </row>
    <row r="168" spans="1:253" ht="31" x14ac:dyDescent="0.35">
      <c r="A168" s="544"/>
      <c r="B168" s="1090" t="s">
        <v>652</v>
      </c>
      <c r="C168" s="881"/>
      <c r="E168" s="907"/>
      <c r="F168" s="908"/>
      <c r="G168" s="909"/>
      <c r="H168" s="544"/>
      <c r="I168" s="544"/>
      <c r="J168" s="544"/>
      <c r="K168" s="544"/>
      <c r="AA168" s="1089" t="s">
        <v>601</v>
      </c>
      <c r="AY168" s="544"/>
      <c r="AZ168" s="544"/>
      <c r="BA168" s="544"/>
      <c r="BB168" s="544"/>
      <c r="BC168" s="544"/>
      <c r="BD168" s="544"/>
      <c r="BE168" s="544"/>
      <c r="BF168" s="544"/>
      <c r="BG168" s="544"/>
      <c r="BH168" s="544"/>
      <c r="BI168" s="544"/>
      <c r="BJ168" s="544"/>
      <c r="BK168" s="544"/>
      <c r="BL168" s="544"/>
      <c r="BM168" s="544"/>
      <c r="BN168" s="544"/>
      <c r="BO168" s="544"/>
      <c r="BP168" s="544"/>
      <c r="BQ168" s="544"/>
      <c r="BR168" s="544"/>
      <c r="BS168" s="544"/>
      <c r="BT168" s="544"/>
      <c r="BU168" s="544"/>
      <c r="BV168" s="544"/>
      <c r="BW168" s="544"/>
      <c r="BX168" s="544"/>
      <c r="BY168" s="544"/>
      <c r="BZ168" s="544"/>
      <c r="CA168" s="544"/>
      <c r="CB168" s="544"/>
      <c r="CC168" s="544"/>
      <c r="CD168" s="544"/>
      <c r="CE168" s="544"/>
      <c r="CF168" s="544"/>
      <c r="CG168" s="544"/>
      <c r="CH168" s="544"/>
      <c r="CI168" s="544"/>
      <c r="CJ168" s="544"/>
      <c r="CK168" s="544"/>
      <c r="CL168" s="544"/>
      <c r="CM168" s="544"/>
      <c r="CN168" s="544"/>
      <c r="CO168" s="544"/>
      <c r="CP168" s="544"/>
      <c r="CQ168" s="544"/>
      <c r="CR168" s="544"/>
      <c r="CS168" s="544"/>
      <c r="CT168" s="544"/>
      <c r="CU168" s="544"/>
      <c r="CV168" s="544"/>
      <c r="CW168" s="544"/>
      <c r="CX168" s="544"/>
      <c r="CY168" s="544"/>
      <c r="CZ168" s="544"/>
      <c r="DA168" s="544"/>
      <c r="DB168" s="544"/>
      <c r="DC168" s="544"/>
      <c r="DD168" s="544"/>
      <c r="DE168" s="544"/>
      <c r="DF168" s="544"/>
      <c r="DG168" s="544"/>
      <c r="DH168" s="544"/>
      <c r="DI168" s="544"/>
      <c r="DJ168" s="544"/>
      <c r="DK168" s="544"/>
      <c r="DL168" s="544"/>
      <c r="DM168" s="544"/>
      <c r="DN168" s="544"/>
      <c r="DO168" s="544"/>
      <c r="DP168" s="544"/>
      <c r="DQ168" s="544"/>
      <c r="DR168" s="544"/>
      <c r="DS168" s="544"/>
      <c r="DT168" s="544"/>
      <c r="DU168" s="544"/>
      <c r="DV168" s="544"/>
      <c r="DW168" s="544"/>
      <c r="DX168" s="544"/>
      <c r="DY168" s="544"/>
      <c r="DZ168" s="544"/>
      <c r="EA168" s="544"/>
      <c r="EB168" s="544"/>
      <c r="EC168" s="544"/>
      <c r="ED168" s="544"/>
      <c r="EE168" s="544"/>
      <c r="EF168" s="544"/>
      <c r="EG168" s="544"/>
      <c r="EH168" s="544"/>
      <c r="EI168" s="544"/>
      <c r="EJ168" s="544"/>
      <c r="EK168" s="544"/>
      <c r="EL168" s="544"/>
      <c r="EM168" s="544"/>
      <c r="EN168" s="544"/>
      <c r="EO168" s="544"/>
      <c r="EP168" s="544"/>
      <c r="EQ168" s="544"/>
      <c r="ER168" s="544"/>
      <c r="ES168" s="544"/>
      <c r="ET168" s="544"/>
      <c r="EU168" s="544"/>
      <c r="EV168" s="544"/>
      <c r="EW168" s="544"/>
      <c r="EX168" s="544"/>
      <c r="EY168" s="544"/>
      <c r="EZ168" s="544"/>
      <c r="FA168" s="544"/>
      <c r="FB168" s="544"/>
      <c r="FC168" s="544"/>
      <c r="FD168" s="544"/>
      <c r="FE168" s="544"/>
      <c r="FF168" s="544"/>
      <c r="FG168" s="544"/>
      <c r="FH168" s="544"/>
      <c r="FI168" s="544"/>
      <c r="FJ168" s="544"/>
      <c r="FK168" s="544"/>
      <c r="FL168" s="544"/>
      <c r="FM168" s="544"/>
      <c r="FN168" s="544"/>
      <c r="FO168" s="544"/>
      <c r="FP168" s="544"/>
      <c r="FQ168" s="544"/>
      <c r="FR168" s="544"/>
      <c r="FS168" s="544"/>
      <c r="FT168" s="544"/>
      <c r="FU168" s="544"/>
      <c r="FV168" s="544"/>
      <c r="FW168" s="544"/>
      <c r="FX168" s="544"/>
      <c r="FY168" s="544"/>
      <c r="FZ168" s="544"/>
      <c r="GA168" s="544"/>
      <c r="GB168" s="544"/>
      <c r="GC168" s="544"/>
      <c r="GD168" s="544"/>
      <c r="GE168" s="544"/>
      <c r="GF168" s="544"/>
      <c r="GG168" s="544"/>
      <c r="GH168" s="544"/>
      <c r="GI168" s="544"/>
      <c r="GJ168" s="544"/>
      <c r="GK168" s="544"/>
      <c r="GL168" s="544"/>
      <c r="GM168" s="544"/>
      <c r="GN168" s="544"/>
      <c r="GO168" s="544"/>
      <c r="GP168" s="544"/>
      <c r="GQ168" s="544"/>
      <c r="GR168" s="544"/>
      <c r="GS168" s="544"/>
      <c r="GT168" s="544"/>
      <c r="GU168" s="544"/>
      <c r="GV168" s="544"/>
      <c r="GW168" s="544"/>
      <c r="GX168" s="544"/>
      <c r="GY168" s="544"/>
      <c r="GZ168" s="544"/>
      <c r="HA168" s="544"/>
      <c r="HB168" s="544"/>
      <c r="HC168" s="544"/>
      <c r="HD168" s="544"/>
      <c r="HE168" s="544"/>
      <c r="HF168" s="544"/>
      <c r="HG168" s="544"/>
      <c r="HH168" s="544"/>
      <c r="HI168" s="544"/>
      <c r="HJ168" s="544"/>
      <c r="HK168" s="544"/>
      <c r="HL168" s="544"/>
      <c r="HM168" s="544"/>
      <c r="HN168" s="544"/>
      <c r="HO168" s="544"/>
      <c r="HP168" s="544"/>
      <c r="HQ168" s="544"/>
      <c r="HR168" s="544"/>
      <c r="HS168" s="544"/>
      <c r="HT168" s="544"/>
      <c r="HU168" s="544"/>
      <c r="HV168" s="544"/>
      <c r="HW168" s="544"/>
      <c r="HX168" s="544"/>
      <c r="HY168" s="544"/>
      <c r="HZ168" s="544"/>
      <c r="IA168" s="544"/>
      <c r="IB168" s="544"/>
      <c r="IC168" s="544"/>
      <c r="ID168" s="544"/>
      <c r="IE168" s="544"/>
      <c r="IF168" s="544"/>
      <c r="IG168" s="544"/>
      <c r="IH168" s="544"/>
      <c r="II168" s="544"/>
      <c r="IJ168" s="544"/>
      <c r="IK168" s="544"/>
      <c r="IL168" s="544"/>
      <c r="IM168" s="544"/>
      <c r="IN168" s="544"/>
      <c r="IO168" s="544"/>
      <c r="IP168" s="544"/>
      <c r="IQ168" s="544"/>
      <c r="IR168" s="544"/>
      <c r="IS168" s="544"/>
    </row>
    <row r="169" spans="1:253" ht="31" x14ac:dyDescent="0.35">
      <c r="A169" s="544"/>
      <c r="B169" s="1090" t="s">
        <v>653</v>
      </c>
      <c r="C169" s="881"/>
      <c r="E169" s="907"/>
      <c r="F169" s="908"/>
      <c r="G169" s="909"/>
      <c r="H169" s="544"/>
      <c r="I169" s="544"/>
      <c r="J169" s="544"/>
      <c r="K169" s="544"/>
      <c r="AA169" s="1089" t="s">
        <v>601</v>
      </c>
      <c r="AY169" s="544"/>
      <c r="AZ169" s="544"/>
      <c r="BA169" s="544"/>
      <c r="BB169" s="544"/>
      <c r="BC169" s="544"/>
      <c r="BD169" s="544"/>
      <c r="BE169" s="544"/>
      <c r="BF169" s="544"/>
      <c r="BG169" s="544"/>
      <c r="BH169" s="544"/>
      <c r="BI169" s="544"/>
      <c r="BJ169" s="544"/>
      <c r="BK169" s="544"/>
      <c r="BL169" s="544"/>
      <c r="BM169" s="544"/>
      <c r="BN169" s="544"/>
      <c r="BO169" s="544"/>
      <c r="BP169" s="544"/>
      <c r="BQ169" s="544"/>
      <c r="BR169" s="544"/>
      <c r="BS169" s="544"/>
      <c r="BT169" s="544"/>
      <c r="BU169" s="544"/>
      <c r="BV169" s="544"/>
      <c r="BW169" s="544"/>
      <c r="BX169" s="544"/>
      <c r="BY169" s="544"/>
      <c r="BZ169" s="544"/>
      <c r="CA169" s="544"/>
      <c r="CB169" s="544"/>
      <c r="CC169" s="544"/>
      <c r="CD169" s="544"/>
      <c r="CE169" s="544"/>
      <c r="CF169" s="544"/>
      <c r="CG169" s="544"/>
      <c r="CH169" s="544"/>
      <c r="CI169" s="544"/>
      <c r="CJ169" s="544"/>
      <c r="CK169" s="544"/>
      <c r="CL169" s="544"/>
      <c r="CM169" s="544"/>
      <c r="CN169" s="544"/>
      <c r="CO169" s="544"/>
      <c r="CP169" s="544"/>
      <c r="CQ169" s="544"/>
      <c r="CR169" s="544"/>
      <c r="CS169" s="544"/>
      <c r="CT169" s="544"/>
      <c r="CU169" s="544"/>
      <c r="CV169" s="544"/>
      <c r="CW169" s="544"/>
      <c r="CX169" s="544"/>
      <c r="CY169" s="544"/>
      <c r="CZ169" s="544"/>
      <c r="DA169" s="544"/>
      <c r="DB169" s="544"/>
      <c r="DC169" s="544"/>
      <c r="DD169" s="544"/>
      <c r="DE169" s="544"/>
      <c r="DF169" s="544"/>
      <c r="DG169" s="544"/>
      <c r="DH169" s="544"/>
      <c r="DI169" s="544"/>
      <c r="DJ169" s="544"/>
      <c r="DK169" s="544"/>
      <c r="DL169" s="544"/>
      <c r="DM169" s="544"/>
      <c r="DN169" s="544"/>
      <c r="DO169" s="544"/>
      <c r="DP169" s="544"/>
      <c r="DQ169" s="544"/>
      <c r="DR169" s="544"/>
      <c r="DS169" s="544"/>
      <c r="DT169" s="544"/>
      <c r="DU169" s="544"/>
      <c r="DV169" s="544"/>
      <c r="DW169" s="544"/>
      <c r="DX169" s="544"/>
      <c r="DY169" s="544"/>
      <c r="DZ169" s="544"/>
      <c r="EA169" s="544"/>
      <c r="EB169" s="544"/>
      <c r="EC169" s="544"/>
      <c r="ED169" s="544"/>
      <c r="EE169" s="544"/>
      <c r="EF169" s="544"/>
      <c r="EG169" s="544"/>
      <c r="EH169" s="544"/>
      <c r="EI169" s="544"/>
      <c r="EJ169" s="544"/>
      <c r="EK169" s="544"/>
      <c r="EL169" s="544"/>
      <c r="EM169" s="544"/>
      <c r="EN169" s="544"/>
      <c r="EO169" s="544"/>
      <c r="EP169" s="544"/>
      <c r="EQ169" s="544"/>
      <c r="ER169" s="544"/>
      <c r="ES169" s="544"/>
      <c r="ET169" s="544"/>
      <c r="EU169" s="544"/>
      <c r="EV169" s="544"/>
      <c r="EW169" s="544"/>
      <c r="EX169" s="544"/>
      <c r="EY169" s="544"/>
      <c r="EZ169" s="544"/>
      <c r="FA169" s="544"/>
      <c r="FB169" s="544"/>
      <c r="FC169" s="544"/>
      <c r="FD169" s="544"/>
      <c r="FE169" s="544"/>
      <c r="FF169" s="544"/>
      <c r="FG169" s="544"/>
      <c r="FH169" s="544"/>
      <c r="FI169" s="544"/>
      <c r="FJ169" s="544"/>
      <c r="FK169" s="544"/>
      <c r="FL169" s="544"/>
      <c r="FM169" s="544"/>
      <c r="FN169" s="544"/>
      <c r="FO169" s="544"/>
      <c r="FP169" s="544"/>
      <c r="FQ169" s="544"/>
      <c r="FR169" s="544"/>
      <c r="FS169" s="544"/>
      <c r="FT169" s="544"/>
      <c r="FU169" s="544"/>
      <c r="FV169" s="544"/>
      <c r="FW169" s="544"/>
      <c r="FX169" s="544"/>
      <c r="FY169" s="544"/>
      <c r="FZ169" s="544"/>
      <c r="GA169" s="544"/>
      <c r="GB169" s="544"/>
      <c r="GC169" s="544"/>
      <c r="GD169" s="544"/>
      <c r="GE169" s="544"/>
      <c r="GF169" s="544"/>
      <c r="GG169" s="544"/>
      <c r="GH169" s="544"/>
      <c r="GI169" s="544"/>
      <c r="GJ169" s="544"/>
      <c r="GK169" s="544"/>
      <c r="GL169" s="544"/>
      <c r="GM169" s="544"/>
      <c r="GN169" s="544"/>
      <c r="GO169" s="544"/>
      <c r="GP169" s="544"/>
      <c r="GQ169" s="544"/>
      <c r="GR169" s="544"/>
      <c r="GS169" s="544"/>
      <c r="GT169" s="544"/>
      <c r="GU169" s="544"/>
      <c r="GV169" s="544"/>
      <c r="GW169" s="544"/>
      <c r="GX169" s="544"/>
      <c r="GY169" s="544"/>
      <c r="GZ169" s="544"/>
      <c r="HA169" s="544"/>
      <c r="HB169" s="544"/>
      <c r="HC169" s="544"/>
      <c r="HD169" s="544"/>
      <c r="HE169" s="544"/>
      <c r="HF169" s="544"/>
      <c r="HG169" s="544"/>
      <c r="HH169" s="544"/>
      <c r="HI169" s="544"/>
      <c r="HJ169" s="544"/>
      <c r="HK169" s="544"/>
      <c r="HL169" s="544"/>
      <c r="HM169" s="544"/>
      <c r="HN169" s="544"/>
      <c r="HO169" s="544"/>
      <c r="HP169" s="544"/>
      <c r="HQ169" s="544"/>
      <c r="HR169" s="544"/>
      <c r="HS169" s="544"/>
      <c r="HT169" s="544"/>
      <c r="HU169" s="544"/>
      <c r="HV169" s="544"/>
      <c r="HW169" s="544"/>
      <c r="HX169" s="544"/>
      <c r="HY169" s="544"/>
      <c r="HZ169" s="544"/>
      <c r="IA169" s="544"/>
      <c r="IB169" s="544"/>
      <c r="IC169" s="544"/>
      <c r="ID169" s="544"/>
      <c r="IE169" s="544"/>
      <c r="IF169" s="544"/>
      <c r="IG169" s="544"/>
      <c r="IH169" s="544"/>
      <c r="II169" s="544"/>
      <c r="IJ169" s="544"/>
      <c r="IK169" s="544"/>
      <c r="IL169" s="544"/>
      <c r="IM169" s="544"/>
      <c r="IN169" s="544"/>
      <c r="IO169" s="544"/>
      <c r="IP169" s="544"/>
      <c r="IQ169" s="544"/>
      <c r="IR169" s="544"/>
      <c r="IS169" s="544"/>
    </row>
    <row r="170" spans="1:253" ht="31" x14ac:dyDescent="0.35">
      <c r="A170" s="544"/>
      <c r="B170" s="1090" t="s">
        <v>654</v>
      </c>
      <c r="C170" s="881"/>
      <c r="E170" s="907"/>
      <c r="F170" s="908"/>
      <c r="G170" s="909"/>
      <c r="H170" s="544"/>
      <c r="I170" s="544"/>
      <c r="J170" s="544"/>
      <c r="K170" s="544"/>
      <c r="AA170" s="1089" t="s">
        <v>601</v>
      </c>
      <c r="AY170" s="544"/>
      <c r="AZ170" s="544"/>
      <c r="BA170" s="544"/>
      <c r="BB170" s="544"/>
      <c r="BC170" s="544"/>
      <c r="BD170" s="544"/>
      <c r="BE170" s="544"/>
      <c r="BF170" s="544"/>
      <c r="BG170" s="544"/>
      <c r="BH170" s="544"/>
      <c r="BI170" s="544"/>
      <c r="BJ170" s="544"/>
      <c r="BK170" s="544"/>
      <c r="BL170" s="544"/>
      <c r="BM170" s="544"/>
      <c r="BN170" s="544"/>
      <c r="BO170" s="544"/>
      <c r="BP170" s="544"/>
      <c r="BQ170" s="544"/>
      <c r="BR170" s="544"/>
      <c r="BS170" s="544"/>
      <c r="BT170" s="544"/>
      <c r="BU170" s="544"/>
      <c r="BV170" s="544"/>
      <c r="BW170" s="544"/>
      <c r="BX170" s="544"/>
      <c r="BY170" s="544"/>
      <c r="BZ170" s="544"/>
      <c r="CA170" s="544"/>
      <c r="CB170" s="544"/>
      <c r="CC170" s="544"/>
      <c r="CD170" s="544"/>
      <c r="CE170" s="544"/>
      <c r="CF170" s="544"/>
      <c r="CG170" s="544"/>
      <c r="CH170" s="544"/>
      <c r="CI170" s="544"/>
      <c r="CJ170" s="544"/>
      <c r="CK170" s="544"/>
      <c r="CL170" s="544"/>
      <c r="CM170" s="544"/>
      <c r="CN170" s="544"/>
      <c r="CO170" s="544"/>
      <c r="CP170" s="544"/>
      <c r="CQ170" s="544"/>
      <c r="CR170" s="544"/>
      <c r="CS170" s="544"/>
      <c r="CT170" s="544"/>
      <c r="CU170" s="544"/>
      <c r="CV170" s="544"/>
      <c r="CW170" s="544"/>
      <c r="CX170" s="544"/>
      <c r="CY170" s="544"/>
      <c r="CZ170" s="544"/>
      <c r="DA170" s="544"/>
      <c r="DB170" s="544"/>
      <c r="DC170" s="544"/>
      <c r="DD170" s="544"/>
      <c r="DE170" s="544"/>
      <c r="DF170" s="544"/>
      <c r="DG170" s="544"/>
      <c r="DH170" s="544"/>
      <c r="DI170" s="544"/>
      <c r="DJ170" s="544"/>
      <c r="DK170" s="544"/>
      <c r="DL170" s="544"/>
      <c r="DM170" s="544"/>
      <c r="DN170" s="544"/>
      <c r="DO170" s="544"/>
      <c r="DP170" s="544"/>
      <c r="DQ170" s="544"/>
      <c r="DR170" s="544"/>
      <c r="DS170" s="544"/>
      <c r="DT170" s="544"/>
      <c r="DU170" s="544"/>
      <c r="DV170" s="544"/>
      <c r="DW170" s="544"/>
      <c r="DX170" s="544"/>
      <c r="DY170" s="544"/>
      <c r="DZ170" s="544"/>
      <c r="EA170" s="544"/>
      <c r="EB170" s="544"/>
      <c r="EC170" s="544"/>
      <c r="ED170" s="544"/>
      <c r="EE170" s="544"/>
      <c r="EF170" s="544"/>
      <c r="EG170" s="544"/>
      <c r="EH170" s="544"/>
      <c r="EI170" s="544"/>
      <c r="EJ170" s="544"/>
      <c r="EK170" s="544"/>
      <c r="EL170" s="544"/>
      <c r="EM170" s="544"/>
      <c r="EN170" s="544"/>
      <c r="EO170" s="544"/>
      <c r="EP170" s="544"/>
      <c r="EQ170" s="544"/>
      <c r="ER170" s="544"/>
      <c r="ES170" s="544"/>
      <c r="ET170" s="544"/>
      <c r="EU170" s="544"/>
      <c r="EV170" s="544"/>
      <c r="EW170" s="544"/>
      <c r="EX170" s="544"/>
      <c r="EY170" s="544"/>
      <c r="EZ170" s="544"/>
      <c r="FA170" s="544"/>
      <c r="FB170" s="544"/>
      <c r="FC170" s="544"/>
      <c r="FD170" s="544"/>
      <c r="FE170" s="544"/>
      <c r="FF170" s="544"/>
      <c r="FG170" s="544"/>
      <c r="FH170" s="544"/>
      <c r="FI170" s="544"/>
      <c r="FJ170" s="544"/>
      <c r="FK170" s="544"/>
      <c r="FL170" s="544"/>
      <c r="FM170" s="544"/>
      <c r="FN170" s="544"/>
      <c r="FO170" s="544"/>
      <c r="FP170" s="544"/>
      <c r="FQ170" s="544"/>
      <c r="FR170" s="544"/>
      <c r="FS170" s="544"/>
      <c r="FT170" s="544"/>
      <c r="FU170" s="544"/>
      <c r="FV170" s="544"/>
      <c r="FW170" s="544"/>
      <c r="FX170" s="544"/>
      <c r="FY170" s="544"/>
      <c r="FZ170" s="544"/>
      <c r="GA170" s="544"/>
      <c r="GB170" s="544"/>
      <c r="GC170" s="544"/>
      <c r="GD170" s="544"/>
      <c r="GE170" s="544"/>
      <c r="GF170" s="544"/>
      <c r="GG170" s="544"/>
      <c r="GH170" s="544"/>
      <c r="GI170" s="544"/>
      <c r="GJ170" s="544"/>
      <c r="GK170" s="544"/>
      <c r="GL170" s="544"/>
      <c r="GM170" s="544"/>
      <c r="GN170" s="544"/>
      <c r="GO170" s="544"/>
      <c r="GP170" s="544"/>
      <c r="GQ170" s="544"/>
      <c r="GR170" s="544"/>
      <c r="GS170" s="544"/>
      <c r="GT170" s="544"/>
      <c r="GU170" s="544"/>
      <c r="GV170" s="544"/>
      <c r="GW170" s="544"/>
      <c r="GX170" s="544"/>
      <c r="GY170" s="544"/>
      <c r="GZ170" s="544"/>
      <c r="HA170" s="544"/>
      <c r="HB170" s="544"/>
      <c r="HC170" s="544"/>
      <c r="HD170" s="544"/>
      <c r="HE170" s="544"/>
      <c r="HF170" s="544"/>
      <c r="HG170" s="544"/>
      <c r="HH170" s="544"/>
      <c r="HI170" s="544"/>
      <c r="HJ170" s="544"/>
      <c r="HK170" s="544"/>
      <c r="HL170" s="544"/>
      <c r="HM170" s="544"/>
      <c r="HN170" s="544"/>
      <c r="HO170" s="544"/>
      <c r="HP170" s="544"/>
      <c r="HQ170" s="544"/>
      <c r="HR170" s="544"/>
      <c r="HS170" s="544"/>
      <c r="HT170" s="544"/>
      <c r="HU170" s="544"/>
      <c r="HV170" s="544"/>
      <c r="HW170" s="544"/>
      <c r="HX170" s="544"/>
      <c r="HY170" s="544"/>
      <c r="HZ170" s="544"/>
      <c r="IA170" s="544"/>
      <c r="IB170" s="544"/>
      <c r="IC170" s="544"/>
      <c r="ID170" s="544"/>
      <c r="IE170" s="544"/>
      <c r="IF170" s="544"/>
      <c r="IG170" s="544"/>
      <c r="IH170" s="544"/>
      <c r="II170" s="544"/>
      <c r="IJ170" s="544"/>
      <c r="IK170" s="544"/>
      <c r="IL170" s="544"/>
      <c r="IM170" s="544"/>
      <c r="IN170" s="544"/>
      <c r="IO170" s="544"/>
      <c r="IP170" s="544"/>
      <c r="IQ170" s="544"/>
      <c r="IR170" s="544"/>
      <c r="IS170" s="544"/>
    </row>
    <row r="171" spans="1:253" ht="17.149999999999999" customHeight="1" x14ac:dyDescent="0.35">
      <c r="A171" s="544"/>
      <c r="B171" s="601"/>
      <c r="C171" s="601"/>
      <c r="D171" s="523"/>
      <c r="E171" s="544"/>
      <c r="F171" s="544"/>
      <c r="G171" s="544"/>
      <c r="H171" s="544"/>
      <c r="I171" s="544"/>
      <c r="J171" s="544"/>
      <c r="K171" s="544"/>
      <c r="AY171" s="544"/>
      <c r="AZ171" s="544"/>
      <c r="BA171" s="544"/>
      <c r="BB171" s="544"/>
      <c r="BC171" s="544"/>
      <c r="BD171" s="544"/>
      <c r="BE171" s="544"/>
      <c r="BF171" s="544"/>
      <c r="BG171" s="544"/>
      <c r="BH171" s="544"/>
      <c r="BI171" s="544"/>
      <c r="BJ171" s="544"/>
      <c r="BK171" s="544"/>
      <c r="BL171" s="544"/>
      <c r="BM171" s="544"/>
      <c r="BN171" s="544"/>
      <c r="BO171" s="544"/>
      <c r="BP171" s="544"/>
      <c r="BQ171" s="544"/>
      <c r="BR171" s="544"/>
      <c r="BS171" s="544"/>
      <c r="BT171" s="544"/>
      <c r="BU171" s="544"/>
      <c r="BV171" s="544"/>
      <c r="BW171" s="544"/>
      <c r="BX171" s="544"/>
      <c r="BY171" s="544"/>
      <c r="BZ171" s="544"/>
      <c r="CA171" s="544"/>
      <c r="CB171" s="544"/>
      <c r="CC171" s="544"/>
      <c r="CD171" s="544"/>
      <c r="CE171" s="544"/>
      <c r="CF171" s="544"/>
      <c r="CG171" s="544"/>
      <c r="CH171" s="544"/>
      <c r="CI171" s="544"/>
      <c r="CJ171" s="544"/>
      <c r="CK171" s="544"/>
      <c r="CL171" s="544"/>
      <c r="CM171" s="544"/>
      <c r="CN171" s="544"/>
      <c r="CO171" s="544"/>
      <c r="CP171" s="544"/>
      <c r="CQ171" s="544"/>
      <c r="CR171" s="544"/>
      <c r="CS171" s="544"/>
      <c r="CT171" s="544"/>
      <c r="CU171" s="544"/>
      <c r="CV171" s="544"/>
      <c r="CW171" s="544"/>
      <c r="CX171" s="544"/>
      <c r="CY171" s="544"/>
      <c r="CZ171" s="544"/>
      <c r="DA171" s="544"/>
      <c r="DB171" s="544"/>
      <c r="DC171" s="544"/>
      <c r="DD171" s="544"/>
      <c r="DE171" s="544"/>
      <c r="DF171" s="544"/>
      <c r="DG171" s="544"/>
      <c r="DH171" s="544"/>
      <c r="DI171" s="544"/>
      <c r="DJ171" s="544"/>
      <c r="DK171" s="544"/>
      <c r="DL171" s="544"/>
      <c r="DM171" s="544"/>
      <c r="DN171" s="544"/>
      <c r="DO171" s="544"/>
      <c r="DP171" s="544"/>
      <c r="DQ171" s="544"/>
      <c r="DR171" s="544"/>
      <c r="DS171" s="544"/>
      <c r="DT171" s="544"/>
      <c r="DU171" s="544"/>
      <c r="DV171" s="544"/>
      <c r="DW171" s="544"/>
      <c r="DX171" s="544"/>
      <c r="DY171" s="544"/>
      <c r="DZ171" s="544"/>
      <c r="EA171" s="544"/>
      <c r="EB171" s="544"/>
      <c r="EC171" s="544"/>
      <c r="ED171" s="544"/>
      <c r="EE171" s="544"/>
      <c r="EF171" s="544"/>
      <c r="EG171" s="544"/>
      <c r="EH171" s="544"/>
      <c r="EI171" s="544"/>
      <c r="EJ171" s="544"/>
      <c r="EK171" s="544"/>
      <c r="EL171" s="544"/>
      <c r="EM171" s="544"/>
      <c r="EN171" s="544"/>
      <c r="EO171" s="544"/>
      <c r="EP171" s="544"/>
      <c r="EQ171" s="544"/>
      <c r="ER171" s="544"/>
      <c r="ES171" s="544"/>
      <c r="ET171" s="544"/>
      <c r="EU171" s="544"/>
      <c r="EV171" s="544"/>
      <c r="EW171" s="544"/>
      <c r="EX171" s="544"/>
      <c r="EY171" s="544"/>
      <c r="EZ171" s="544"/>
      <c r="FA171" s="544"/>
      <c r="FB171" s="544"/>
      <c r="FC171" s="544"/>
      <c r="FD171" s="544"/>
      <c r="FE171" s="544"/>
      <c r="FF171" s="544"/>
      <c r="FG171" s="544"/>
      <c r="FH171" s="544"/>
      <c r="FI171" s="544"/>
      <c r="FJ171" s="544"/>
      <c r="FK171" s="544"/>
      <c r="FL171" s="544"/>
      <c r="FM171" s="544"/>
      <c r="FN171" s="544"/>
      <c r="FO171" s="544"/>
      <c r="FP171" s="544"/>
      <c r="FQ171" s="544"/>
      <c r="FR171" s="544"/>
      <c r="FS171" s="544"/>
      <c r="FT171" s="544"/>
      <c r="FU171" s="544"/>
      <c r="FV171" s="544"/>
      <c r="FW171" s="544"/>
      <c r="FX171" s="544"/>
      <c r="FY171" s="544"/>
      <c r="FZ171" s="544"/>
      <c r="GA171" s="544"/>
      <c r="GB171" s="544"/>
      <c r="GC171" s="544"/>
      <c r="GD171" s="544"/>
      <c r="GE171" s="544"/>
      <c r="GF171" s="544"/>
      <c r="GG171" s="544"/>
      <c r="GH171" s="544"/>
      <c r="GI171" s="544"/>
      <c r="GJ171" s="544"/>
      <c r="GK171" s="544"/>
      <c r="GL171" s="544"/>
      <c r="GM171" s="544"/>
      <c r="GN171" s="544"/>
      <c r="GO171" s="544"/>
      <c r="GP171" s="544"/>
      <c r="GQ171" s="544"/>
      <c r="GR171" s="544"/>
      <c r="GS171" s="544"/>
      <c r="GT171" s="544"/>
      <c r="GU171" s="544"/>
      <c r="GV171" s="544"/>
      <c r="GW171" s="544"/>
      <c r="GX171" s="544"/>
      <c r="GY171" s="544"/>
      <c r="GZ171" s="544"/>
      <c r="HA171" s="544"/>
      <c r="HB171" s="544"/>
      <c r="HC171" s="544"/>
      <c r="HD171" s="544"/>
      <c r="HE171" s="544"/>
      <c r="HF171" s="544"/>
      <c r="HG171" s="544"/>
      <c r="HH171" s="544"/>
      <c r="HI171" s="544"/>
      <c r="HJ171" s="544"/>
      <c r="HK171" s="544"/>
      <c r="HL171" s="544"/>
      <c r="HM171" s="544"/>
      <c r="HN171" s="544"/>
      <c r="HO171" s="544"/>
      <c r="HP171" s="544"/>
      <c r="HQ171" s="544"/>
      <c r="HR171" s="544"/>
      <c r="HS171" s="544"/>
      <c r="HT171" s="544"/>
      <c r="HU171" s="544"/>
      <c r="HV171" s="544"/>
      <c r="HW171" s="544"/>
      <c r="HX171" s="544"/>
      <c r="HY171" s="544"/>
      <c r="HZ171" s="544"/>
      <c r="IA171" s="544"/>
      <c r="IB171" s="544"/>
      <c r="IC171" s="544"/>
      <c r="ID171" s="544"/>
      <c r="IE171" s="544"/>
      <c r="IF171" s="544"/>
      <c r="IG171" s="544"/>
      <c r="IH171" s="544"/>
      <c r="II171" s="544"/>
      <c r="IJ171" s="544"/>
      <c r="IK171" s="544"/>
      <c r="IL171" s="544"/>
      <c r="IM171" s="544"/>
      <c r="IN171" s="544"/>
      <c r="IO171" s="544"/>
      <c r="IP171" s="544"/>
      <c r="IQ171" s="544"/>
      <c r="IR171" s="544"/>
      <c r="IS171" s="544"/>
    </row>
    <row r="172" spans="1:253" ht="17.149999999999999" customHeight="1" x14ac:dyDescent="0.35">
      <c r="A172" s="544"/>
      <c r="B172" s="645"/>
      <c r="C172" s="645"/>
      <c r="D172" s="523"/>
      <c r="E172" s="544"/>
      <c r="F172" s="544"/>
      <c r="G172" s="544"/>
      <c r="H172" s="544"/>
      <c r="I172" s="544"/>
      <c r="J172" s="544"/>
      <c r="K172" s="544"/>
      <c r="AY172" s="544"/>
      <c r="AZ172" s="544"/>
      <c r="BA172" s="544"/>
      <c r="BB172" s="544"/>
      <c r="BC172" s="544"/>
      <c r="BD172" s="544"/>
      <c r="BE172" s="544"/>
      <c r="BF172" s="544"/>
      <c r="BG172" s="544"/>
      <c r="BH172" s="544"/>
      <c r="BI172" s="544"/>
      <c r="BJ172" s="544"/>
      <c r="BK172" s="544"/>
      <c r="BL172" s="544"/>
      <c r="BM172" s="544"/>
      <c r="BN172" s="544"/>
      <c r="BO172" s="544"/>
      <c r="BP172" s="544"/>
      <c r="BQ172" s="544"/>
      <c r="BR172" s="544"/>
      <c r="BS172" s="544"/>
      <c r="BT172" s="544"/>
      <c r="BU172" s="544"/>
      <c r="BV172" s="544"/>
      <c r="BW172" s="544"/>
      <c r="BX172" s="544"/>
      <c r="BY172" s="544"/>
      <c r="BZ172" s="544"/>
      <c r="CA172" s="544"/>
      <c r="CB172" s="544"/>
      <c r="CC172" s="544"/>
      <c r="CD172" s="544"/>
      <c r="CE172" s="544"/>
      <c r="CF172" s="544"/>
      <c r="CG172" s="544"/>
      <c r="CH172" s="544"/>
      <c r="CI172" s="544"/>
      <c r="CJ172" s="544"/>
      <c r="CK172" s="544"/>
      <c r="CL172" s="544"/>
      <c r="CM172" s="544"/>
      <c r="CN172" s="544"/>
      <c r="CO172" s="544"/>
      <c r="CP172" s="544"/>
      <c r="CQ172" s="544"/>
      <c r="CR172" s="544"/>
      <c r="CS172" s="544"/>
      <c r="CT172" s="544"/>
      <c r="CU172" s="544"/>
      <c r="CV172" s="544"/>
      <c r="CW172" s="544"/>
      <c r="CX172" s="544"/>
      <c r="CY172" s="544"/>
      <c r="CZ172" s="544"/>
      <c r="DA172" s="544"/>
      <c r="DB172" s="544"/>
      <c r="DC172" s="544"/>
      <c r="DD172" s="544"/>
      <c r="DE172" s="544"/>
      <c r="DF172" s="544"/>
      <c r="DG172" s="544"/>
      <c r="DH172" s="544"/>
      <c r="DI172" s="544"/>
      <c r="DJ172" s="544"/>
      <c r="DK172" s="544"/>
      <c r="DL172" s="544"/>
      <c r="DM172" s="544"/>
      <c r="DN172" s="544"/>
      <c r="DO172" s="544"/>
      <c r="DP172" s="544"/>
      <c r="DQ172" s="544"/>
      <c r="DR172" s="544"/>
      <c r="DS172" s="544"/>
      <c r="DT172" s="544"/>
      <c r="DU172" s="544"/>
      <c r="DV172" s="544"/>
      <c r="DW172" s="544"/>
      <c r="DX172" s="544"/>
      <c r="DY172" s="544"/>
      <c r="DZ172" s="544"/>
      <c r="EA172" s="544"/>
      <c r="EB172" s="544"/>
      <c r="EC172" s="544"/>
      <c r="ED172" s="544"/>
      <c r="EE172" s="544"/>
      <c r="EF172" s="544"/>
      <c r="EG172" s="544"/>
      <c r="EH172" s="544"/>
      <c r="EI172" s="544"/>
      <c r="EJ172" s="544"/>
      <c r="EK172" s="544"/>
      <c r="EL172" s="544"/>
      <c r="EM172" s="544"/>
      <c r="EN172" s="544"/>
      <c r="EO172" s="544"/>
      <c r="EP172" s="544"/>
      <c r="EQ172" s="544"/>
      <c r="ER172" s="544"/>
      <c r="ES172" s="544"/>
      <c r="ET172" s="544"/>
      <c r="EU172" s="544"/>
      <c r="EV172" s="544"/>
      <c r="EW172" s="544"/>
      <c r="EX172" s="544"/>
      <c r="EY172" s="544"/>
      <c r="EZ172" s="544"/>
      <c r="FA172" s="544"/>
      <c r="FB172" s="544"/>
      <c r="FC172" s="544"/>
      <c r="FD172" s="544"/>
      <c r="FE172" s="544"/>
      <c r="FF172" s="544"/>
      <c r="FG172" s="544"/>
      <c r="FH172" s="544"/>
      <c r="FI172" s="544"/>
      <c r="FJ172" s="544"/>
      <c r="FK172" s="544"/>
      <c r="FL172" s="544"/>
      <c r="FM172" s="544"/>
      <c r="FN172" s="544"/>
      <c r="FO172" s="544"/>
      <c r="FP172" s="544"/>
      <c r="FQ172" s="544"/>
      <c r="FR172" s="544"/>
      <c r="FS172" s="544"/>
      <c r="FT172" s="544"/>
      <c r="FU172" s="544"/>
      <c r="FV172" s="544"/>
      <c r="FW172" s="544"/>
      <c r="FX172" s="544"/>
      <c r="FY172" s="544"/>
      <c r="FZ172" s="544"/>
      <c r="GA172" s="544"/>
      <c r="GB172" s="544"/>
      <c r="GC172" s="544"/>
      <c r="GD172" s="544"/>
      <c r="GE172" s="544"/>
      <c r="GF172" s="544"/>
      <c r="GG172" s="544"/>
      <c r="GH172" s="544"/>
      <c r="GI172" s="544"/>
      <c r="GJ172" s="544"/>
      <c r="GK172" s="544"/>
      <c r="GL172" s="544"/>
      <c r="GM172" s="544"/>
      <c r="GN172" s="544"/>
      <c r="GO172" s="544"/>
      <c r="GP172" s="544"/>
      <c r="GQ172" s="544"/>
      <c r="GR172" s="544"/>
      <c r="GS172" s="544"/>
      <c r="GT172" s="544"/>
      <c r="GU172" s="544"/>
      <c r="GV172" s="544"/>
      <c r="GW172" s="544"/>
      <c r="GX172" s="544"/>
      <c r="GY172" s="544"/>
      <c r="GZ172" s="544"/>
      <c r="HA172" s="544"/>
      <c r="HB172" s="544"/>
      <c r="HC172" s="544"/>
      <c r="HD172" s="544"/>
      <c r="HE172" s="544"/>
      <c r="HF172" s="544"/>
      <c r="HG172" s="544"/>
      <c r="HH172" s="544"/>
      <c r="HI172" s="544"/>
      <c r="HJ172" s="544"/>
      <c r="HK172" s="544"/>
      <c r="HL172" s="544"/>
      <c r="HM172" s="544"/>
      <c r="HN172" s="544"/>
      <c r="HO172" s="544"/>
      <c r="HP172" s="544"/>
      <c r="HQ172" s="544"/>
      <c r="HR172" s="544"/>
      <c r="HS172" s="544"/>
      <c r="HT172" s="544"/>
      <c r="HU172" s="544"/>
      <c r="HV172" s="544"/>
      <c r="HW172" s="544"/>
      <c r="HX172" s="544"/>
      <c r="HY172" s="544"/>
      <c r="HZ172" s="544"/>
      <c r="IA172" s="544"/>
      <c r="IB172" s="544"/>
      <c r="IC172" s="544"/>
      <c r="ID172" s="544"/>
      <c r="IE172" s="544"/>
      <c r="IF172" s="544"/>
      <c r="IG172" s="544"/>
      <c r="IH172" s="544"/>
      <c r="II172" s="544"/>
      <c r="IJ172" s="544"/>
      <c r="IK172" s="544"/>
      <c r="IL172" s="544"/>
      <c r="IM172" s="544"/>
      <c r="IN172" s="544"/>
      <c r="IO172" s="544"/>
      <c r="IP172" s="544"/>
      <c r="IQ172" s="544"/>
      <c r="IR172" s="544"/>
      <c r="IS172" s="544"/>
    </row>
    <row r="173" spans="1:253" ht="17.149999999999999" customHeight="1" x14ac:dyDescent="0.35">
      <c r="A173" s="544"/>
      <c r="B173" s="592" t="s">
        <v>673</v>
      </c>
      <c r="C173" s="1091"/>
      <c r="D173" s="661"/>
      <c r="E173" s="544"/>
      <c r="F173" s="544"/>
      <c r="G173" s="544"/>
      <c r="H173" s="544"/>
      <c r="I173" s="544"/>
      <c r="J173" s="544"/>
      <c r="K173" s="544"/>
      <c r="AY173" s="544"/>
      <c r="AZ173" s="544"/>
      <c r="BA173" s="544"/>
      <c r="BB173" s="544"/>
      <c r="BC173" s="544"/>
      <c r="BD173" s="544"/>
      <c r="BE173" s="544"/>
      <c r="BF173" s="544"/>
      <c r="BG173" s="544"/>
      <c r="BH173" s="544"/>
      <c r="BI173" s="544"/>
      <c r="BJ173" s="544"/>
      <c r="BK173" s="544"/>
      <c r="BL173" s="544"/>
      <c r="BM173" s="544"/>
      <c r="BN173" s="544"/>
      <c r="BO173" s="544"/>
      <c r="BP173" s="544"/>
      <c r="BQ173" s="544"/>
      <c r="BR173" s="544"/>
      <c r="BS173" s="544"/>
      <c r="BT173" s="544"/>
      <c r="BU173" s="544"/>
      <c r="BV173" s="544"/>
      <c r="BW173" s="544"/>
      <c r="BX173" s="544"/>
      <c r="BY173" s="544"/>
      <c r="BZ173" s="544"/>
      <c r="CA173" s="544"/>
      <c r="CB173" s="544"/>
      <c r="CC173" s="544"/>
      <c r="CD173" s="544"/>
      <c r="CE173" s="544"/>
      <c r="CF173" s="544"/>
      <c r="CG173" s="544"/>
      <c r="CH173" s="544"/>
      <c r="CI173" s="544"/>
      <c r="CJ173" s="544"/>
      <c r="CK173" s="544"/>
      <c r="CL173" s="544"/>
      <c r="CM173" s="544"/>
      <c r="CN173" s="544"/>
      <c r="CO173" s="544"/>
      <c r="CP173" s="544"/>
      <c r="CQ173" s="544"/>
      <c r="CR173" s="544"/>
      <c r="CS173" s="544"/>
      <c r="CT173" s="544"/>
      <c r="CU173" s="544"/>
      <c r="CV173" s="544"/>
      <c r="CW173" s="544"/>
      <c r="CX173" s="544"/>
      <c r="CY173" s="544"/>
      <c r="CZ173" s="544"/>
      <c r="DA173" s="544"/>
      <c r="DB173" s="544"/>
      <c r="DC173" s="544"/>
      <c r="DD173" s="544"/>
      <c r="DE173" s="544"/>
      <c r="DF173" s="544"/>
      <c r="DG173" s="544"/>
      <c r="DH173" s="544"/>
      <c r="DI173" s="544"/>
      <c r="DJ173" s="544"/>
      <c r="DK173" s="544"/>
      <c r="DL173" s="544"/>
      <c r="DM173" s="544"/>
      <c r="DN173" s="544"/>
      <c r="DO173" s="544"/>
      <c r="DP173" s="544"/>
      <c r="DQ173" s="544"/>
      <c r="DR173" s="544"/>
      <c r="DS173" s="544"/>
      <c r="DT173" s="544"/>
      <c r="DU173" s="544"/>
      <c r="DV173" s="544"/>
      <c r="DW173" s="544"/>
      <c r="DX173" s="544"/>
      <c r="DY173" s="544"/>
      <c r="DZ173" s="544"/>
      <c r="EA173" s="544"/>
      <c r="EB173" s="544"/>
      <c r="EC173" s="544"/>
      <c r="ED173" s="544"/>
      <c r="EE173" s="544"/>
      <c r="EF173" s="544"/>
      <c r="EG173" s="544"/>
      <c r="EH173" s="544"/>
      <c r="EI173" s="544"/>
      <c r="EJ173" s="544"/>
      <c r="EK173" s="544"/>
      <c r="EL173" s="544"/>
      <c r="EM173" s="544"/>
      <c r="EN173" s="544"/>
      <c r="EO173" s="544"/>
      <c r="EP173" s="544"/>
      <c r="EQ173" s="544"/>
      <c r="ER173" s="544"/>
      <c r="ES173" s="544"/>
      <c r="ET173" s="544"/>
      <c r="EU173" s="544"/>
      <c r="EV173" s="544"/>
      <c r="EW173" s="544"/>
      <c r="EX173" s="544"/>
      <c r="EY173" s="544"/>
      <c r="EZ173" s="544"/>
      <c r="FA173" s="544"/>
      <c r="FB173" s="544"/>
      <c r="FC173" s="544"/>
      <c r="FD173" s="544"/>
      <c r="FE173" s="544"/>
      <c r="FF173" s="544"/>
      <c r="FG173" s="544"/>
      <c r="FH173" s="544"/>
      <c r="FI173" s="544"/>
      <c r="FJ173" s="544"/>
      <c r="FK173" s="544"/>
      <c r="FL173" s="544"/>
      <c r="FM173" s="544"/>
      <c r="FN173" s="544"/>
      <c r="FO173" s="544"/>
      <c r="FP173" s="544"/>
      <c r="FQ173" s="544"/>
      <c r="FR173" s="544"/>
      <c r="FS173" s="544"/>
      <c r="FT173" s="544"/>
      <c r="FU173" s="544"/>
      <c r="FV173" s="544"/>
      <c r="FW173" s="544"/>
      <c r="FX173" s="544"/>
      <c r="FY173" s="544"/>
      <c r="FZ173" s="544"/>
      <c r="GA173" s="544"/>
      <c r="GB173" s="544"/>
      <c r="GC173" s="544"/>
      <c r="GD173" s="544"/>
      <c r="GE173" s="544"/>
      <c r="GF173" s="544"/>
      <c r="GG173" s="544"/>
      <c r="GH173" s="544"/>
      <c r="GI173" s="544"/>
      <c r="GJ173" s="544"/>
      <c r="GK173" s="544"/>
      <c r="GL173" s="544"/>
      <c r="GM173" s="544"/>
      <c r="GN173" s="544"/>
      <c r="GO173" s="544"/>
      <c r="GP173" s="544"/>
      <c r="GQ173" s="544"/>
      <c r="GR173" s="544"/>
      <c r="GS173" s="544"/>
      <c r="GT173" s="544"/>
      <c r="GU173" s="544"/>
      <c r="GV173" s="544"/>
      <c r="GW173" s="544"/>
      <c r="GX173" s="544"/>
      <c r="GY173" s="544"/>
      <c r="GZ173" s="544"/>
      <c r="HA173" s="544"/>
      <c r="HB173" s="544"/>
      <c r="HC173" s="544"/>
      <c r="HD173" s="544"/>
      <c r="HE173" s="544"/>
      <c r="HF173" s="544"/>
      <c r="HG173" s="544"/>
      <c r="HH173" s="544"/>
      <c r="HI173" s="544"/>
      <c r="HJ173" s="544"/>
      <c r="HK173" s="544"/>
      <c r="HL173" s="544"/>
      <c r="HM173" s="544"/>
      <c r="HN173" s="544"/>
      <c r="HO173" s="544"/>
      <c r="HP173" s="544"/>
      <c r="HQ173" s="544"/>
      <c r="HR173" s="544"/>
      <c r="HS173" s="544"/>
      <c r="HT173" s="544"/>
      <c r="HU173" s="544"/>
      <c r="HV173" s="544"/>
      <c r="HW173" s="544"/>
      <c r="HX173" s="544"/>
      <c r="HY173" s="544"/>
      <c r="HZ173" s="544"/>
      <c r="IA173" s="544"/>
      <c r="IB173" s="544"/>
      <c r="IC173" s="544"/>
      <c r="ID173" s="544"/>
      <c r="IE173" s="544"/>
      <c r="IF173" s="544"/>
      <c r="IG173" s="544"/>
      <c r="IH173" s="544"/>
      <c r="II173" s="544"/>
      <c r="IJ173" s="544"/>
      <c r="IK173" s="544"/>
      <c r="IL173" s="544"/>
      <c r="IM173" s="544"/>
      <c r="IN173" s="544"/>
      <c r="IO173" s="544"/>
      <c r="IP173" s="544"/>
      <c r="IQ173" s="544"/>
      <c r="IR173" s="544"/>
      <c r="IS173" s="544"/>
    </row>
    <row r="174" spans="1:253" ht="28" customHeight="1" x14ac:dyDescent="0.35">
      <c r="A174" s="544"/>
      <c r="B174" s="1484" t="s">
        <v>594</v>
      </c>
      <c r="C174" s="684" t="s">
        <v>374</v>
      </c>
      <c r="E174" s="667" t="s">
        <v>521</v>
      </c>
      <c r="F174" s="1480"/>
      <c r="G174" s="1481"/>
      <c r="H174" s="1474" t="s">
        <v>656</v>
      </c>
      <c r="I174" s="1474" t="s">
        <v>645</v>
      </c>
      <c r="J174" s="544"/>
      <c r="K174" s="544"/>
      <c r="AY174" s="544"/>
      <c r="AZ174" s="544"/>
      <c r="BA174" s="544"/>
      <c r="BB174" s="544"/>
      <c r="BC174" s="544"/>
      <c r="BD174" s="544"/>
      <c r="BE174" s="544"/>
      <c r="BF174" s="544"/>
      <c r="BG174" s="544"/>
      <c r="BH174" s="544"/>
      <c r="BI174" s="544"/>
      <c r="BJ174" s="544"/>
      <c r="BK174" s="544"/>
      <c r="BL174" s="544"/>
      <c r="BM174" s="544"/>
      <c r="BN174" s="544"/>
      <c r="BO174" s="544"/>
      <c r="BP174" s="544"/>
      <c r="BQ174" s="544"/>
      <c r="BR174" s="544"/>
      <c r="BS174" s="544"/>
      <c r="BT174" s="544"/>
      <c r="BU174" s="544"/>
      <c r="BV174" s="544"/>
      <c r="BW174" s="544"/>
      <c r="BX174" s="544"/>
      <c r="BY174" s="544"/>
      <c r="BZ174" s="544"/>
      <c r="CA174" s="544"/>
      <c r="CB174" s="544"/>
      <c r="CC174" s="544"/>
      <c r="CD174" s="544"/>
      <c r="CE174" s="544"/>
      <c r="CF174" s="544"/>
      <c r="CG174" s="544"/>
      <c r="CH174" s="544"/>
      <c r="CI174" s="544"/>
      <c r="CJ174" s="544"/>
      <c r="CK174" s="544"/>
      <c r="CL174" s="544"/>
      <c r="CM174" s="544"/>
      <c r="CN174" s="544"/>
      <c r="CO174" s="544"/>
      <c r="CP174" s="544"/>
      <c r="CQ174" s="544"/>
      <c r="CR174" s="544"/>
      <c r="CS174" s="544"/>
      <c r="CT174" s="544"/>
      <c r="CU174" s="544"/>
      <c r="CV174" s="544"/>
      <c r="CW174" s="544"/>
      <c r="CX174" s="544"/>
      <c r="CY174" s="544"/>
      <c r="CZ174" s="544"/>
      <c r="DA174" s="544"/>
      <c r="DB174" s="544"/>
      <c r="DC174" s="544"/>
      <c r="DD174" s="544"/>
      <c r="DE174" s="544"/>
      <c r="DF174" s="544"/>
      <c r="DG174" s="544"/>
      <c r="DH174" s="544"/>
      <c r="DI174" s="544"/>
      <c r="DJ174" s="544"/>
      <c r="DK174" s="544"/>
      <c r="DL174" s="544"/>
      <c r="DM174" s="544"/>
      <c r="DN174" s="544"/>
      <c r="DO174" s="544"/>
      <c r="DP174" s="544"/>
      <c r="DQ174" s="544"/>
      <c r="DR174" s="544"/>
      <c r="DS174" s="544"/>
      <c r="DT174" s="544"/>
      <c r="DU174" s="544"/>
      <c r="DV174" s="544"/>
      <c r="DW174" s="544"/>
      <c r="DX174" s="544"/>
      <c r="DY174" s="544"/>
      <c r="DZ174" s="544"/>
      <c r="EA174" s="544"/>
      <c r="EB174" s="544"/>
      <c r="EC174" s="544"/>
      <c r="ED174" s="544"/>
      <c r="EE174" s="544"/>
      <c r="EF174" s="544"/>
      <c r="EG174" s="544"/>
      <c r="EH174" s="544"/>
      <c r="EI174" s="544"/>
      <c r="EJ174" s="544"/>
      <c r="EK174" s="544"/>
      <c r="EL174" s="544"/>
      <c r="EM174" s="544"/>
      <c r="EN174" s="544"/>
      <c r="EO174" s="544"/>
      <c r="EP174" s="544"/>
      <c r="EQ174" s="544"/>
      <c r="ER174" s="544"/>
      <c r="ES174" s="544"/>
      <c r="ET174" s="544"/>
      <c r="EU174" s="544"/>
      <c r="EV174" s="544"/>
      <c r="EW174" s="544"/>
      <c r="EX174" s="544"/>
      <c r="EY174" s="544"/>
      <c r="EZ174" s="544"/>
      <c r="FA174" s="544"/>
      <c r="FB174" s="544"/>
      <c r="FC174" s="544"/>
      <c r="FD174" s="544"/>
      <c r="FE174" s="544"/>
      <c r="FF174" s="544"/>
      <c r="FG174" s="544"/>
      <c r="FH174" s="544"/>
      <c r="FI174" s="544"/>
      <c r="FJ174" s="544"/>
      <c r="FK174" s="544"/>
      <c r="FL174" s="544"/>
      <c r="FM174" s="544"/>
      <c r="FN174" s="544"/>
      <c r="FO174" s="544"/>
      <c r="FP174" s="544"/>
      <c r="FQ174" s="544"/>
      <c r="FR174" s="544"/>
      <c r="FS174" s="544"/>
      <c r="FT174" s="544"/>
      <c r="FU174" s="544"/>
      <c r="FV174" s="544"/>
      <c r="FW174" s="544"/>
      <c r="FX174" s="544"/>
      <c r="FY174" s="544"/>
      <c r="FZ174" s="544"/>
      <c r="GA174" s="544"/>
      <c r="GB174" s="544"/>
      <c r="GC174" s="544"/>
      <c r="GD174" s="544"/>
      <c r="GE174" s="544"/>
      <c r="GF174" s="544"/>
      <c r="GG174" s="544"/>
      <c r="GH174" s="544"/>
      <c r="GI174" s="544"/>
      <c r="GJ174" s="544"/>
      <c r="GK174" s="544"/>
      <c r="GL174" s="544"/>
      <c r="GM174" s="544"/>
      <c r="GN174" s="544"/>
      <c r="GO174" s="544"/>
      <c r="GP174" s="544"/>
      <c r="GQ174" s="544"/>
      <c r="GR174" s="544"/>
      <c r="GS174" s="544"/>
      <c r="GT174" s="544"/>
      <c r="GU174" s="544"/>
      <c r="GV174" s="544"/>
      <c r="GW174" s="544"/>
      <c r="GX174" s="544"/>
      <c r="GY174" s="544"/>
      <c r="GZ174" s="544"/>
      <c r="HA174" s="544"/>
      <c r="HB174" s="544"/>
      <c r="HC174" s="544"/>
      <c r="HD174" s="544"/>
      <c r="HE174" s="544"/>
      <c r="HF174" s="544"/>
      <c r="HG174" s="544"/>
      <c r="HH174" s="544"/>
      <c r="HI174" s="544"/>
      <c r="HJ174" s="544"/>
      <c r="HK174" s="544"/>
      <c r="HL174" s="544"/>
      <c r="HM174" s="544"/>
      <c r="HN174" s="544"/>
      <c r="HO174" s="544"/>
      <c r="HP174" s="544"/>
      <c r="HQ174" s="544"/>
      <c r="HR174" s="544"/>
      <c r="HS174" s="544"/>
      <c r="HT174" s="544"/>
      <c r="HU174" s="544"/>
      <c r="HV174" s="544"/>
      <c r="HW174" s="544"/>
      <c r="HX174" s="544"/>
      <c r="HY174" s="544"/>
      <c r="HZ174" s="544"/>
      <c r="IA174" s="544"/>
      <c r="IB174" s="544"/>
      <c r="IC174" s="544"/>
      <c r="ID174" s="544"/>
      <c r="IE174" s="544"/>
      <c r="IF174" s="544"/>
      <c r="IG174" s="544"/>
      <c r="IH174" s="544"/>
      <c r="II174" s="544"/>
      <c r="IJ174" s="544"/>
      <c r="IK174" s="544"/>
      <c r="IL174" s="544"/>
      <c r="IM174" s="544"/>
      <c r="IN174" s="544"/>
      <c r="IO174" s="544"/>
      <c r="IP174" s="544"/>
      <c r="IQ174" s="544"/>
      <c r="IR174" s="544"/>
      <c r="IS174" s="544"/>
    </row>
    <row r="175" spans="1:253" ht="28" customHeight="1" x14ac:dyDescent="0.35">
      <c r="A175" s="544"/>
      <c r="B175" s="600" t="s">
        <v>646</v>
      </c>
      <c r="C175" s="881">
        <v>1</v>
      </c>
      <c r="E175" s="544"/>
      <c r="F175" s="544"/>
      <c r="G175" s="544"/>
      <c r="H175" s="544"/>
      <c r="I175" s="544"/>
      <c r="J175" s="544"/>
      <c r="K175" s="544"/>
      <c r="AY175" s="544"/>
      <c r="AZ175" s="544"/>
      <c r="BA175" s="544"/>
      <c r="BB175" s="544"/>
      <c r="BC175" s="544"/>
      <c r="BD175" s="544"/>
      <c r="BE175" s="544"/>
      <c r="BF175" s="544"/>
      <c r="BG175" s="544"/>
      <c r="BH175" s="544"/>
      <c r="BI175" s="544"/>
      <c r="BJ175" s="544"/>
      <c r="BK175" s="544"/>
      <c r="BL175" s="544"/>
      <c r="BM175" s="544"/>
      <c r="BN175" s="544"/>
      <c r="BO175" s="544"/>
      <c r="BP175" s="544"/>
      <c r="BQ175" s="544"/>
      <c r="BR175" s="544"/>
      <c r="BS175" s="544"/>
      <c r="BT175" s="544"/>
      <c r="BU175" s="544"/>
      <c r="BV175" s="544"/>
      <c r="BW175" s="544"/>
      <c r="BX175" s="544"/>
      <c r="BY175" s="544"/>
      <c r="BZ175" s="544"/>
      <c r="CA175" s="544"/>
      <c r="CB175" s="544"/>
      <c r="CC175" s="544"/>
      <c r="CD175" s="544"/>
      <c r="CE175" s="544"/>
      <c r="CF175" s="544"/>
      <c r="CG175" s="544"/>
      <c r="CH175" s="544"/>
      <c r="CI175" s="544"/>
      <c r="CJ175" s="544"/>
      <c r="CK175" s="544"/>
      <c r="CL175" s="544"/>
      <c r="CM175" s="544"/>
      <c r="CN175" s="544"/>
      <c r="CO175" s="544"/>
      <c r="CP175" s="544"/>
      <c r="CQ175" s="544"/>
      <c r="CR175" s="544"/>
      <c r="CS175" s="544"/>
      <c r="CT175" s="544"/>
      <c r="CU175" s="544"/>
      <c r="CV175" s="544"/>
      <c r="CW175" s="544"/>
      <c r="CX175" s="544"/>
      <c r="CY175" s="544"/>
      <c r="CZ175" s="544"/>
      <c r="DA175" s="544"/>
      <c r="DB175" s="544"/>
      <c r="DC175" s="544"/>
      <c r="DD175" s="544"/>
      <c r="DE175" s="544"/>
      <c r="DF175" s="544"/>
      <c r="DG175" s="544"/>
      <c r="DH175" s="544"/>
      <c r="DI175" s="544"/>
      <c r="DJ175" s="544"/>
      <c r="DK175" s="544"/>
      <c r="DL175" s="544"/>
      <c r="DM175" s="544"/>
      <c r="DN175" s="544"/>
      <c r="DO175" s="544"/>
      <c r="DP175" s="544"/>
      <c r="DQ175" s="544"/>
      <c r="DR175" s="544"/>
      <c r="DS175" s="544"/>
      <c r="DT175" s="544"/>
      <c r="DU175" s="544"/>
      <c r="DV175" s="544"/>
      <c r="DW175" s="544"/>
      <c r="DX175" s="544"/>
      <c r="DY175" s="544"/>
      <c r="DZ175" s="544"/>
      <c r="EA175" s="544"/>
      <c r="EB175" s="544"/>
      <c r="EC175" s="544"/>
      <c r="ED175" s="544"/>
      <c r="EE175" s="544"/>
      <c r="EF175" s="544"/>
      <c r="EG175" s="544"/>
      <c r="EH175" s="544"/>
      <c r="EI175" s="544"/>
      <c r="EJ175" s="544"/>
      <c r="EK175" s="544"/>
      <c r="EL175" s="544"/>
      <c r="EM175" s="544"/>
      <c r="EN175" s="544"/>
      <c r="EO175" s="544"/>
      <c r="EP175" s="544"/>
      <c r="EQ175" s="544"/>
      <c r="ER175" s="544"/>
      <c r="ES175" s="544"/>
      <c r="ET175" s="544"/>
      <c r="EU175" s="544"/>
      <c r="EV175" s="544"/>
      <c r="EW175" s="544"/>
      <c r="EX175" s="544"/>
      <c r="EY175" s="544"/>
      <c r="EZ175" s="544"/>
      <c r="FA175" s="544"/>
      <c r="FB175" s="544"/>
      <c r="FC175" s="544"/>
      <c r="FD175" s="544"/>
      <c r="FE175" s="544"/>
      <c r="FF175" s="544"/>
      <c r="FG175" s="544"/>
      <c r="FH175" s="544"/>
      <c r="FI175" s="544"/>
      <c r="FJ175" s="544"/>
      <c r="FK175" s="544"/>
      <c r="FL175" s="544"/>
      <c r="FM175" s="544"/>
      <c r="FN175" s="544"/>
      <c r="FO175" s="544"/>
      <c r="FP175" s="544"/>
      <c r="FQ175" s="544"/>
      <c r="FR175" s="544"/>
      <c r="FS175" s="544"/>
      <c r="FT175" s="544"/>
      <c r="FU175" s="544"/>
      <c r="FV175" s="544"/>
      <c r="FW175" s="544"/>
      <c r="FX175" s="544"/>
      <c r="FY175" s="544"/>
      <c r="FZ175" s="544"/>
      <c r="GA175" s="544"/>
      <c r="GB175" s="544"/>
      <c r="GC175" s="544"/>
      <c r="GD175" s="544"/>
      <c r="GE175" s="544"/>
      <c r="GF175" s="544"/>
      <c r="GG175" s="544"/>
      <c r="GH175" s="544"/>
      <c r="GI175" s="544"/>
      <c r="GJ175" s="544"/>
      <c r="GK175" s="544"/>
      <c r="GL175" s="544"/>
      <c r="GM175" s="544"/>
      <c r="GN175" s="544"/>
      <c r="GO175" s="544"/>
      <c r="GP175" s="544"/>
      <c r="GQ175" s="544"/>
      <c r="GR175" s="544"/>
      <c r="GS175" s="544"/>
      <c r="GT175" s="544"/>
      <c r="GU175" s="544"/>
      <c r="GV175" s="544"/>
      <c r="GW175" s="544"/>
      <c r="GX175" s="544"/>
      <c r="GY175" s="544"/>
      <c r="GZ175" s="544"/>
      <c r="HA175" s="544"/>
      <c r="HB175" s="544"/>
      <c r="HC175" s="544"/>
      <c r="HD175" s="544"/>
      <c r="HE175" s="544"/>
      <c r="HF175" s="544"/>
      <c r="HG175" s="544"/>
      <c r="HH175" s="544"/>
      <c r="HI175" s="544"/>
      <c r="HJ175" s="544"/>
      <c r="HK175" s="544"/>
      <c r="HL175" s="544"/>
      <c r="HM175" s="544"/>
      <c r="HN175" s="544"/>
      <c r="HO175" s="544"/>
      <c r="HP175" s="544"/>
      <c r="HQ175" s="544"/>
      <c r="HR175" s="544"/>
      <c r="HS175" s="544"/>
      <c r="HT175" s="544"/>
      <c r="HU175" s="544"/>
      <c r="HV175" s="544"/>
      <c r="HW175" s="544"/>
      <c r="HX175" s="544"/>
      <c r="HY175" s="544"/>
      <c r="HZ175" s="544"/>
      <c r="IA175" s="544"/>
      <c r="IB175" s="544"/>
      <c r="IC175" s="544"/>
      <c r="ID175" s="544"/>
      <c r="IE175" s="544"/>
      <c r="IF175" s="544"/>
      <c r="IG175" s="544"/>
      <c r="IH175" s="544"/>
      <c r="II175" s="544"/>
      <c r="IJ175" s="544"/>
      <c r="IK175" s="544"/>
      <c r="IL175" s="544"/>
      <c r="IM175" s="544"/>
      <c r="IN175" s="544"/>
      <c r="IO175" s="544"/>
      <c r="IP175" s="544"/>
      <c r="IQ175" s="544"/>
      <c r="IR175" s="544"/>
      <c r="IS175" s="544"/>
    </row>
    <row r="176" spans="1:253" ht="31" x14ac:dyDescent="0.35">
      <c r="A176" s="544"/>
      <c r="B176" s="1090" t="s">
        <v>661</v>
      </c>
      <c r="C176" s="881"/>
      <c r="E176" s="907"/>
      <c r="F176" s="908"/>
      <c r="G176" s="909"/>
      <c r="H176" s="913"/>
      <c r="I176" s="913"/>
      <c r="J176" s="917" t="s">
        <v>648</v>
      </c>
      <c r="K176" s="544"/>
      <c r="AA176" s="1089" t="s">
        <v>601</v>
      </c>
      <c r="AY176" s="544"/>
      <c r="AZ176" s="544"/>
      <c r="BA176" s="544"/>
      <c r="BB176" s="544"/>
      <c r="BC176" s="544"/>
      <c r="BD176" s="544"/>
      <c r="BE176" s="544"/>
      <c r="BF176" s="544"/>
      <c r="BG176" s="544"/>
      <c r="BH176" s="544"/>
      <c r="BI176" s="544"/>
      <c r="BJ176" s="544"/>
      <c r="BK176" s="544"/>
      <c r="BL176" s="544"/>
      <c r="BM176" s="544"/>
      <c r="BN176" s="544"/>
      <c r="BO176" s="544"/>
      <c r="BP176" s="544"/>
      <c r="BQ176" s="544"/>
      <c r="BR176" s="544"/>
      <c r="BS176" s="544"/>
      <c r="BT176" s="544"/>
      <c r="BU176" s="544"/>
      <c r="BV176" s="544"/>
      <c r="BW176" s="544"/>
      <c r="BX176" s="544"/>
      <c r="BY176" s="544"/>
      <c r="BZ176" s="544"/>
      <c r="CA176" s="544"/>
      <c r="CB176" s="544"/>
      <c r="CC176" s="544"/>
      <c r="CD176" s="544"/>
      <c r="CE176" s="544"/>
      <c r="CF176" s="544"/>
      <c r="CG176" s="544"/>
      <c r="CH176" s="544"/>
      <c r="CI176" s="544"/>
      <c r="CJ176" s="544"/>
      <c r="CK176" s="544"/>
      <c r="CL176" s="544"/>
      <c r="CM176" s="544"/>
      <c r="CN176" s="544"/>
      <c r="CO176" s="544"/>
      <c r="CP176" s="544"/>
      <c r="CQ176" s="544"/>
      <c r="CR176" s="544"/>
      <c r="CS176" s="544"/>
      <c r="CT176" s="544"/>
      <c r="CU176" s="544"/>
      <c r="CV176" s="544"/>
      <c r="CW176" s="544"/>
      <c r="CX176" s="544"/>
      <c r="CY176" s="544"/>
      <c r="CZ176" s="544"/>
      <c r="DA176" s="544"/>
      <c r="DB176" s="544"/>
      <c r="DC176" s="544"/>
      <c r="DD176" s="544"/>
      <c r="DE176" s="544"/>
      <c r="DF176" s="544"/>
      <c r="DG176" s="544"/>
      <c r="DH176" s="544"/>
      <c r="DI176" s="544"/>
      <c r="DJ176" s="544"/>
      <c r="DK176" s="544"/>
      <c r="DL176" s="544"/>
      <c r="DM176" s="544"/>
      <c r="DN176" s="544"/>
      <c r="DO176" s="544"/>
      <c r="DP176" s="544"/>
      <c r="DQ176" s="544"/>
      <c r="DR176" s="544"/>
      <c r="DS176" s="544"/>
      <c r="DT176" s="544"/>
      <c r="DU176" s="544"/>
      <c r="DV176" s="544"/>
      <c r="DW176" s="544"/>
      <c r="DX176" s="544"/>
      <c r="DY176" s="544"/>
      <c r="DZ176" s="544"/>
      <c r="EA176" s="544"/>
      <c r="EB176" s="544"/>
      <c r="EC176" s="544"/>
      <c r="ED176" s="544"/>
      <c r="EE176" s="544"/>
      <c r="EF176" s="544"/>
      <c r="EG176" s="544"/>
      <c r="EH176" s="544"/>
      <c r="EI176" s="544"/>
      <c r="EJ176" s="544"/>
      <c r="EK176" s="544"/>
      <c r="EL176" s="544"/>
      <c r="EM176" s="544"/>
      <c r="EN176" s="544"/>
      <c r="EO176" s="544"/>
      <c r="EP176" s="544"/>
      <c r="EQ176" s="544"/>
      <c r="ER176" s="544"/>
      <c r="ES176" s="544"/>
      <c r="ET176" s="544"/>
      <c r="EU176" s="544"/>
      <c r="EV176" s="544"/>
      <c r="EW176" s="544"/>
      <c r="EX176" s="544"/>
      <c r="EY176" s="544"/>
      <c r="EZ176" s="544"/>
      <c r="FA176" s="544"/>
      <c r="FB176" s="544"/>
      <c r="FC176" s="544"/>
      <c r="FD176" s="544"/>
      <c r="FE176" s="544"/>
      <c r="FF176" s="544"/>
      <c r="FG176" s="544"/>
      <c r="FH176" s="544"/>
      <c r="FI176" s="544"/>
      <c r="FJ176" s="544"/>
      <c r="FK176" s="544"/>
      <c r="FL176" s="544"/>
      <c r="FM176" s="544"/>
      <c r="FN176" s="544"/>
      <c r="FO176" s="544"/>
      <c r="FP176" s="544"/>
      <c r="FQ176" s="544"/>
      <c r="FR176" s="544"/>
      <c r="FS176" s="544"/>
      <c r="FT176" s="544"/>
      <c r="FU176" s="544"/>
      <c r="FV176" s="544"/>
      <c r="FW176" s="544"/>
      <c r="FX176" s="544"/>
      <c r="FY176" s="544"/>
      <c r="FZ176" s="544"/>
      <c r="GA176" s="544"/>
      <c r="GB176" s="544"/>
      <c r="GC176" s="544"/>
      <c r="GD176" s="544"/>
      <c r="GE176" s="544"/>
      <c r="GF176" s="544"/>
      <c r="GG176" s="544"/>
      <c r="GH176" s="544"/>
      <c r="GI176" s="544"/>
      <c r="GJ176" s="544"/>
      <c r="GK176" s="544"/>
      <c r="GL176" s="544"/>
      <c r="GM176" s="544"/>
      <c r="GN176" s="544"/>
      <c r="GO176" s="544"/>
      <c r="GP176" s="544"/>
      <c r="GQ176" s="544"/>
      <c r="GR176" s="544"/>
      <c r="GS176" s="544"/>
      <c r="GT176" s="544"/>
      <c r="GU176" s="544"/>
      <c r="GV176" s="544"/>
      <c r="GW176" s="544"/>
      <c r="GX176" s="544"/>
      <c r="GY176" s="544"/>
      <c r="GZ176" s="544"/>
      <c r="HA176" s="544"/>
      <c r="HB176" s="544"/>
      <c r="HC176" s="544"/>
      <c r="HD176" s="544"/>
      <c r="HE176" s="544"/>
      <c r="HF176" s="544"/>
      <c r="HG176" s="544"/>
      <c r="HH176" s="544"/>
      <c r="HI176" s="544"/>
      <c r="HJ176" s="544"/>
      <c r="HK176" s="544"/>
      <c r="HL176" s="544"/>
      <c r="HM176" s="544"/>
      <c r="HN176" s="544"/>
      <c r="HO176" s="544"/>
      <c r="HP176" s="544"/>
      <c r="HQ176" s="544"/>
      <c r="HR176" s="544"/>
      <c r="HS176" s="544"/>
      <c r="HT176" s="544"/>
      <c r="HU176" s="544"/>
      <c r="HV176" s="544"/>
      <c r="HW176" s="544"/>
      <c r="HX176" s="544"/>
      <c r="HY176" s="544"/>
      <c r="HZ176" s="544"/>
      <c r="IA176" s="544"/>
      <c r="IB176" s="544"/>
      <c r="IC176" s="544"/>
      <c r="ID176" s="544"/>
      <c r="IE176" s="544"/>
      <c r="IF176" s="544"/>
      <c r="IG176" s="544"/>
      <c r="IH176" s="544"/>
      <c r="II176" s="544"/>
      <c r="IJ176" s="544"/>
      <c r="IK176" s="544"/>
      <c r="IL176" s="544"/>
      <c r="IM176" s="544"/>
      <c r="IN176" s="544"/>
      <c r="IO176" s="544"/>
      <c r="IP176" s="544"/>
      <c r="IQ176" s="544"/>
      <c r="IR176" s="544"/>
      <c r="IS176" s="544"/>
    </row>
    <row r="177" spans="1:253" ht="31" x14ac:dyDescent="0.35">
      <c r="A177" s="544"/>
      <c r="B177" s="1090" t="s">
        <v>649</v>
      </c>
      <c r="C177" s="881"/>
      <c r="E177" s="907"/>
      <c r="F177" s="908"/>
      <c r="G177" s="909"/>
      <c r="H177" s="913"/>
      <c r="I177" s="913"/>
      <c r="J177" s="544"/>
      <c r="K177" s="544"/>
      <c r="AA177" s="1089" t="s">
        <v>601</v>
      </c>
      <c r="AY177" s="544"/>
      <c r="AZ177" s="544"/>
      <c r="BA177" s="544"/>
      <c r="BB177" s="544"/>
      <c r="BC177" s="544"/>
      <c r="BD177" s="544"/>
      <c r="BE177" s="544"/>
      <c r="BF177" s="544"/>
      <c r="BG177" s="544"/>
      <c r="BH177" s="544"/>
      <c r="BI177" s="544"/>
      <c r="BJ177" s="544"/>
      <c r="BK177" s="544"/>
      <c r="BL177" s="544"/>
      <c r="BM177" s="544"/>
      <c r="BN177" s="544"/>
      <c r="BO177" s="544"/>
      <c r="BP177" s="544"/>
      <c r="BQ177" s="544"/>
      <c r="BR177" s="544"/>
      <c r="BS177" s="544"/>
      <c r="BT177" s="544"/>
      <c r="BU177" s="544"/>
      <c r="BV177" s="544"/>
      <c r="BW177" s="544"/>
      <c r="BX177" s="544"/>
      <c r="BY177" s="544"/>
      <c r="BZ177" s="544"/>
      <c r="CA177" s="544"/>
      <c r="CB177" s="544"/>
      <c r="CC177" s="544"/>
      <c r="CD177" s="544"/>
      <c r="CE177" s="544"/>
      <c r="CF177" s="544"/>
      <c r="CG177" s="544"/>
      <c r="CH177" s="544"/>
      <c r="CI177" s="544"/>
      <c r="CJ177" s="544"/>
      <c r="CK177" s="544"/>
      <c r="CL177" s="544"/>
      <c r="CM177" s="544"/>
      <c r="CN177" s="544"/>
      <c r="CO177" s="544"/>
      <c r="CP177" s="544"/>
      <c r="CQ177" s="544"/>
      <c r="CR177" s="544"/>
      <c r="CS177" s="544"/>
      <c r="CT177" s="544"/>
      <c r="CU177" s="544"/>
      <c r="CV177" s="544"/>
      <c r="CW177" s="544"/>
      <c r="CX177" s="544"/>
      <c r="CY177" s="544"/>
      <c r="CZ177" s="544"/>
      <c r="DA177" s="544"/>
      <c r="DB177" s="544"/>
      <c r="DC177" s="544"/>
      <c r="DD177" s="544"/>
      <c r="DE177" s="544"/>
      <c r="DF177" s="544"/>
      <c r="DG177" s="544"/>
      <c r="DH177" s="544"/>
      <c r="DI177" s="544"/>
      <c r="DJ177" s="544"/>
      <c r="DK177" s="544"/>
      <c r="DL177" s="544"/>
      <c r="DM177" s="544"/>
      <c r="DN177" s="544"/>
      <c r="DO177" s="544"/>
      <c r="DP177" s="544"/>
      <c r="DQ177" s="544"/>
      <c r="DR177" s="544"/>
      <c r="DS177" s="544"/>
      <c r="DT177" s="544"/>
      <c r="DU177" s="544"/>
      <c r="DV177" s="544"/>
      <c r="DW177" s="544"/>
      <c r="DX177" s="544"/>
      <c r="DY177" s="544"/>
      <c r="DZ177" s="544"/>
      <c r="EA177" s="544"/>
      <c r="EB177" s="544"/>
      <c r="EC177" s="544"/>
      <c r="ED177" s="544"/>
      <c r="EE177" s="544"/>
      <c r="EF177" s="544"/>
      <c r="EG177" s="544"/>
      <c r="EH177" s="544"/>
      <c r="EI177" s="544"/>
      <c r="EJ177" s="544"/>
      <c r="EK177" s="544"/>
      <c r="EL177" s="544"/>
      <c r="EM177" s="544"/>
      <c r="EN177" s="544"/>
      <c r="EO177" s="544"/>
      <c r="EP177" s="544"/>
      <c r="EQ177" s="544"/>
      <c r="ER177" s="544"/>
      <c r="ES177" s="544"/>
      <c r="ET177" s="544"/>
      <c r="EU177" s="544"/>
      <c r="EV177" s="544"/>
      <c r="EW177" s="544"/>
      <c r="EX177" s="544"/>
      <c r="EY177" s="544"/>
      <c r="EZ177" s="544"/>
      <c r="FA177" s="544"/>
      <c r="FB177" s="544"/>
      <c r="FC177" s="544"/>
      <c r="FD177" s="544"/>
      <c r="FE177" s="544"/>
      <c r="FF177" s="544"/>
      <c r="FG177" s="544"/>
      <c r="FH177" s="544"/>
      <c r="FI177" s="544"/>
      <c r="FJ177" s="544"/>
      <c r="FK177" s="544"/>
      <c r="FL177" s="544"/>
      <c r="FM177" s="544"/>
      <c r="FN177" s="544"/>
      <c r="FO177" s="544"/>
      <c r="FP177" s="544"/>
      <c r="FQ177" s="544"/>
      <c r="FR177" s="544"/>
      <c r="FS177" s="544"/>
      <c r="FT177" s="544"/>
      <c r="FU177" s="544"/>
      <c r="FV177" s="544"/>
      <c r="FW177" s="544"/>
      <c r="FX177" s="544"/>
      <c r="FY177" s="544"/>
      <c r="FZ177" s="544"/>
      <c r="GA177" s="544"/>
      <c r="GB177" s="544"/>
      <c r="GC177" s="544"/>
      <c r="GD177" s="544"/>
      <c r="GE177" s="544"/>
      <c r="GF177" s="544"/>
      <c r="GG177" s="544"/>
      <c r="GH177" s="544"/>
      <c r="GI177" s="544"/>
      <c r="GJ177" s="544"/>
      <c r="GK177" s="544"/>
      <c r="GL177" s="544"/>
      <c r="GM177" s="544"/>
      <c r="GN177" s="544"/>
      <c r="GO177" s="544"/>
      <c r="GP177" s="544"/>
      <c r="GQ177" s="544"/>
      <c r="GR177" s="544"/>
      <c r="GS177" s="544"/>
      <c r="GT177" s="544"/>
      <c r="GU177" s="544"/>
      <c r="GV177" s="544"/>
      <c r="GW177" s="544"/>
      <c r="GX177" s="544"/>
      <c r="GY177" s="544"/>
      <c r="GZ177" s="544"/>
      <c r="HA177" s="544"/>
      <c r="HB177" s="544"/>
      <c r="HC177" s="544"/>
      <c r="HD177" s="544"/>
      <c r="HE177" s="544"/>
      <c r="HF177" s="544"/>
      <c r="HG177" s="544"/>
      <c r="HH177" s="544"/>
      <c r="HI177" s="544"/>
      <c r="HJ177" s="544"/>
      <c r="HK177" s="544"/>
      <c r="HL177" s="544"/>
      <c r="HM177" s="544"/>
      <c r="HN177" s="544"/>
      <c r="HO177" s="544"/>
      <c r="HP177" s="544"/>
      <c r="HQ177" s="544"/>
      <c r="HR177" s="544"/>
      <c r="HS177" s="544"/>
      <c r="HT177" s="544"/>
      <c r="HU177" s="544"/>
      <c r="HV177" s="544"/>
      <c r="HW177" s="544"/>
      <c r="HX177" s="544"/>
      <c r="HY177" s="544"/>
      <c r="HZ177" s="544"/>
      <c r="IA177" s="544"/>
      <c r="IB177" s="544"/>
      <c r="IC177" s="544"/>
      <c r="ID177" s="544"/>
      <c r="IE177" s="544"/>
      <c r="IF177" s="544"/>
      <c r="IG177" s="544"/>
      <c r="IH177" s="544"/>
      <c r="II177" s="544"/>
      <c r="IJ177" s="544"/>
      <c r="IK177" s="544"/>
      <c r="IL177" s="544"/>
      <c r="IM177" s="544"/>
      <c r="IN177" s="544"/>
      <c r="IO177" s="544"/>
      <c r="IP177" s="544"/>
      <c r="IQ177" s="544"/>
      <c r="IR177" s="544"/>
      <c r="IS177" s="544"/>
    </row>
    <row r="178" spans="1:253" ht="31" x14ac:dyDescent="0.35">
      <c r="A178" s="544"/>
      <c r="B178" s="1090" t="s">
        <v>658</v>
      </c>
      <c r="C178" s="881"/>
      <c r="E178" s="907"/>
      <c r="F178" s="908"/>
      <c r="G178" s="909"/>
      <c r="H178" s="544"/>
      <c r="I178" s="544"/>
      <c r="J178" s="544"/>
      <c r="K178" s="544"/>
      <c r="AA178" s="1089" t="s">
        <v>601</v>
      </c>
      <c r="AY178" s="544"/>
      <c r="AZ178" s="544"/>
      <c r="BA178" s="544"/>
      <c r="BB178" s="544"/>
      <c r="BC178" s="544"/>
      <c r="BD178" s="544"/>
      <c r="BE178" s="544"/>
      <c r="BF178" s="544"/>
      <c r="BG178" s="544"/>
      <c r="BH178" s="544"/>
      <c r="BI178" s="544"/>
      <c r="BJ178" s="544"/>
      <c r="BK178" s="544"/>
      <c r="BL178" s="544"/>
      <c r="BM178" s="544"/>
      <c r="BN178" s="544"/>
      <c r="BO178" s="544"/>
      <c r="BP178" s="544"/>
      <c r="BQ178" s="544"/>
      <c r="BR178" s="544"/>
      <c r="BS178" s="544"/>
      <c r="BT178" s="544"/>
      <c r="BU178" s="544"/>
      <c r="BV178" s="544"/>
      <c r="BW178" s="544"/>
      <c r="BX178" s="544"/>
      <c r="BY178" s="544"/>
      <c r="BZ178" s="544"/>
      <c r="CA178" s="544"/>
      <c r="CB178" s="544"/>
      <c r="CC178" s="544"/>
      <c r="CD178" s="544"/>
      <c r="CE178" s="544"/>
      <c r="CF178" s="544"/>
      <c r="CG178" s="544"/>
      <c r="CH178" s="544"/>
      <c r="CI178" s="544"/>
      <c r="CJ178" s="544"/>
      <c r="CK178" s="544"/>
      <c r="CL178" s="544"/>
      <c r="CM178" s="544"/>
      <c r="CN178" s="544"/>
      <c r="CO178" s="544"/>
      <c r="CP178" s="544"/>
      <c r="CQ178" s="544"/>
      <c r="CR178" s="544"/>
      <c r="CS178" s="544"/>
      <c r="CT178" s="544"/>
      <c r="CU178" s="544"/>
      <c r="CV178" s="544"/>
      <c r="CW178" s="544"/>
      <c r="CX178" s="544"/>
      <c r="CY178" s="544"/>
      <c r="CZ178" s="544"/>
      <c r="DA178" s="544"/>
      <c r="DB178" s="544"/>
      <c r="DC178" s="544"/>
      <c r="DD178" s="544"/>
      <c r="DE178" s="544"/>
      <c r="DF178" s="544"/>
      <c r="DG178" s="544"/>
      <c r="DH178" s="544"/>
      <c r="DI178" s="544"/>
      <c r="DJ178" s="544"/>
      <c r="DK178" s="544"/>
      <c r="DL178" s="544"/>
      <c r="DM178" s="544"/>
      <c r="DN178" s="544"/>
      <c r="DO178" s="544"/>
      <c r="DP178" s="544"/>
      <c r="DQ178" s="544"/>
      <c r="DR178" s="544"/>
      <c r="DS178" s="544"/>
      <c r="DT178" s="544"/>
      <c r="DU178" s="544"/>
      <c r="DV178" s="544"/>
      <c r="DW178" s="544"/>
      <c r="DX178" s="544"/>
      <c r="DY178" s="544"/>
      <c r="DZ178" s="544"/>
      <c r="EA178" s="544"/>
      <c r="EB178" s="544"/>
      <c r="EC178" s="544"/>
      <c r="ED178" s="544"/>
      <c r="EE178" s="544"/>
      <c r="EF178" s="544"/>
      <c r="EG178" s="544"/>
      <c r="EH178" s="544"/>
      <c r="EI178" s="544"/>
      <c r="EJ178" s="544"/>
      <c r="EK178" s="544"/>
      <c r="EL178" s="544"/>
      <c r="EM178" s="544"/>
      <c r="EN178" s="544"/>
      <c r="EO178" s="544"/>
      <c r="EP178" s="544"/>
      <c r="EQ178" s="544"/>
      <c r="ER178" s="544"/>
      <c r="ES178" s="544"/>
      <c r="ET178" s="544"/>
      <c r="EU178" s="544"/>
      <c r="EV178" s="544"/>
      <c r="EW178" s="544"/>
      <c r="EX178" s="544"/>
      <c r="EY178" s="544"/>
      <c r="EZ178" s="544"/>
      <c r="FA178" s="544"/>
      <c r="FB178" s="544"/>
      <c r="FC178" s="544"/>
      <c r="FD178" s="544"/>
      <c r="FE178" s="544"/>
      <c r="FF178" s="544"/>
      <c r="FG178" s="544"/>
      <c r="FH178" s="544"/>
      <c r="FI178" s="544"/>
      <c r="FJ178" s="544"/>
      <c r="FK178" s="544"/>
      <c r="FL178" s="544"/>
      <c r="FM178" s="544"/>
      <c r="FN178" s="544"/>
      <c r="FO178" s="544"/>
      <c r="FP178" s="544"/>
      <c r="FQ178" s="544"/>
      <c r="FR178" s="544"/>
      <c r="FS178" s="544"/>
      <c r="FT178" s="544"/>
      <c r="FU178" s="544"/>
      <c r="FV178" s="544"/>
      <c r="FW178" s="544"/>
      <c r="FX178" s="544"/>
      <c r="FY178" s="544"/>
      <c r="FZ178" s="544"/>
      <c r="GA178" s="544"/>
      <c r="GB178" s="544"/>
      <c r="GC178" s="544"/>
      <c r="GD178" s="544"/>
      <c r="GE178" s="544"/>
      <c r="GF178" s="544"/>
      <c r="GG178" s="544"/>
      <c r="GH178" s="544"/>
      <c r="GI178" s="544"/>
      <c r="GJ178" s="544"/>
      <c r="GK178" s="544"/>
      <c r="GL178" s="544"/>
      <c r="GM178" s="544"/>
      <c r="GN178" s="544"/>
      <c r="GO178" s="544"/>
      <c r="GP178" s="544"/>
      <c r="GQ178" s="544"/>
      <c r="GR178" s="544"/>
      <c r="GS178" s="544"/>
      <c r="GT178" s="544"/>
      <c r="GU178" s="544"/>
      <c r="GV178" s="544"/>
      <c r="GW178" s="544"/>
      <c r="GX178" s="544"/>
      <c r="GY178" s="544"/>
      <c r="GZ178" s="544"/>
      <c r="HA178" s="544"/>
      <c r="HB178" s="544"/>
      <c r="HC178" s="544"/>
      <c r="HD178" s="544"/>
      <c r="HE178" s="544"/>
      <c r="HF178" s="544"/>
      <c r="HG178" s="544"/>
      <c r="HH178" s="544"/>
      <c r="HI178" s="544"/>
      <c r="HJ178" s="544"/>
      <c r="HK178" s="544"/>
      <c r="HL178" s="544"/>
      <c r="HM178" s="544"/>
      <c r="HN178" s="544"/>
      <c r="HO178" s="544"/>
      <c r="HP178" s="544"/>
      <c r="HQ178" s="544"/>
      <c r="HR178" s="544"/>
      <c r="HS178" s="544"/>
      <c r="HT178" s="544"/>
      <c r="HU178" s="544"/>
      <c r="HV178" s="544"/>
      <c r="HW178" s="544"/>
      <c r="HX178" s="544"/>
      <c r="HY178" s="544"/>
      <c r="HZ178" s="544"/>
      <c r="IA178" s="544"/>
      <c r="IB178" s="544"/>
      <c r="IC178" s="544"/>
      <c r="ID178" s="544"/>
      <c r="IE178" s="544"/>
      <c r="IF178" s="544"/>
      <c r="IG178" s="544"/>
      <c r="IH178" s="544"/>
      <c r="II178" s="544"/>
      <c r="IJ178" s="544"/>
      <c r="IK178" s="544"/>
      <c r="IL178" s="544"/>
      <c r="IM178" s="544"/>
      <c r="IN178" s="544"/>
      <c r="IO178" s="544"/>
      <c r="IP178" s="544"/>
      <c r="IQ178" s="544"/>
      <c r="IR178" s="544"/>
      <c r="IS178" s="544"/>
    </row>
    <row r="179" spans="1:253" ht="31" x14ac:dyDescent="0.35">
      <c r="A179" s="544"/>
      <c r="B179" s="1090" t="s">
        <v>651</v>
      </c>
      <c r="C179" s="881"/>
      <c r="E179" s="907"/>
      <c r="F179" s="908"/>
      <c r="G179" s="909"/>
      <c r="H179" s="544"/>
      <c r="I179" s="544"/>
      <c r="J179" s="544"/>
      <c r="K179" s="544"/>
      <c r="AA179" s="1089" t="s">
        <v>601</v>
      </c>
      <c r="AY179" s="544"/>
      <c r="AZ179" s="544"/>
      <c r="BA179" s="544"/>
      <c r="BB179" s="544"/>
      <c r="BC179" s="544"/>
      <c r="BD179" s="544"/>
      <c r="BE179" s="544"/>
      <c r="BF179" s="544"/>
      <c r="BG179" s="544"/>
      <c r="BH179" s="544"/>
      <c r="BI179" s="544"/>
      <c r="BJ179" s="544"/>
      <c r="BK179" s="544"/>
      <c r="BL179" s="544"/>
      <c r="BM179" s="544"/>
      <c r="BN179" s="544"/>
      <c r="BO179" s="544"/>
      <c r="BP179" s="544"/>
      <c r="BQ179" s="544"/>
      <c r="BR179" s="544"/>
      <c r="BS179" s="544"/>
      <c r="BT179" s="544"/>
      <c r="BU179" s="544"/>
      <c r="BV179" s="544"/>
      <c r="BW179" s="544"/>
      <c r="BX179" s="544"/>
      <c r="BY179" s="544"/>
      <c r="BZ179" s="544"/>
      <c r="CA179" s="544"/>
      <c r="CB179" s="544"/>
      <c r="CC179" s="544"/>
      <c r="CD179" s="544"/>
      <c r="CE179" s="544"/>
      <c r="CF179" s="544"/>
      <c r="CG179" s="544"/>
      <c r="CH179" s="544"/>
      <c r="CI179" s="544"/>
      <c r="CJ179" s="544"/>
      <c r="CK179" s="544"/>
      <c r="CL179" s="544"/>
      <c r="CM179" s="544"/>
      <c r="CN179" s="544"/>
      <c r="CO179" s="544"/>
      <c r="CP179" s="544"/>
      <c r="CQ179" s="544"/>
      <c r="CR179" s="544"/>
      <c r="CS179" s="544"/>
      <c r="CT179" s="544"/>
      <c r="CU179" s="544"/>
      <c r="CV179" s="544"/>
      <c r="CW179" s="544"/>
      <c r="CX179" s="544"/>
      <c r="CY179" s="544"/>
      <c r="CZ179" s="544"/>
      <c r="DA179" s="544"/>
      <c r="DB179" s="544"/>
      <c r="DC179" s="544"/>
      <c r="DD179" s="544"/>
      <c r="DE179" s="544"/>
      <c r="DF179" s="544"/>
      <c r="DG179" s="544"/>
      <c r="DH179" s="544"/>
      <c r="DI179" s="544"/>
      <c r="DJ179" s="544"/>
      <c r="DK179" s="544"/>
      <c r="DL179" s="544"/>
      <c r="DM179" s="544"/>
      <c r="DN179" s="544"/>
      <c r="DO179" s="544"/>
      <c r="DP179" s="544"/>
      <c r="DQ179" s="544"/>
      <c r="DR179" s="544"/>
      <c r="DS179" s="544"/>
      <c r="DT179" s="544"/>
      <c r="DU179" s="544"/>
      <c r="DV179" s="544"/>
      <c r="DW179" s="544"/>
      <c r="DX179" s="544"/>
      <c r="DY179" s="544"/>
      <c r="DZ179" s="544"/>
      <c r="EA179" s="544"/>
      <c r="EB179" s="544"/>
      <c r="EC179" s="544"/>
      <c r="ED179" s="544"/>
      <c r="EE179" s="544"/>
      <c r="EF179" s="544"/>
      <c r="EG179" s="544"/>
      <c r="EH179" s="544"/>
      <c r="EI179" s="544"/>
      <c r="EJ179" s="544"/>
      <c r="EK179" s="544"/>
      <c r="EL179" s="544"/>
      <c r="EM179" s="544"/>
      <c r="EN179" s="544"/>
      <c r="EO179" s="544"/>
      <c r="EP179" s="544"/>
      <c r="EQ179" s="544"/>
      <c r="ER179" s="544"/>
      <c r="ES179" s="544"/>
      <c r="ET179" s="544"/>
      <c r="EU179" s="544"/>
      <c r="EV179" s="544"/>
      <c r="EW179" s="544"/>
      <c r="EX179" s="544"/>
      <c r="EY179" s="544"/>
      <c r="EZ179" s="544"/>
      <c r="FA179" s="544"/>
      <c r="FB179" s="544"/>
      <c r="FC179" s="544"/>
      <c r="FD179" s="544"/>
      <c r="FE179" s="544"/>
      <c r="FF179" s="544"/>
      <c r="FG179" s="544"/>
      <c r="FH179" s="544"/>
      <c r="FI179" s="544"/>
      <c r="FJ179" s="544"/>
      <c r="FK179" s="544"/>
      <c r="FL179" s="544"/>
      <c r="FM179" s="544"/>
      <c r="FN179" s="544"/>
      <c r="FO179" s="544"/>
      <c r="FP179" s="544"/>
      <c r="FQ179" s="544"/>
      <c r="FR179" s="544"/>
      <c r="FS179" s="544"/>
      <c r="FT179" s="544"/>
      <c r="FU179" s="544"/>
      <c r="FV179" s="544"/>
      <c r="FW179" s="544"/>
      <c r="FX179" s="544"/>
      <c r="FY179" s="544"/>
      <c r="FZ179" s="544"/>
      <c r="GA179" s="544"/>
      <c r="GB179" s="544"/>
      <c r="GC179" s="544"/>
      <c r="GD179" s="544"/>
      <c r="GE179" s="544"/>
      <c r="GF179" s="544"/>
      <c r="GG179" s="544"/>
      <c r="GH179" s="544"/>
      <c r="GI179" s="544"/>
      <c r="GJ179" s="544"/>
      <c r="GK179" s="544"/>
      <c r="GL179" s="544"/>
      <c r="GM179" s="544"/>
      <c r="GN179" s="544"/>
      <c r="GO179" s="544"/>
      <c r="GP179" s="544"/>
      <c r="GQ179" s="544"/>
      <c r="GR179" s="544"/>
      <c r="GS179" s="544"/>
      <c r="GT179" s="544"/>
      <c r="GU179" s="544"/>
      <c r="GV179" s="544"/>
      <c r="GW179" s="544"/>
      <c r="GX179" s="544"/>
      <c r="GY179" s="544"/>
      <c r="GZ179" s="544"/>
      <c r="HA179" s="544"/>
      <c r="HB179" s="544"/>
      <c r="HC179" s="544"/>
      <c r="HD179" s="544"/>
      <c r="HE179" s="544"/>
      <c r="HF179" s="544"/>
      <c r="HG179" s="544"/>
      <c r="HH179" s="544"/>
      <c r="HI179" s="544"/>
      <c r="HJ179" s="544"/>
      <c r="HK179" s="544"/>
      <c r="HL179" s="544"/>
      <c r="HM179" s="544"/>
      <c r="HN179" s="544"/>
      <c r="HO179" s="544"/>
      <c r="HP179" s="544"/>
      <c r="HQ179" s="544"/>
      <c r="HR179" s="544"/>
      <c r="HS179" s="544"/>
      <c r="HT179" s="544"/>
      <c r="HU179" s="544"/>
      <c r="HV179" s="544"/>
      <c r="HW179" s="544"/>
      <c r="HX179" s="544"/>
      <c r="HY179" s="544"/>
      <c r="HZ179" s="544"/>
      <c r="IA179" s="544"/>
      <c r="IB179" s="544"/>
      <c r="IC179" s="544"/>
      <c r="ID179" s="544"/>
      <c r="IE179" s="544"/>
      <c r="IF179" s="544"/>
      <c r="IG179" s="544"/>
      <c r="IH179" s="544"/>
      <c r="II179" s="544"/>
      <c r="IJ179" s="544"/>
      <c r="IK179" s="544"/>
      <c r="IL179" s="544"/>
      <c r="IM179" s="544"/>
      <c r="IN179" s="544"/>
      <c r="IO179" s="544"/>
      <c r="IP179" s="544"/>
      <c r="IQ179" s="544"/>
      <c r="IR179" s="544"/>
      <c r="IS179" s="544"/>
    </row>
    <row r="180" spans="1:253" ht="31" x14ac:dyDescent="0.35">
      <c r="A180" s="544"/>
      <c r="B180" s="1090" t="s">
        <v>652</v>
      </c>
      <c r="C180" s="881"/>
      <c r="E180" s="907"/>
      <c r="F180" s="908"/>
      <c r="G180" s="909"/>
      <c r="H180" s="544"/>
      <c r="I180" s="544"/>
      <c r="J180" s="544"/>
      <c r="K180" s="544"/>
      <c r="AA180" s="1089" t="s">
        <v>601</v>
      </c>
      <c r="AY180" s="544"/>
      <c r="AZ180" s="544"/>
      <c r="BA180" s="544"/>
      <c r="BB180" s="544"/>
      <c r="BC180" s="544"/>
      <c r="BD180" s="544"/>
      <c r="BE180" s="544"/>
      <c r="BF180" s="544"/>
      <c r="BG180" s="544"/>
      <c r="BH180" s="544"/>
      <c r="BI180" s="544"/>
      <c r="BJ180" s="544"/>
      <c r="BK180" s="544"/>
      <c r="BL180" s="544"/>
      <c r="BM180" s="544"/>
      <c r="BN180" s="544"/>
      <c r="BO180" s="544"/>
      <c r="BP180" s="544"/>
      <c r="BQ180" s="544"/>
      <c r="BR180" s="544"/>
      <c r="BS180" s="544"/>
      <c r="BT180" s="544"/>
      <c r="BU180" s="544"/>
      <c r="BV180" s="544"/>
      <c r="BW180" s="544"/>
      <c r="BX180" s="544"/>
      <c r="BY180" s="544"/>
      <c r="BZ180" s="544"/>
      <c r="CA180" s="544"/>
      <c r="CB180" s="544"/>
      <c r="CC180" s="544"/>
      <c r="CD180" s="544"/>
      <c r="CE180" s="544"/>
      <c r="CF180" s="544"/>
      <c r="CG180" s="544"/>
      <c r="CH180" s="544"/>
      <c r="CI180" s="544"/>
      <c r="CJ180" s="544"/>
      <c r="CK180" s="544"/>
      <c r="CL180" s="544"/>
      <c r="CM180" s="544"/>
      <c r="CN180" s="544"/>
      <c r="CO180" s="544"/>
      <c r="CP180" s="544"/>
      <c r="CQ180" s="544"/>
      <c r="CR180" s="544"/>
      <c r="CS180" s="544"/>
      <c r="CT180" s="544"/>
      <c r="CU180" s="544"/>
      <c r="CV180" s="544"/>
      <c r="CW180" s="544"/>
      <c r="CX180" s="544"/>
      <c r="CY180" s="544"/>
      <c r="CZ180" s="544"/>
      <c r="DA180" s="544"/>
      <c r="DB180" s="544"/>
      <c r="DC180" s="544"/>
      <c r="DD180" s="544"/>
      <c r="DE180" s="544"/>
      <c r="DF180" s="544"/>
      <c r="DG180" s="544"/>
      <c r="DH180" s="544"/>
      <c r="DI180" s="544"/>
      <c r="DJ180" s="544"/>
      <c r="DK180" s="544"/>
      <c r="DL180" s="544"/>
      <c r="DM180" s="544"/>
      <c r="DN180" s="544"/>
      <c r="DO180" s="544"/>
      <c r="DP180" s="544"/>
      <c r="DQ180" s="544"/>
      <c r="DR180" s="544"/>
      <c r="DS180" s="544"/>
      <c r="DT180" s="544"/>
      <c r="DU180" s="544"/>
      <c r="DV180" s="544"/>
      <c r="DW180" s="544"/>
      <c r="DX180" s="544"/>
      <c r="DY180" s="544"/>
      <c r="DZ180" s="544"/>
      <c r="EA180" s="544"/>
      <c r="EB180" s="544"/>
      <c r="EC180" s="544"/>
      <c r="ED180" s="544"/>
      <c r="EE180" s="544"/>
      <c r="EF180" s="544"/>
      <c r="EG180" s="544"/>
      <c r="EH180" s="544"/>
      <c r="EI180" s="544"/>
      <c r="EJ180" s="544"/>
      <c r="EK180" s="544"/>
      <c r="EL180" s="544"/>
      <c r="EM180" s="544"/>
      <c r="EN180" s="544"/>
      <c r="EO180" s="544"/>
      <c r="EP180" s="544"/>
      <c r="EQ180" s="544"/>
      <c r="ER180" s="544"/>
      <c r="ES180" s="544"/>
      <c r="ET180" s="544"/>
      <c r="EU180" s="544"/>
      <c r="EV180" s="544"/>
      <c r="EW180" s="544"/>
      <c r="EX180" s="544"/>
      <c r="EY180" s="544"/>
      <c r="EZ180" s="544"/>
      <c r="FA180" s="544"/>
      <c r="FB180" s="544"/>
      <c r="FC180" s="544"/>
      <c r="FD180" s="544"/>
      <c r="FE180" s="544"/>
      <c r="FF180" s="544"/>
      <c r="FG180" s="544"/>
      <c r="FH180" s="544"/>
      <c r="FI180" s="544"/>
      <c r="FJ180" s="544"/>
      <c r="FK180" s="544"/>
      <c r="FL180" s="544"/>
      <c r="FM180" s="544"/>
      <c r="FN180" s="544"/>
      <c r="FO180" s="544"/>
      <c r="FP180" s="544"/>
      <c r="FQ180" s="544"/>
      <c r="FR180" s="544"/>
      <c r="FS180" s="544"/>
      <c r="FT180" s="544"/>
      <c r="FU180" s="544"/>
      <c r="FV180" s="544"/>
      <c r="FW180" s="544"/>
      <c r="FX180" s="544"/>
      <c r="FY180" s="544"/>
      <c r="FZ180" s="544"/>
      <c r="GA180" s="544"/>
      <c r="GB180" s="544"/>
      <c r="GC180" s="544"/>
      <c r="GD180" s="544"/>
      <c r="GE180" s="544"/>
      <c r="GF180" s="544"/>
      <c r="GG180" s="544"/>
      <c r="GH180" s="544"/>
      <c r="GI180" s="544"/>
      <c r="GJ180" s="544"/>
      <c r="GK180" s="544"/>
      <c r="GL180" s="544"/>
      <c r="GM180" s="544"/>
      <c r="GN180" s="544"/>
      <c r="GO180" s="544"/>
      <c r="GP180" s="544"/>
      <c r="GQ180" s="544"/>
      <c r="GR180" s="544"/>
      <c r="GS180" s="544"/>
      <c r="GT180" s="544"/>
      <c r="GU180" s="544"/>
      <c r="GV180" s="544"/>
      <c r="GW180" s="544"/>
      <c r="GX180" s="544"/>
      <c r="GY180" s="544"/>
      <c r="GZ180" s="544"/>
      <c r="HA180" s="544"/>
      <c r="HB180" s="544"/>
      <c r="HC180" s="544"/>
      <c r="HD180" s="544"/>
      <c r="HE180" s="544"/>
      <c r="HF180" s="544"/>
      <c r="HG180" s="544"/>
      <c r="HH180" s="544"/>
      <c r="HI180" s="544"/>
      <c r="HJ180" s="544"/>
      <c r="HK180" s="544"/>
      <c r="HL180" s="544"/>
      <c r="HM180" s="544"/>
      <c r="HN180" s="544"/>
      <c r="HO180" s="544"/>
      <c r="HP180" s="544"/>
      <c r="HQ180" s="544"/>
      <c r="HR180" s="544"/>
      <c r="HS180" s="544"/>
      <c r="HT180" s="544"/>
      <c r="HU180" s="544"/>
      <c r="HV180" s="544"/>
      <c r="HW180" s="544"/>
      <c r="HX180" s="544"/>
      <c r="HY180" s="544"/>
      <c r="HZ180" s="544"/>
      <c r="IA180" s="544"/>
      <c r="IB180" s="544"/>
      <c r="IC180" s="544"/>
      <c r="ID180" s="544"/>
      <c r="IE180" s="544"/>
      <c r="IF180" s="544"/>
      <c r="IG180" s="544"/>
      <c r="IH180" s="544"/>
      <c r="II180" s="544"/>
      <c r="IJ180" s="544"/>
      <c r="IK180" s="544"/>
      <c r="IL180" s="544"/>
      <c r="IM180" s="544"/>
      <c r="IN180" s="544"/>
      <c r="IO180" s="544"/>
      <c r="IP180" s="544"/>
      <c r="IQ180" s="544"/>
      <c r="IR180" s="544"/>
      <c r="IS180" s="544"/>
    </row>
    <row r="181" spans="1:253" ht="31" x14ac:dyDescent="0.35">
      <c r="A181" s="544"/>
      <c r="B181" s="1090" t="s">
        <v>653</v>
      </c>
      <c r="C181" s="881"/>
      <c r="E181" s="907"/>
      <c r="F181" s="908"/>
      <c r="G181" s="909"/>
      <c r="H181" s="544"/>
      <c r="I181" s="544"/>
      <c r="J181" s="544"/>
      <c r="K181" s="544"/>
      <c r="AA181" s="1089" t="s">
        <v>601</v>
      </c>
      <c r="AY181" s="544"/>
      <c r="AZ181" s="544"/>
      <c r="BA181" s="544"/>
      <c r="BB181" s="544"/>
      <c r="BC181" s="544"/>
      <c r="BD181" s="544"/>
      <c r="BE181" s="544"/>
      <c r="BF181" s="544"/>
      <c r="BG181" s="544"/>
      <c r="BH181" s="544"/>
      <c r="BI181" s="544"/>
      <c r="BJ181" s="544"/>
      <c r="BK181" s="544"/>
      <c r="BL181" s="544"/>
      <c r="BM181" s="544"/>
      <c r="BN181" s="544"/>
      <c r="BO181" s="544"/>
      <c r="BP181" s="544"/>
      <c r="BQ181" s="544"/>
      <c r="BR181" s="544"/>
      <c r="BS181" s="544"/>
      <c r="BT181" s="544"/>
      <c r="BU181" s="544"/>
      <c r="BV181" s="544"/>
      <c r="BW181" s="544"/>
      <c r="BX181" s="544"/>
      <c r="BY181" s="544"/>
      <c r="BZ181" s="544"/>
      <c r="CA181" s="544"/>
      <c r="CB181" s="544"/>
      <c r="CC181" s="544"/>
      <c r="CD181" s="544"/>
      <c r="CE181" s="544"/>
      <c r="CF181" s="544"/>
      <c r="CG181" s="544"/>
      <c r="CH181" s="544"/>
      <c r="CI181" s="544"/>
      <c r="CJ181" s="544"/>
      <c r="CK181" s="544"/>
      <c r="CL181" s="544"/>
      <c r="CM181" s="544"/>
      <c r="CN181" s="544"/>
      <c r="CO181" s="544"/>
      <c r="CP181" s="544"/>
      <c r="CQ181" s="544"/>
      <c r="CR181" s="544"/>
      <c r="CS181" s="544"/>
      <c r="CT181" s="544"/>
      <c r="CU181" s="544"/>
      <c r="CV181" s="544"/>
      <c r="CW181" s="544"/>
      <c r="CX181" s="544"/>
      <c r="CY181" s="544"/>
      <c r="CZ181" s="544"/>
      <c r="DA181" s="544"/>
      <c r="DB181" s="544"/>
      <c r="DC181" s="544"/>
      <c r="DD181" s="544"/>
      <c r="DE181" s="544"/>
      <c r="DF181" s="544"/>
      <c r="DG181" s="544"/>
      <c r="DH181" s="544"/>
      <c r="DI181" s="544"/>
      <c r="DJ181" s="544"/>
      <c r="DK181" s="544"/>
      <c r="DL181" s="544"/>
      <c r="DM181" s="544"/>
      <c r="DN181" s="544"/>
      <c r="DO181" s="544"/>
      <c r="DP181" s="544"/>
      <c r="DQ181" s="544"/>
      <c r="DR181" s="544"/>
      <c r="DS181" s="544"/>
      <c r="DT181" s="544"/>
      <c r="DU181" s="544"/>
      <c r="DV181" s="544"/>
      <c r="DW181" s="544"/>
      <c r="DX181" s="544"/>
      <c r="DY181" s="544"/>
      <c r="DZ181" s="544"/>
      <c r="EA181" s="544"/>
      <c r="EB181" s="544"/>
      <c r="EC181" s="544"/>
      <c r="ED181" s="544"/>
      <c r="EE181" s="544"/>
      <c r="EF181" s="544"/>
      <c r="EG181" s="544"/>
      <c r="EH181" s="544"/>
      <c r="EI181" s="544"/>
      <c r="EJ181" s="544"/>
      <c r="EK181" s="544"/>
      <c r="EL181" s="544"/>
      <c r="EM181" s="544"/>
      <c r="EN181" s="544"/>
      <c r="EO181" s="544"/>
      <c r="EP181" s="544"/>
      <c r="EQ181" s="544"/>
      <c r="ER181" s="544"/>
      <c r="ES181" s="544"/>
      <c r="ET181" s="544"/>
      <c r="EU181" s="544"/>
      <c r="EV181" s="544"/>
      <c r="EW181" s="544"/>
      <c r="EX181" s="544"/>
      <c r="EY181" s="544"/>
      <c r="EZ181" s="544"/>
      <c r="FA181" s="544"/>
      <c r="FB181" s="544"/>
      <c r="FC181" s="544"/>
      <c r="FD181" s="544"/>
      <c r="FE181" s="544"/>
      <c r="FF181" s="544"/>
      <c r="FG181" s="544"/>
      <c r="FH181" s="544"/>
      <c r="FI181" s="544"/>
      <c r="FJ181" s="544"/>
      <c r="FK181" s="544"/>
      <c r="FL181" s="544"/>
      <c r="FM181" s="544"/>
      <c r="FN181" s="544"/>
      <c r="FO181" s="544"/>
      <c r="FP181" s="544"/>
      <c r="FQ181" s="544"/>
      <c r="FR181" s="544"/>
      <c r="FS181" s="544"/>
      <c r="FT181" s="544"/>
      <c r="FU181" s="544"/>
      <c r="FV181" s="544"/>
      <c r="FW181" s="544"/>
      <c r="FX181" s="544"/>
      <c r="FY181" s="544"/>
      <c r="FZ181" s="544"/>
      <c r="GA181" s="544"/>
      <c r="GB181" s="544"/>
      <c r="GC181" s="544"/>
      <c r="GD181" s="544"/>
      <c r="GE181" s="544"/>
      <c r="GF181" s="544"/>
      <c r="GG181" s="544"/>
      <c r="GH181" s="544"/>
      <c r="GI181" s="544"/>
      <c r="GJ181" s="544"/>
      <c r="GK181" s="544"/>
      <c r="GL181" s="544"/>
      <c r="GM181" s="544"/>
      <c r="GN181" s="544"/>
      <c r="GO181" s="544"/>
      <c r="GP181" s="544"/>
      <c r="GQ181" s="544"/>
      <c r="GR181" s="544"/>
      <c r="GS181" s="544"/>
      <c r="GT181" s="544"/>
      <c r="GU181" s="544"/>
      <c r="GV181" s="544"/>
      <c r="GW181" s="544"/>
      <c r="GX181" s="544"/>
      <c r="GY181" s="544"/>
      <c r="GZ181" s="544"/>
      <c r="HA181" s="544"/>
      <c r="HB181" s="544"/>
      <c r="HC181" s="544"/>
      <c r="HD181" s="544"/>
      <c r="HE181" s="544"/>
      <c r="HF181" s="544"/>
      <c r="HG181" s="544"/>
      <c r="HH181" s="544"/>
      <c r="HI181" s="544"/>
      <c r="HJ181" s="544"/>
      <c r="HK181" s="544"/>
      <c r="HL181" s="544"/>
      <c r="HM181" s="544"/>
      <c r="HN181" s="544"/>
      <c r="HO181" s="544"/>
      <c r="HP181" s="544"/>
      <c r="HQ181" s="544"/>
      <c r="HR181" s="544"/>
      <c r="HS181" s="544"/>
      <c r="HT181" s="544"/>
      <c r="HU181" s="544"/>
      <c r="HV181" s="544"/>
      <c r="HW181" s="544"/>
      <c r="HX181" s="544"/>
      <c r="HY181" s="544"/>
      <c r="HZ181" s="544"/>
      <c r="IA181" s="544"/>
      <c r="IB181" s="544"/>
      <c r="IC181" s="544"/>
      <c r="ID181" s="544"/>
      <c r="IE181" s="544"/>
      <c r="IF181" s="544"/>
      <c r="IG181" s="544"/>
      <c r="IH181" s="544"/>
      <c r="II181" s="544"/>
      <c r="IJ181" s="544"/>
      <c r="IK181" s="544"/>
      <c r="IL181" s="544"/>
      <c r="IM181" s="544"/>
      <c r="IN181" s="544"/>
      <c r="IO181" s="544"/>
      <c r="IP181" s="544"/>
      <c r="IQ181" s="544"/>
      <c r="IR181" s="544"/>
      <c r="IS181" s="544"/>
    </row>
    <row r="182" spans="1:253" ht="31" x14ac:dyDescent="0.35">
      <c r="A182" s="544"/>
      <c r="B182" s="1090" t="s">
        <v>654</v>
      </c>
      <c r="C182" s="881"/>
      <c r="E182" s="907"/>
      <c r="F182" s="908"/>
      <c r="G182" s="909"/>
      <c r="H182" s="544"/>
      <c r="I182" s="544"/>
      <c r="J182" s="544"/>
      <c r="K182" s="544"/>
      <c r="AA182" s="1089" t="s">
        <v>601</v>
      </c>
      <c r="AY182" s="544"/>
      <c r="AZ182" s="544"/>
      <c r="BA182" s="544"/>
      <c r="BB182" s="544"/>
      <c r="BC182" s="544"/>
      <c r="BD182" s="544"/>
      <c r="BE182" s="544"/>
      <c r="BF182" s="544"/>
      <c r="BG182" s="544"/>
      <c r="BH182" s="544"/>
      <c r="BI182" s="544"/>
      <c r="BJ182" s="544"/>
      <c r="BK182" s="544"/>
      <c r="BL182" s="544"/>
      <c r="BM182" s="544"/>
      <c r="BN182" s="544"/>
      <c r="BO182" s="544"/>
      <c r="BP182" s="544"/>
      <c r="BQ182" s="544"/>
      <c r="BR182" s="544"/>
      <c r="BS182" s="544"/>
      <c r="BT182" s="544"/>
      <c r="BU182" s="544"/>
      <c r="BV182" s="544"/>
      <c r="BW182" s="544"/>
      <c r="BX182" s="544"/>
      <c r="BY182" s="544"/>
      <c r="BZ182" s="544"/>
      <c r="CA182" s="544"/>
      <c r="CB182" s="544"/>
      <c r="CC182" s="544"/>
      <c r="CD182" s="544"/>
      <c r="CE182" s="544"/>
      <c r="CF182" s="544"/>
      <c r="CG182" s="544"/>
      <c r="CH182" s="544"/>
      <c r="CI182" s="544"/>
      <c r="CJ182" s="544"/>
      <c r="CK182" s="544"/>
      <c r="CL182" s="544"/>
      <c r="CM182" s="544"/>
      <c r="CN182" s="544"/>
      <c r="CO182" s="544"/>
      <c r="CP182" s="544"/>
      <c r="CQ182" s="544"/>
      <c r="CR182" s="544"/>
      <c r="CS182" s="544"/>
      <c r="CT182" s="544"/>
      <c r="CU182" s="544"/>
      <c r="CV182" s="544"/>
      <c r="CW182" s="544"/>
      <c r="CX182" s="544"/>
      <c r="CY182" s="544"/>
      <c r="CZ182" s="544"/>
      <c r="DA182" s="544"/>
      <c r="DB182" s="544"/>
      <c r="DC182" s="544"/>
      <c r="DD182" s="544"/>
      <c r="DE182" s="544"/>
      <c r="DF182" s="544"/>
      <c r="DG182" s="544"/>
      <c r="DH182" s="544"/>
      <c r="DI182" s="544"/>
      <c r="DJ182" s="544"/>
      <c r="DK182" s="544"/>
      <c r="DL182" s="544"/>
      <c r="DM182" s="544"/>
      <c r="DN182" s="544"/>
      <c r="DO182" s="544"/>
      <c r="DP182" s="544"/>
      <c r="DQ182" s="544"/>
      <c r="DR182" s="544"/>
      <c r="DS182" s="544"/>
      <c r="DT182" s="544"/>
      <c r="DU182" s="544"/>
      <c r="DV182" s="544"/>
      <c r="DW182" s="544"/>
      <c r="DX182" s="544"/>
      <c r="DY182" s="544"/>
      <c r="DZ182" s="544"/>
      <c r="EA182" s="544"/>
      <c r="EB182" s="544"/>
      <c r="EC182" s="544"/>
      <c r="ED182" s="544"/>
      <c r="EE182" s="544"/>
      <c r="EF182" s="544"/>
      <c r="EG182" s="544"/>
      <c r="EH182" s="544"/>
      <c r="EI182" s="544"/>
      <c r="EJ182" s="544"/>
      <c r="EK182" s="544"/>
      <c r="EL182" s="544"/>
      <c r="EM182" s="544"/>
      <c r="EN182" s="544"/>
      <c r="EO182" s="544"/>
      <c r="EP182" s="544"/>
      <c r="EQ182" s="544"/>
      <c r="ER182" s="544"/>
      <c r="ES182" s="544"/>
      <c r="ET182" s="544"/>
      <c r="EU182" s="544"/>
      <c r="EV182" s="544"/>
      <c r="EW182" s="544"/>
      <c r="EX182" s="544"/>
      <c r="EY182" s="544"/>
      <c r="EZ182" s="544"/>
      <c r="FA182" s="544"/>
      <c r="FB182" s="544"/>
      <c r="FC182" s="544"/>
      <c r="FD182" s="544"/>
      <c r="FE182" s="544"/>
      <c r="FF182" s="544"/>
      <c r="FG182" s="544"/>
      <c r="FH182" s="544"/>
      <c r="FI182" s="544"/>
      <c r="FJ182" s="544"/>
      <c r="FK182" s="544"/>
      <c r="FL182" s="544"/>
      <c r="FM182" s="544"/>
      <c r="FN182" s="544"/>
      <c r="FO182" s="544"/>
      <c r="FP182" s="544"/>
      <c r="FQ182" s="544"/>
      <c r="FR182" s="544"/>
      <c r="FS182" s="544"/>
      <c r="FT182" s="544"/>
      <c r="FU182" s="544"/>
      <c r="FV182" s="544"/>
      <c r="FW182" s="544"/>
      <c r="FX182" s="544"/>
      <c r="FY182" s="544"/>
      <c r="FZ182" s="544"/>
      <c r="GA182" s="544"/>
      <c r="GB182" s="544"/>
      <c r="GC182" s="544"/>
      <c r="GD182" s="544"/>
      <c r="GE182" s="544"/>
      <c r="GF182" s="544"/>
      <c r="GG182" s="544"/>
      <c r="GH182" s="544"/>
      <c r="GI182" s="544"/>
      <c r="GJ182" s="544"/>
      <c r="GK182" s="544"/>
      <c r="GL182" s="544"/>
      <c r="GM182" s="544"/>
      <c r="GN182" s="544"/>
      <c r="GO182" s="544"/>
      <c r="GP182" s="544"/>
      <c r="GQ182" s="544"/>
      <c r="GR182" s="544"/>
      <c r="GS182" s="544"/>
      <c r="GT182" s="544"/>
      <c r="GU182" s="544"/>
      <c r="GV182" s="544"/>
      <c r="GW182" s="544"/>
      <c r="GX182" s="544"/>
      <c r="GY182" s="544"/>
      <c r="GZ182" s="544"/>
      <c r="HA182" s="544"/>
      <c r="HB182" s="544"/>
      <c r="HC182" s="544"/>
      <c r="HD182" s="544"/>
      <c r="HE182" s="544"/>
      <c r="HF182" s="544"/>
      <c r="HG182" s="544"/>
      <c r="HH182" s="544"/>
      <c r="HI182" s="544"/>
      <c r="HJ182" s="544"/>
      <c r="HK182" s="544"/>
      <c r="HL182" s="544"/>
      <c r="HM182" s="544"/>
      <c r="HN182" s="544"/>
      <c r="HO182" s="544"/>
      <c r="HP182" s="544"/>
      <c r="HQ182" s="544"/>
      <c r="HR182" s="544"/>
      <c r="HS182" s="544"/>
      <c r="HT182" s="544"/>
      <c r="HU182" s="544"/>
      <c r="HV182" s="544"/>
      <c r="HW182" s="544"/>
      <c r="HX182" s="544"/>
      <c r="HY182" s="544"/>
      <c r="HZ182" s="544"/>
      <c r="IA182" s="544"/>
      <c r="IB182" s="544"/>
      <c r="IC182" s="544"/>
      <c r="ID182" s="544"/>
      <c r="IE182" s="544"/>
      <c r="IF182" s="544"/>
      <c r="IG182" s="544"/>
      <c r="IH182" s="544"/>
      <c r="II182" s="544"/>
      <c r="IJ182" s="544"/>
      <c r="IK182" s="544"/>
      <c r="IL182" s="544"/>
      <c r="IM182" s="544"/>
      <c r="IN182" s="544"/>
      <c r="IO182" s="544"/>
      <c r="IP182" s="544"/>
      <c r="IQ182" s="544"/>
      <c r="IR182" s="544"/>
      <c r="IS182" s="544"/>
    </row>
    <row r="183" spans="1:253" x14ac:dyDescent="0.35">
      <c r="A183" s="544"/>
      <c r="B183" s="572"/>
      <c r="C183" s="572"/>
      <c r="E183" s="544"/>
      <c r="F183" s="544"/>
      <c r="G183" s="544"/>
      <c r="H183" s="544"/>
      <c r="I183" s="544"/>
      <c r="J183" s="544"/>
      <c r="K183" s="544"/>
      <c r="AY183" s="544"/>
      <c r="AZ183" s="544"/>
      <c r="BA183" s="544"/>
      <c r="BB183" s="544"/>
      <c r="BC183" s="544"/>
      <c r="BD183" s="544"/>
      <c r="BE183" s="544"/>
      <c r="BF183" s="544"/>
      <c r="BG183" s="544"/>
      <c r="BH183" s="544"/>
      <c r="BI183" s="544"/>
      <c r="BJ183" s="544"/>
      <c r="BK183" s="544"/>
      <c r="BL183" s="544"/>
      <c r="BM183" s="544"/>
      <c r="BN183" s="544"/>
      <c r="BO183" s="544"/>
      <c r="BP183" s="544"/>
      <c r="BQ183" s="544"/>
      <c r="BR183" s="544"/>
      <c r="BS183" s="544"/>
      <c r="BT183" s="544"/>
      <c r="BU183" s="544"/>
      <c r="BV183" s="544"/>
      <c r="BW183" s="544"/>
      <c r="BX183" s="544"/>
      <c r="BY183" s="544"/>
      <c r="BZ183" s="544"/>
      <c r="CA183" s="544"/>
      <c r="CB183" s="544"/>
      <c r="CC183" s="544"/>
      <c r="CD183" s="544"/>
      <c r="CE183" s="544"/>
      <c r="CF183" s="544"/>
      <c r="CG183" s="544"/>
      <c r="CH183" s="544"/>
      <c r="CI183" s="544"/>
      <c r="CJ183" s="544"/>
      <c r="CK183" s="544"/>
      <c r="CL183" s="544"/>
      <c r="CM183" s="544"/>
      <c r="CN183" s="544"/>
      <c r="CO183" s="544"/>
      <c r="CP183" s="544"/>
      <c r="CQ183" s="544"/>
      <c r="CR183" s="544"/>
      <c r="CS183" s="544"/>
      <c r="CT183" s="544"/>
      <c r="CU183" s="544"/>
      <c r="CV183" s="544"/>
      <c r="CW183" s="544"/>
      <c r="CX183" s="544"/>
      <c r="CY183" s="544"/>
      <c r="CZ183" s="544"/>
      <c r="DA183" s="544"/>
      <c r="DB183" s="544"/>
      <c r="DC183" s="544"/>
      <c r="DD183" s="544"/>
      <c r="DE183" s="544"/>
      <c r="DF183" s="544"/>
      <c r="DG183" s="544"/>
      <c r="DH183" s="544"/>
      <c r="DI183" s="544"/>
      <c r="DJ183" s="544"/>
      <c r="DK183" s="544"/>
      <c r="DL183" s="544"/>
      <c r="DM183" s="544"/>
      <c r="DN183" s="544"/>
      <c r="DO183" s="544"/>
      <c r="DP183" s="544"/>
      <c r="DQ183" s="544"/>
      <c r="DR183" s="544"/>
      <c r="DS183" s="544"/>
      <c r="DT183" s="544"/>
      <c r="DU183" s="544"/>
      <c r="DV183" s="544"/>
      <c r="DW183" s="544"/>
      <c r="DX183" s="544"/>
      <c r="DY183" s="544"/>
      <c r="DZ183" s="544"/>
      <c r="EA183" s="544"/>
      <c r="EB183" s="544"/>
      <c r="EC183" s="544"/>
      <c r="ED183" s="544"/>
      <c r="EE183" s="544"/>
      <c r="EF183" s="544"/>
      <c r="EG183" s="544"/>
      <c r="EH183" s="544"/>
      <c r="EI183" s="544"/>
      <c r="EJ183" s="544"/>
      <c r="EK183" s="544"/>
      <c r="EL183" s="544"/>
      <c r="EM183" s="544"/>
      <c r="EN183" s="544"/>
      <c r="EO183" s="544"/>
      <c r="EP183" s="544"/>
      <c r="EQ183" s="544"/>
      <c r="ER183" s="544"/>
      <c r="ES183" s="544"/>
      <c r="ET183" s="544"/>
      <c r="EU183" s="544"/>
      <c r="EV183" s="544"/>
      <c r="EW183" s="544"/>
      <c r="EX183" s="544"/>
      <c r="EY183" s="544"/>
      <c r="EZ183" s="544"/>
      <c r="FA183" s="544"/>
      <c r="FB183" s="544"/>
      <c r="FC183" s="544"/>
      <c r="FD183" s="544"/>
      <c r="FE183" s="544"/>
      <c r="FF183" s="544"/>
      <c r="FG183" s="544"/>
      <c r="FH183" s="544"/>
      <c r="FI183" s="544"/>
      <c r="FJ183" s="544"/>
      <c r="FK183" s="544"/>
      <c r="FL183" s="544"/>
      <c r="FM183" s="544"/>
      <c r="FN183" s="544"/>
      <c r="FO183" s="544"/>
      <c r="FP183" s="544"/>
      <c r="FQ183" s="544"/>
      <c r="FR183" s="544"/>
      <c r="FS183" s="544"/>
      <c r="FT183" s="544"/>
      <c r="FU183" s="544"/>
      <c r="FV183" s="544"/>
      <c r="FW183" s="544"/>
      <c r="FX183" s="544"/>
      <c r="FY183" s="544"/>
      <c r="FZ183" s="544"/>
      <c r="GA183" s="544"/>
      <c r="GB183" s="544"/>
      <c r="GC183" s="544"/>
      <c r="GD183" s="544"/>
      <c r="GE183" s="544"/>
      <c r="GF183" s="544"/>
      <c r="GG183" s="544"/>
      <c r="GH183" s="544"/>
      <c r="GI183" s="544"/>
      <c r="GJ183" s="544"/>
      <c r="GK183" s="544"/>
      <c r="GL183" s="544"/>
      <c r="GM183" s="544"/>
      <c r="GN183" s="544"/>
      <c r="GO183" s="544"/>
      <c r="GP183" s="544"/>
      <c r="GQ183" s="544"/>
      <c r="GR183" s="544"/>
      <c r="GS183" s="544"/>
      <c r="GT183" s="544"/>
      <c r="GU183" s="544"/>
      <c r="GV183" s="544"/>
      <c r="GW183" s="544"/>
      <c r="GX183" s="544"/>
      <c r="GY183" s="544"/>
      <c r="GZ183" s="544"/>
      <c r="HA183" s="544"/>
      <c r="HB183" s="544"/>
      <c r="HC183" s="544"/>
      <c r="HD183" s="544"/>
      <c r="HE183" s="544"/>
      <c r="HF183" s="544"/>
      <c r="HG183" s="544"/>
      <c r="HH183" s="544"/>
      <c r="HI183" s="544"/>
      <c r="HJ183" s="544"/>
      <c r="HK183" s="544"/>
      <c r="HL183" s="544"/>
      <c r="HM183" s="544"/>
      <c r="HN183" s="544"/>
      <c r="HO183" s="544"/>
      <c r="HP183" s="544"/>
      <c r="HQ183" s="544"/>
      <c r="HR183" s="544"/>
      <c r="HS183" s="544"/>
      <c r="HT183" s="544"/>
      <c r="HU183" s="544"/>
      <c r="HV183" s="544"/>
      <c r="HW183" s="544"/>
      <c r="HX183" s="544"/>
      <c r="HY183" s="544"/>
      <c r="HZ183" s="544"/>
      <c r="IA183" s="544"/>
      <c r="IB183" s="544"/>
      <c r="IC183" s="544"/>
      <c r="ID183" s="544"/>
      <c r="IE183" s="544"/>
      <c r="IF183" s="544"/>
      <c r="IG183" s="544"/>
      <c r="IH183" s="544"/>
      <c r="II183" s="544"/>
      <c r="IJ183" s="544"/>
      <c r="IK183" s="544"/>
      <c r="IL183" s="544"/>
      <c r="IM183" s="544"/>
      <c r="IN183" s="544"/>
      <c r="IO183" s="544"/>
      <c r="IP183" s="544"/>
      <c r="IQ183" s="544"/>
      <c r="IR183" s="544"/>
      <c r="IS183" s="544"/>
    </row>
    <row r="184" spans="1:253" x14ac:dyDescent="0.35">
      <c r="A184" s="544"/>
      <c r="B184" s="572"/>
      <c r="C184" s="572"/>
      <c r="E184" s="544"/>
      <c r="F184" s="544"/>
      <c r="G184" s="544"/>
      <c r="H184" s="544"/>
      <c r="I184" s="544"/>
      <c r="J184" s="544"/>
      <c r="K184" s="544"/>
      <c r="AY184" s="544"/>
      <c r="AZ184" s="544"/>
      <c r="BA184" s="544"/>
      <c r="BB184" s="544"/>
      <c r="BC184" s="544"/>
      <c r="BD184" s="544"/>
      <c r="BE184" s="544"/>
      <c r="BF184" s="544"/>
      <c r="BG184" s="544"/>
      <c r="BH184" s="544"/>
      <c r="BI184" s="544"/>
      <c r="BJ184" s="544"/>
      <c r="BK184" s="544"/>
      <c r="BL184" s="544"/>
      <c r="BM184" s="544"/>
      <c r="BN184" s="544"/>
      <c r="BO184" s="544"/>
      <c r="BP184" s="544"/>
      <c r="BQ184" s="544"/>
      <c r="BR184" s="544"/>
      <c r="BS184" s="544"/>
      <c r="BT184" s="544"/>
      <c r="BU184" s="544"/>
      <c r="BV184" s="544"/>
      <c r="BW184" s="544"/>
      <c r="BX184" s="544"/>
      <c r="BY184" s="544"/>
      <c r="BZ184" s="544"/>
      <c r="CA184" s="544"/>
      <c r="CB184" s="544"/>
      <c r="CC184" s="544"/>
      <c r="CD184" s="544"/>
      <c r="CE184" s="544"/>
      <c r="CF184" s="544"/>
      <c r="CG184" s="544"/>
      <c r="CH184" s="544"/>
      <c r="CI184" s="544"/>
      <c r="CJ184" s="544"/>
      <c r="CK184" s="544"/>
      <c r="CL184" s="544"/>
      <c r="CM184" s="544"/>
      <c r="CN184" s="544"/>
      <c r="CO184" s="544"/>
      <c r="CP184" s="544"/>
      <c r="CQ184" s="544"/>
      <c r="CR184" s="544"/>
      <c r="CS184" s="544"/>
      <c r="CT184" s="544"/>
      <c r="CU184" s="544"/>
      <c r="CV184" s="544"/>
      <c r="CW184" s="544"/>
      <c r="CX184" s="544"/>
      <c r="CY184" s="544"/>
      <c r="CZ184" s="544"/>
      <c r="DA184" s="544"/>
      <c r="DB184" s="544"/>
      <c r="DC184" s="544"/>
      <c r="DD184" s="544"/>
      <c r="DE184" s="544"/>
      <c r="DF184" s="544"/>
      <c r="DG184" s="544"/>
      <c r="DH184" s="544"/>
      <c r="DI184" s="544"/>
      <c r="DJ184" s="544"/>
      <c r="DK184" s="544"/>
      <c r="DL184" s="544"/>
      <c r="DM184" s="544"/>
      <c r="DN184" s="544"/>
      <c r="DO184" s="544"/>
      <c r="DP184" s="544"/>
      <c r="DQ184" s="544"/>
      <c r="DR184" s="544"/>
      <c r="DS184" s="544"/>
      <c r="DT184" s="544"/>
      <c r="DU184" s="544"/>
      <c r="DV184" s="544"/>
      <c r="DW184" s="544"/>
      <c r="DX184" s="544"/>
      <c r="DY184" s="544"/>
      <c r="DZ184" s="544"/>
      <c r="EA184" s="544"/>
      <c r="EB184" s="544"/>
      <c r="EC184" s="544"/>
      <c r="ED184" s="544"/>
      <c r="EE184" s="544"/>
      <c r="EF184" s="544"/>
      <c r="EG184" s="544"/>
      <c r="EH184" s="544"/>
      <c r="EI184" s="544"/>
      <c r="EJ184" s="544"/>
      <c r="EK184" s="544"/>
      <c r="EL184" s="544"/>
      <c r="EM184" s="544"/>
      <c r="EN184" s="544"/>
      <c r="EO184" s="544"/>
      <c r="EP184" s="544"/>
      <c r="EQ184" s="544"/>
      <c r="ER184" s="544"/>
      <c r="ES184" s="544"/>
      <c r="ET184" s="544"/>
      <c r="EU184" s="544"/>
      <c r="EV184" s="544"/>
      <c r="EW184" s="544"/>
      <c r="EX184" s="544"/>
      <c r="EY184" s="544"/>
      <c r="EZ184" s="544"/>
      <c r="FA184" s="544"/>
      <c r="FB184" s="544"/>
      <c r="FC184" s="544"/>
      <c r="FD184" s="544"/>
      <c r="FE184" s="544"/>
      <c r="FF184" s="544"/>
      <c r="FG184" s="544"/>
      <c r="FH184" s="544"/>
      <c r="FI184" s="544"/>
      <c r="FJ184" s="544"/>
      <c r="FK184" s="544"/>
      <c r="FL184" s="544"/>
      <c r="FM184" s="544"/>
      <c r="FN184" s="544"/>
      <c r="FO184" s="544"/>
      <c r="FP184" s="544"/>
      <c r="FQ184" s="544"/>
      <c r="FR184" s="544"/>
      <c r="FS184" s="544"/>
      <c r="FT184" s="544"/>
      <c r="FU184" s="544"/>
      <c r="FV184" s="544"/>
      <c r="FW184" s="544"/>
      <c r="FX184" s="544"/>
      <c r="FY184" s="544"/>
      <c r="FZ184" s="544"/>
      <c r="GA184" s="544"/>
      <c r="GB184" s="544"/>
      <c r="GC184" s="544"/>
      <c r="GD184" s="544"/>
      <c r="GE184" s="544"/>
      <c r="GF184" s="544"/>
      <c r="GG184" s="544"/>
      <c r="GH184" s="544"/>
      <c r="GI184" s="544"/>
      <c r="GJ184" s="544"/>
      <c r="GK184" s="544"/>
      <c r="GL184" s="544"/>
      <c r="GM184" s="544"/>
      <c r="GN184" s="544"/>
      <c r="GO184" s="544"/>
      <c r="GP184" s="544"/>
      <c r="GQ184" s="544"/>
      <c r="GR184" s="544"/>
      <c r="GS184" s="544"/>
      <c r="GT184" s="544"/>
      <c r="GU184" s="544"/>
      <c r="GV184" s="544"/>
      <c r="GW184" s="544"/>
      <c r="GX184" s="544"/>
      <c r="GY184" s="544"/>
      <c r="GZ184" s="544"/>
      <c r="HA184" s="544"/>
      <c r="HB184" s="544"/>
      <c r="HC184" s="544"/>
      <c r="HD184" s="544"/>
      <c r="HE184" s="544"/>
      <c r="HF184" s="544"/>
      <c r="HG184" s="544"/>
      <c r="HH184" s="544"/>
      <c r="HI184" s="544"/>
      <c r="HJ184" s="544"/>
      <c r="HK184" s="544"/>
      <c r="HL184" s="544"/>
      <c r="HM184" s="544"/>
      <c r="HN184" s="544"/>
      <c r="HO184" s="544"/>
      <c r="HP184" s="544"/>
      <c r="HQ184" s="544"/>
      <c r="HR184" s="544"/>
      <c r="HS184" s="544"/>
      <c r="HT184" s="544"/>
      <c r="HU184" s="544"/>
      <c r="HV184" s="544"/>
      <c r="HW184" s="544"/>
      <c r="HX184" s="544"/>
      <c r="HY184" s="544"/>
      <c r="HZ184" s="544"/>
      <c r="IA184" s="544"/>
      <c r="IB184" s="544"/>
      <c r="IC184" s="544"/>
      <c r="ID184" s="544"/>
      <c r="IE184" s="544"/>
      <c r="IF184" s="544"/>
      <c r="IG184" s="544"/>
      <c r="IH184" s="544"/>
      <c r="II184" s="544"/>
      <c r="IJ184" s="544"/>
      <c r="IK184" s="544"/>
      <c r="IL184" s="544"/>
      <c r="IM184" s="544"/>
      <c r="IN184" s="544"/>
      <c r="IO184" s="544"/>
      <c r="IP184" s="544"/>
      <c r="IQ184" s="544"/>
      <c r="IR184" s="544"/>
      <c r="IS184" s="544"/>
    </row>
    <row r="185" spans="1:253" x14ac:dyDescent="0.35">
      <c r="A185" s="544"/>
      <c r="B185" s="572"/>
      <c r="C185" s="572"/>
      <c r="E185" s="544"/>
      <c r="F185" s="544"/>
      <c r="G185" s="544"/>
      <c r="H185" s="544"/>
      <c r="I185" s="544"/>
      <c r="J185" s="544"/>
      <c r="K185" s="544"/>
      <c r="AY185" s="544"/>
      <c r="AZ185" s="544"/>
      <c r="BA185" s="544"/>
      <c r="BB185" s="544"/>
      <c r="BC185" s="544"/>
      <c r="BD185" s="544"/>
      <c r="BE185" s="544"/>
      <c r="BF185" s="544"/>
      <c r="BG185" s="544"/>
      <c r="BH185" s="544"/>
      <c r="BI185" s="544"/>
      <c r="BJ185" s="544"/>
      <c r="BK185" s="544"/>
      <c r="BL185" s="544"/>
      <c r="BM185" s="544"/>
      <c r="BN185" s="544"/>
      <c r="BO185" s="544"/>
      <c r="BP185" s="544"/>
      <c r="BQ185" s="544"/>
      <c r="BR185" s="544"/>
      <c r="BS185" s="544"/>
      <c r="BT185" s="544"/>
      <c r="BU185" s="544"/>
      <c r="BV185" s="544"/>
      <c r="BW185" s="544"/>
      <c r="BX185" s="544"/>
      <c r="BY185" s="544"/>
      <c r="BZ185" s="544"/>
      <c r="CA185" s="544"/>
      <c r="CB185" s="544"/>
      <c r="CC185" s="544"/>
      <c r="CD185" s="544"/>
      <c r="CE185" s="544"/>
      <c r="CF185" s="544"/>
      <c r="CG185" s="544"/>
      <c r="CH185" s="544"/>
      <c r="CI185" s="544"/>
      <c r="CJ185" s="544"/>
      <c r="CK185" s="544"/>
      <c r="CL185" s="544"/>
      <c r="CM185" s="544"/>
      <c r="CN185" s="544"/>
      <c r="CO185" s="544"/>
      <c r="CP185" s="544"/>
      <c r="CQ185" s="544"/>
      <c r="CR185" s="544"/>
      <c r="CS185" s="544"/>
      <c r="CT185" s="544"/>
      <c r="CU185" s="544"/>
      <c r="CV185" s="544"/>
      <c r="CW185" s="544"/>
      <c r="CX185" s="544"/>
      <c r="CY185" s="544"/>
      <c r="CZ185" s="544"/>
      <c r="DA185" s="544"/>
      <c r="DB185" s="544"/>
      <c r="DC185" s="544"/>
      <c r="DD185" s="544"/>
      <c r="DE185" s="544"/>
      <c r="DF185" s="544"/>
      <c r="DG185" s="544"/>
      <c r="DH185" s="544"/>
      <c r="DI185" s="544"/>
      <c r="DJ185" s="544"/>
      <c r="DK185" s="544"/>
      <c r="DL185" s="544"/>
      <c r="DM185" s="544"/>
      <c r="DN185" s="544"/>
      <c r="DO185" s="544"/>
      <c r="DP185" s="544"/>
      <c r="DQ185" s="544"/>
      <c r="DR185" s="544"/>
      <c r="DS185" s="544"/>
      <c r="DT185" s="544"/>
      <c r="DU185" s="544"/>
      <c r="DV185" s="544"/>
      <c r="DW185" s="544"/>
      <c r="DX185" s="544"/>
      <c r="DY185" s="544"/>
      <c r="DZ185" s="544"/>
      <c r="EA185" s="544"/>
      <c r="EB185" s="544"/>
      <c r="EC185" s="544"/>
      <c r="ED185" s="544"/>
      <c r="EE185" s="544"/>
      <c r="EF185" s="544"/>
      <c r="EG185" s="544"/>
      <c r="EH185" s="544"/>
      <c r="EI185" s="544"/>
      <c r="EJ185" s="544"/>
      <c r="EK185" s="544"/>
      <c r="EL185" s="544"/>
      <c r="EM185" s="544"/>
      <c r="EN185" s="544"/>
      <c r="EO185" s="544"/>
      <c r="EP185" s="544"/>
      <c r="EQ185" s="544"/>
      <c r="ER185" s="544"/>
      <c r="ES185" s="544"/>
      <c r="ET185" s="544"/>
      <c r="EU185" s="544"/>
      <c r="EV185" s="544"/>
      <c r="EW185" s="544"/>
      <c r="EX185" s="544"/>
      <c r="EY185" s="544"/>
      <c r="EZ185" s="544"/>
      <c r="FA185" s="544"/>
      <c r="FB185" s="544"/>
      <c r="FC185" s="544"/>
      <c r="FD185" s="544"/>
      <c r="FE185" s="544"/>
      <c r="FF185" s="544"/>
      <c r="FG185" s="544"/>
      <c r="FH185" s="544"/>
      <c r="FI185" s="544"/>
      <c r="FJ185" s="544"/>
      <c r="FK185" s="544"/>
      <c r="FL185" s="544"/>
      <c r="FM185" s="544"/>
      <c r="FN185" s="544"/>
      <c r="FO185" s="544"/>
      <c r="FP185" s="544"/>
      <c r="FQ185" s="544"/>
      <c r="FR185" s="544"/>
      <c r="FS185" s="544"/>
      <c r="FT185" s="544"/>
      <c r="FU185" s="544"/>
      <c r="FV185" s="544"/>
      <c r="FW185" s="544"/>
      <c r="FX185" s="544"/>
      <c r="FY185" s="544"/>
      <c r="FZ185" s="544"/>
      <c r="GA185" s="544"/>
      <c r="GB185" s="544"/>
      <c r="GC185" s="544"/>
      <c r="GD185" s="544"/>
      <c r="GE185" s="544"/>
      <c r="GF185" s="544"/>
      <c r="GG185" s="544"/>
      <c r="GH185" s="544"/>
      <c r="GI185" s="544"/>
      <c r="GJ185" s="544"/>
      <c r="GK185" s="544"/>
      <c r="GL185" s="544"/>
      <c r="GM185" s="544"/>
      <c r="GN185" s="544"/>
      <c r="GO185" s="544"/>
      <c r="GP185" s="544"/>
      <c r="GQ185" s="544"/>
      <c r="GR185" s="544"/>
      <c r="GS185" s="544"/>
      <c r="GT185" s="544"/>
      <c r="GU185" s="544"/>
      <c r="GV185" s="544"/>
      <c r="GW185" s="544"/>
      <c r="GX185" s="544"/>
      <c r="GY185" s="544"/>
      <c r="GZ185" s="544"/>
      <c r="HA185" s="544"/>
      <c r="HB185" s="544"/>
      <c r="HC185" s="544"/>
      <c r="HD185" s="544"/>
      <c r="HE185" s="544"/>
      <c r="HF185" s="544"/>
      <c r="HG185" s="544"/>
      <c r="HH185" s="544"/>
      <c r="HI185" s="544"/>
      <c r="HJ185" s="544"/>
      <c r="HK185" s="544"/>
      <c r="HL185" s="544"/>
      <c r="HM185" s="544"/>
      <c r="HN185" s="544"/>
      <c r="HO185" s="544"/>
      <c r="HP185" s="544"/>
      <c r="HQ185" s="544"/>
      <c r="HR185" s="544"/>
      <c r="HS185" s="544"/>
      <c r="HT185" s="544"/>
      <c r="HU185" s="544"/>
      <c r="HV185" s="544"/>
      <c r="HW185" s="544"/>
      <c r="HX185" s="544"/>
      <c r="HY185" s="544"/>
      <c r="HZ185" s="544"/>
      <c r="IA185" s="544"/>
      <c r="IB185" s="544"/>
      <c r="IC185" s="544"/>
      <c r="ID185" s="544"/>
      <c r="IE185" s="544"/>
      <c r="IF185" s="544"/>
      <c r="IG185" s="544"/>
      <c r="IH185" s="544"/>
      <c r="II185" s="544"/>
      <c r="IJ185" s="544"/>
      <c r="IK185" s="544"/>
      <c r="IL185" s="544"/>
      <c r="IM185" s="544"/>
      <c r="IN185" s="544"/>
      <c r="IO185" s="544"/>
      <c r="IP185" s="544"/>
      <c r="IQ185" s="544"/>
      <c r="IR185" s="544"/>
      <c r="IS185" s="544"/>
    </row>
    <row r="186" spans="1:253" x14ac:dyDescent="0.35">
      <c r="A186" s="544"/>
      <c r="B186" s="572"/>
      <c r="C186" s="572"/>
      <c r="E186" s="544"/>
      <c r="F186" s="544"/>
      <c r="G186" s="544"/>
      <c r="H186" s="544"/>
      <c r="I186" s="544"/>
      <c r="J186" s="544"/>
      <c r="K186" s="544"/>
      <c r="AY186" s="544"/>
      <c r="AZ186" s="544"/>
      <c r="BA186" s="544"/>
      <c r="BB186" s="544"/>
      <c r="BC186" s="544"/>
      <c r="BD186" s="544"/>
      <c r="BE186" s="544"/>
      <c r="BF186" s="544"/>
      <c r="BG186" s="544"/>
      <c r="BH186" s="544"/>
      <c r="BI186" s="544"/>
      <c r="BJ186" s="544"/>
      <c r="BK186" s="544"/>
      <c r="BL186" s="544"/>
      <c r="BM186" s="544"/>
      <c r="BN186" s="544"/>
      <c r="BO186" s="544"/>
      <c r="BP186" s="544"/>
      <c r="BQ186" s="544"/>
      <c r="BR186" s="544"/>
      <c r="BS186" s="544"/>
      <c r="BT186" s="544"/>
      <c r="BU186" s="544"/>
      <c r="BV186" s="544"/>
      <c r="BW186" s="544"/>
      <c r="BX186" s="544"/>
      <c r="BY186" s="544"/>
      <c r="BZ186" s="544"/>
      <c r="CA186" s="544"/>
      <c r="CB186" s="544"/>
      <c r="CC186" s="544"/>
      <c r="CD186" s="544"/>
      <c r="CE186" s="544"/>
      <c r="CF186" s="544"/>
      <c r="CG186" s="544"/>
      <c r="CH186" s="544"/>
      <c r="CI186" s="544"/>
      <c r="CJ186" s="544"/>
      <c r="CK186" s="544"/>
      <c r="CL186" s="544"/>
      <c r="CM186" s="544"/>
      <c r="CN186" s="544"/>
      <c r="CO186" s="544"/>
      <c r="CP186" s="544"/>
      <c r="CQ186" s="544"/>
      <c r="CR186" s="544"/>
      <c r="CS186" s="544"/>
      <c r="CT186" s="544"/>
      <c r="CU186" s="544"/>
      <c r="CV186" s="544"/>
      <c r="CW186" s="544"/>
      <c r="CX186" s="544"/>
      <c r="CY186" s="544"/>
      <c r="CZ186" s="544"/>
      <c r="DA186" s="544"/>
      <c r="DB186" s="544"/>
      <c r="DC186" s="544"/>
      <c r="DD186" s="544"/>
      <c r="DE186" s="544"/>
      <c r="DF186" s="544"/>
      <c r="DG186" s="544"/>
      <c r="DH186" s="544"/>
      <c r="DI186" s="544"/>
      <c r="DJ186" s="544"/>
      <c r="DK186" s="544"/>
      <c r="DL186" s="544"/>
      <c r="DM186" s="544"/>
      <c r="DN186" s="544"/>
      <c r="DO186" s="544"/>
      <c r="DP186" s="544"/>
      <c r="DQ186" s="544"/>
      <c r="DR186" s="544"/>
      <c r="DS186" s="544"/>
      <c r="DT186" s="544"/>
      <c r="DU186" s="544"/>
      <c r="DV186" s="544"/>
      <c r="DW186" s="544"/>
      <c r="DX186" s="544"/>
      <c r="DY186" s="544"/>
      <c r="DZ186" s="544"/>
      <c r="EA186" s="544"/>
      <c r="EB186" s="544"/>
      <c r="EC186" s="544"/>
      <c r="ED186" s="544"/>
      <c r="EE186" s="544"/>
      <c r="EF186" s="544"/>
      <c r="EG186" s="544"/>
      <c r="EH186" s="544"/>
      <c r="EI186" s="544"/>
      <c r="EJ186" s="544"/>
      <c r="EK186" s="544"/>
      <c r="EL186" s="544"/>
      <c r="EM186" s="544"/>
      <c r="EN186" s="544"/>
      <c r="EO186" s="544"/>
      <c r="EP186" s="544"/>
      <c r="EQ186" s="544"/>
      <c r="ER186" s="544"/>
      <c r="ES186" s="544"/>
      <c r="ET186" s="544"/>
      <c r="EU186" s="544"/>
      <c r="EV186" s="544"/>
      <c r="EW186" s="544"/>
      <c r="EX186" s="544"/>
      <c r="EY186" s="544"/>
      <c r="EZ186" s="544"/>
      <c r="FA186" s="544"/>
      <c r="FB186" s="544"/>
      <c r="FC186" s="544"/>
      <c r="FD186" s="544"/>
      <c r="FE186" s="544"/>
      <c r="FF186" s="544"/>
      <c r="FG186" s="544"/>
      <c r="FH186" s="544"/>
      <c r="FI186" s="544"/>
      <c r="FJ186" s="544"/>
      <c r="FK186" s="544"/>
      <c r="FL186" s="544"/>
      <c r="FM186" s="544"/>
      <c r="FN186" s="544"/>
      <c r="FO186" s="544"/>
      <c r="FP186" s="544"/>
      <c r="FQ186" s="544"/>
      <c r="FR186" s="544"/>
      <c r="FS186" s="544"/>
      <c r="FT186" s="544"/>
      <c r="FU186" s="544"/>
      <c r="FV186" s="544"/>
      <c r="FW186" s="544"/>
      <c r="FX186" s="544"/>
      <c r="FY186" s="544"/>
      <c r="FZ186" s="544"/>
      <c r="GA186" s="544"/>
      <c r="GB186" s="544"/>
      <c r="GC186" s="544"/>
      <c r="GD186" s="544"/>
      <c r="GE186" s="544"/>
      <c r="GF186" s="544"/>
      <c r="GG186" s="544"/>
      <c r="GH186" s="544"/>
      <c r="GI186" s="544"/>
      <c r="GJ186" s="544"/>
      <c r="GK186" s="544"/>
      <c r="GL186" s="544"/>
      <c r="GM186" s="544"/>
      <c r="GN186" s="544"/>
      <c r="GO186" s="544"/>
      <c r="GP186" s="544"/>
      <c r="GQ186" s="544"/>
      <c r="GR186" s="544"/>
      <c r="GS186" s="544"/>
      <c r="GT186" s="544"/>
      <c r="GU186" s="544"/>
      <c r="GV186" s="544"/>
      <c r="GW186" s="544"/>
      <c r="GX186" s="544"/>
      <c r="GY186" s="544"/>
      <c r="GZ186" s="544"/>
      <c r="HA186" s="544"/>
      <c r="HB186" s="544"/>
      <c r="HC186" s="544"/>
      <c r="HD186" s="544"/>
      <c r="HE186" s="544"/>
      <c r="HF186" s="544"/>
      <c r="HG186" s="544"/>
      <c r="HH186" s="544"/>
      <c r="HI186" s="544"/>
      <c r="HJ186" s="544"/>
      <c r="HK186" s="544"/>
      <c r="HL186" s="544"/>
      <c r="HM186" s="544"/>
      <c r="HN186" s="544"/>
      <c r="HO186" s="544"/>
      <c r="HP186" s="544"/>
      <c r="HQ186" s="544"/>
      <c r="HR186" s="544"/>
      <c r="HS186" s="544"/>
      <c r="HT186" s="544"/>
      <c r="HU186" s="544"/>
      <c r="HV186" s="544"/>
      <c r="HW186" s="544"/>
      <c r="HX186" s="544"/>
      <c r="HY186" s="544"/>
      <c r="HZ186" s="544"/>
      <c r="IA186" s="544"/>
      <c r="IB186" s="544"/>
      <c r="IC186" s="544"/>
      <c r="ID186" s="544"/>
      <c r="IE186" s="544"/>
      <c r="IF186" s="544"/>
      <c r="IG186" s="544"/>
      <c r="IH186" s="544"/>
      <c r="II186" s="544"/>
      <c r="IJ186" s="544"/>
      <c r="IK186" s="544"/>
      <c r="IL186" s="544"/>
      <c r="IM186" s="544"/>
      <c r="IN186" s="544"/>
      <c r="IO186" s="544"/>
      <c r="IP186" s="544"/>
      <c r="IQ186" s="544"/>
      <c r="IR186" s="544"/>
      <c r="IS186" s="544"/>
    </row>
    <row r="187" spans="1:253" x14ac:dyDescent="0.35">
      <c r="A187" s="544"/>
      <c r="B187" s="572"/>
      <c r="C187" s="572"/>
      <c r="E187" s="544"/>
      <c r="F187" s="544"/>
      <c r="G187" s="544"/>
      <c r="H187" s="544"/>
      <c r="I187" s="544"/>
      <c r="J187" s="544"/>
      <c r="K187" s="544"/>
      <c r="AY187" s="544"/>
      <c r="AZ187" s="544"/>
      <c r="BA187" s="544"/>
      <c r="BB187" s="544"/>
      <c r="BC187" s="544"/>
      <c r="BD187" s="544"/>
      <c r="BE187" s="544"/>
      <c r="BF187" s="544"/>
      <c r="BG187" s="544"/>
      <c r="BH187" s="544"/>
      <c r="BI187" s="544"/>
      <c r="BJ187" s="544"/>
      <c r="BK187" s="544"/>
      <c r="BL187" s="544"/>
      <c r="BM187" s="544"/>
      <c r="BN187" s="544"/>
      <c r="BO187" s="544"/>
      <c r="BP187" s="544"/>
      <c r="BQ187" s="544"/>
      <c r="BR187" s="544"/>
      <c r="BS187" s="544"/>
      <c r="BT187" s="544"/>
      <c r="BU187" s="544"/>
      <c r="BV187" s="544"/>
      <c r="BW187" s="544"/>
      <c r="BX187" s="544"/>
      <c r="BY187" s="544"/>
      <c r="BZ187" s="544"/>
      <c r="CA187" s="544"/>
      <c r="CB187" s="544"/>
      <c r="CC187" s="544"/>
      <c r="CD187" s="544"/>
      <c r="CE187" s="544"/>
      <c r="CF187" s="544"/>
      <c r="CG187" s="544"/>
      <c r="CH187" s="544"/>
      <c r="CI187" s="544"/>
      <c r="CJ187" s="544"/>
      <c r="CK187" s="544"/>
      <c r="CL187" s="544"/>
      <c r="CM187" s="544"/>
      <c r="CN187" s="544"/>
      <c r="CO187" s="544"/>
      <c r="CP187" s="544"/>
      <c r="CQ187" s="544"/>
      <c r="CR187" s="544"/>
      <c r="CS187" s="544"/>
      <c r="CT187" s="544"/>
      <c r="CU187" s="544"/>
      <c r="CV187" s="544"/>
      <c r="CW187" s="544"/>
      <c r="CX187" s="544"/>
      <c r="CY187" s="544"/>
      <c r="CZ187" s="544"/>
      <c r="DA187" s="544"/>
      <c r="DB187" s="544"/>
      <c r="DC187" s="544"/>
      <c r="DD187" s="544"/>
      <c r="DE187" s="544"/>
      <c r="DF187" s="544"/>
      <c r="DG187" s="544"/>
      <c r="DH187" s="544"/>
      <c r="DI187" s="544"/>
      <c r="DJ187" s="544"/>
      <c r="DK187" s="544"/>
      <c r="DL187" s="544"/>
      <c r="DM187" s="544"/>
      <c r="DN187" s="544"/>
      <c r="DO187" s="544"/>
      <c r="DP187" s="544"/>
      <c r="DQ187" s="544"/>
      <c r="DR187" s="544"/>
      <c r="DS187" s="544"/>
      <c r="DT187" s="544"/>
      <c r="DU187" s="544"/>
      <c r="DV187" s="544"/>
      <c r="DW187" s="544"/>
      <c r="DX187" s="544"/>
      <c r="DY187" s="544"/>
      <c r="DZ187" s="544"/>
      <c r="EA187" s="544"/>
      <c r="EB187" s="544"/>
      <c r="EC187" s="544"/>
      <c r="ED187" s="544"/>
      <c r="EE187" s="544"/>
      <c r="EF187" s="544"/>
      <c r="EG187" s="544"/>
      <c r="EH187" s="544"/>
      <c r="EI187" s="544"/>
      <c r="EJ187" s="544"/>
      <c r="EK187" s="544"/>
      <c r="EL187" s="544"/>
      <c r="EM187" s="544"/>
      <c r="EN187" s="544"/>
      <c r="EO187" s="544"/>
      <c r="EP187" s="544"/>
      <c r="EQ187" s="544"/>
      <c r="ER187" s="544"/>
      <c r="ES187" s="544"/>
      <c r="ET187" s="544"/>
      <c r="EU187" s="544"/>
      <c r="EV187" s="544"/>
      <c r="EW187" s="544"/>
      <c r="EX187" s="544"/>
      <c r="EY187" s="544"/>
      <c r="EZ187" s="544"/>
      <c r="FA187" s="544"/>
      <c r="FB187" s="544"/>
      <c r="FC187" s="544"/>
      <c r="FD187" s="544"/>
      <c r="FE187" s="544"/>
      <c r="FF187" s="544"/>
      <c r="FG187" s="544"/>
      <c r="FH187" s="544"/>
      <c r="FI187" s="544"/>
      <c r="FJ187" s="544"/>
      <c r="FK187" s="544"/>
      <c r="FL187" s="544"/>
      <c r="FM187" s="544"/>
      <c r="FN187" s="544"/>
      <c r="FO187" s="544"/>
      <c r="FP187" s="544"/>
      <c r="FQ187" s="544"/>
      <c r="FR187" s="544"/>
      <c r="FS187" s="544"/>
      <c r="FT187" s="544"/>
      <c r="FU187" s="544"/>
      <c r="FV187" s="544"/>
      <c r="FW187" s="544"/>
      <c r="FX187" s="544"/>
      <c r="FY187" s="544"/>
      <c r="FZ187" s="544"/>
      <c r="GA187" s="544"/>
      <c r="GB187" s="544"/>
      <c r="GC187" s="544"/>
      <c r="GD187" s="544"/>
      <c r="GE187" s="544"/>
      <c r="GF187" s="544"/>
      <c r="GG187" s="544"/>
      <c r="GH187" s="544"/>
      <c r="GI187" s="544"/>
      <c r="GJ187" s="544"/>
      <c r="GK187" s="544"/>
      <c r="GL187" s="544"/>
      <c r="GM187" s="544"/>
      <c r="GN187" s="544"/>
      <c r="GO187" s="544"/>
      <c r="GP187" s="544"/>
      <c r="GQ187" s="544"/>
      <c r="GR187" s="544"/>
      <c r="GS187" s="544"/>
      <c r="GT187" s="544"/>
      <c r="GU187" s="544"/>
      <c r="GV187" s="544"/>
      <c r="GW187" s="544"/>
      <c r="GX187" s="544"/>
      <c r="GY187" s="544"/>
      <c r="GZ187" s="544"/>
      <c r="HA187" s="544"/>
      <c r="HB187" s="544"/>
      <c r="HC187" s="544"/>
      <c r="HD187" s="544"/>
      <c r="HE187" s="544"/>
      <c r="HF187" s="544"/>
      <c r="HG187" s="544"/>
      <c r="HH187" s="544"/>
      <c r="HI187" s="544"/>
      <c r="HJ187" s="544"/>
      <c r="HK187" s="544"/>
      <c r="HL187" s="544"/>
      <c r="HM187" s="544"/>
      <c r="HN187" s="544"/>
      <c r="HO187" s="544"/>
      <c r="HP187" s="544"/>
      <c r="HQ187" s="544"/>
      <c r="HR187" s="544"/>
      <c r="HS187" s="544"/>
      <c r="HT187" s="544"/>
      <c r="HU187" s="544"/>
      <c r="HV187" s="544"/>
      <c r="HW187" s="544"/>
      <c r="HX187" s="544"/>
      <c r="HY187" s="544"/>
      <c r="HZ187" s="544"/>
      <c r="IA187" s="544"/>
      <c r="IB187" s="544"/>
      <c r="IC187" s="544"/>
      <c r="ID187" s="544"/>
      <c r="IE187" s="544"/>
      <c r="IF187" s="544"/>
      <c r="IG187" s="544"/>
      <c r="IH187" s="544"/>
      <c r="II187" s="544"/>
      <c r="IJ187" s="544"/>
      <c r="IK187" s="544"/>
      <c r="IL187" s="544"/>
      <c r="IM187" s="544"/>
      <c r="IN187" s="544"/>
      <c r="IO187" s="544"/>
      <c r="IP187" s="544"/>
      <c r="IQ187" s="544"/>
      <c r="IR187" s="544"/>
      <c r="IS187" s="544"/>
    </row>
    <row r="188" spans="1:253" x14ac:dyDescent="0.35">
      <c r="A188" s="544"/>
      <c r="B188" s="572"/>
      <c r="C188" s="572"/>
      <c r="E188" s="544"/>
      <c r="F188" s="544"/>
      <c r="G188" s="544"/>
      <c r="H188" s="544"/>
      <c r="I188" s="544"/>
      <c r="J188" s="544"/>
      <c r="K188" s="544"/>
      <c r="AY188" s="544"/>
      <c r="AZ188" s="544"/>
      <c r="BA188" s="544"/>
      <c r="BB188" s="544"/>
      <c r="BC188" s="544"/>
      <c r="BD188" s="544"/>
      <c r="BE188" s="544"/>
      <c r="BF188" s="544"/>
      <c r="BG188" s="544"/>
      <c r="BH188" s="544"/>
      <c r="BI188" s="544"/>
      <c r="BJ188" s="544"/>
      <c r="BK188" s="544"/>
      <c r="BL188" s="544"/>
      <c r="BM188" s="544"/>
      <c r="BN188" s="544"/>
      <c r="BO188" s="544"/>
      <c r="BP188" s="544"/>
      <c r="BQ188" s="544"/>
      <c r="BR188" s="544"/>
      <c r="BS188" s="544"/>
      <c r="BT188" s="544"/>
      <c r="BU188" s="544"/>
      <c r="BV188" s="544"/>
      <c r="BW188" s="544"/>
      <c r="BX188" s="544"/>
      <c r="BY188" s="544"/>
      <c r="BZ188" s="544"/>
      <c r="CA188" s="544"/>
      <c r="CB188" s="544"/>
      <c r="CC188" s="544"/>
      <c r="CD188" s="544"/>
      <c r="CE188" s="544"/>
      <c r="CF188" s="544"/>
      <c r="CG188" s="544"/>
      <c r="CH188" s="544"/>
      <c r="CI188" s="544"/>
      <c r="CJ188" s="544"/>
      <c r="CK188" s="544"/>
      <c r="CL188" s="544"/>
      <c r="CM188" s="544"/>
      <c r="CN188" s="544"/>
      <c r="CO188" s="544"/>
      <c r="CP188" s="544"/>
      <c r="CQ188" s="544"/>
      <c r="CR188" s="544"/>
      <c r="CS188" s="544"/>
      <c r="CT188" s="544"/>
      <c r="CU188" s="544"/>
      <c r="CV188" s="544"/>
      <c r="CW188" s="544"/>
      <c r="CX188" s="544"/>
      <c r="CY188" s="544"/>
      <c r="CZ188" s="544"/>
      <c r="DA188" s="544"/>
      <c r="DB188" s="544"/>
      <c r="DC188" s="544"/>
      <c r="DD188" s="544"/>
      <c r="DE188" s="544"/>
      <c r="DF188" s="544"/>
      <c r="DG188" s="544"/>
      <c r="DH188" s="544"/>
      <c r="DI188" s="544"/>
      <c r="DJ188" s="544"/>
      <c r="DK188" s="544"/>
      <c r="DL188" s="544"/>
      <c r="DM188" s="544"/>
      <c r="DN188" s="544"/>
      <c r="DO188" s="544"/>
      <c r="DP188" s="544"/>
      <c r="DQ188" s="544"/>
      <c r="DR188" s="544"/>
      <c r="DS188" s="544"/>
      <c r="DT188" s="544"/>
      <c r="DU188" s="544"/>
      <c r="DV188" s="544"/>
      <c r="DW188" s="544"/>
      <c r="DX188" s="544"/>
      <c r="DY188" s="544"/>
      <c r="DZ188" s="544"/>
      <c r="EA188" s="544"/>
      <c r="EB188" s="544"/>
      <c r="EC188" s="544"/>
      <c r="ED188" s="544"/>
      <c r="EE188" s="544"/>
      <c r="EF188" s="544"/>
      <c r="EG188" s="544"/>
      <c r="EH188" s="544"/>
      <c r="EI188" s="544"/>
      <c r="EJ188" s="544"/>
      <c r="EK188" s="544"/>
      <c r="EL188" s="544"/>
      <c r="EM188" s="544"/>
      <c r="EN188" s="544"/>
      <c r="EO188" s="544"/>
      <c r="EP188" s="544"/>
      <c r="EQ188" s="544"/>
      <c r="ER188" s="544"/>
      <c r="ES188" s="544"/>
      <c r="ET188" s="544"/>
      <c r="EU188" s="544"/>
      <c r="EV188" s="544"/>
      <c r="EW188" s="544"/>
      <c r="EX188" s="544"/>
      <c r="EY188" s="544"/>
      <c r="EZ188" s="544"/>
      <c r="FA188" s="544"/>
      <c r="FB188" s="544"/>
      <c r="FC188" s="544"/>
      <c r="FD188" s="544"/>
      <c r="FE188" s="544"/>
      <c r="FF188" s="544"/>
      <c r="FG188" s="544"/>
      <c r="FH188" s="544"/>
      <c r="FI188" s="544"/>
      <c r="FJ188" s="544"/>
      <c r="FK188" s="544"/>
      <c r="FL188" s="544"/>
      <c r="FM188" s="544"/>
      <c r="FN188" s="544"/>
      <c r="FO188" s="544"/>
      <c r="FP188" s="544"/>
      <c r="FQ188" s="544"/>
      <c r="FR188" s="544"/>
      <c r="FS188" s="544"/>
      <c r="FT188" s="544"/>
      <c r="FU188" s="544"/>
      <c r="FV188" s="544"/>
      <c r="FW188" s="544"/>
      <c r="FX188" s="544"/>
      <c r="FY188" s="544"/>
      <c r="FZ188" s="544"/>
      <c r="GA188" s="544"/>
      <c r="GB188" s="544"/>
      <c r="GC188" s="544"/>
      <c r="GD188" s="544"/>
      <c r="GE188" s="544"/>
      <c r="GF188" s="544"/>
      <c r="GG188" s="544"/>
      <c r="GH188" s="544"/>
      <c r="GI188" s="544"/>
      <c r="GJ188" s="544"/>
      <c r="GK188" s="544"/>
      <c r="GL188" s="544"/>
      <c r="GM188" s="544"/>
      <c r="GN188" s="544"/>
      <c r="GO188" s="544"/>
      <c r="GP188" s="544"/>
      <c r="GQ188" s="544"/>
      <c r="GR188" s="544"/>
      <c r="GS188" s="544"/>
      <c r="GT188" s="544"/>
      <c r="GU188" s="544"/>
      <c r="GV188" s="544"/>
      <c r="GW188" s="544"/>
      <c r="GX188" s="544"/>
      <c r="GY188" s="544"/>
      <c r="GZ188" s="544"/>
      <c r="HA188" s="544"/>
      <c r="HB188" s="544"/>
      <c r="HC188" s="544"/>
      <c r="HD188" s="544"/>
      <c r="HE188" s="544"/>
      <c r="HF188" s="544"/>
      <c r="HG188" s="544"/>
      <c r="HH188" s="544"/>
      <c r="HI188" s="544"/>
      <c r="HJ188" s="544"/>
      <c r="HK188" s="544"/>
      <c r="HL188" s="544"/>
      <c r="HM188" s="544"/>
      <c r="HN188" s="544"/>
      <c r="HO188" s="544"/>
      <c r="HP188" s="544"/>
      <c r="HQ188" s="544"/>
      <c r="HR188" s="544"/>
      <c r="HS188" s="544"/>
      <c r="HT188" s="544"/>
      <c r="HU188" s="544"/>
      <c r="HV188" s="544"/>
      <c r="HW188" s="544"/>
      <c r="HX188" s="544"/>
      <c r="HY188" s="544"/>
      <c r="HZ188" s="544"/>
      <c r="IA188" s="544"/>
      <c r="IB188" s="544"/>
      <c r="IC188" s="544"/>
      <c r="ID188" s="544"/>
      <c r="IE188" s="544"/>
      <c r="IF188" s="544"/>
      <c r="IG188" s="544"/>
      <c r="IH188" s="544"/>
      <c r="II188" s="544"/>
      <c r="IJ188" s="544"/>
      <c r="IK188" s="544"/>
      <c r="IL188" s="544"/>
      <c r="IM188" s="544"/>
      <c r="IN188" s="544"/>
      <c r="IO188" s="544"/>
      <c r="IP188" s="544"/>
      <c r="IQ188" s="544"/>
      <c r="IR188" s="544"/>
      <c r="IS188" s="544"/>
    </row>
    <row r="189" spans="1:253" x14ac:dyDescent="0.35">
      <c r="A189" s="544"/>
      <c r="B189" s="572"/>
      <c r="C189" s="572"/>
      <c r="E189" s="544"/>
      <c r="F189" s="544"/>
      <c r="G189" s="544"/>
      <c r="H189" s="544"/>
      <c r="I189" s="544"/>
      <c r="J189" s="544"/>
      <c r="K189" s="544"/>
      <c r="AY189" s="544"/>
      <c r="AZ189" s="544"/>
      <c r="BA189" s="544"/>
      <c r="BB189" s="544"/>
      <c r="BC189" s="544"/>
      <c r="BD189" s="544"/>
      <c r="BE189" s="544"/>
      <c r="BF189" s="544"/>
      <c r="BG189" s="544"/>
      <c r="BH189" s="544"/>
      <c r="BI189" s="544"/>
      <c r="BJ189" s="544"/>
      <c r="BK189" s="544"/>
      <c r="BL189" s="544"/>
      <c r="BM189" s="544"/>
      <c r="BN189" s="544"/>
      <c r="BO189" s="544"/>
      <c r="BP189" s="544"/>
      <c r="BQ189" s="544"/>
      <c r="BR189" s="544"/>
      <c r="BS189" s="544"/>
      <c r="BT189" s="544"/>
      <c r="BU189" s="544"/>
      <c r="BV189" s="544"/>
      <c r="BW189" s="544"/>
      <c r="BX189" s="544"/>
      <c r="BY189" s="544"/>
      <c r="BZ189" s="544"/>
      <c r="CA189" s="544"/>
      <c r="CB189" s="544"/>
      <c r="CC189" s="544"/>
      <c r="CD189" s="544"/>
      <c r="CE189" s="544"/>
      <c r="CF189" s="544"/>
      <c r="CG189" s="544"/>
      <c r="CH189" s="544"/>
      <c r="CI189" s="544"/>
      <c r="CJ189" s="544"/>
      <c r="CK189" s="544"/>
      <c r="CL189" s="544"/>
      <c r="CM189" s="544"/>
      <c r="CN189" s="544"/>
      <c r="CO189" s="544"/>
      <c r="CP189" s="544"/>
      <c r="CQ189" s="544"/>
      <c r="CR189" s="544"/>
      <c r="CS189" s="544"/>
      <c r="CT189" s="544"/>
      <c r="CU189" s="544"/>
      <c r="CV189" s="544"/>
      <c r="CW189" s="544"/>
      <c r="CX189" s="544"/>
      <c r="CY189" s="544"/>
      <c r="CZ189" s="544"/>
      <c r="DA189" s="544"/>
      <c r="DB189" s="544"/>
      <c r="DC189" s="544"/>
      <c r="DD189" s="544"/>
      <c r="DE189" s="544"/>
      <c r="DF189" s="544"/>
      <c r="DG189" s="544"/>
      <c r="DH189" s="544"/>
      <c r="DI189" s="544"/>
      <c r="DJ189" s="544"/>
      <c r="DK189" s="544"/>
      <c r="DL189" s="544"/>
      <c r="DM189" s="544"/>
      <c r="DN189" s="544"/>
      <c r="DO189" s="544"/>
      <c r="DP189" s="544"/>
      <c r="DQ189" s="544"/>
      <c r="DR189" s="544"/>
      <c r="DS189" s="544"/>
      <c r="DT189" s="544"/>
      <c r="DU189" s="544"/>
      <c r="DV189" s="544"/>
      <c r="DW189" s="544"/>
      <c r="DX189" s="544"/>
      <c r="DY189" s="544"/>
      <c r="DZ189" s="544"/>
      <c r="EA189" s="544"/>
      <c r="EB189" s="544"/>
      <c r="EC189" s="544"/>
      <c r="ED189" s="544"/>
      <c r="EE189" s="544"/>
      <c r="EF189" s="544"/>
      <c r="EG189" s="544"/>
      <c r="EH189" s="544"/>
      <c r="EI189" s="544"/>
      <c r="EJ189" s="544"/>
      <c r="EK189" s="544"/>
      <c r="EL189" s="544"/>
      <c r="EM189" s="544"/>
      <c r="EN189" s="544"/>
      <c r="EO189" s="544"/>
      <c r="EP189" s="544"/>
      <c r="EQ189" s="544"/>
      <c r="ER189" s="544"/>
      <c r="ES189" s="544"/>
      <c r="ET189" s="544"/>
      <c r="EU189" s="544"/>
      <c r="EV189" s="544"/>
      <c r="EW189" s="544"/>
      <c r="EX189" s="544"/>
      <c r="EY189" s="544"/>
      <c r="EZ189" s="544"/>
      <c r="FA189" s="544"/>
      <c r="FB189" s="544"/>
      <c r="FC189" s="544"/>
      <c r="FD189" s="544"/>
      <c r="FE189" s="544"/>
      <c r="FF189" s="544"/>
      <c r="FG189" s="544"/>
      <c r="FH189" s="544"/>
      <c r="FI189" s="544"/>
      <c r="FJ189" s="544"/>
      <c r="FK189" s="544"/>
      <c r="FL189" s="544"/>
      <c r="FM189" s="544"/>
      <c r="FN189" s="544"/>
      <c r="FO189" s="544"/>
      <c r="FP189" s="544"/>
      <c r="FQ189" s="544"/>
      <c r="FR189" s="544"/>
      <c r="FS189" s="544"/>
      <c r="FT189" s="544"/>
      <c r="FU189" s="544"/>
      <c r="FV189" s="544"/>
      <c r="FW189" s="544"/>
      <c r="FX189" s="544"/>
      <c r="FY189" s="544"/>
      <c r="FZ189" s="544"/>
      <c r="GA189" s="544"/>
      <c r="GB189" s="544"/>
      <c r="GC189" s="544"/>
      <c r="GD189" s="544"/>
      <c r="GE189" s="544"/>
      <c r="GF189" s="544"/>
      <c r="GG189" s="544"/>
      <c r="GH189" s="544"/>
      <c r="GI189" s="544"/>
      <c r="GJ189" s="544"/>
      <c r="GK189" s="544"/>
      <c r="GL189" s="544"/>
      <c r="GM189" s="544"/>
      <c r="GN189" s="544"/>
      <c r="GO189" s="544"/>
      <c r="GP189" s="544"/>
      <c r="GQ189" s="544"/>
      <c r="GR189" s="544"/>
      <c r="GS189" s="544"/>
      <c r="GT189" s="544"/>
      <c r="GU189" s="544"/>
      <c r="GV189" s="544"/>
      <c r="GW189" s="544"/>
      <c r="GX189" s="544"/>
      <c r="GY189" s="544"/>
      <c r="GZ189" s="544"/>
      <c r="HA189" s="544"/>
      <c r="HB189" s="544"/>
      <c r="HC189" s="544"/>
      <c r="HD189" s="544"/>
      <c r="HE189" s="544"/>
      <c r="HF189" s="544"/>
      <c r="HG189" s="544"/>
      <c r="HH189" s="544"/>
      <c r="HI189" s="544"/>
      <c r="HJ189" s="544"/>
      <c r="HK189" s="544"/>
      <c r="HL189" s="544"/>
      <c r="HM189" s="544"/>
      <c r="HN189" s="544"/>
      <c r="HO189" s="544"/>
      <c r="HP189" s="544"/>
      <c r="HQ189" s="544"/>
      <c r="HR189" s="544"/>
      <c r="HS189" s="544"/>
      <c r="HT189" s="544"/>
      <c r="HU189" s="544"/>
      <c r="HV189" s="544"/>
      <c r="HW189" s="544"/>
      <c r="HX189" s="544"/>
      <c r="HY189" s="544"/>
      <c r="HZ189" s="544"/>
      <c r="IA189" s="544"/>
      <c r="IB189" s="544"/>
      <c r="IC189" s="544"/>
      <c r="ID189" s="544"/>
      <c r="IE189" s="544"/>
      <c r="IF189" s="544"/>
      <c r="IG189" s="544"/>
      <c r="IH189" s="544"/>
      <c r="II189" s="544"/>
      <c r="IJ189" s="544"/>
      <c r="IK189" s="544"/>
      <c r="IL189" s="544"/>
      <c r="IM189" s="544"/>
      <c r="IN189" s="544"/>
      <c r="IO189" s="544"/>
      <c r="IP189" s="544"/>
      <c r="IQ189" s="544"/>
      <c r="IR189" s="544"/>
      <c r="IS189" s="544"/>
    </row>
    <row r="190" spans="1:253" x14ac:dyDescent="0.35">
      <c r="A190" s="544"/>
      <c r="B190" s="572"/>
      <c r="C190" s="572"/>
      <c r="E190" s="544"/>
      <c r="F190" s="544"/>
      <c r="G190" s="544"/>
      <c r="H190" s="544"/>
      <c r="I190" s="544"/>
      <c r="J190" s="544"/>
      <c r="K190" s="544"/>
      <c r="AY190" s="544"/>
      <c r="AZ190" s="544"/>
      <c r="BA190" s="544"/>
      <c r="BB190" s="544"/>
      <c r="BC190" s="544"/>
      <c r="BD190" s="544"/>
      <c r="BE190" s="544"/>
      <c r="BF190" s="544"/>
      <c r="BG190" s="544"/>
      <c r="BH190" s="544"/>
      <c r="BI190" s="544"/>
      <c r="BJ190" s="544"/>
      <c r="BK190" s="544"/>
      <c r="BL190" s="544"/>
      <c r="BM190" s="544"/>
      <c r="BN190" s="544"/>
      <c r="BO190" s="544"/>
      <c r="BP190" s="544"/>
      <c r="BQ190" s="544"/>
      <c r="BR190" s="544"/>
      <c r="BS190" s="544"/>
      <c r="BT190" s="544"/>
      <c r="BU190" s="544"/>
      <c r="BV190" s="544"/>
      <c r="BW190" s="544"/>
      <c r="BX190" s="544"/>
      <c r="BY190" s="544"/>
      <c r="BZ190" s="544"/>
      <c r="CA190" s="544"/>
      <c r="CB190" s="544"/>
      <c r="CC190" s="544"/>
      <c r="CD190" s="544"/>
      <c r="CE190" s="544"/>
      <c r="CF190" s="544"/>
      <c r="CG190" s="544"/>
      <c r="CH190" s="544"/>
      <c r="CI190" s="544"/>
      <c r="CJ190" s="544"/>
      <c r="CK190" s="544"/>
      <c r="CL190" s="544"/>
      <c r="CM190" s="544"/>
      <c r="CN190" s="544"/>
      <c r="CO190" s="544"/>
      <c r="CP190" s="544"/>
      <c r="CQ190" s="544"/>
      <c r="CR190" s="544"/>
      <c r="CS190" s="544"/>
      <c r="CT190" s="544"/>
      <c r="CU190" s="544"/>
      <c r="CV190" s="544"/>
      <c r="CW190" s="544"/>
      <c r="CX190" s="544"/>
      <c r="CY190" s="544"/>
      <c r="CZ190" s="544"/>
      <c r="DA190" s="544"/>
      <c r="DB190" s="544"/>
      <c r="DC190" s="544"/>
      <c r="DD190" s="544"/>
      <c r="DE190" s="544"/>
      <c r="DF190" s="544"/>
      <c r="DG190" s="544"/>
      <c r="DH190" s="544"/>
      <c r="DI190" s="544"/>
      <c r="DJ190" s="544"/>
      <c r="DK190" s="544"/>
      <c r="DL190" s="544"/>
      <c r="DM190" s="544"/>
      <c r="DN190" s="544"/>
      <c r="DO190" s="544"/>
      <c r="DP190" s="544"/>
      <c r="DQ190" s="544"/>
      <c r="DR190" s="544"/>
      <c r="DS190" s="544"/>
      <c r="DT190" s="544"/>
      <c r="DU190" s="544"/>
      <c r="DV190" s="544"/>
      <c r="DW190" s="544"/>
      <c r="DX190" s="544"/>
      <c r="DY190" s="544"/>
      <c r="DZ190" s="544"/>
      <c r="EA190" s="544"/>
      <c r="EB190" s="544"/>
      <c r="EC190" s="544"/>
      <c r="ED190" s="544"/>
      <c r="EE190" s="544"/>
      <c r="EF190" s="544"/>
      <c r="EG190" s="544"/>
      <c r="EH190" s="544"/>
      <c r="EI190" s="544"/>
      <c r="EJ190" s="544"/>
      <c r="EK190" s="544"/>
      <c r="EL190" s="544"/>
      <c r="EM190" s="544"/>
      <c r="EN190" s="544"/>
      <c r="EO190" s="544"/>
      <c r="EP190" s="544"/>
      <c r="EQ190" s="544"/>
      <c r="ER190" s="544"/>
      <c r="ES190" s="544"/>
      <c r="ET190" s="544"/>
      <c r="EU190" s="544"/>
      <c r="EV190" s="544"/>
      <c r="EW190" s="544"/>
      <c r="EX190" s="544"/>
      <c r="EY190" s="544"/>
      <c r="EZ190" s="544"/>
      <c r="FA190" s="544"/>
      <c r="FB190" s="544"/>
      <c r="FC190" s="544"/>
      <c r="FD190" s="544"/>
      <c r="FE190" s="544"/>
      <c r="FF190" s="544"/>
      <c r="FG190" s="544"/>
      <c r="FH190" s="544"/>
      <c r="FI190" s="544"/>
      <c r="FJ190" s="544"/>
      <c r="FK190" s="544"/>
      <c r="FL190" s="544"/>
      <c r="FM190" s="544"/>
      <c r="FN190" s="544"/>
      <c r="FO190" s="544"/>
      <c r="FP190" s="544"/>
      <c r="FQ190" s="544"/>
      <c r="FR190" s="544"/>
      <c r="FS190" s="544"/>
      <c r="FT190" s="544"/>
      <c r="FU190" s="544"/>
      <c r="FV190" s="544"/>
      <c r="FW190" s="544"/>
      <c r="FX190" s="544"/>
      <c r="FY190" s="544"/>
      <c r="FZ190" s="544"/>
      <c r="GA190" s="544"/>
      <c r="GB190" s="544"/>
      <c r="GC190" s="544"/>
      <c r="GD190" s="544"/>
      <c r="GE190" s="544"/>
      <c r="GF190" s="544"/>
      <c r="GG190" s="544"/>
      <c r="GH190" s="544"/>
      <c r="GI190" s="544"/>
      <c r="GJ190" s="544"/>
      <c r="GK190" s="544"/>
      <c r="GL190" s="544"/>
      <c r="GM190" s="544"/>
      <c r="GN190" s="544"/>
      <c r="GO190" s="544"/>
      <c r="GP190" s="544"/>
      <c r="GQ190" s="544"/>
      <c r="GR190" s="544"/>
      <c r="GS190" s="544"/>
      <c r="GT190" s="544"/>
      <c r="GU190" s="544"/>
      <c r="GV190" s="544"/>
      <c r="GW190" s="544"/>
      <c r="GX190" s="544"/>
      <c r="GY190" s="544"/>
      <c r="GZ190" s="544"/>
      <c r="HA190" s="544"/>
      <c r="HB190" s="544"/>
      <c r="HC190" s="544"/>
      <c r="HD190" s="544"/>
      <c r="HE190" s="544"/>
      <c r="HF190" s="544"/>
      <c r="HG190" s="544"/>
      <c r="HH190" s="544"/>
      <c r="HI190" s="544"/>
      <c r="HJ190" s="544"/>
      <c r="HK190" s="544"/>
      <c r="HL190" s="544"/>
      <c r="HM190" s="544"/>
      <c r="HN190" s="544"/>
      <c r="HO190" s="544"/>
      <c r="HP190" s="544"/>
      <c r="HQ190" s="544"/>
      <c r="HR190" s="544"/>
      <c r="HS190" s="544"/>
      <c r="HT190" s="544"/>
      <c r="HU190" s="544"/>
      <c r="HV190" s="544"/>
      <c r="HW190" s="544"/>
      <c r="HX190" s="544"/>
      <c r="HY190" s="544"/>
      <c r="HZ190" s="544"/>
      <c r="IA190" s="544"/>
      <c r="IB190" s="544"/>
      <c r="IC190" s="544"/>
      <c r="ID190" s="544"/>
      <c r="IE190" s="544"/>
      <c r="IF190" s="544"/>
      <c r="IG190" s="544"/>
      <c r="IH190" s="544"/>
      <c r="II190" s="544"/>
      <c r="IJ190" s="544"/>
      <c r="IK190" s="544"/>
      <c r="IL190" s="544"/>
      <c r="IM190" s="544"/>
      <c r="IN190" s="544"/>
      <c r="IO190" s="544"/>
      <c r="IP190" s="544"/>
      <c r="IQ190" s="544"/>
      <c r="IR190" s="544"/>
      <c r="IS190" s="544"/>
    </row>
    <row r="191" spans="1:253" x14ac:dyDescent="0.35">
      <c r="A191" s="544"/>
      <c r="B191" s="572"/>
      <c r="C191" s="572"/>
      <c r="E191" s="544"/>
      <c r="F191" s="544"/>
      <c r="G191" s="544"/>
      <c r="H191" s="544"/>
      <c r="I191" s="544"/>
      <c r="J191" s="544"/>
      <c r="K191" s="544"/>
      <c r="AY191" s="544"/>
      <c r="AZ191" s="544"/>
      <c r="BA191" s="544"/>
      <c r="BB191" s="544"/>
      <c r="BC191" s="544"/>
      <c r="BD191" s="544"/>
      <c r="BE191" s="544"/>
      <c r="BF191" s="544"/>
      <c r="BG191" s="544"/>
      <c r="BH191" s="544"/>
      <c r="BI191" s="544"/>
      <c r="BJ191" s="544"/>
      <c r="BK191" s="544"/>
      <c r="BL191" s="544"/>
      <c r="BM191" s="544"/>
      <c r="BN191" s="544"/>
      <c r="BO191" s="544"/>
      <c r="BP191" s="544"/>
      <c r="BQ191" s="544"/>
      <c r="BR191" s="544"/>
      <c r="BS191" s="544"/>
      <c r="BT191" s="544"/>
      <c r="BU191" s="544"/>
      <c r="BV191" s="544"/>
      <c r="BW191" s="544"/>
      <c r="BX191" s="544"/>
      <c r="BY191" s="544"/>
      <c r="BZ191" s="544"/>
      <c r="CA191" s="544"/>
      <c r="CB191" s="544"/>
      <c r="CC191" s="544"/>
      <c r="CD191" s="544"/>
      <c r="CE191" s="544"/>
      <c r="CF191" s="544"/>
      <c r="CG191" s="544"/>
      <c r="CH191" s="544"/>
      <c r="CI191" s="544"/>
      <c r="CJ191" s="544"/>
      <c r="CK191" s="544"/>
      <c r="CL191" s="544"/>
      <c r="CM191" s="544"/>
      <c r="CN191" s="544"/>
      <c r="CO191" s="544"/>
      <c r="CP191" s="544"/>
      <c r="CQ191" s="544"/>
      <c r="CR191" s="544"/>
      <c r="CS191" s="544"/>
      <c r="CT191" s="544"/>
      <c r="CU191" s="544"/>
      <c r="CV191" s="544"/>
      <c r="CW191" s="544"/>
      <c r="CX191" s="544"/>
      <c r="CY191" s="544"/>
      <c r="CZ191" s="544"/>
      <c r="DA191" s="544"/>
      <c r="DB191" s="544"/>
      <c r="DC191" s="544"/>
      <c r="DD191" s="544"/>
      <c r="DE191" s="544"/>
      <c r="DF191" s="544"/>
      <c r="DG191" s="544"/>
      <c r="DH191" s="544"/>
      <c r="DI191" s="544"/>
      <c r="DJ191" s="544"/>
      <c r="DK191" s="544"/>
      <c r="DL191" s="544"/>
      <c r="DM191" s="544"/>
      <c r="DN191" s="544"/>
      <c r="DO191" s="544"/>
      <c r="DP191" s="544"/>
      <c r="DQ191" s="544"/>
      <c r="DR191" s="544"/>
      <c r="DS191" s="544"/>
      <c r="DT191" s="544"/>
      <c r="DU191" s="544"/>
      <c r="DV191" s="544"/>
      <c r="DW191" s="544"/>
      <c r="DX191" s="544"/>
      <c r="DY191" s="544"/>
      <c r="DZ191" s="544"/>
      <c r="EA191" s="544"/>
      <c r="EB191" s="544"/>
      <c r="EC191" s="544"/>
      <c r="ED191" s="544"/>
      <c r="EE191" s="544"/>
      <c r="EF191" s="544"/>
      <c r="EG191" s="544"/>
      <c r="EH191" s="544"/>
      <c r="EI191" s="544"/>
      <c r="EJ191" s="544"/>
      <c r="EK191" s="544"/>
      <c r="EL191" s="544"/>
      <c r="EM191" s="544"/>
      <c r="EN191" s="544"/>
      <c r="EO191" s="544"/>
      <c r="EP191" s="544"/>
      <c r="EQ191" s="544"/>
      <c r="ER191" s="544"/>
      <c r="ES191" s="544"/>
      <c r="ET191" s="544"/>
      <c r="EU191" s="544"/>
      <c r="EV191" s="544"/>
      <c r="EW191" s="544"/>
      <c r="EX191" s="544"/>
      <c r="EY191" s="544"/>
      <c r="EZ191" s="544"/>
      <c r="FA191" s="544"/>
      <c r="FB191" s="544"/>
      <c r="FC191" s="544"/>
      <c r="FD191" s="544"/>
      <c r="FE191" s="544"/>
      <c r="FF191" s="544"/>
      <c r="FG191" s="544"/>
      <c r="FH191" s="544"/>
      <c r="FI191" s="544"/>
      <c r="FJ191" s="544"/>
      <c r="FK191" s="544"/>
      <c r="FL191" s="544"/>
      <c r="FM191" s="544"/>
      <c r="FN191" s="544"/>
      <c r="FO191" s="544"/>
      <c r="FP191" s="544"/>
      <c r="FQ191" s="544"/>
      <c r="FR191" s="544"/>
      <c r="FS191" s="544"/>
      <c r="FT191" s="544"/>
      <c r="FU191" s="544"/>
      <c r="FV191" s="544"/>
      <c r="FW191" s="544"/>
      <c r="FX191" s="544"/>
      <c r="FY191" s="544"/>
      <c r="FZ191" s="544"/>
      <c r="GA191" s="544"/>
      <c r="GB191" s="544"/>
      <c r="GC191" s="544"/>
      <c r="GD191" s="544"/>
      <c r="GE191" s="544"/>
      <c r="GF191" s="544"/>
      <c r="GG191" s="544"/>
      <c r="GH191" s="544"/>
      <c r="GI191" s="544"/>
      <c r="GJ191" s="544"/>
      <c r="GK191" s="544"/>
      <c r="GL191" s="544"/>
      <c r="GM191" s="544"/>
      <c r="GN191" s="544"/>
      <c r="GO191" s="544"/>
      <c r="GP191" s="544"/>
      <c r="GQ191" s="544"/>
      <c r="GR191" s="544"/>
      <c r="GS191" s="544"/>
      <c r="GT191" s="544"/>
      <c r="GU191" s="544"/>
      <c r="GV191" s="544"/>
      <c r="GW191" s="544"/>
      <c r="GX191" s="544"/>
      <c r="GY191" s="544"/>
      <c r="GZ191" s="544"/>
      <c r="HA191" s="544"/>
      <c r="HB191" s="544"/>
      <c r="HC191" s="544"/>
      <c r="HD191" s="544"/>
      <c r="HE191" s="544"/>
      <c r="HF191" s="544"/>
      <c r="HG191" s="544"/>
      <c r="HH191" s="544"/>
      <c r="HI191" s="544"/>
      <c r="HJ191" s="544"/>
      <c r="HK191" s="544"/>
      <c r="HL191" s="544"/>
      <c r="HM191" s="544"/>
      <c r="HN191" s="544"/>
      <c r="HO191" s="544"/>
      <c r="HP191" s="544"/>
      <c r="HQ191" s="544"/>
      <c r="HR191" s="544"/>
      <c r="HS191" s="544"/>
      <c r="HT191" s="544"/>
      <c r="HU191" s="544"/>
      <c r="HV191" s="544"/>
      <c r="HW191" s="544"/>
      <c r="HX191" s="544"/>
      <c r="HY191" s="544"/>
      <c r="HZ191" s="544"/>
      <c r="IA191" s="544"/>
      <c r="IB191" s="544"/>
      <c r="IC191" s="544"/>
      <c r="ID191" s="544"/>
      <c r="IE191" s="544"/>
      <c r="IF191" s="544"/>
      <c r="IG191" s="544"/>
      <c r="IH191" s="544"/>
      <c r="II191" s="544"/>
      <c r="IJ191" s="544"/>
      <c r="IK191" s="544"/>
      <c r="IL191" s="544"/>
      <c r="IM191" s="544"/>
      <c r="IN191" s="544"/>
      <c r="IO191" s="544"/>
      <c r="IP191" s="544"/>
      <c r="IQ191" s="544"/>
      <c r="IR191" s="544"/>
      <c r="IS191" s="544"/>
    </row>
    <row r="192" spans="1:253" x14ac:dyDescent="0.35">
      <c r="A192" s="544"/>
      <c r="B192" s="572"/>
      <c r="C192" s="572"/>
      <c r="E192" s="544"/>
      <c r="F192" s="544"/>
      <c r="G192" s="544"/>
      <c r="H192" s="544"/>
      <c r="I192" s="544"/>
      <c r="J192" s="544"/>
      <c r="K192" s="544"/>
      <c r="AY192" s="544"/>
      <c r="AZ192" s="544"/>
      <c r="BA192" s="544"/>
      <c r="BB192" s="544"/>
      <c r="BC192" s="544"/>
      <c r="BD192" s="544"/>
      <c r="BE192" s="544"/>
      <c r="BF192" s="544"/>
      <c r="BG192" s="544"/>
      <c r="BH192" s="544"/>
      <c r="BI192" s="544"/>
      <c r="BJ192" s="544"/>
      <c r="BK192" s="544"/>
      <c r="BL192" s="544"/>
      <c r="BM192" s="544"/>
      <c r="BN192" s="544"/>
      <c r="BO192" s="544"/>
      <c r="BP192" s="544"/>
      <c r="BQ192" s="544"/>
      <c r="BR192" s="544"/>
      <c r="BS192" s="544"/>
      <c r="BT192" s="544"/>
      <c r="BU192" s="544"/>
      <c r="BV192" s="544"/>
      <c r="BW192" s="544"/>
      <c r="BX192" s="544"/>
      <c r="BY192" s="544"/>
      <c r="BZ192" s="544"/>
      <c r="CA192" s="544"/>
      <c r="CB192" s="544"/>
      <c r="CC192" s="544"/>
      <c r="CD192" s="544"/>
      <c r="CE192" s="544"/>
      <c r="CF192" s="544"/>
      <c r="CG192" s="544"/>
      <c r="CH192" s="544"/>
      <c r="CI192" s="544"/>
      <c r="CJ192" s="544"/>
      <c r="CK192" s="544"/>
      <c r="CL192" s="544"/>
      <c r="CM192" s="544"/>
      <c r="CN192" s="544"/>
      <c r="CO192" s="544"/>
      <c r="CP192" s="544"/>
      <c r="CQ192" s="544"/>
      <c r="CR192" s="544"/>
      <c r="CS192" s="544"/>
      <c r="CT192" s="544"/>
      <c r="CU192" s="544"/>
      <c r="CV192" s="544"/>
      <c r="CW192" s="544"/>
      <c r="CX192" s="544"/>
      <c r="CY192" s="544"/>
      <c r="CZ192" s="544"/>
      <c r="DA192" s="544"/>
      <c r="DB192" s="544"/>
      <c r="DC192" s="544"/>
      <c r="DD192" s="544"/>
      <c r="DE192" s="544"/>
      <c r="DF192" s="544"/>
      <c r="DG192" s="544"/>
      <c r="DH192" s="544"/>
      <c r="DI192" s="544"/>
      <c r="DJ192" s="544"/>
      <c r="DK192" s="544"/>
      <c r="DL192" s="544"/>
      <c r="DM192" s="544"/>
      <c r="DN192" s="544"/>
      <c r="DO192" s="544"/>
      <c r="DP192" s="544"/>
      <c r="DQ192" s="544"/>
      <c r="DR192" s="544"/>
      <c r="DS192" s="544"/>
      <c r="DT192" s="544"/>
      <c r="DU192" s="544"/>
      <c r="DV192" s="544"/>
      <c r="DW192" s="544"/>
      <c r="DX192" s="544"/>
      <c r="DY192" s="544"/>
      <c r="DZ192" s="544"/>
      <c r="EA192" s="544"/>
      <c r="EB192" s="544"/>
      <c r="EC192" s="544"/>
      <c r="ED192" s="544"/>
      <c r="EE192" s="544"/>
      <c r="EF192" s="544"/>
      <c r="EG192" s="544"/>
      <c r="EH192" s="544"/>
      <c r="EI192" s="544"/>
      <c r="EJ192" s="544"/>
      <c r="EK192" s="544"/>
      <c r="EL192" s="544"/>
      <c r="EM192" s="544"/>
      <c r="EN192" s="544"/>
      <c r="EO192" s="544"/>
      <c r="EP192" s="544"/>
      <c r="EQ192" s="544"/>
      <c r="ER192" s="544"/>
      <c r="ES192" s="544"/>
      <c r="ET192" s="544"/>
      <c r="EU192" s="544"/>
      <c r="EV192" s="544"/>
      <c r="EW192" s="544"/>
      <c r="EX192" s="544"/>
      <c r="EY192" s="544"/>
      <c r="EZ192" s="544"/>
      <c r="FA192" s="544"/>
      <c r="FB192" s="544"/>
      <c r="FC192" s="544"/>
      <c r="FD192" s="544"/>
      <c r="FE192" s="544"/>
      <c r="FF192" s="544"/>
      <c r="FG192" s="544"/>
      <c r="FH192" s="544"/>
      <c r="FI192" s="544"/>
      <c r="FJ192" s="544"/>
      <c r="FK192" s="544"/>
      <c r="FL192" s="544"/>
      <c r="FM192" s="544"/>
      <c r="FN192" s="544"/>
      <c r="FO192" s="544"/>
      <c r="FP192" s="544"/>
      <c r="FQ192" s="544"/>
      <c r="FR192" s="544"/>
      <c r="FS192" s="544"/>
      <c r="FT192" s="544"/>
      <c r="FU192" s="544"/>
      <c r="FV192" s="544"/>
      <c r="FW192" s="544"/>
      <c r="FX192" s="544"/>
      <c r="FY192" s="544"/>
      <c r="FZ192" s="544"/>
      <c r="GA192" s="544"/>
      <c r="GB192" s="544"/>
      <c r="GC192" s="544"/>
      <c r="GD192" s="544"/>
      <c r="GE192" s="544"/>
      <c r="GF192" s="544"/>
      <c r="GG192" s="544"/>
      <c r="GH192" s="544"/>
      <c r="GI192" s="544"/>
      <c r="GJ192" s="544"/>
      <c r="GK192" s="544"/>
      <c r="GL192" s="544"/>
      <c r="GM192" s="544"/>
      <c r="GN192" s="544"/>
      <c r="GO192" s="544"/>
      <c r="GP192" s="544"/>
      <c r="GQ192" s="544"/>
      <c r="GR192" s="544"/>
      <c r="GS192" s="544"/>
      <c r="GT192" s="544"/>
      <c r="GU192" s="544"/>
      <c r="GV192" s="544"/>
      <c r="GW192" s="544"/>
      <c r="GX192" s="544"/>
      <c r="GY192" s="544"/>
      <c r="GZ192" s="544"/>
      <c r="HA192" s="544"/>
      <c r="HB192" s="544"/>
      <c r="HC192" s="544"/>
      <c r="HD192" s="544"/>
      <c r="HE192" s="544"/>
      <c r="HF192" s="544"/>
      <c r="HG192" s="544"/>
      <c r="HH192" s="544"/>
      <c r="HI192" s="544"/>
      <c r="HJ192" s="544"/>
      <c r="HK192" s="544"/>
      <c r="HL192" s="544"/>
      <c r="HM192" s="544"/>
      <c r="HN192" s="544"/>
      <c r="HO192" s="544"/>
      <c r="HP192" s="544"/>
      <c r="HQ192" s="544"/>
      <c r="HR192" s="544"/>
      <c r="HS192" s="544"/>
      <c r="HT192" s="544"/>
      <c r="HU192" s="544"/>
      <c r="HV192" s="544"/>
      <c r="HW192" s="544"/>
      <c r="HX192" s="544"/>
      <c r="HY192" s="544"/>
      <c r="HZ192" s="544"/>
      <c r="IA192" s="544"/>
      <c r="IB192" s="544"/>
      <c r="IC192" s="544"/>
      <c r="ID192" s="544"/>
      <c r="IE192" s="544"/>
      <c r="IF192" s="544"/>
      <c r="IG192" s="544"/>
      <c r="IH192" s="544"/>
      <c r="II192" s="544"/>
      <c r="IJ192" s="544"/>
      <c r="IK192" s="544"/>
      <c r="IL192" s="544"/>
      <c r="IM192" s="544"/>
      <c r="IN192" s="544"/>
      <c r="IO192" s="544"/>
      <c r="IP192" s="544"/>
      <c r="IQ192" s="544"/>
      <c r="IR192" s="544"/>
      <c r="IS192" s="544"/>
    </row>
    <row r="193" spans="1:253" x14ac:dyDescent="0.35">
      <c r="A193" s="544"/>
      <c r="B193" s="572"/>
      <c r="C193" s="572"/>
      <c r="E193" s="544"/>
      <c r="F193" s="544"/>
      <c r="G193" s="544"/>
      <c r="H193" s="544"/>
      <c r="I193" s="544"/>
      <c r="J193" s="544"/>
      <c r="K193" s="544"/>
      <c r="AY193" s="544"/>
      <c r="AZ193" s="544"/>
      <c r="BA193" s="544"/>
      <c r="BB193" s="544"/>
      <c r="BC193" s="544"/>
      <c r="BD193" s="544"/>
      <c r="BE193" s="544"/>
      <c r="BF193" s="544"/>
      <c r="BG193" s="544"/>
      <c r="BH193" s="544"/>
      <c r="BI193" s="544"/>
      <c r="BJ193" s="544"/>
      <c r="BK193" s="544"/>
      <c r="BL193" s="544"/>
      <c r="BM193" s="544"/>
      <c r="BN193" s="544"/>
      <c r="BO193" s="544"/>
      <c r="BP193" s="544"/>
      <c r="BQ193" s="544"/>
      <c r="BR193" s="544"/>
      <c r="BS193" s="544"/>
      <c r="BT193" s="544"/>
      <c r="BU193" s="544"/>
      <c r="BV193" s="544"/>
      <c r="BW193" s="544"/>
      <c r="BX193" s="544"/>
      <c r="BY193" s="544"/>
      <c r="BZ193" s="544"/>
      <c r="CA193" s="544"/>
      <c r="CB193" s="544"/>
      <c r="CC193" s="544"/>
      <c r="CD193" s="544"/>
      <c r="CE193" s="544"/>
      <c r="CF193" s="544"/>
      <c r="CG193" s="544"/>
      <c r="CH193" s="544"/>
      <c r="CI193" s="544"/>
      <c r="CJ193" s="544"/>
      <c r="CK193" s="544"/>
      <c r="CL193" s="544"/>
      <c r="CM193" s="544"/>
      <c r="CN193" s="544"/>
      <c r="CO193" s="544"/>
      <c r="CP193" s="544"/>
      <c r="CQ193" s="544"/>
      <c r="CR193" s="544"/>
      <c r="CS193" s="544"/>
      <c r="CT193" s="544"/>
      <c r="CU193" s="544"/>
      <c r="CV193" s="544"/>
      <c r="CW193" s="544"/>
      <c r="CX193" s="544"/>
      <c r="CY193" s="544"/>
      <c r="CZ193" s="544"/>
      <c r="DA193" s="544"/>
      <c r="DB193" s="544"/>
      <c r="DC193" s="544"/>
      <c r="DD193" s="544"/>
      <c r="DE193" s="544"/>
      <c r="DF193" s="544"/>
      <c r="DG193" s="544"/>
      <c r="DH193" s="544"/>
      <c r="DI193" s="544"/>
      <c r="DJ193" s="544"/>
      <c r="DK193" s="544"/>
      <c r="DL193" s="544"/>
      <c r="DM193" s="544"/>
      <c r="DN193" s="544"/>
      <c r="DO193" s="544"/>
      <c r="DP193" s="544"/>
      <c r="DQ193" s="544"/>
      <c r="DR193" s="544"/>
      <c r="DS193" s="544"/>
      <c r="DT193" s="544"/>
      <c r="DU193" s="544"/>
      <c r="DV193" s="544"/>
      <c r="DW193" s="544"/>
      <c r="DX193" s="544"/>
      <c r="DY193" s="544"/>
      <c r="DZ193" s="544"/>
      <c r="EA193" s="544"/>
      <c r="EB193" s="544"/>
      <c r="EC193" s="544"/>
      <c r="ED193" s="544"/>
      <c r="EE193" s="544"/>
      <c r="EF193" s="544"/>
      <c r="EG193" s="544"/>
      <c r="EH193" s="544"/>
      <c r="EI193" s="544"/>
      <c r="EJ193" s="544"/>
      <c r="EK193" s="544"/>
      <c r="EL193" s="544"/>
      <c r="EM193" s="544"/>
      <c r="EN193" s="544"/>
      <c r="EO193" s="544"/>
      <c r="EP193" s="544"/>
      <c r="EQ193" s="544"/>
      <c r="ER193" s="544"/>
      <c r="ES193" s="544"/>
      <c r="ET193" s="544"/>
      <c r="EU193" s="544"/>
      <c r="EV193" s="544"/>
      <c r="EW193" s="544"/>
      <c r="EX193" s="544"/>
      <c r="EY193" s="544"/>
      <c r="EZ193" s="544"/>
      <c r="FA193" s="544"/>
      <c r="FB193" s="544"/>
      <c r="FC193" s="544"/>
      <c r="FD193" s="544"/>
      <c r="FE193" s="544"/>
      <c r="FF193" s="544"/>
      <c r="FG193" s="544"/>
      <c r="FH193" s="544"/>
      <c r="FI193" s="544"/>
      <c r="FJ193" s="544"/>
      <c r="FK193" s="544"/>
      <c r="FL193" s="544"/>
      <c r="FM193" s="544"/>
      <c r="FN193" s="544"/>
      <c r="FO193" s="544"/>
      <c r="FP193" s="544"/>
      <c r="FQ193" s="544"/>
      <c r="FR193" s="544"/>
      <c r="FS193" s="544"/>
      <c r="FT193" s="544"/>
      <c r="FU193" s="544"/>
      <c r="FV193" s="544"/>
      <c r="FW193" s="544"/>
      <c r="FX193" s="544"/>
      <c r="FY193" s="544"/>
      <c r="FZ193" s="544"/>
      <c r="GA193" s="544"/>
      <c r="GB193" s="544"/>
      <c r="GC193" s="544"/>
      <c r="GD193" s="544"/>
      <c r="GE193" s="544"/>
      <c r="GF193" s="544"/>
      <c r="GG193" s="544"/>
      <c r="GH193" s="544"/>
      <c r="GI193" s="544"/>
      <c r="GJ193" s="544"/>
      <c r="GK193" s="544"/>
      <c r="GL193" s="544"/>
      <c r="GM193" s="544"/>
      <c r="GN193" s="544"/>
      <c r="GO193" s="544"/>
      <c r="GP193" s="544"/>
      <c r="GQ193" s="544"/>
      <c r="GR193" s="544"/>
      <c r="GS193" s="544"/>
      <c r="GT193" s="544"/>
      <c r="GU193" s="544"/>
      <c r="GV193" s="544"/>
      <c r="GW193" s="544"/>
      <c r="GX193" s="544"/>
      <c r="GY193" s="544"/>
      <c r="GZ193" s="544"/>
      <c r="HA193" s="544"/>
      <c r="HB193" s="544"/>
      <c r="HC193" s="544"/>
      <c r="HD193" s="544"/>
      <c r="HE193" s="544"/>
      <c r="HF193" s="544"/>
      <c r="HG193" s="544"/>
      <c r="HH193" s="544"/>
      <c r="HI193" s="544"/>
      <c r="HJ193" s="544"/>
      <c r="HK193" s="544"/>
      <c r="HL193" s="544"/>
      <c r="HM193" s="544"/>
      <c r="HN193" s="544"/>
      <c r="HO193" s="544"/>
      <c r="HP193" s="544"/>
      <c r="HQ193" s="544"/>
      <c r="HR193" s="544"/>
      <c r="HS193" s="544"/>
      <c r="HT193" s="544"/>
      <c r="HU193" s="544"/>
      <c r="HV193" s="544"/>
      <c r="HW193" s="544"/>
      <c r="HX193" s="544"/>
      <c r="HY193" s="544"/>
      <c r="HZ193" s="544"/>
      <c r="IA193" s="544"/>
      <c r="IB193" s="544"/>
      <c r="IC193" s="544"/>
      <c r="ID193" s="544"/>
      <c r="IE193" s="544"/>
      <c r="IF193" s="544"/>
      <c r="IG193" s="544"/>
      <c r="IH193" s="544"/>
      <c r="II193" s="544"/>
      <c r="IJ193" s="544"/>
      <c r="IK193" s="544"/>
      <c r="IL193" s="544"/>
      <c r="IM193" s="544"/>
      <c r="IN193" s="544"/>
      <c r="IO193" s="544"/>
      <c r="IP193" s="544"/>
      <c r="IQ193" s="544"/>
      <c r="IR193" s="544"/>
      <c r="IS193" s="544"/>
    </row>
    <row r="194" spans="1:253" x14ac:dyDescent="0.35">
      <c r="A194" s="544"/>
      <c r="B194" s="572"/>
      <c r="C194" s="572"/>
      <c r="E194" s="544"/>
      <c r="F194" s="544"/>
      <c r="G194" s="544"/>
      <c r="H194" s="544"/>
      <c r="I194" s="544"/>
      <c r="J194" s="544"/>
      <c r="K194" s="544"/>
      <c r="AY194" s="544"/>
      <c r="AZ194" s="544"/>
      <c r="BA194" s="544"/>
      <c r="BB194" s="544"/>
      <c r="BC194" s="544"/>
      <c r="BD194" s="544"/>
      <c r="BE194" s="544"/>
      <c r="BF194" s="544"/>
      <c r="BG194" s="544"/>
      <c r="BH194" s="544"/>
      <c r="BI194" s="544"/>
      <c r="BJ194" s="544"/>
      <c r="BK194" s="544"/>
      <c r="BL194" s="544"/>
      <c r="BM194" s="544"/>
      <c r="BN194" s="544"/>
      <c r="BO194" s="544"/>
      <c r="BP194" s="544"/>
      <c r="BQ194" s="544"/>
      <c r="BR194" s="544"/>
      <c r="BS194" s="544"/>
      <c r="BT194" s="544"/>
      <c r="BU194" s="544"/>
      <c r="BV194" s="544"/>
      <c r="BW194" s="544"/>
      <c r="BX194" s="544"/>
      <c r="BY194" s="544"/>
      <c r="BZ194" s="544"/>
      <c r="CA194" s="544"/>
      <c r="CB194" s="544"/>
      <c r="CC194" s="544"/>
      <c r="CD194" s="544"/>
      <c r="CE194" s="544"/>
      <c r="CF194" s="544"/>
      <c r="CG194" s="544"/>
      <c r="CH194" s="544"/>
      <c r="CI194" s="544"/>
      <c r="CJ194" s="544"/>
      <c r="CK194" s="544"/>
      <c r="CL194" s="544"/>
      <c r="CM194" s="544"/>
      <c r="CN194" s="544"/>
      <c r="CO194" s="544"/>
      <c r="CP194" s="544"/>
      <c r="CQ194" s="544"/>
      <c r="CR194" s="544"/>
      <c r="CS194" s="544"/>
      <c r="CT194" s="544"/>
      <c r="CU194" s="544"/>
      <c r="CV194" s="544"/>
      <c r="CW194" s="544"/>
      <c r="CX194" s="544"/>
      <c r="CY194" s="544"/>
      <c r="CZ194" s="544"/>
      <c r="DA194" s="544"/>
      <c r="DB194" s="544"/>
      <c r="DC194" s="544"/>
      <c r="DD194" s="544"/>
      <c r="DE194" s="544"/>
      <c r="DF194" s="544"/>
      <c r="DG194" s="544"/>
      <c r="DH194" s="544"/>
      <c r="DI194" s="544"/>
      <c r="DJ194" s="544"/>
      <c r="DK194" s="544"/>
      <c r="DL194" s="544"/>
      <c r="DM194" s="544"/>
      <c r="DN194" s="544"/>
      <c r="DO194" s="544"/>
      <c r="DP194" s="544"/>
      <c r="DQ194" s="544"/>
      <c r="DR194" s="544"/>
      <c r="DS194" s="544"/>
      <c r="DT194" s="544"/>
      <c r="DU194" s="544"/>
      <c r="DV194" s="544"/>
      <c r="DW194" s="544"/>
      <c r="DX194" s="544"/>
      <c r="DY194" s="544"/>
      <c r="DZ194" s="544"/>
      <c r="EA194" s="544"/>
      <c r="EB194" s="544"/>
      <c r="EC194" s="544"/>
      <c r="ED194" s="544"/>
      <c r="EE194" s="544"/>
      <c r="EF194" s="544"/>
      <c r="EG194" s="544"/>
      <c r="EH194" s="544"/>
      <c r="EI194" s="544"/>
      <c r="EJ194" s="544"/>
      <c r="EK194" s="544"/>
      <c r="EL194" s="544"/>
      <c r="EM194" s="544"/>
      <c r="EN194" s="544"/>
      <c r="EO194" s="544"/>
      <c r="EP194" s="544"/>
      <c r="EQ194" s="544"/>
      <c r="ER194" s="544"/>
      <c r="ES194" s="544"/>
      <c r="ET194" s="544"/>
      <c r="EU194" s="544"/>
      <c r="EV194" s="544"/>
      <c r="EW194" s="544"/>
      <c r="EX194" s="544"/>
      <c r="EY194" s="544"/>
      <c r="EZ194" s="544"/>
      <c r="FA194" s="544"/>
      <c r="FB194" s="544"/>
      <c r="FC194" s="544"/>
      <c r="FD194" s="544"/>
      <c r="FE194" s="544"/>
      <c r="FF194" s="544"/>
      <c r="FG194" s="544"/>
      <c r="FH194" s="544"/>
      <c r="FI194" s="544"/>
      <c r="FJ194" s="544"/>
      <c r="FK194" s="544"/>
      <c r="FL194" s="544"/>
      <c r="FM194" s="544"/>
      <c r="FN194" s="544"/>
      <c r="FO194" s="544"/>
      <c r="FP194" s="544"/>
      <c r="FQ194" s="544"/>
      <c r="FR194" s="544"/>
      <c r="FS194" s="544"/>
      <c r="FT194" s="544"/>
      <c r="FU194" s="544"/>
      <c r="FV194" s="544"/>
      <c r="FW194" s="544"/>
      <c r="FX194" s="544"/>
      <c r="FY194" s="544"/>
      <c r="FZ194" s="544"/>
      <c r="GA194" s="544"/>
      <c r="GB194" s="544"/>
      <c r="GC194" s="544"/>
      <c r="GD194" s="544"/>
      <c r="GE194" s="544"/>
      <c r="GF194" s="544"/>
      <c r="GG194" s="544"/>
      <c r="GH194" s="544"/>
      <c r="GI194" s="544"/>
      <c r="GJ194" s="544"/>
      <c r="GK194" s="544"/>
      <c r="GL194" s="544"/>
      <c r="GM194" s="544"/>
      <c r="GN194" s="544"/>
      <c r="GO194" s="544"/>
      <c r="GP194" s="544"/>
      <c r="GQ194" s="544"/>
      <c r="GR194" s="544"/>
      <c r="GS194" s="544"/>
      <c r="GT194" s="544"/>
      <c r="GU194" s="544"/>
      <c r="GV194" s="544"/>
      <c r="GW194" s="544"/>
      <c r="GX194" s="544"/>
      <c r="GY194" s="544"/>
      <c r="GZ194" s="544"/>
      <c r="HA194" s="544"/>
      <c r="HB194" s="544"/>
      <c r="HC194" s="544"/>
      <c r="HD194" s="544"/>
      <c r="HE194" s="544"/>
      <c r="HF194" s="544"/>
      <c r="HG194" s="544"/>
      <c r="HH194" s="544"/>
      <c r="HI194" s="544"/>
      <c r="HJ194" s="544"/>
      <c r="HK194" s="544"/>
      <c r="HL194" s="544"/>
      <c r="HM194" s="544"/>
      <c r="HN194" s="544"/>
      <c r="HO194" s="544"/>
      <c r="HP194" s="544"/>
      <c r="HQ194" s="544"/>
      <c r="HR194" s="544"/>
      <c r="HS194" s="544"/>
      <c r="HT194" s="544"/>
      <c r="HU194" s="544"/>
      <c r="HV194" s="544"/>
      <c r="HW194" s="544"/>
      <c r="HX194" s="544"/>
      <c r="HY194" s="544"/>
      <c r="HZ194" s="544"/>
      <c r="IA194" s="544"/>
      <c r="IB194" s="544"/>
      <c r="IC194" s="544"/>
      <c r="ID194" s="544"/>
      <c r="IE194" s="544"/>
      <c r="IF194" s="544"/>
      <c r="IG194" s="544"/>
      <c r="IH194" s="544"/>
      <c r="II194" s="544"/>
      <c r="IJ194" s="544"/>
      <c r="IK194" s="544"/>
      <c r="IL194" s="544"/>
      <c r="IM194" s="544"/>
      <c r="IN194" s="544"/>
      <c r="IO194" s="544"/>
      <c r="IP194" s="544"/>
      <c r="IQ194" s="544"/>
      <c r="IR194" s="544"/>
      <c r="IS194" s="544"/>
    </row>
    <row r="195" spans="1:253" x14ac:dyDescent="0.35">
      <c r="A195" s="544"/>
      <c r="B195" s="572"/>
      <c r="C195" s="572"/>
      <c r="E195" s="544"/>
      <c r="F195" s="544"/>
      <c r="G195" s="544"/>
      <c r="H195" s="544"/>
      <c r="I195" s="544"/>
      <c r="J195" s="544"/>
      <c r="K195" s="544"/>
      <c r="AY195" s="544"/>
      <c r="AZ195" s="544"/>
      <c r="BA195" s="544"/>
      <c r="BB195" s="544"/>
      <c r="BC195" s="544"/>
      <c r="BD195" s="544"/>
      <c r="BE195" s="544"/>
      <c r="BF195" s="544"/>
      <c r="BG195" s="544"/>
      <c r="BH195" s="544"/>
      <c r="BI195" s="544"/>
      <c r="BJ195" s="544"/>
      <c r="BK195" s="544"/>
      <c r="BL195" s="544"/>
      <c r="BM195" s="544"/>
      <c r="BN195" s="544"/>
      <c r="BO195" s="544"/>
      <c r="BP195" s="544"/>
      <c r="BQ195" s="544"/>
      <c r="BR195" s="544"/>
      <c r="BS195" s="544"/>
      <c r="BT195" s="544"/>
      <c r="BU195" s="544"/>
      <c r="BV195" s="544"/>
      <c r="BW195" s="544"/>
      <c r="BX195" s="544"/>
      <c r="BY195" s="544"/>
      <c r="BZ195" s="544"/>
      <c r="CA195" s="544"/>
      <c r="CB195" s="544"/>
      <c r="CC195" s="544"/>
      <c r="CD195" s="544"/>
      <c r="CE195" s="544"/>
      <c r="CF195" s="544"/>
      <c r="CG195" s="544"/>
      <c r="CH195" s="544"/>
      <c r="CI195" s="544"/>
      <c r="CJ195" s="544"/>
      <c r="CK195" s="544"/>
      <c r="CL195" s="544"/>
      <c r="CM195" s="544"/>
      <c r="CN195" s="544"/>
      <c r="CO195" s="544"/>
      <c r="CP195" s="544"/>
      <c r="CQ195" s="544"/>
      <c r="CR195" s="544"/>
      <c r="CS195" s="544"/>
      <c r="CT195" s="544"/>
      <c r="CU195" s="544"/>
      <c r="CV195" s="544"/>
      <c r="CW195" s="544"/>
      <c r="CX195" s="544"/>
      <c r="CY195" s="544"/>
      <c r="CZ195" s="544"/>
      <c r="DA195" s="544"/>
      <c r="DB195" s="544"/>
      <c r="DC195" s="544"/>
      <c r="DD195" s="544"/>
      <c r="DE195" s="544"/>
      <c r="DF195" s="544"/>
      <c r="DG195" s="544"/>
      <c r="DH195" s="544"/>
      <c r="DI195" s="544"/>
      <c r="DJ195" s="544"/>
      <c r="DK195" s="544"/>
      <c r="DL195" s="544"/>
      <c r="DM195" s="544"/>
      <c r="DN195" s="544"/>
      <c r="DO195" s="544"/>
      <c r="DP195" s="544"/>
      <c r="DQ195" s="544"/>
      <c r="DR195" s="544"/>
      <c r="DS195" s="544"/>
      <c r="DT195" s="544"/>
      <c r="DU195" s="544"/>
      <c r="DV195" s="544"/>
      <c r="DW195" s="544"/>
      <c r="DX195" s="544"/>
      <c r="DY195" s="544"/>
      <c r="DZ195" s="544"/>
      <c r="EA195" s="544"/>
      <c r="EB195" s="544"/>
      <c r="EC195" s="544"/>
      <c r="ED195" s="544"/>
      <c r="EE195" s="544"/>
      <c r="EF195" s="544"/>
      <c r="EG195" s="544"/>
      <c r="EH195" s="544"/>
      <c r="EI195" s="544"/>
      <c r="EJ195" s="544"/>
      <c r="EK195" s="544"/>
      <c r="EL195" s="544"/>
      <c r="EM195" s="544"/>
      <c r="EN195" s="544"/>
      <c r="EO195" s="544"/>
      <c r="EP195" s="544"/>
      <c r="EQ195" s="544"/>
      <c r="ER195" s="544"/>
      <c r="ES195" s="544"/>
      <c r="ET195" s="544"/>
      <c r="EU195" s="544"/>
      <c r="EV195" s="544"/>
      <c r="EW195" s="544"/>
      <c r="EX195" s="544"/>
      <c r="EY195" s="544"/>
      <c r="EZ195" s="544"/>
      <c r="FA195" s="544"/>
      <c r="FB195" s="544"/>
      <c r="FC195" s="544"/>
      <c r="FD195" s="544"/>
      <c r="FE195" s="544"/>
      <c r="FF195" s="544"/>
      <c r="FG195" s="544"/>
      <c r="FH195" s="544"/>
      <c r="FI195" s="544"/>
      <c r="FJ195" s="544"/>
      <c r="FK195" s="544"/>
      <c r="FL195" s="544"/>
      <c r="FM195" s="544"/>
      <c r="FN195" s="544"/>
      <c r="FO195" s="544"/>
      <c r="FP195" s="544"/>
      <c r="FQ195" s="544"/>
      <c r="FR195" s="544"/>
      <c r="FS195" s="544"/>
      <c r="FT195" s="544"/>
      <c r="FU195" s="544"/>
      <c r="FV195" s="544"/>
      <c r="FW195" s="544"/>
      <c r="FX195" s="544"/>
      <c r="FY195" s="544"/>
      <c r="FZ195" s="544"/>
      <c r="GA195" s="544"/>
      <c r="GB195" s="544"/>
      <c r="GC195" s="544"/>
      <c r="GD195" s="544"/>
      <c r="GE195" s="544"/>
      <c r="GF195" s="544"/>
      <c r="GG195" s="544"/>
      <c r="GH195" s="544"/>
      <c r="GI195" s="544"/>
      <c r="GJ195" s="544"/>
      <c r="GK195" s="544"/>
      <c r="GL195" s="544"/>
      <c r="GM195" s="544"/>
      <c r="GN195" s="544"/>
      <c r="GO195" s="544"/>
      <c r="GP195" s="544"/>
      <c r="GQ195" s="544"/>
      <c r="GR195" s="544"/>
      <c r="GS195" s="544"/>
      <c r="GT195" s="544"/>
      <c r="GU195" s="544"/>
      <c r="GV195" s="544"/>
      <c r="GW195" s="544"/>
      <c r="GX195" s="544"/>
      <c r="GY195" s="544"/>
      <c r="GZ195" s="544"/>
      <c r="HA195" s="544"/>
      <c r="HB195" s="544"/>
      <c r="HC195" s="544"/>
      <c r="HD195" s="544"/>
      <c r="HE195" s="544"/>
      <c r="HF195" s="544"/>
      <c r="HG195" s="544"/>
      <c r="HH195" s="544"/>
      <c r="HI195" s="544"/>
      <c r="HJ195" s="544"/>
      <c r="HK195" s="544"/>
      <c r="HL195" s="544"/>
      <c r="HM195" s="544"/>
      <c r="HN195" s="544"/>
      <c r="HO195" s="544"/>
      <c r="HP195" s="544"/>
      <c r="HQ195" s="544"/>
      <c r="HR195" s="544"/>
      <c r="HS195" s="544"/>
      <c r="HT195" s="544"/>
      <c r="HU195" s="544"/>
      <c r="HV195" s="544"/>
      <c r="HW195" s="544"/>
      <c r="HX195" s="544"/>
      <c r="HY195" s="544"/>
      <c r="HZ195" s="544"/>
      <c r="IA195" s="544"/>
      <c r="IB195" s="544"/>
      <c r="IC195" s="544"/>
      <c r="ID195" s="544"/>
      <c r="IE195" s="544"/>
      <c r="IF195" s="544"/>
      <c r="IG195" s="544"/>
      <c r="IH195" s="544"/>
      <c r="II195" s="544"/>
      <c r="IJ195" s="544"/>
      <c r="IK195" s="544"/>
      <c r="IL195" s="544"/>
      <c r="IM195" s="544"/>
      <c r="IN195" s="544"/>
      <c r="IO195" s="544"/>
      <c r="IP195" s="544"/>
      <c r="IQ195" s="544"/>
      <c r="IR195" s="544"/>
      <c r="IS195" s="544"/>
    </row>
    <row r="196" spans="1:253" x14ac:dyDescent="0.35">
      <c r="A196" s="544"/>
      <c r="B196" s="572"/>
      <c r="C196" s="572"/>
      <c r="E196" s="544"/>
      <c r="F196" s="544"/>
      <c r="G196" s="544"/>
      <c r="H196" s="544"/>
      <c r="I196" s="544"/>
      <c r="J196" s="544"/>
      <c r="K196" s="544"/>
      <c r="AY196" s="544"/>
      <c r="AZ196" s="544"/>
      <c r="BA196" s="544"/>
      <c r="BB196" s="544"/>
      <c r="BC196" s="544"/>
      <c r="BD196" s="544"/>
      <c r="BE196" s="544"/>
      <c r="BF196" s="544"/>
      <c r="BG196" s="544"/>
      <c r="BH196" s="544"/>
      <c r="BI196" s="544"/>
      <c r="BJ196" s="544"/>
      <c r="BK196" s="544"/>
      <c r="BL196" s="544"/>
      <c r="BM196" s="544"/>
      <c r="BN196" s="544"/>
      <c r="BO196" s="544"/>
      <c r="BP196" s="544"/>
      <c r="BQ196" s="544"/>
      <c r="BR196" s="544"/>
      <c r="BS196" s="544"/>
      <c r="BT196" s="544"/>
      <c r="BU196" s="544"/>
      <c r="BV196" s="544"/>
      <c r="BW196" s="544"/>
      <c r="BX196" s="544"/>
      <c r="BY196" s="544"/>
      <c r="BZ196" s="544"/>
      <c r="CA196" s="544"/>
      <c r="CB196" s="544"/>
      <c r="CC196" s="544"/>
      <c r="CD196" s="544"/>
      <c r="CE196" s="544"/>
      <c r="CF196" s="544"/>
      <c r="CG196" s="544"/>
      <c r="CH196" s="544"/>
      <c r="CI196" s="544"/>
      <c r="CJ196" s="544"/>
      <c r="CK196" s="544"/>
      <c r="CL196" s="544"/>
      <c r="CM196" s="544"/>
      <c r="CN196" s="544"/>
      <c r="CO196" s="544"/>
      <c r="CP196" s="544"/>
      <c r="CQ196" s="544"/>
      <c r="CR196" s="544"/>
      <c r="CS196" s="544"/>
      <c r="CT196" s="544"/>
      <c r="CU196" s="544"/>
      <c r="CV196" s="544"/>
      <c r="CW196" s="544"/>
      <c r="CX196" s="544"/>
      <c r="CY196" s="544"/>
      <c r="CZ196" s="544"/>
      <c r="DA196" s="544"/>
      <c r="DB196" s="544"/>
      <c r="DC196" s="544"/>
      <c r="DD196" s="544"/>
      <c r="DE196" s="544"/>
      <c r="DF196" s="544"/>
      <c r="DG196" s="544"/>
      <c r="DH196" s="544"/>
      <c r="DI196" s="544"/>
      <c r="DJ196" s="544"/>
      <c r="DK196" s="544"/>
      <c r="DL196" s="544"/>
      <c r="DM196" s="544"/>
      <c r="DN196" s="544"/>
      <c r="DO196" s="544"/>
      <c r="DP196" s="544"/>
      <c r="DQ196" s="544"/>
      <c r="DR196" s="544"/>
      <c r="DS196" s="544"/>
      <c r="DT196" s="544"/>
      <c r="DU196" s="544"/>
      <c r="DV196" s="544"/>
      <c r="DW196" s="544"/>
      <c r="DX196" s="544"/>
      <c r="DY196" s="544"/>
      <c r="DZ196" s="544"/>
      <c r="EA196" s="544"/>
      <c r="EB196" s="544"/>
      <c r="EC196" s="544"/>
      <c r="ED196" s="544"/>
      <c r="EE196" s="544"/>
      <c r="EF196" s="544"/>
      <c r="EG196" s="544"/>
      <c r="EH196" s="544"/>
      <c r="EI196" s="544"/>
      <c r="EJ196" s="544"/>
      <c r="EK196" s="544"/>
      <c r="EL196" s="544"/>
      <c r="EM196" s="544"/>
      <c r="EN196" s="544"/>
      <c r="EO196" s="544"/>
      <c r="EP196" s="544"/>
      <c r="EQ196" s="544"/>
      <c r="ER196" s="544"/>
      <c r="ES196" s="544"/>
      <c r="ET196" s="544"/>
      <c r="EU196" s="544"/>
      <c r="EV196" s="544"/>
      <c r="EW196" s="544"/>
      <c r="EX196" s="544"/>
      <c r="EY196" s="544"/>
      <c r="EZ196" s="544"/>
      <c r="FA196" s="544"/>
      <c r="FB196" s="544"/>
      <c r="FC196" s="544"/>
      <c r="FD196" s="544"/>
      <c r="FE196" s="544"/>
      <c r="FF196" s="544"/>
      <c r="FG196" s="544"/>
      <c r="FH196" s="544"/>
      <c r="FI196" s="544"/>
      <c r="FJ196" s="544"/>
      <c r="FK196" s="544"/>
      <c r="FL196" s="544"/>
      <c r="FM196" s="544"/>
      <c r="FN196" s="544"/>
      <c r="FO196" s="544"/>
      <c r="FP196" s="544"/>
      <c r="FQ196" s="544"/>
      <c r="FR196" s="544"/>
      <c r="FS196" s="544"/>
      <c r="FT196" s="544"/>
      <c r="FU196" s="544"/>
      <c r="FV196" s="544"/>
      <c r="FW196" s="544"/>
      <c r="FX196" s="544"/>
      <c r="FY196" s="544"/>
      <c r="FZ196" s="544"/>
      <c r="GA196" s="544"/>
      <c r="GB196" s="544"/>
      <c r="GC196" s="544"/>
      <c r="GD196" s="544"/>
      <c r="GE196" s="544"/>
      <c r="GF196" s="544"/>
      <c r="GG196" s="544"/>
      <c r="GH196" s="544"/>
      <c r="GI196" s="544"/>
      <c r="GJ196" s="544"/>
      <c r="GK196" s="544"/>
      <c r="GL196" s="544"/>
      <c r="GM196" s="544"/>
      <c r="GN196" s="544"/>
      <c r="GO196" s="544"/>
      <c r="GP196" s="544"/>
      <c r="GQ196" s="544"/>
      <c r="GR196" s="544"/>
      <c r="GS196" s="544"/>
      <c r="GT196" s="544"/>
      <c r="GU196" s="544"/>
      <c r="GV196" s="544"/>
      <c r="GW196" s="544"/>
      <c r="GX196" s="544"/>
      <c r="GY196" s="544"/>
      <c r="GZ196" s="544"/>
      <c r="HA196" s="544"/>
      <c r="HB196" s="544"/>
      <c r="HC196" s="544"/>
      <c r="HD196" s="544"/>
      <c r="HE196" s="544"/>
      <c r="HF196" s="544"/>
      <c r="HG196" s="544"/>
      <c r="HH196" s="544"/>
      <c r="HI196" s="544"/>
      <c r="HJ196" s="544"/>
      <c r="HK196" s="544"/>
      <c r="HL196" s="544"/>
      <c r="HM196" s="544"/>
      <c r="HN196" s="544"/>
      <c r="HO196" s="544"/>
      <c r="HP196" s="544"/>
      <c r="HQ196" s="544"/>
      <c r="HR196" s="544"/>
      <c r="HS196" s="544"/>
      <c r="HT196" s="544"/>
      <c r="HU196" s="544"/>
      <c r="HV196" s="544"/>
      <c r="HW196" s="544"/>
      <c r="HX196" s="544"/>
      <c r="HY196" s="544"/>
      <c r="HZ196" s="544"/>
      <c r="IA196" s="544"/>
      <c r="IB196" s="544"/>
      <c r="IC196" s="544"/>
      <c r="ID196" s="544"/>
      <c r="IE196" s="544"/>
      <c r="IF196" s="544"/>
      <c r="IG196" s="544"/>
      <c r="IH196" s="544"/>
      <c r="II196" s="544"/>
      <c r="IJ196" s="544"/>
      <c r="IK196" s="544"/>
      <c r="IL196" s="544"/>
      <c r="IM196" s="544"/>
      <c r="IN196" s="544"/>
      <c r="IO196" s="544"/>
      <c r="IP196" s="544"/>
      <c r="IQ196" s="544"/>
      <c r="IR196" s="544"/>
      <c r="IS196" s="544"/>
    </row>
    <row r="197" spans="1:253" x14ac:dyDescent="0.35">
      <c r="A197" s="544"/>
      <c r="B197" s="572"/>
      <c r="C197" s="572"/>
      <c r="E197" s="544"/>
      <c r="F197" s="544"/>
      <c r="G197" s="544"/>
      <c r="H197" s="544"/>
      <c r="I197" s="544"/>
      <c r="J197" s="544"/>
      <c r="K197" s="544"/>
      <c r="AY197" s="544"/>
      <c r="AZ197" s="544"/>
      <c r="BA197" s="544"/>
      <c r="BB197" s="544"/>
      <c r="BC197" s="544"/>
      <c r="BD197" s="544"/>
      <c r="BE197" s="544"/>
      <c r="BF197" s="544"/>
      <c r="BG197" s="544"/>
      <c r="BH197" s="544"/>
      <c r="BI197" s="544"/>
      <c r="BJ197" s="544"/>
      <c r="BK197" s="544"/>
      <c r="BL197" s="544"/>
      <c r="BM197" s="544"/>
      <c r="BN197" s="544"/>
      <c r="BO197" s="544"/>
      <c r="BP197" s="544"/>
      <c r="BQ197" s="544"/>
      <c r="BR197" s="544"/>
      <c r="BS197" s="544"/>
      <c r="BT197" s="544"/>
      <c r="BU197" s="544"/>
      <c r="BV197" s="544"/>
      <c r="BW197" s="544"/>
      <c r="BX197" s="544"/>
      <c r="BY197" s="544"/>
      <c r="BZ197" s="544"/>
      <c r="CA197" s="544"/>
      <c r="CB197" s="544"/>
      <c r="CC197" s="544"/>
      <c r="CD197" s="544"/>
      <c r="CE197" s="544"/>
      <c r="CF197" s="544"/>
      <c r="CG197" s="544"/>
      <c r="CH197" s="544"/>
      <c r="CI197" s="544"/>
      <c r="CJ197" s="544"/>
      <c r="CK197" s="544"/>
      <c r="CL197" s="544"/>
      <c r="CM197" s="544"/>
      <c r="CN197" s="544"/>
      <c r="CO197" s="544"/>
      <c r="CP197" s="544"/>
      <c r="CQ197" s="544"/>
      <c r="CR197" s="544"/>
      <c r="CS197" s="544"/>
      <c r="CT197" s="544"/>
      <c r="CU197" s="544"/>
      <c r="CV197" s="544"/>
      <c r="CW197" s="544"/>
      <c r="CX197" s="544"/>
      <c r="CY197" s="544"/>
      <c r="CZ197" s="544"/>
      <c r="DA197" s="544"/>
      <c r="DB197" s="544"/>
      <c r="DC197" s="544"/>
      <c r="DD197" s="544"/>
      <c r="DE197" s="544"/>
      <c r="DF197" s="544"/>
      <c r="DG197" s="544"/>
      <c r="DH197" s="544"/>
      <c r="DI197" s="544"/>
      <c r="DJ197" s="544"/>
      <c r="DK197" s="544"/>
      <c r="DL197" s="544"/>
      <c r="DM197" s="544"/>
      <c r="DN197" s="544"/>
      <c r="DO197" s="544"/>
      <c r="DP197" s="544"/>
      <c r="DQ197" s="544"/>
      <c r="DR197" s="544"/>
      <c r="DS197" s="544"/>
      <c r="DT197" s="544"/>
      <c r="DU197" s="544"/>
      <c r="DV197" s="544"/>
      <c r="DW197" s="544"/>
      <c r="DX197" s="544"/>
      <c r="DY197" s="544"/>
      <c r="DZ197" s="544"/>
      <c r="EA197" s="544"/>
      <c r="EB197" s="544"/>
      <c r="EC197" s="544"/>
      <c r="ED197" s="544"/>
      <c r="EE197" s="544"/>
      <c r="EF197" s="544"/>
      <c r="EG197" s="544"/>
      <c r="EH197" s="544"/>
      <c r="EI197" s="544"/>
      <c r="EJ197" s="544"/>
      <c r="EK197" s="544"/>
      <c r="EL197" s="544"/>
      <c r="EM197" s="544"/>
      <c r="EN197" s="544"/>
      <c r="EO197" s="544"/>
      <c r="EP197" s="544"/>
      <c r="EQ197" s="544"/>
      <c r="ER197" s="544"/>
      <c r="ES197" s="544"/>
      <c r="ET197" s="544"/>
      <c r="EU197" s="544"/>
      <c r="EV197" s="544"/>
      <c r="EW197" s="544"/>
      <c r="EX197" s="544"/>
      <c r="EY197" s="544"/>
      <c r="EZ197" s="544"/>
      <c r="FA197" s="544"/>
      <c r="FB197" s="544"/>
      <c r="FC197" s="544"/>
      <c r="FD197" s="544"/>
      <c r="FE197" s="544"/>
      <c r="FF197" s="544"/>
      <c r="FG197" s="544"/>
      <c r="FH197" s="544"/>
      <c r="FI197" s="544"/>
      <c r="FJ197" s="544"/>
      <c r="FK197" s="544"/>
      <c r="FL197" s="544"/>
      <c r="FM197" s="544"/>
      <c r="FN197" s="544"/>
      <c r="FO197" s="544"/>
      <c r="FP197" s="544"/>
      <c r="FQ197" s="544"/>
      <c r="FR197" s="544"/>
      <c r="FS197" s="544"/>
      <c r="FT197" s="544"/>
      <c r="FU197" s="544"/>
      <c r="FV197" s="544"/>
      <c r="FW197" s="544"/>
      <c r="FX197" s="544"/>
      <c r="FY197" s="544"/>
      <c r="FZ197" s="544"/>
      <c r="GA197" s="544"/>
      <c r="GB197" s="544"/>
      <c r="GC197" s="544"/>
      <c r="GD197" s="544"/>
      <c r="GE197" s="544"/>
      <c r="GF197" s="544"/>
      <c r="GG197" s="544"/>
      <c r="GH197" s="544"/>
      <c r="GI197" s="544"/>
      <c r="GJ197" s="544"/>
      <c r="GK197" s="544"/>
      <c r="GL197" s="544"/>
      <c r="GM197" s="544"/>
      <c r="GN197" s="544"/>
      <c r="GO197" s="544"/>
      <c r="GP197" s="544"/>
      <c r="GQ197" s="544"/>
      <c r="GR197" s="544"/>
      <c r="GS197" s="544"/>
      <c r="GT197" s="544"/>
      <c r="GU197" s="544"/>
      <c r="GV197" s="544"/>
      <c r="GW197" s="544"/>
      <c r="GX197" s="544"/>
      <c r="GY197" s="544"/>
      <c r="GZ197" s="544"/>
      <c r="HA197" s="544"/>
      <c r="HB197" s="544"/>
      <c r="HC197" s="544"/>
      <c r="HD197" s="544"/>
      <c r="HE197" s="544"/>
      <c r="HF197" s="544"/>
      <c r="HG197" s="544"/>
      <c r="HH197" s="544"/>
      <c r="HI197" s="544"/>
      <c r="HJ197" s="544"/>
      <c r="HK197" s="544"/>
      <c r="HL197" s="544"/>
      <c r="HM197" s="544"/>
      <c r="HN197" s="544"/>
      <c r="HO197" s="544"/>
      <c r="HP197" s="544"/>
      <c r="HQ197" s="544"/>
      <c r="HR197" s="544"/>
      <c r="HS197" s="544"/>
      <c r="HT197" s="544"/>
      <c r="HU197" s="544"/>
      <c r="HV197" s="544"/>
      <c r="HW197" s="544"/>
      <c r="HX197" s="544"/>
      <c r="HY197" s="544"/>
      <c r="HZ197" s="544"/>
      <c r="IA197" s="544"/>
      <c r="IB197" s="544"/>
      <c r="IC197" s="544"/>
      <c r="ID197" s="544"/>
      <c r="IE197" s="544"/>
      <c r="IF197" s="544"/>
      <c r="IG197" s="544"/>
      <c r="IH197" s="544"/>
      <c r="II197" s="544"/>
      <c r="IJ197" s="544"/>
      <c r="IK197" s="544"/>
      <c r="IL197" s="544"/>
      <c r="IM197" s="544"/>
      <c r="IN197" s="544"/>
      <c r="IO197" s="544"/>
      <c r="IP197" s="544"/>
      <c r="IQ197" s="544"/>
      <c r="IR197" s="544"/>
      <c r="IS197" s="544"/>
    </row>
    <row r="198" spans="1:253" x14ac:dyDescent="0.35">
      <c r="A198" s="544"/>
      <c r="B198" s="572"/>
      <c r="C198" s="572"/>
      <c r="E198" s="544"/>
      <c r="F198" s="544"/>
      <c r="G198" s="544"/>
      <c r="H198" s="544"/>
      <c r="I198" s="544"/>
      <c r="J198" s="544"/>
      <c r="K198" s="544"/>
      <c r="AY198" s="544"/>
      <c r="AZ198" s="544"/>
      <c r="BA198" s="544"/>
      <c r="BB198" s="544"/>
      <c r="BC198" s="544"/>
      <c r="BD198" s="544"/>
      <c r="BE198" s="544"/>
      <c r="BF198" s="544"/>
      <c r="BG198" s="544"/>
      <c r="BH198" s="544"/>
      <c r="BI198" s="544"/>
      <c r="BJ198" s="544"/>
      <c r="BK198" s="544"/>
      <c r="BL198" s="544"/>
      <c r="BM198" s="544"/>
      <c r="BN198" s="544"/>
      <c r="BO198" s="544"/>
      <c r="BP198" s="544"/>
      <c r="BQ198" s="544"/>
      <c r="BR198" s="544"/>
      <c r="BS198" s="544"/>
      <c r="BT198" s="544"/>
      <c r="BU198" s="544"/>
      <c r="BV198" s="544"/>
      <c r="BW198" s="544"/>
      <c r="BX198" s="544"/>
      <c r="BY198" s="544"/>
      <c r="BZ198" s="544"/>
      <c r="CA198" s="544"/>
      <c r="CB198" s="544"/>
      <c r="CC198" s="544"/>
      <c r="CD198" s="544"/>
      <c r="CE198" s="544"/>
      <c r="CF198" s="544"/>
      <c r="CG198" s="544"/>
      <c r="CH198" s="544"/>
      <c r="CI198" s="544"/>
      <c r="CJ198" s="544"/>
      <c r="CK198" s="544"/>
      <c r="CL198" s="544"/>
      <c r="CM198" s="544"/>
      <c r="CN198" s="544"/>
      <c r="CO198" s="544"/>
      <c r="CP198" s="544"/>
      <c r="CQ198" s="544"/>
      <c r="CR198" s="544"/>
      <c r="CS198" s="544"/>
      <c r="CT198" s="544"/>
      <c r="CU198" s="544"/>
      <c r="CV198" s="544"/>
      <c r="CW198" s="544"/>
      <c r="CX198" s="544"/>
      <c r="CY198" s="544"/>
      <c r="CZ198" s="544"/>
      <c r="DA198" s="544"/>
      <c r="DB198" s="544"/>
      <c r="DC198" s="544"/>
      <c r="DD198" s="544"/>
      <c r="DE198" s="544"/>
      <c r="DF198" s="544"/>
      <c r="DG198" s="544"/>
      <c r="DH198" s="544"/>
      <c r="DI198" s="544"/>
      <c r="DJ198" s="544"/>
      <c r="DK198" s="544"/>
      <c r="DL198" s="544"/>
      <c r="DM198" s="544"/>
      <c r="DN198" s="544"/>
      <c r="DO198" s="544"/>
      <c r="DP198" s="544"/>
      <c r="DQ198" s="544"/>
      <c r="DR198" s="544"/>
      <c r="DS198" s="544"/>
      <c r="DT198" s="544"/>
      <c r="DU198" s="544"/>
      <c r="DV198" s="544"/>
      <c r="DW198" s="544"/>
      <c r="DX198" s="544"/>
      <c r="DY198" s="544"/>
      <c r="DZ198" s="544"/>
      <c r="EA198" s="544"/>
      <c r="EB198" s="544"/>
      <c r="EC198" s="544"/>
      <c r="ED198" s="544"/>
      <c r="EE198" s="544"/>
      <c r="EF198" s="544"/>
      <c r="EG198" s="544"/>
      <c r="EH198" s="544"/>
      <c r="EI198" s="544"/>
      <c r="EJ198" s="544"/>
      <c r="EK198" s="544"/>
      <c r="EL198" s="544"/>
      <c r="EM198" s="544"/>
      <c r="EN198" s="544"/>
      <c r="EO198" s="544"/>
      <c r="EP198" s="544"/>
      <c r="EQ198" s="544"/>
      <c r="ER198" s="544"/>
      <c r="ES198" s="544"/>
      <c r="ET198" s="544"/>
      <c r="EU198" s="544"/>
      <c r="EV198" s="544"/>
      <c r="EW198" s="544"/>
      <c r="EX198" s="544"/>
      <c r="EY198" s="544"/>
      <c r="EZ198" s="544"/>
      <c r="FA198" s="544"/>
      <c r="FB198" s="544"/>
      <c r="FC198" s="544"/>
      <c r="FD198" s="544"/>
      <c r="FE198" s="544"/>
      <c r="FF198" s="544"/>
      <c r="FG198" s="544"/>
      <c r="FH198" s="544"/>
      <c r="FI198" s="544"/>
      <c r="FJ198" s="544"/>
      <c r="FK198" s="544"/>
      <c r="FL198" s="544"/>
      <c r="FM198" s="544"/>
      <c r="FN198" s="544"/>
      <c r="FO198" s="544"/>
      <c r="FP198" s="544"/>
      <c r="FQ198" s="544"/>
      <c r="FR198" s="544"/>
      <c r="FS198" s="544"/>
      <c r="FT198" s="544"/>
      <c r="FU198" s="544"/>
      <c r="FV198" s="544"/>
      <c r="FW198" s="544"/>
      <c r="FX198" s="544"/>
      <c r="FY198" s="544"/>
      <c r="FZ198" s="544"/>
      <c r="GA198" s="544"/>
      <c r="GB198" s="544"/>
      <c r="GC198" s="544"/>
      <c r="GD198" s="544"/>
      <c r="GE198" s="544"/>
      <c r="GF198" s="544"/>
      <c r="GG198" s="544"/>
      <c r="GH198" s="544"/>
      <c r="GI198" s="544"/>
      <c r="GJ198" s="544"/>
      <c r="GK198" s="544"/>
      <c r="GL198" s="544"/>
      <c r="GM198" s="544"/>
      <c r="GN198" s="544"/>
      <c r="GO198" s="544"/>
      <c r="GP198" s="544"/>
      <c r="GQ198" s="544"/>
      <c r="GR198" s="544"/>
      <c r="GS198" s="544"/>
      <c r="GT198" s="544"/>
      <c r="GU198" s="544"/>
      <c r="GV198" s="544"/>
      <c r="GW198" s="544"/>
      <c r="GX198" s="544"/>
      <c r="GY198" s="544"/>
      <c r="GZ198" s="544"/>
      <c r="HA198" s="544"/>
      <c r="HB198" s="544"/>
      <c r="HC198" s="544"/>
      <c r="HD198" s="544"/>
      <c r="HE198" s="544"/>
      <c r="HF198" s="544"/>
      <c r="HG198" s="544"/>
      <c r="HH198" s="544"/>
      <c r="HI198" s="544"/>
      <c r="HJ198" s="544"/>
      <c r="HK198" s="544"/>
      <c r="HL198" s="544"/>
      <c r="HM198" s="544"/>
      <c r="HN198" s="544"/>
      <c r="HO198" s="544"/>
      <c r="HP198" s="544"/>
      <c r="HQ198" s="544"/>
      <c r="HR198" s="544"/>
      <c r="HS198" s="544"/>
      <c r="HT198" s="544"/>
      <c r="HU198" s="544"/>
      <c r="HV198" s="544"/>
      <c r="HW198" s="544"/>
      <c r="HX198" s="544"/>
      <c r="HY198" s="544"/>
      <c r="HZ198" s="544"/>
      <c r="IA198" s="544"/>
      <c r="IB198" s="544"/>
      <c r="IC198" s="544"/>
      <c r="ID198" s="544"/>
      <c r="IE198" s="544"/>
      <c r="IF198" s="544"/>
      <c r="IG198" s="544"/>
      <c r="IH198" s="544"/>
      <c r="II198" s="544"/>
      <c r="IJ198" s="544"/>
      <c r="IK198" s="544"/>
      <c r="IL198" s="544"/>
      <c r="IM198" s="544"/>
      <c r="IN198" s="544"/>
      <c r="IO198" s="544"/>
      <c r="IP198" s="544"/>
      <c r="IQ198" s="544"/>
      <c r="IR198" s="544"/>
      <c r="IS198" s="544"/>
    </row>
    <row r="199" spans="1:253" x14ac:dyDescent="0.35">
      <c r="A199" s="544"/>
      <c r="B199" s="572"/>
      <c r="C199" s="572"/>
      <c r="E199" s="544"/>
      <c r="F199" s="544"/>
      <c r="G199" s="544"/>
      <c r="H199" s="544"/>
      <c r="I199" s="544"/>
      <c r="J199" s="544"/>
      <c r="K199" s="544"/>
      <c r="AY199" s="544"/>
      <c r="AZ199" s="544"/>
      <c r="BA199" s="544"/>
      <c r="BB199" s="544"/>
      <c r="BC199" s="544"/>
      <c r="BD199" s="544"/>
      <c r="BE199" s="544"/>
      <c r="BF199" s="544"/>
      <c r="BG199" s="544"/>
      <c r="BH199" s="544"/>
      <c r="BI199" s="544"/>
      <c r="BJ199" s="544"/>
      <c r="BK199" s="544"/>
      <c r="BL199" s="544"/>
      <c r="BM199" s="544"/>
      <c r="BN199" s="544"/>
      <c r="BO199" s="544"/>
      <c r="BP199" s="544"/>
      <c r="BQ199" s="544"/>
      <c r="BR199" s="544"/>
      <c r="BS199" s="544"/>
      <c r="BT199" s="544"/>
      <c r="BU199" s="544"/>
      <c r="BV199" s="544"/>
      <c r="BW199" s="544"/>
      <c r="BX199" s="544"/>
      <c r="BY199" s="544"/>
      <c r="BZ199" s="544"/>
      <c r="CA199" s="544"/>
      <c r="CB199" s="544"/>
      <c r="CC199" s="544"/>
      <c r="CD199" s="544"/>
      <c r="CE199" s="544"/>
      <c r="CF199" s="544"/>
      <c r="CG199" s="544"/>
      <c r="CH199" s="544"/>
      <c r="CI199" s="544"/>
      <c r="CJ199" s="544"/>
      <c r="CK199" s="544"/>
      <c r="CL199" s="544"/>
      <c r="CM199" s="544"/>
      <c r="CN199" s="544"/>
      <c r="CO199" s="544"/>
      <c r="CP199" s="544"/>
      <c r="CQ199" s="544"/>
      <c r="CR199" s="544"/>
      <c r="CS199" s="544"/>
      <c r="CT199" s="544"/>
      <c r="CU199" s="544"/>
      <c r="CV199" s="544"/>
      <c r="CW199" s="544"/>
      <c r="CX199" s="544"/>
      <c r="CY199" s="544"/>
      <c r="CZ199" s="544"/>
      <c r="DA199" s="544"/>
      <c r="DB199" s="544"/>
      <c r="DC199" s="544"/>
      <c r="DD199" s="544"/>
      <c r="DE199" s="544"/>
      <c r="DF199" s="544"/>
      <c r="DG199" s="544"/>
      <c r="DH199" s="544"/>
      <c r="DI199" s="544"/>
      <c r="DJ199" s="544"/>
      <c r="DK199" s="544"/>
      <c r="DL199" s="544"/>
      <c r="DM199" s="544"/>
      <c r="DN199" s="544"/>
      <c r="DO199" s="544"/>
      <c r="DP199" s="544"/>
      <c r="DQ199" s="544"/>
      <c r="DR199" s="544"/>
      <c r="DS199" s="544"/>
      <c r="DT199" s="544"/>
      <c r="DU199" s="544"/>
      <c r="DV199" s="544"/>
      <c r="DW199" s="544"/>
      <c r="DX199" s="544"/>
      <c r="DY199" s="544"/>
      <c r="DZ199" s="544"/>
      <c r="EA199" s="544"/>
      <c r="EB199" s="544"/>
      <c r="EC199" s="544"/>
      <c r="ED199" s="544"/>
      <c r="EE199" s="544"/>
      <c r="EF199" s="544"/>
      <c r="EG199" s="544"/>
      <c r="EH199" s="544"/>
      <c r="EI199" s="544"/>
      <c r="EJ199" s="544"/>
      <c r="EK199" s="544"/>
      <c r="EL199" s="544"/>
      <c r="EM199" s="544"/>
      <c r="EN199" s="544"/>
      <c r="EO199" s="544"/>
      <c r="EP199" s="544"/>
      <c r="EQ199" s="544"/>
      <c r="ER199" s="544"/>
      <c r="ES199" s="544"/>
      <c r="ET199" s="544"/>
      <c r="EU199" s="544"/>
      <c r="EV199" s="544"/>
      <c r="EW199" s="544"/>
      <c r="EX199" s="544"/>
      <c r="EY199" s="544"/>
      <c r="EZ199" s="544"/>
      <c r="FA199" s="544"/>
      <c r="FB199" s="544"/>
      <c r="FC199" s="544"/>
      <c r="FD199" s="544"/>
      <c r="FE199" s="544"/>
      <c r="FF199" s="544"/>
      <c r="FG199" s="544"/>
      <c r="FH199" s="544"/>
      <c r="FI199" s="544"/>
      <c r="FJ199" s="544"/>
      <c r="FK199" s="544"/>
      <c r="FL199" s="544"/>
      <c r="FM199" s="544"/>
      <c r="FN199" s="544"/>
      <c r="FO199" s="544"/>
      <c r="FP199" s="544"/>
      <c r="FQ199" s="544"/>
      <c r="FR199" s="544"/>
      <c r="FS199" s="544"/>
      <c r="FT199" s="544"/>
      <c r="FU199" s="544"/>
      <c r="FV199" s="544"/>
      <c r="FW199" s="544"/>
      <c r="FX199" s="544"/>
      <c r="FY199" s="544"/>
      <c r="FZ199" s="544"/>
      <c r="GA199" s="544"/>
      <c r="GB199" s="544"/>
      <c r="GC199" s="544"/>
      <c r="GD199" s="544"/>
      <c r="GE199" s="544"/>
      <c r="GF199" s="544"/>
      <c r="GG199" s="544"/>
      <c r="GH199" s="544"/>
      <c r="GI199" s="544"/>
      <c r="GJ199" s="544"/>
      <c r="GK199" s="544"/>
      <c r="GL199" s="544"/>
      <c r="GM199" s="544"/>
      <c r="GN199" s="544"/>
      <c r="GO199" s="544"/>
      <c r="GP199" s="544"/>
      <c r="GQ199" s="544"/>
      <c r="GR199" s="544"/>
      <c r="GS199" s="544"/>
      <c r="GT199" s="544"/>
      <c r="GU199" s="544"/>
      <c r="GV199" s="544"/>
      <c r="GW199" s="544"/>
      <c r="GX199" s="544"/>
      <c r="GY199" s="544"/>
      <c r="GZ199" s="544"/>
      <c r="HA199" s="544"/>
      <c r="HB199" s="544"/>
      <c r="HC199" s="544"/>
      <c r="HD199" s="544"/>
      <c r="HE199" s="544"/>
      <c r="HF199" s="544"/>
      <c r="HG199" s="544"/>
      <c r="HH199" s="544"/>
      <c r="HI199" s="544"/>
      <c r="HJ199" s="544"/>
      <c r="HK199" s="544"/>
      <c r="HL199" s="544"/>
      <c r="HM199" s="544"/>
      <c r="HN199" s="544"/>
      <c r="HO199" s="544"/>
      <c r="HP199" s="544"/>
      <c r="HQ199" s="544"/>
      <c r="HR199" s="544"/>
      <c r="HS199" s="544"/>
      <c r="HT199" s="544"/>
      <c r="HU199" s="544"/>
      <c r="HV199" s="544"/>
      <c r="HW199" s="544"/>
      <c r="HX199" s="544"/>
      <c r="HY199" s="544"/>
      <c r="HZ199" s="544"/>
      <c r="IA199" s="544"/>
      <c r="IB199" s="544"/>
      <c r="IC199" s="544"/>
      <c r="ID199" s="544"/>
      <c r="IE199" s="544"/>
      <c r="IF199" s="544"/>
      <c r="IG199" s="544"/>
      <c r="IH199" s="544"/>
      <c r="II199" s="544"/>
      <c r="IJ199" s="544"/>
      <c r="IK199" s="544"/>
      <c r="IL199" s="544"/>
      <c r="IM199" s="544"/>
      <c r="IN199" s="544"/>
      <c r="IO199" s="544"/>
      <c r="IP199" s="544"/>
      <c r="IQ199" s="544"/>
      <c r="IR199" s="544"/>
      <c r="IS199" s="544"/>
    </row>
    <row r="200" spans="1:253" x14ac:dyDescent="0.35">
      <c r="A200" s="544"/>
      <c r="B200" s="572"/>
      <c r="C200" s="572"/>
      <c r="E200" s="544"/>
      <c r="F200" s="544"/>
      <c r="G200" s="544"/>
      <c r="H200" s="544"/>
      <c r="I200" s="544"/>
      <c r="J200" s="544"/>
      <c r="K200" s="544"/>
      <c r="AY200" s="544"/>
      <c r="AZ200" s="544"/>
      <c r="BA200" s="544"/>
      <c r="BB200" s="544"/>
      <c r="BC200" s="544"/>
      <c r="BD200" s="544"/>
      <c r="BE200" s="544"/>
      <c r="BF200" s="544"/>
      <c r="BG200" s="544"/>
      <c r="BH200" s="544"/>
      <c r="BI200" s="544"/>
      <c r="BJ200" s="544"/>
      <c r="BK200" s="544"/>
      <c r="BL200" s="544"/>
      <c r="BM200" s="544"/>
      <c r="BN200" s="544"/>
      <c r="BO200" s="544"/>
      <c r="BP200" s="544"/>
      <c r="BQ200" s="544"/>
      <c r="BR200" s="544"/>
      <c r="BS200" s="544"/>
      <c r="BT200" s="544"/>
      <c r="BU200" s="544"/>
      <c r="BV200" s="544"/>
      <c r="BW200" s="544"/>
      <c r="BX200" s="544"/>
      <c r="BY200" s="544"/>
      <c r="BZ200" s="544"/>
      <c r="CA200" s="544"/>
      <c r="CB200" s="544"/>
      <c r="CC200" s="544"/>
      <c r="CD200" s="544"/>
      <c r="CE200" s="544"/>
      <c r="CF200" s="544"/>
      <c r="CG200" s="544"/>
      <c r="CH200" s="544"/>
      <c r="CI200" s="544"/>
      <c r="CJ200" s="544"/>
      <c r="CK200" s="544"/>
      <c r="CL200" s="544"/>
      <c r="CM200" s="544"/>
      <c r="CN200" s="544"/>
      <c r="CO200" s="544"/>
      <c r="CP200" s="544"/>
      <c r="CQ200" s="544"/>
      <c r="CR200" s="544"/>
      <c r="CS200" s="544"/>
      <c r="CT200" s="544"/>
      <c r="CU200" s="544"/>
      <c r="CV200" s="544"/>
      <c r="CW200" s="544"/>
      <c r="CX200" s="544"/>
      <c r="CY200" s="544"/>
      <c r="CZ200" s="544"/>
      <c r="DA200" s="544"/>
      <c r="DB200" s="544"/>
      <c r="DC200" s="544"/>
      <c r="DD200" s="544"/>
      <c r="DE200" s="544"/>
      <c r="DF200" s="544"/>
      <c r="DG200" s="544"/>
      <c r="DH200" s="544"/>
      <c r="DI200" s="544"/>
      <c r="DJ200" s="544"/>
      <c r="DK200" s="544"/>
      <c r="DL200" s="544"/>
      <c r="DM200" s="544"/>
      <c r="DN200" s="544"/>
      <c r="DO200" s="544"/>
      <c r="DP200" s="544"/>
      <c r="DQ200" s="544"/>
      <c r="DR200" s="544"/>
      <c r="DS200" s="544"/>
      <c r="DT200" s="544"/>
      <c r="DU200" s="544"/>
      <c r="DV200" s="544"/>
      <c r="DW200" s="544"/>
      <c r="DX200" s="544"/>
      <c r="DY200" s="544"/>
      <c r="DZ200" s="544"/>
      <c r="EA200" s="544"/>
      <c r="EB200" s="544"/>
      <c r="EC200" s="544"/>
      <c r="ED200" s="544"/>
      <c r="EE200" s="544"/>
      <c r="EF200" s="544"/>
      <c r="EG200" s="544"/>
      <c r="EH200" s="544"/>
      <c r="EI200" s="544"/>
      <c r="EJ200" s="544"/>
      <c r="EK200" s="544"/>
      <c r="EL200" s="544"/>
      <c r="EM200" s="544"/>
      <c r="EN200" s="544"/>
      <c r="EO200" s="544"/>
      <c r="EP200" s="544"/>
      <c r="EQ200" s="544"/>
      <c r="ER200" s="544"/>
      <c r="ES200" s="544"/>
      <c r="ET200" s="544"/>
      <c r="EU200" s="544"/>
      <c r="EV200" s="544"/>
      <c r="EW200" s="544"/>
      <c r="EX200" s="544"/>
      <c r="EY200" s="544"/>
      <c r="EZ200" s="544"/>
      <c r="FA200" s="544"/>
      <c r="FB200" s="544"/>
      <c r="FC200" s="544"/>
      <c r="FD200" s="544"/>
      <c r="FE200" s="544"/>
      <c r="FF200" s="544"/>
      <c r="FG200" s="544"/>
      <c r="FH200" s="544"/>
      <c r="FI200" s="544"/>
      <c r="FJ200" s="544"/>
      <c r="FK200" s="544"/>
      <c r="FL200" s="544"/>
      <c r="FM200" s="544"/>
      <c r="FN200" s="544"/>
      <c r="FO200" s="544"/>
      <c r="FP200" s="544"/>
      <c r="FQ200" s="544"/>
      <c r="FR200" s="544"/>
      <c r="FS200" s="544"/>
      <c r="FT200" s="544"/>
      <c r="FU200" s="544"/>
      <c r="FV200" s="544"/>
      <c r="FW200" s="544"/>
      <c r="FX200" s="544"/>
      <c r="FY200" s="544"/>
      <c r="FZ200" s="544"/>
      <c r="GA200" s="544"/>
      <c r="GB200" s="544"/>
      <c r="GC200" s="544"/>
      <c r="GD200" s="544"/>
      <c r="GE200" s="544"/>
      <c r="GF200" s="544"/>
      <c r="GG200" s="544"/>
      <c r="GH200" s="544"/>
      <c r="GI200" s="544"/>
      <c r="GJ200" s="544"/>
      <c r="GK200" s="544"/>
      <c r="GL200" s="544"/>
      <c r="GM200" s="544"/>
      <c r="GN200" s="544"/>
      <c r="GO200" s="544"/>
      <c r="GP200" s="544"/>
      <c r="GQ200" s="544"/>
      <c r="GR200" s="544"/>
      <c r="GS200" s="544"/>
      <c r="GT200" s="544"/>
      <c r="GU200" s="544"/>
      <c r="GV200" s="544"/>
      <c r="GW200" s="544"/>
      <c r="GX200" s="544"/>
      <c r="GY200" s="544"/>
      <c r="GZ200" s="544"/>
      <c r="HA200" s="544"/>
      <c r="HB200" s="544"/>
      <c r="HC200" s="544"/>
      <c r="HD200" s="544"/>
      <c r="HE200" s="544"/>
      <c r="HF200" s="544"/>
      <c r="HG200" s="544"/>
      <c r="HH200" s="544"/>
      <c r="HI200" s="544"/>
      <c r="HJ200" s="544"/>
      <c r="HK200" s="544"/>
      <c r="HL200" s="544"/>
      <c r="HM200" s="544"/>
      <c r="HN200" s="544"/>
      <c r="HO200" s="544"/>
      <c r="HP200" s="544"/>
      <c r="HQ200" s="544"/>
      <c r="HR200" s="544"/>
      <c r="HS200" s="544"/>
      <c r="HT200" s="544"/>
      <c r="HU200" s="544"/>
      <c r="HV200" s="544"/>
      <c r="HW200" s="544"/>
      <c r="HX200" s="544"/>
      <c r="HY200" s="544"/>
      <c r="HZ200" s="544"/>
      <c r="IA200" s="544"/>
      <c r="IB200" s="544"/>
      <c r="IC200" s="544"/>
      <c r="ID200" s="544"/>
      <c r="IE200" s="544"/>
      <c r="IF200" s="544"/>
      <c r="IG200" s="544"/>
      <c r="IH200" s="544"/>
      <c r="II200" s="544"/>
      <c r="IJ200" s="544"/>
      <c r="IK200" s="544"/>
      <c r="IL200" s="544"/>
      <c r="IM200" s="544"/>
      <c r="IN200" s="544"/>
      <c r="IO200" s="544"/>
      <c r="IP200" s="544"/>
      <c r="IQ200" s="544"/>
      <c r="IR200" s="544"/>
      <c r="IS200" s="544"/>
    </row>
    <row r="201" spans="1:253" x14ac:dyDescent="0.35">
      <c r="A201" s="544"/>
      <c r="B201" s="572"/>
      <c r="C201" s="572"/>
      <c r="E201" s="544"/>
      <c r="F201" s="544"/>
      <c r="G201" s="544"/>
      <c r="H201" s="544"/>
      <c r="I201" s="544"/>
      <c r="J201" s="544"/>
      <c r="K201" s="544"/>
      <c r="AY201" s="544"/>
      <c r="AZ201" s="544"/>
      <c r="BA201" s="544"/>
      <c r="BB201" s="544"/>
      <c r="BC201" s="544"/>
      <c r="BD201" s="544"/>
      <c r="BE201" s="544"/>
      <c r="BF201" s="544"/>
      <c r="BG201" s="544"/>
      <c r="BH201" s="544"/>
      <c r="BI201" s="544"/>
      <c r="BJ201" s="544"/>
      <c r="BK201" s="544"/>
      <c r="BL201" s="544"/>
      <c r="BM201" s="544"/>
      <c r="BN201" s="544"/>
      <c r="BO201" s="544"/>
      <c r="BP201" s="544"/>
      <c r="BQ201" s="544"/>
      <c r="BR201" s="544"/>
      <c r="BS201" s="544"/>
      <c r="BT201" s="544"/>
      <c r="BU201" s="544"/>
      <c r="BV201" s="544"/>
      <c r="BW201" s="544"/>
      <c r="BX201" s="544"/>
      <c r="BY201" s="544"/>
      <c r="BZ201" s="544"/>
      <c r="CA201" s="544"/>
      <c r="CB201" s="544"/>
      <c r="CC201" s="544"/>
      <c r="CD201" s="544"/>
      <c r="CE201" s="544"/>
      <c r="CF201" s="544"/>
      <c r="CG201" s="544"/>
      <c r="CH201" s="544"/>
      <c r="CI201" s="544"/>
      <c r="CJ201" s="544"/>
      <c r="CK201" s="544"/>
      <c r="CL201" s="544"/>
      <c r="CM201" s="544"/>
      <c r="CN201" s="544"/>
      <c r="CO201" s="544"/>
      <c r="CP201" s="544"/>
      <c r="CQ201" s="544"/>
      <c r="CR201" s="544"/>
      <c r="CS201" s="544"/>
      <c r="CT201" s="544"/>
      <c r="CU201" s="544"/>
      <c r="CV201" s="544"/>
      <c r="CW201" s="544"/>
      <c r="CX201" s="544"/>
      <c r="CY201" s="544"/>
      <c r="CZ201" s="544"/>
      <c r="DA201" s="544"/>
      <c r="DB201" s="544"/>
      <c r="DC201" s="544"/>
      <c r="DD201" s="544"/>
      <c r="DE201" s="544"/>
      <c r="DF201" s="544"/>
      <c r="DG201" s="544"/>
      <c r="DH201" s="544"/>
      <c r="DI201" s="544"/>
      <c r="DJ201" s="544"/>
      <c r="DK201" s="544"/>
      <c r="DL201" s="544"/>
      <c r="DM201" s="544"/>
      <c r="DN201" s="544"/>
      <c r="DO201" s="544"/>
      <c r="DP201" s="544"/>
      <c r="DQ201" s="544"/>
      <c r="DR201" s="544"/>
      <c r="DS201" s="544"/>
      <c r="DT201" s="544"/>
      <c r="DU201" s="544"/>
      <c r="DV201" s="544"/>
      <c r="DW201" s="544"/>
      <c r="DX201" s="544"/>
      <c r="DY201" s="544"/>
      <c r="DZ201" s="544"/>
      <c r="EA201" s="544"/>
      <c r="EB201" s="544"/>
      <c r="EC201" s="544"/>
      <c r="ED201" s="544"/>
      <c r="EE201" s="544"/>
      <c r="EF201" s="544"/>
      <c r="EG201" s="544"/>
      <c r="EH201" s="544"/>
      <c r="EI201" s="544"/>
      <c r="EJ201" s="544"/>
      <c r="EK201" s="544"/>
      <c r="EL201" s="544"/>
      <c r="EM201" s="544"/>
      <c r="EN201" s="544"/>
      <c r="EO201" s="544"/>
      <c r="EP201" s="544"/>
      <c r="EQ201" s="544"/>
      <c r="ER201" s="544"/>
      <c r="ES201" s="544"/>
      <c r="ET201" s="544"/>
      <c r="EU201" s="544"/>
      <c r="EV201" s="544"/>
      <c r="EW201" s="544"/>
      <c r="EX201" s="544"/>
      <c r="EY201" s="544"/>
      <c r="EZ201" s="544"/>
      <c r="FA201" s="544"/>
      <c r="FB201" s="544"/>
      <c r="FC201" s="544"/>
      <c r="FD201" s="544"/>
      <c r="FE201" s="544"/>
      <c r="FF201" s="544"/>
      <c r="FG201" s="544"/>
      <c r="FH201" s="544"/>
      <c r="FI201" s="544"/>
      <c r="FJ201" s="544"/>
      <c r="FK201" s="544"/>
      <c r="FL201" s="544"/>
      <c r="FM201" s="544"/>
      <c r="FN201" s="544"/>
      <c r="FO201" s="544"/>
      <c r="FP201" s="544"/>
      <c r="FQ201" s="544"/>
      <c r="FR201" s="544"/>
      <c r="FS201" s="544"/>
      <c r="FT201" s="544"/>
      <c r="FU201" s="544"/>
      <c r="FV201" s="544"/>
      <c r="FW201" s="544"/>
      <c r="FX201" s="544"/>
      <c r="FY201" s="544"/>
      <c r="FZ201" s="544"/>
      <c r="GA201" s="544"/>
      <c r="GB201" s="544"/>
      <c r="GC201" s="544"/>
      <c r="GD201" s="544"/>
      <c r="GE201" s="544"/>
      <c r="GF201" s="544"/>
      <c r="GG201" s="544"/>
      <c r="GH201" s="544"/>
      <c r="GI201" s="544"/>
      <c r="GJ201" s="544"/>
      <c r="GK201" s="544"/>
      <c r="GL201" s="544"/>
      <c r="GM201" s="544"/>
      <c r="GN201" s="544"/>
      <c r="GO201" s="544"/>
      <c r="GP201" s="544"/>
      <c r="GQ201" s="544"/>
      <c r="GR201" s="544"/>
      <c r="GS201" s="544"/>
      <c r="GT201" s="544"/>
      <c r="GU201" s="544"/>
      <c r="GV201" s="544"/>
      <c r="GW201" s="544"/>
      <c r="GX201" s="544"/>
      <c r="GY201" s="544"/>
      <c r="GZ201" s="544"/>
      <c r="HA201" s="544"/>
      <c r="HB201" s="544"/>
      <c r="HC201" s="544"/>
      <c r="HD201" s="544"/>
      <c r="HE201" s="544"/>
      <c r="HF201" s="544"/>
      <c r="HG201" s="544"/>
      <c r="HH201" s="544"/>
      <c r="HI201" s="544"/>
      <c r="HJ201" s="544"/>
      <c r="HK201" s="544"/>
      <c r="HL201" s="544"/>
      <c r="HM201" s="544"/>
      <c r="HN201" s="544"/>
      <c r="HO201" s="544"/>
      <c r="HP201" s="544"/>
      <c r="HQ201" s="544"/>
      <c r="HR201" s="544"/>
      <c r="HS201" s="544"/>
      <c r="HT201" s="544"/>
      <c r="HU201" s="544"/>
      <c r="HV201" s="544"/>
      <c r="HW201" s="544"/>
      <c r="HX201" s="544"/>
      <c r="HY201" s="544"/>
      <c r="HZ201" s="544"/>
      <c r="IA201" s="544"/>
      <c r="IB201" s="544"/>
      <c r="IC201" s="544"/>
      <c r="ID201" s="544"/>
      <c r="IE201" s="544"/>
      <c r="IF201" s="544"/>
      <c r="IG201" s="544"/>
      <c r="IH201" s="544"/>
      <c r="II201" s="544"/>
      <c r="IJ201" s="544"/>
      <c r="IK201" s="544"/>
      <c r="IL201" s="544"/>
      <c r="IM201" s="544"/>
      <c r="IN201" s="544"/>
      <c r="IO201" s="544"/>
      <c r="IP201" s="544"/>
      <c r="IQ201" s="544"/>
      <c r="IR201" s="544"/>
      <c r="IS201" s="544"/>
    </row>
    <row r="202" spans="1:253" x14ac:dyDescent="0.35">
      <c r="A202" s="544"/>
      <c r="B202" s="572"/>
      <c r="C202" s="572"/>
      <c r="E202" s="544"/>
      <c r="F202" s="544"/>
      <c r="G202" s="544"/>
      <c r="H202" s="544"/>
      <c r="I202" s="544"/>
      <c r="J202" s="544"/>
      <c r="K202" s="544"/>
      <c r="AY202" s="544"/>
      <c r="AZ202" s="544"/>
      <c r="BA202" s="544"/>
      <c r="BB202" s="544"/>
      <c r="BC202" s="544"/>
      <c r="BD202" s="544"/>
      <c r="BE202" s="544"/>
      <c r="BF202" s="544"/>
      <c r="BG202" s="544"/>
      <c r="BH202" s="544"/>
      <c r="BI202" s="544"/>
      <c r="BJ202" s="544"/>
      <c r="BK202" s="544"/>
      <c r="BL202" s="544"/>
      <c r="BM202" s="544"/>
      <c r="BN202" s="544"/>
      <c r="BO202" s="544"/>
      <c r="BP202" s="544"/>
      <c r="BQ202" s="544"/>
      <c r="BR202" s="544"/>
      <c r="BS202" s="544"/>
      <c r="BT202" s="544"/>
      <c r="BU202" s="544"/>
      <c r="BV202" s="544"/>
      <c r="BW202" s="544"/>
      <c r="BX202" s="544"/>
      <c r="BY202" s="544"/>
      <c r="BZ202" s="544"/>
      <c r="CA202" s="544"/>
      <c r="CB202" s="544"/>
      <c r="CC202" s="544"/>
      <c r="CD202" s="544"/>
      <c r="CE202" s="544"/>
      <c r="CF202" s="544"/>
      <c r="CG202" s="544"/>
      <c r="CH202" s="544"/>
      <c r="CI202" s="544"/>
      <c r="CJ202" s="544"/>
      <c r="CK202" s="544"/>
      <c r="CL202" s="544"/>
      <c r="CM202" s="544"/>
      <c r="CN202" s="544"/>
      <c r="CO202" s="544"/>
      <c r="CP202" s="544"/>
      <c r="CQ202" s="544"/>
      <c r="CR202" s="544"/>
      <c r="CS202" s="544"/>
      <c r="CT202" s="544"/>
      <c r="CU202" s="544"/>
      <c r="CV202" s="544"/>
      <c r="CW202" s="544"/>
      <c r="CX202" s="544"/>
      <c r="CY202" s="544"/>
      <c r="CZ202" s="544"/>
      <c r="DA202" s="544"/>
      <c r="DB202" s="544"/>
      <c r="DC202" s="544"/>
      <c r="DD202" s="544"/>
      <c r="DE202" s="544"/>
      <c r="DF202" s="544"/>
      <c r="DG202" s="544"/>
      <c r="DH202" s="544"/>
      <c r="DI202" s="544"/>
      <c r="DJ202" s="544"/>
      <c r="DK202" s="544"/>
      <c r="DL202" s="544"/>
      <c r="DM202" s="544"/>
      <c r="DN202" s="544"/>
      <c r="DO202" s="544"/>
      <c r="DP202" s="544"/>
      <c r="DQ202" s="544"/>
      <c r="DR202" s="544"/>
      <c r="DS202" s="544"/>
      <c r="DT202" s="544"/>
      <c r="DU202" s="544"/>
      <c r="DV202" s="544"/>
      <c r="DW202" s="544"/>
      <c r="DX202" s="544"/>
      <c r="DY202" s="544"/>
      <c r="DZ202" s="544"/>
      <c r="EA202" s="544"/>
      <c r="EB202" s="544"/>
      <c r="EC202" s="544"/>
      <c r="ED202" s="544"/>
      <c r="EE202" s="544"/>
      <c r="EF202" s="544"/>
      <c r="EG202" s="544"/>
      <c r="EH202" s="544"/>
      <c r="EI202" s="544"/>
      <c r="EJ202" s="544"/>
      <c r="EK202" s="544"/>
      <c r="EL202" s="544"/>
      <c r="EM202" s="544"/>
      <c r="EN202" s="544"/>
      <c r="EO202" s="544"/>
      <c r="EP202" s="544"/>
      <c r="EQ202" s="544"/>
      <c r="ER202" s="544"/>
      <c r="ES202" s="544"/>
      <c r="ET202" s="544"/>
      <c r="EU202" s="544"/>
      <c r="EV202" s="544"/>
      <c r="EW202" s="544"/>
      <c r="EX202" s="544"/>
      <c r="EY202" s="544"/>
      <c r="EZ202" s="544"/>
      <c r="FA202" s="544"/>
      <c r="FB202" s="544"/>
      <c r="FC202" s="544"/>
      <c r="FD202" s="544"/>
      <c r="FE202" s="544"/>
      <c r="FF202" s="544"/>
      <c r="FG202" s="544"/>
      <c r="FH202" s="544"/>
      <c r="FI202" s="544"/>
      <c r="FJ202" s="544"/>
      <c r="FK202" s="544"/>
      <c r="FL202" s="544"/>
      <c r="FM202" s="544"/>
      <c r="FN202" s="544"/>
      <c r="FO202" s="544"/>
      <c r="FP202" s="544"/>
      <c r="FQ202" s="544"/>
      <c r="FR202" s="544"/>
      <c r="FS202" s="544"/>
      <c r="FT202" s="544"/>
      <c r="FU202" s="544"/>
      <c r="FV202" s="544"/>
      <c r="FW202" s="544"/>
      <c r="FX202" s="544"/>
      <c r="FY202" s="544"/>
      <c r="FZ202" s="544"/>
      <c r="GA202" s="544"/>
      <c r="GB202" s="544"/>
      <c r="GC202" s="544"/>
      <c r="GD202" s="544"/>
      <c r="GE202" s="544"/>
      <c r="GF202" s="544"/>
      <c r="GG202" s="544"/>
      <c r="GH202" s="544"/>
      <c r="GI202" s="544"/>
      <c r="GJ202" s="544"/>
      <c r="GK202" s="544"/>
      <c r="GL202" s="544"/>
      <c r="GM202" s="544"/>
      <c r="GN202" s="544"/>
      <c r="GO202" s="544"/>
      <c r="GP202" s="544"/>
      <c r="GQ202" s="544"/>
      <c r="GR202" s="544"/>
      <c r="GS202" s="544"/>
      <c r="GT202" s="544"/>
      <c r="GU202" s="544"/>
      <c r="GV202" s="544"/>
      <c r="GW202" s="544"/>
      <c r="GX202" s="544"/>
      <c r="GY202" s="544"/>
      <c r="GZ202" s="544"/>
      <c r="HA202" s="544"/>
      <c r="HB202" s="544"/>
      <c r="HC202" s="544"/>
      <c r="HD202" s="544"/>
      <c r="HE202" s="544"/>
      <c r="HF202" s="544"/>
      <c r="HG202" s="544"/>
      <c r="HH202" s="544"/>
      <c r="HI202" s="544"/>
      <c r="HJ202" s="544"/>
      <c r="HK202" s="544"/>
      <c r="HL202" s="544"/>
      <c r="HM202" s="544"/>
      <c r="HN202" s="544"/>
      <c r="HO202" s="544"/>
      <c r="HP202" s="544"/>
      <c r="HQ202" s="544"/>
      <c r="HR202" s="544"/>
      <c r="HS202" s="544"/>
      <c r="HT202" s="544"/>
      <c r="HU202" s="544"/>
      <c r="HV202" s="544"/>
      <c r="HW202" s="544"/>
      <c r="HX202" s="544"/>
      <c r="HY202" s="544"/>
      <c r="HZ202" s="544"/>
      <c r="IA202" s="544"/>
      <c r="IB202" s="544"/>
      <c r="IC202" s="544"/>
      <c r="ID202" s="544"/>
      <c r="IE202" s="544"/>
      <c r="IF202" s="544"/>
      <c r="IG202" s="544"/>
      <c r="IH202" s="544"/>
      <c r="II202" s="544"/>
      <c r="IJ202" s="544"/>
      <c r="IK202" s="544"/>
      <c r="IL202" s="544"/>
      <c r="IM202" s="544"/>
      <c r="IN202" s="544"/>
      <c r="IO202" s="544"/>
      <c r="IP202" s="544"/>
      <c r="IQ202" s="544"/>
      <c r="IR202" s="544"/>
      <c r="IS202" s="544"/>
    </row>
    <row r="203" spans="1:253" x14ac:dyDescent="0.35">
      <c r="A203" s="544"/>
      <c r="B203" s="572"/>
      <c r="C203" s="572"/>
      <c r="E203" s="544"/>
      <c r="F203" s="544"/>
      <c r="G203" s="544"/>
      <c r="H203" s="544"/>
      <c r="I203" s="544"/>
      <c r="J203" s="544"/>
      <c r="K203" s="544"/>
      <c r="AY203" s="544"/>
      <c r="AZ203" s="544"/>
      <c r="BA203" s="544"/>
      <c r="BB203" s="544"/>
      <c r="BC203" s="544"/>
      <c r="BD203" s="544"/>
      <c r="BE203" s="544"/>
      <c r="BF203" s="544"/>
      <c r="BG203" s="544"/>
      <c r="BH203" s="544"/>
      <c r="BI203" s="544"/>
      <c r="BJ203" s="544"/>
      <c r="BK203" s="544"/>
      <c r="BL203" s="544"/>
      <c r="BM203" s="544"/>
      <c r="BN203" s="544"/>
      <c r="BO203" s="544"/>
      <c r="BP203" s="544"/>
      <c r="BQ203" s="544"/>
      <c r="BR203" s="544"/>
      <c r="BS203" s="544"/>
      <c r="BT203" s="544"/>
      <c r="BU203" s="544"/>
      <c r="BV203" s="544"/>
      <c r="BW203" s="544"/>
      <c r="BX203" s="544"/>
      <c r="BY203" s="544"/>
      <c r="BZ203" s="544"/>
      <c r="CA203" s="544"/>
      <c r="CB203" s="544"/>
      <c r="CC203" s="544"/>
      <c r="CD203" s="544"/>
      <c r="CE203" s="544"/>
      <c r="CF203" s="544"/>
      <c r="CG203" s="544"/>
      <c r="CH203" s="544"/>
      <c r="CI203" s="544"/>
      <c r="CJ203" s="544"/>
      <c r="CK203" s="544"/>
      <c r="CL203" s="544"/>
      <c r="CM203" s="544"/>
      <c r="CN203" s="544"/>
      <c r="CO203" s="544"/>
      <c r="CP203" s="544"/>
      <c r="CQ203" s="544"/>
      <c r="CR203" s="544"/>
      <c r="CS203" s="544"/>
      <c r="CT203" s="544"/>
      <c r="CU203" s="544"/>
      <c r="CV203" s="544"/>
      <c r="CW203" s="544"/>
      <c r="CX203" s="544"/>
      <c r="CY203" s="544"/>
      <c r="CZ203" s="544"/>
      <c r="DA203" s="544"/>
      <c r="DB203" s="544"/>
      <c r="DC203" s="544"/>
      <c r="DD203" s="544"/>
      <c r="DE203" s="544"/>
      <c r="DF203" s="544"/>
      <c r="DG203" s="544"/>
      <c r="DH203" s="544"/>
      <c r="DI203" s="544"/>
      <c r="DJ203" s="544"/>
      <c r="DK203" s="544"/>
      <c r="DL203" s="544"/>
      <c r="DM203" s="544"/>
      <c r="DN203" s="544"/>
      <c r="DO203" s="544"/>
      <c r="DP203" s="544"/>
      <c r="DQ203" s="544"/>
      <c r="DR203" s="544"/>
      <c r="DS203" s="544"/>
      <c r="DT203" s="544"/>
      <c r="DU203" s="544"/>
      <c r="DV203" s="544"/>
      <c r="DW203" s="544"/>
      <c r="DX203" s="544"/>
      <c r="DY203" s="544"/>
      <c r="DZ203" s="544"/>
      <c r="EA203" s="544"/>
      <c r="EB203" s="544"/>
      <c r="EC203" s="544"/>
      <c r="ED203" s="544"/>
      <c r="EE203" s="544"/>
      <c r="EF203" s="544"/>
      <c r="EG203" s="544"/>
      <c r="EH203" s="544"/>
      <c r="EI203" s="544"/>
      <c r="EJ203" s="544"/>
      <c r="EK203" s="544"/>
      <c r="EL203" s="544"/>
      <c r="EM203" s="544"/>
      <c r="EN203" s="544"/>
      <c r="EO203" s="544"/>
      <c r="EP203" s="544"/>
      <c r="EQ203" s="544"/>
      <c r="ER203" s="544"/>
      <c r="ES203" s="544"/>
      <c r="ET203" s="544"/>
      <c r="EU203" s="544"/>
      <c r="EV203" s="544"/>
      <c r="EW203" s="544"/>
      <c r="EX203" s="544"/>
      <c r="EY203" s="544"/>
      <c r="EZ203" s="544"/>
      <c r="FA203" s="544"/>
      <c r="FB203" s="544"/>
      <c r="FC203" s="544"/>
      <c r="FD203" s="544"/>
      <c r="FE203" s="544"/>
      <c r="FF203" s="544"/>
      <c r="FG203" s="544"/>
      <c r="FH203" s="544"/>
      <c r="FI203" s="544"/>
      <c r="FJ203" s="544"/>
      <c r="FK203" s="544"/>
      <c r="FL203" s="544"/>
      <c r="FM203" s="544"/>
      <c r="FN203" s="544"/>
      <c r="FO203" s="544"/>
      <c r="FP203" s="544"/>
      <c r="FQ203" s="544"/>
      <c r="FR203" s="544"/>
      <c r="FS203" s="544"/>
      <c r="FT203" s="544"/>
      <c r="FU203" s="544"/>
      <c r="FV203" s="544"/>
      <c r="FW203" s="544"/>
      <c r="FX203" s="544"/>
      <c r="FY203" s="544"/>
      <c r="FZ203" s="544"/>
      <c r="GA203" s="544"/>
      <c r="GB203" s="544"/>
      <c r="GC203" s="544"/>
      <c r="GD203" s="544"/>
      <c r="GE203" s="544"/>
      <c r="GF203" s="544"/>
      <c r="GG203" s="544"/>
      <c r="GH203" s="544"/>
      <c r="GI203" s="544"/>
      <c r="GJ203" s="544"/>
      <c r="GK203" s="544"/>
      <c r="GL203" s="544"/>
      <c r="GM203" s="544"/>
      <c r="GN203" s="544"/>
      <c r="GO203" s="544"/>
      <c r="GP203" s="544"/>
      <c r="GQ203" s="544"/>
      <c r="GR203" s="544"/>
      <c r="GS203" s="544"/>
      <c r="GT203" s="544"/>
      <c r="GU203" s="544"/>
      <c r="GV203" s="544"/>
      <c r="GW203" s="544"/>
      <c r="GX203" s="544"/>
      <c r="GY203" s="544"/>
      <c r="GZ203" s="544"/>
      <c r="HA203" s="544"/>
      <c r="HB203" s="544"/>
      <c r="HC203" s="544"/>
      <c r="HD203" s="544"/>
      <c r="HE203" s="544"/>
      <c r="HF203" s="544"/>
      <c r="HG203" s="544"/>
      <c r="HH203" s="544"/>
      <c r="HI203" s="544"/>
      <c r="HJ203" s="544"/>
      <c r="HK203" s="544"/>
      <c r="HL203" s="544"/>
      <c r="HM203" s="544"/>
      <c r="HN203" s="544"/>
      <c r="HO203" s="544"/>
      <c r="HP203" s="544"/>
      <c r="HQ203" s="544"/>
      <c r="HR203" s="544"/>
      <c r="HS203" s="544"/>
      <c r="HT203" s="544"/>
      <c r="HU203" s="544"/>
      <c r="HV203" s="544"/>
      <c r="HW203" s="544"/>
      <c r="HX203" s="544"/>
      <c r="HY203" s="544"/>
      <c r="HZ203" s="544"/>
      <c r="IA203" s="544"/>
      <c r="IB203" s="544"/>
      <c r="IC203" s="544"/>
      <c r="ID203" s="544"/>
      <c r="IE203" s="544"/>
      <c r="IF203" s="544"/>
      <c r="IG203" s="544"/>
      <c r="IH203" s="544"/>
      <c r="II203" s="544"/>
      <c r="IJ203" s="544"/>
      <c r="IK203" s="544"/>
      <c r="IL203" s="544"/>
      <c r="IM203" s="544"/>
      <c r="IN203" s="544"/>
      <c r="IO203" s="544"/>
      <c r="IP203" s="544"/>
      <c r="IQ203" s="544"/>
      <c r="IR203" s="544"/>
      <c r="IS203" s="544"/>
    </row>
    <row r="204" spans="1:253" x14ac:dyDescent="0.35">
      <c r="A204" s="544"/>
      <c r="B204" s="572"/>
      <c r="C204" s="572"/>
      <c r="E204" s="544"/>
      <c r="F204" s="544"/>
      <c r="G204" s="544"/>
      <c r="H204" s="544"/>
      <c r="I204" s="544"/>
      <c r="J204" s="544"/>
      <c r="K204" s="544"/>
      <c r="AY204" s="544"/>
      <c r="AZ204" s="544"/>
      <c r="BA204" s="544"/>
      <c r="BB204" s="544"/>
      <c r="BC204" s="544"/>
      <c r="BD204" s="544"/>
      <c r="BE204" s="544"/>
      <c r="BF204" s="544"/>
      <c r="BG204" s="544"/>
      <c r="BH204" s="544"/>
      <c r="BI204" s="544"/>
      <c r="BJ204" s="544"/>
      <c r="BK204" s="544"/>
      <c r="BL204" s="544"/>
      <c r="BM204" s="544"/>
      <c r="BN204" s="544"/>
      <c r="BO204" s="544"/>
      <c r="BP204" s="544"/>
      <c r="BQ204" s="544"/>
      <c r="BR204" s="544"/>
      <c r="BS204" s="544"/>
      <c r="BT204" s="544"/>
      <c r="BU204" s="544"/>
      <c r="BV204" s="544"/>
      <c r="BW204" s="544"/>
      <c r="BX204" s="544"/>
      <c r="BY204" s="544"/>
      <c r="BZ204" s="544"/>
      <c r="CA204" s="544"/>
      <c r="CB204" s="544"/>
      <c r="CC204" s="544"/>
      <c r="CD204" s="544"/>
      <c r="CE204" s="544"/>
      <c r="CF204" s="544"/>
      <c r="CG204" s="544"/>
      <c r="CH204" s="544"/>
      <c r="CI204" s="544"/>
      <c r="CJ204" s="544"/>
      <c r="CK204" s="544"/>
      <c r="CL204" s="544"/>
      <c r="CM204" s="544"/>
      <c r="CN204" s="544"/>
      <c r="CO204" s="544"/>
      <c r="CP204" s="544"/>
      <c r="CQ204" s="544"/>
      <c r="CR204" s="544"/>
      <c r="CS204" s="544"/>
      <c r="CT204" s="544"/>
      <c r="CU204" s="544"/>
      <c r="CV204" s="544"/>
      <c r="CW204" s="544"/>
      <c r="CX204" s="544"/>
      <c r="CY204" s="544"/>
      <c r="CZ204" s="544"/>
      <c r="DA204" s="544"/>
      <c r="DB204" s="544"/>
      <c r="DC204" s="544"/>
      <c r="DD204" s="544"/>
      <c r="DE204" s="544"/>
      <c r="DF204" s="544"/>
      <c r="DG204" s="544"/>
      <c r="DH204" s="544"/>
      <c r="DI204" s="544"/>
      <c r="DJ204" s="544"/>
      <c r="DK204" s="544"/>
      <c r="DL204" s="544"/>
      <c r="DM204" s="544"/>
      <c r="DN204" s="544"/>
      <c r="DO204" s="544"/>
      <c r="DP204" s="544"/>
      <c r="DQ204" s="544"/>
      <c r="DR204" s="544"/>
      <c r="DS204" s="544"/>
      <c r="DT204" s="544"/>
      <c r="DU204" s="544"/>
      <c r="DV204" s="544"/>
      <c r="DW204" s="544"/>
      <c r="DX204" s="544"/>
      <c r="DY204" s="544"/>
      <c r="DZ204" s="544"/>
      <c r="EA204" s="544"/>
      <c r="EB204" s="544"/>
      <c r="EC204" s="544"/>
      <c r="ED204" s="544"/>
      <c r="EE204" s="544"/>
      <c r="EF204" s="544"/>
      <c r="EG204" s="544"/>
      <c r="EH204" s="544"/>
      <c r="EI204" s="544"/>
      <c r="EJ204" s="544"/>
      <c r="EK204" s="544"/>
      <c r="EL204" s="544"/>
      <c r="EM204" s="544"/>
      <c r="EN204" s="544"/>
      <c r="EO204" s="544"/>
      <c r="EP204" s="544"/>
      <c r="EQ204" s="544"/>
      <c r="ER204" s="544"/>
      <c r="ES204" s="544"/>
      <c r="ET204" s="544"/>
      <c r="EU204" s="544"/>
      <c r="EV204" s="544"/>
      <c r="EW204" s="544"/>
      <c r="EX204" s="544"/>
      <c r="EY204" s="544"/>
      <c r="EZ204" s="544"/>
      <c r="FA204" s="544"/>
      <c r="FB204" s="544"/>
      <c r="FC204" s="544"/>
      <c r="FD204" s="544"/>
      <c r="FE204" s="544"/>
      <c r="FF204" s="544"/>
      <c r="FG204" s="544"/>
      <c r="FH204" s="544"/>
      <c r="FI204" s="544"/>
      <c r="FJ204" s="544"/>
      <c r="FK204" s="544"/>
      <c r="FL204" s="544"/>
      <c r="FM204" s="544"/>
      <c r="FN204" s="544"/>
      <c r="FO204" s="544"/>
      <c r="FP204" s="544"/>
      <c r="FQ204" s="544"/>
      <c r="FR204" s="544"/>
      <c r="FS204" s="544"/>
      <c r="FT204" s="544"/>
      <c r="FU204" s="544"/>
      <c r="FV204" s="544"/>
      <c r="FW204" s="544"/>
      <c r="FX204" s="544"/>
      <c r="FY204" s="544"/>
      <c r="FZ204" s="544"/>
      <c r="GA204" s="544"/>
      <c r="GB204" s="544"/>
      <c r="GC204" s="544"/>
      <c r="GD204" s="544"/>
      <c r="GE204" s="544"/>
      <c r="GF204" s="544"/>
      <c r="GG204" s="544"/>
      <c r="GH204" s="544"/>
      <c r="GI204" s="544"/>
      <c r="GJ204" s="544"/>
      <c r="GK204" s="544"/>
      <c r="GL204" s="544"/>
      <c r="GM204" s="544"/>
      <c r="GN204" s="544"/>
      <c r="GO204" s="544"/>
      <c r="GP204" s="544"/>
      <c r="GQ204" s="544"/>
      <c r="GR204" s="544"/>
      <c r="GS204" s="544"/>
      <c r="GT204" s="544"/>
      <c r="GU204" s="544"/>
      <c r="GV204" s="544"/>
      <c r="GW204" s="544"/>
      <c r="GX204" s="544"/>
      <c r="GY204" s="544"/>
      <c r="GZ204" s="544"/>
      <c r="HA204" s="544"/>
      <c r="HB204" s="544"/>
      <c r="HC204" s="544"/>
      <c r="HD204" s="544"/>
      <c r="HE204" s="544"/>
      <c r="HF204" s="544"/>
      <c r="HG204" s="544"/>
      <c r="HH204" s="544"/>
      <c r="HI204" s="544"/>
      <c r="HJ204" s="544"/>
      <c r="HK204" s="544"/>
      <c r="HL204" s="544"/>
      <c r="HM204" s="544"/>
      <c r="HN204" s="544"/>
      <c r="HO204" s="544"/>
      <c r="HP204" s="544"/>
      <c r="HQ204" s="544"/>
      <c r="HR204" s="544"/>
      <c r="HS204" s="544"/>
      <c r="HT204" s="544"/>
      <c r="HU204" s="544"/>
      <c r="HV204" s="544"/>
      <c r="HW204" s="544"/>
      <c r="HX204" s="544"/>
      <c r="HY204" s="544"/>
      <c r="HZ204" s="544"/>
      <c r="IA204" s="544"/>
      <c r="IB204" s="544"/>
      <c r="IC204" s="544"/>
      <c r="ID204" s="544"/>
      <c r="IE204" s="544"/>
      <c r="IF204" s="544"/>
      <c r="IG204" s="544"/>
      <c r="IH204" s="544"/>
      <c r="II204" s="544"/>
      <c r="IJ204" s="544"/>
      <c r="IK204" s="544"/>
      <c r="IL204" s="544"/>
      <c r="IM204" s="544"/>
      <c r="IN204" s="544"/>
      <c r="IO204" s="544"/>
      <c r="IP204" s="544"/>
      <c r="IQ204" s="544"/>
      <c r="IR204" s="544"/>
      <c r="IS204" s="544"/>
    </row>
    <row r="205" spans="1:253" x14ac:dyDescent="0.35">
      <c r="A205" s="544"/>
      <c r="B205" s="572"/>
      <c r="C205" s="572"/>
      <c r="E205" s="544"/>
      <c r="F205" s="544"/>
      <c r="G205" s="544"/>
      <c r="H205" s="544"/>
      <c r="I205" s="544"/>
      <c r="J205" s="544"/>
      <c r="K205" s="544"/>
      <c r="AY205" s="544"/>
      <c r="AZ205" s="544"/>
      <c r="BA205" s="544"/>
      <c r="BB205" s="544"/>
      <c r="BC205" s="544"/>
      <c r="BD205" s="544"/>
      <c r="BE205" s="544"/>
      <c r="BF205" s="544"/>
      <c r="BG205" s="544"/>
      <c r="BH205" s="544"/>
      <c r="BI205" s="544"/>
      <c r="BJ205" s="544"/>
      <c r="BK205" s="544"/>
      <c r="BL205" s="544"/>
      <c r="BM205" s="544"/>
      <c r="BN205" s="544"/>
      <c r="BO205" s="544"/>
      <c r="BP205" s="544"/>
      <c r="BQ205" s="544"/>
      <c r="BR205" s="544"/>
      <c r="BS205" s="544"/>
      <c r="BT205" s="544"/>
      <c r="BU205" s="544"/>
      <c r="BV205" s="544"/>
      <c r="BW205" s="544"/>
      <c r="BX205" s="544"/>
      <c r="BY205" s="544"/>
      <c r="BZ205" s="544"/>
      <c r="CA205" s="544"/>
      <c r="CB205" s="544"/>
      <c r="CC205" s="544"/>
      <c r="CD205" s="544"/>
      <c r="CE205" s="544"/>
      <c r="CF205" s="544"/>
      <c r="CG205" s="544"/>
      <c r="CH205" s="544"/>
      <c r="CI205" s="544"/>
      <c r="CJ205" s="544"/>
      <c r="CK205" s="544"/>
      <c r="CL205" s="544"/>
      <c r="CM205" s="544"/>
      <c r="CN205" s="544"/>
      <c r="CO205" s="544"/>
      <c r="CP205" s="544"/>
      <c r="CQ205" s="544"/>
      <c r="CR205" s="544"/>
      <c r="CS205" s="544"/>
      <c r="CT205" s="544"/>
      <c r="CU205" s="544"/>
      <c r="CV205" s="544"/>
      <c r="CW205" s="544"/>
      <c r="CX205" s="544"/>
      <c r="CY205" s="544"/>
      <c r="CZ205" s="544"/>
      <c r="DA205" s="544"/>
      <c r="DB205" s="544"/>
      <c r="DC205" s="544"/>
      <c r="DD205" s="544"/>
      <c r="DE205" s="544"/>
      <c r="DF205" s="544"/>
      <c r="DG205" s="544"/>
      <c r="DH205" s="544"/>
      <c r="DI205" s="544"/>
      <c r="DJ205" s="544"/>
      <c r="DK205" s="544"/>
      <c r="DL205" s="544"/>
      <c r="DM205" s="544"/>
      <c r="DN205" s="544"/>
      <c r="DO205" s="544"/>
      <c r="DP205" s="544"/>
      <c r="DQ205" s="544"/>
      <c r="DR205" s="544"/>
      <c r="DS205" s="544"/>
      <c r="DT205" s="544"/>
      <c r="DU205" s="544"/>
      <c r="DV205" s="544"/>
      <c r="DW205" s="544"/>
      <c r="DX205" s="544"/>
      <c r="DY205" s="544"/>
      <c r="DZ205" s="544"/>
      <c r="EA205" s="544"/>
      <c r="EB205" s="544"/>
      <c r="EC205" s="544"/>
      <c r="ED205" s="544"/>
      <c r="EE205" s="544"/>
      <c r="EF205" s="544"/>
      <c r="EG205" s="544"/>
      <c r="EH205" s="544"/>
      <c r="EI205" s="544"/>
      <c r="EJ205" s="544"/>
      <c r="EK205" s="544"/>
      <c r="EL205" s="544"/>
      <c r="EM205" s="544"/>
      <c r="EN205" s="544"/>
      <c r="EO205" s="544"/>
      <c r="EP205" s="544"/>
      <c r="EQ205" s="544"/>
      <c r="ER205" s="544"/>
      <c r="ES205" s="544"/>
      <c r="ET205" s="544"/>
      <c r="EU205" s="544"/>
      <c r="EV205" s="544"/>
      <c r="EW205" s="544"/>
      <c r="EX205" s="544"/>
      <c r="EY205" s="544"/>
      <c r="EZ205" s="544"/>
      <c r="FA205" s="544"/>
      <c r="FB205" s="544"/>
      <c r="FC205" s="544"/>
      <c r="FD205" s="544"/>
      <c r="FE205" s="544"/>
      <c r="FF205" s="544"/>
      <c r="FG205" s="544"/>
      <c r="FH205" s="544"/>
      <c r="FI205" s="544"/>
      <c r="FJ205" s="544"/>
      <c r="FK205" s="544"/>
      <c r="FL205" s="544"/>
      <c r="FM205" s="544"/>
      <c r="FN205" s="544"/>
      <c r="FO205" s="544"/>
      <c r="FP205" s="544"/>
      <c r="FQ205" s="544"/>
      <c r="FR205" s="544"/>
      <c r="FS205" s="544"/>
      <c r="FT205" s="544"/>
      <c r="FU205" s="544"/>
      <c r="FV205" s="544"/>
      <c r="FW205" s="544"/>
      <c r="FX205" s="544"/>
      <c r="FY205" s="544"/>
      <c r="FZ205" s="544"/>
      <c r="GA205" s="544"/>
      <c r="GB205" s="544"/>
      <c r="GC205" s="544"/>
      <c r="GD205" s="544"/>
      <c r="GE205" s="544"/>
      <c r="GF205" s="544"/>
      <c r="GG205" s="544"/>
      <c r="GH205" s="544"/>
      <c r="GI205" s="544"/>
      <c r="GJ205" s="544"/>
      <c r="GK205" s="544"/>
      <c r="GL205" s="544"/>
      <c r="GM205" s="544"/>
      <c r="GN205" s="544"/>
      <c r="GO205" s="544"/>
      <c r="GP205" s="544"/>
      <c r="GQ205" s="544"/>
      <c r="GR205" s="544"/>
      <c r="GS205" s="544"/>
      <c r="GT205" s="544"/>
      <c r="GU205" s="544"/>
      <c r="GV205" s="544"/>
      <c r="GW205" s="544"/>
      <c r="GX205" s="544"/>
      <c r="GY205" s="544"/>
      <c r="GZ205" s="544"/>
      <c r="HA205" s="544"/>
      <c r="HB205" s="544"/>
      <c r="HC205" s="544"/>
      <c r="HD205" s="544"/>
      <c r="HE205" s="544"/>
      <c r="HF205" s="544"/>
      <c r="HG205" s="544"/>
      <c r="HH205" s="544"/>
      <c r="HI205" s="544"/>
      <c r="HJ205" s="544"/>
      <c r="HK205" s="544"/>
      <c r="HL205" s="544"/>
      <c r="HM205" s="544"/>
      <c r="HN205" s="544"/>
      <c r="HO205" s="544"/>
      <c r="HP205" s="544"/>
      <c r="HQ205" s="544"/>
      <c r="HR205" s="544"/>
      <c r="HS205" s="544"/>
      <c r="HT205" s="544"/>
      <c r="HU205" s="544"/>
      <c r="HV205" s="544"/>
      <c r="HW205" s="544"/>
      <c r="HX205" s="544"/>
      <c r="HY205" s="544"/>
      <c r="HZ205" s="544"/>
      <c r="IA205" s="544"/>
      <c r="IB205" s="544"/>
      <c r="IC205" s="544"/>
      <c r="ID205" s="544"/>
      <c r="IE205" s="544"/>
      <c r="IF205" s="544"/>
      <c r="IG205" s="544"/>
      <c r="IH205" s="544"/>
      <c r="II205" s="544"/>
      <c r="IJ205" s="544"/>
      <c r="IK205" s="544"/>
      <c r="IL205" s="544"/>
      <c r="IM205" s="544"/>
      <c r="IN205" s="544"/>
      <c r="IO205" s="544"/>
      <c r="IP205" s="544"/>
      <c r="IQ205" s="544"/>
      <c r="IR205" s="544"/>
      <c r="IS205" s="544"/>
    </row>
    <row r="206" spans="1:253" x14ac:dyDescent="0.35">
      <c r="A206" s="544"/>
      <c r="B206" s="572"/>
      <c r="C206" s="572"/>
      <c r="E206" s="544"/>
      <c r="F206" s="544"/>
      <c r="G206" s="544"/>
      <c r="H206" s="544"/>
      <c r="I206" s="544"/>
      <c r="J206" s="544"/>
      <c r="K206" s="544"/>
      <c r="AY206" s="544"/>
      <c r="AZ206" s="544"/>
      <c r="BA206" s="544"/>
      <c r="BB206" s="544"/>
      <c r="BC206" s="544"/>
      <c r="BD206" s="544"/>
      <c r="BE206" s="544"/>
      <c r="BF206" s="544"/>
      <c r="BG206" s="544"/>
      <c r="BH206" s="544"/>
      <c r="BI206" s="544"/>
      <c r="BJ206" s="544"/>
      <c r="BK206" s="544"/>
      <c r="BL206" s="544"/>
      <c r="BM206" s="544"/>
      <c r="BN206" s="544"/>
      <c r="BO206" s="544"/>
      <c r="BP206" s="544"/>
      <c r="BQ206" s="544"/>
      <c r="BR206" s="544"/>
      <c r="BS206" s="544"/>
      <c r="BT206" s="544"/>
      <c r="BU206" s="544"/>
      <c r="BV206" s="544"/>
      <c r="BW206" s="544"/>
      <c r="BX206" s="544"/>
      <c r="BY206" s="544"/>
      <c r="BZ206" s="544"/>
      <c r="CA206" s="544"/>
      <c r="CB206" s="544"/>
      <c r="CC206" s="544"/>
      <c r="CD206" s="544"/>
      <c r="CE206" s="544"/>
      <c r="CF206" s="544"/>
      <c r="CG206" s="544"/>
      <c r="CH206" s="544"/>
      <c r="CI206" s="544"/>
      <c r="CJ206" s="544"/>
      <c r="CK206" s="544"/>
      <c r="CL206" s="544"/>
      <c r="CM206" s="544"/>
      <c r="CN206" s="544"/>
      <c r="CO206" s="544"/>
      <c r="CP206" s="544"/>
      <c r="CQ206" s="544"/>
      <c r="CR206" s="544"/>
      <c r="CS206" s="544"/>
      <c r="CT206" s="544"/>
      <c r="CU206" s="544"/>
      <c r="CV206" s="544"/>
      <c r="CW206" s="544"/>
      <c r="CX206" s="544"/>
      <c r="CY206" s="544"/>
      <c r="CZ206" s="544"/>
      <c r="DA206" s="544"/>
      <c r="DB206" s="544"/>
      <c r="DC206" s="544"/>
      <c r="DD206" s="544"/>
      <c r="DE206" s="544"/>
      <c r="DF206" s="544"/>
      <c r="DG206" s="544"/>
      <c r="DH206" s="544"/>
      <c r="DI206" s="544"/>
      <c r="DJ206" s="544"/>
      <c r="DK206" s="544"/>
      <c r="DL206" s="544"/>
      <c r="DM206" s="544"/>
      <c r="DN206" s="544"/>
      <c r="DO206" s="544"/>
      <c r="DP206" s="544"/>
      <c r="DQ206" s="544"/>
      <c r="DR206" s="544"/>
      <c r="DS206" s="544"/>
      <c r="DT206" s="544"/>
      <c r="DU206" s="544"/>
      <c r="DV206" s="544"/>
      <c r="DW206" s="544"/>
      <c r="DX206" s="544"/>
      <c r="DY206" s="544"/>
      <c r="DZ206" s="544"/>
      <c r="EA206" s="544"/>
      <c r="EB206" s="544"/>
      <c r="EC206" s="544"/>
      <c r="ED206" s="544"/>
      <c r="EE206" s="544"/>
      <c r="EF206" s="544"/>
      <c r="EG206" s="544"/>
      <c r="EH206" s="544"/>
      <c r="EI206" s="544"/>
      <c r="EJ206" s="544"/>
      <c r="EK206" s="544"/>
      <c r="EL206" s="544"/>
      <c r="EM206" s="544"/>
      <c r="EN206" s="544"/>
      <c r="EO206" s="544"/>
      <c r="EP206" s="544"/>
      <c r="EQ206" s="544"/>
      <c r="ER206" s="544"/>
      <c r="ES206" s="544"/>
      <c r="ET206" s="544"/>
      <c r="EU206" s="544"/>
      <c r="EV206" s="544"/>
      <c r="EW206" s="544"/>
      <c r="EX206" s="544"/>
      <c r="EY206" s="544"/>
      <c r="EZ206" s="544"/>
      <c r="FA206" s="544"/>
      <c r="FB206" s="544"/>
      <c r="FC206" s="544"/>
      <c r="FD206" s="544"/>
      <c r="FE206" s="544"/>
      <c r="FF206" s="544"/>
      <c r="FG206" s="544"/>
      <c r="FH206" s="544"/>
      <c r="FI206" s="544"/>
      <c r="FJ206" s="544"/>
      <c r="FK206" s="544"/>
      <c r="FL206" s="544"/>
      <c r="FM206" s="544"/>
      <c r="FN206" s="544"/>
      <c r="FO206" s="544"/>
      <c r="FP206" s="544"/>
      <c r="FQ206" s="544"/>
      <c r="FR206" s="544"/>
      <c r="FS206" s="544"/>
      <c r="FT206" s="544"/>
      <c r="FU206" s="544"/>
      <c r="FV206" s="544"/>
      <c r="FW206" s="544"/>
      <c r="FX206" s="544"/>
      <c r="FY206" s="544"/>
      <c r="FZ206" s="544"/>
      <c r="GA206" s="544"/>
      <c r="GB206" s="544"/>
      <c r="GC206" s="544"/>
      <c r="GD206" s="544"/>
      <c r="GE206" s="544"/>
      <c r="GF206" s="544"/>
      <c r="GG206" s="544"/>
      <c r="GH206" s="544"/>
      <c r="GI206" s="544"/>
      <c r="GJ206" s="544"/>
      <c r="GK206" s="544"/>
      <c r="GL206" s="544"/>
      <c r="GM206" s="544"/>
      <c r="GN206" s="544"/>
      <c r="GO206" s="544"/>
      <c r="GP206" s="544"/>
      <c r="GQ206" s="544"/>
      <c r="GR206" s="544"/>
      <c r="GS206" s="544"/>
      <c r="GT206" s="544"/>
      <c r="GU206" s="544"/>
      <c r="GV206" s="544"/>
      <c r="GW206" s="544"/>
      <c r="GX206" s="544"/>
      <c r="GY206" s="544"/>
      <c r="GZ206" s="544"/>
      <c r="HA206" s="544"/>
      <c r="HB206" s="544"/>
      <c r="HC206" s="544"/>
      <c r="HD206" s="544"/>
      <c r="HE206" s="544"/>
      <c r="HF206" s="544"/>
      <c r="HG206" s="544"/>
      <c r="HH206" s="544"/>
      <c r="HI206" s="544"/>
      <c r="HJ206" s="544"/>
      <c r="HK206" s="544"/>
      <c r="HL206" s="544"/>
      <c r="HM206" s="544"/>
      <c r="HN206" s="544"/>
      <c r="HO206" s="544"/>
      <c r="HP206" s="544"/>
      <c r="HQ206" s="544"/>
      <c r="HR206" s="544"/>
      <c r="HS206" s="544"/>
      <c r="HT206" s="544"/>
      <c r="HU206" s="544"/>
      <c r="HV206" s="544"/>
      <c r="HW206" s="544"/>
      <c r="HX206" s="544"/>
      <c r="HY206" s="544"/>
      <c r="HZ206" s="544"/>
      <c r="IA206" s="544"/>
      <c r="IB206" s="544"/>
      <c r="IC206" s="544"/>
      <c r="ID206" s="544"/>
      <c r="IE206" s="544"/>
      <c r="IF206" s="544"/>
      <c r="IG206" s="544"/>
      <c r="IH206" s="544"/>
      <c r="II206" s="544"/>
      <c r="IJ206" s="544"/>
      <c r="IK206" s="544"/>
      <c r="IL206" s="544"/>
      <c r="IM206" s="544"/>
      <c r="IN206" s="544"/>
      <c r="IO206" s="544"/>
      <c r="IP206" s="544"/>
      <c r="IQ206" s="544"/>
      <c r="IR206" s="544"/>
      <c r="IS206" s="544"/>
    </row>
    <row r="207" spans="1:253" x14ac:dyDescent="0.35">
      <c r="A207" s="544"/>
      <c r="B207" s="572"/>
      <c r="C207" s="572"/>
      <c r="E207" s="544"/>
      <c r="F207" s="544"/>
      <c r="G207" s="544"/>
      <c r="H207" s="544"/>
      <c r="I207" s="544"/>
      <c r="J207" s="544"/>
      <c r="K207" s="544"/>
      <c r="AY207" s="544"/>
      <c r="AZ207" s="544"/>
      <c r="BA207" s="544"/>
      <c r="BB207" s="544"/>
      <c r="BC207" s="544"/>
      <c r="BD207" s="544"/>
      <c r="BE207" s="544"/>
      <c r="BF207" s="544"/>
      <c r="BG207" s="544"/>
      <c r="BH207" s="544"/>
      <c r="BI207" s="544"/>
      <c r="BJ207" s="544"/>
      <c r="BK207" s="544"/>
      <c r="BL207" s="544"/>
      <c r="BM207" s="544"/>
      <c r="BN207" s="544"/>
      <c r="BO207" s="544"/>
      <c r="BP207" s="544"/>
      <c r="BQ207" s="544"/>
      <c r="BR207" s="544"/>
      <c r="BS207" s="544"/>
      <c r="BT207" s="544"/>
      <c r="BU207" s="544"/>
      <c r="BV207" s="544"/>
      <c r="BW207" s="544"/>
      <c r="BX207" s="544"/>
      <c r="BY207" s="544"/>
      <c r="BZ207" s="544"/>
      <c r="CA207" s="544"/>
      <c r="CB207" s="544"/>
      <c r="CC207" s="544"/>
      <c r="CD207" s="544"/>
      <c r="CE207" s="544"/>
      <c r="CF207" s="544"/>
      <c r="CG207" s="544"/>
      <c r="CH207" s="544"/>
      <c r="CI207" s="544"/>
      <c r="CJ207" s="544"/>
      <c r="CK207" s="544"/>
      <c r="CL207" s="544"/>
      <c r="CM207" s="544"/>
      <c r="CN207" s="544"/>
      <c r="CO207" s="544"/>
      <c r="CP207" s="544"/>
      <c r="CQ207" s="544"/>
      <c r="CR207" s="544"/>
      <c r="CS207" s="544"/>
      <c r="CT207" s="544"/>
      <c r="CU207" s="544"/>
      <c r="CV207" s="544"/>
      <c r="CW207" s="544"/>
      <c r="CX207" s="544"/>
      <c r="CY207" s="544"/>
      <c r="CZ207" s="544"/>
      <c r="DA207" s="544"/>
      <c r="DB207" s="544"/>
      <c r="DC207" s="544"/>
      <c r="DD207" s="544"/>
      <c r="DE207" s="544"/>
      <c r="DF207" s="544"/>
      <c r="DG207" s="544"/>
      <c r="DH207" s="544"/>
      <c r="DI207" s="544"/>
      <c r="DJ207" s="544"/>
      <c r="DK207" s="544"/>
      <c r="DL207" s="544"/>
      <c r="DM207" s="544"/>
      <c r="DN207" s="544"/>
      <c r="DO207" s="544"/>
      <c r="DP207" s="544"/>
      <c r="DQ207" s="544"/>
      <c r="DR207" s="544"/>
      <c r="DS207" s="544"/>
      <c r="DT207" s="544"/>
      <c r="DU207" s="544"/>
      <c r="DV207" s="544"/>
      <c r="DW207" s="544"/>
      <c r="DX207" s="544"/>
      <c r="DY207" s="544"/>
      <c r="DZ207" s="544"/>
      <c r="EA207" s="544"/>
      <c r="EB207" s="544"/>
      <c r="EC207" s="544"/>
      <c r="ED207" s="544"/>
      <c r="EE207" s="544"/>
      <c r="EF207" s="544"/>
      <c r="EG207" s="544"/>
      <c r="EH207" s="544"/>
      <c r="EI207" s="544"/>
      <c r="EJ207" s="544"/>
      <c r="EK207" s="544"/>
      <c r="EL207" s="544"/>
      <c r="EM207" s="544"/>
      <c r="EN207" s="544"/>
      <c r="EO207" s="544"/>
      <c r="EP207" s="544"/>
      <c r="EQ207" s="544"/>
      <c r="ER207" s="544"/>
      <c r="ES207" s="544"/>
      <c r="ET207" s="544"/>
      <c r="EU207" s="544"/>
      <c r="EV207" s="544"/>
      <c r="EW207" s="544"/>
      <c r="EX207" s="544"/>
      <c r="EY207" s="544"/>
      <c r="EZ207" s="544"/>
      <c r="FA207" s="544"/>
      <c r="FB207" s="544"/>
      <c r="FC207" s="544"/>
      <c r="FD207" s="544"/>
      <c r="FE207" s="544"/>
      <c r="FF207" s="544"/>
      <c r="FG207" s="544"/>
      <c r="FH207" s="544"/>
      <c r="FI207" s="544"/>
      <c r="FJ207" s="544"/>
      <c r="FK207" s="544"/>
      <c r="FL207" s="544"/>
      <c r="FM207" s="544"/>
      <c r="FN207" s="544"/>
      <c r="FO207" s="544"/>
      <c r="FP207" s="544"/>
      <c r="FQ207" s="544"/>
      <c r="FR207" s="544"/>
      <c r="FS207" s="544"/>
      <c r="FT207" s="544"/>
      <c r="FU207" s="544"/>
      <c r="FV207" s="544"/>
      <c r="FW207" s="544"/>
      <c r="FX207" s="544"/>
      <c r="FY207" s="544"/>
      <c r="FZ207" s="544"/>
      <c r="GA207" s="544"/>
      <c r="GB207" s="544"/>
      <c r="GC207" s="544"/>
      <c r="GD207" s="544"/>
      <c r="GE207" s="544"/>
      <c r="GF207" s="544"/>
      <c r="GG207" s="544"/>
      <c r="GH207" s="544"/>
      <c r="GI207" s="544"/>
      <c r="GJ207" s="544"/>
      <c r="GK207" s="544"/>
      <c r="GL207" s="544"/>
      <c r="GM207" s="544"/>
      <c r="GN207" s="544"/>
      <c r="GO207" s="544"/>
      <c r="GP207" s="544"/>
      <c r="GQ207" s="544"/>
      <c r="GR207" s="544"/>
      <c r="GS207" s="544"/>
      <c r="GT207" s="544"/>
      <c r="GU207" s="544"/>
      <c r="GV207" s="544"/>
      <c r="GW207" s="544"/>
      <c r="GX207" s="544"/>
      <c r="GY207" s="544"/>
      <c r="GZ207" s="544"/>
      <c r="HA207" s="544"/>
      <c r="HB207" s="544"/>
      <c r="HC207" s="544"/>
      <c r="HD207" s="544"/>
      <c r="HE207" s="544"/>
      <c r="HF207" s="544"/>
      <c r="HG207" s="544"/>
      <c r="HH207" s="544"/>
      <c r="HI207" s="544"/>
      <c r="HJ207" s="544"/>
      <c r="HK207" s="544"/>
      <c r="HL207" s="544"/>
      <c r="HM207" s="544"/>
      <c r="HN207" s="544"/>
      <c r="HO207" s="544"/>
      <c r="HP207" s="544"/>
      <c r="HQ207" s="544"/>
      <c r="HR207" s="544"/>
      <c r="HS207" s="544"/>
      <c r="HT207" s="544"/>
      <c r="HU207" s="544"/>
      <c r="HV207" s="544"/>
      <c r="HW207" s="544"/>
      <c r="HX207" s="544"/>
      <c r="HY207" s="544"/>
      <c r="HZ207" s="544"/>
      <c r="IA207" s="544"/>
      <c r="IB207" s="544"/>
      <c r="IC207" s="544"/>
      <c r="ID207" s="544"/>
      <c r="IE207" s="544"/>
      <c r="IF207" s="544"/>
      <c r="IG207" s="544"/>
      <c r="IH207" s="544"/>
      <c r="II207" s="544"/>
      <c r="IJ207" s="544"/>
      <c r="IK207" s="544"/>
      <c r="IL207" s="544"/>
      <c r="IM207" s="544"/>
      <c r="IN207" s="544"/>
      <c r="IO207" s="544"/>
      <c r="IP207" s="544"/>
      <c r="IQ207" s="544"/>
      <c r="IR207" s="544"/>
      <c r="IS207" s="544"/>
    </row>
    <row r="208" spans="1:253" x14ac:dyDescent="0.35">
      <c r="A208" s="544"/>
      <c r="B208" s="572"/>
      <c r="C208" s="572"/>
      <c r="E208" s="544"/>
      <c r="F208" s="544"/>
      <c r="G208" s="544"/>
      <c r="H208" s="544"/>
      <c r="I208" s="544"/>
      <c r="J208" s="544"/>
      <c r="K208" s="544"/>
      <c r="AY208" s="544"/>
      <c r="AZ208" s="544"/>
      <c r="BA208" s="544"/>
      <c r="BB208" s="544"/>
      <c r="BC208" s="544"/>
      <c r="BD208" s="544"/>
      <c r="BE208" s="544"/>
      <c r="BF208" s="544"/>
      <c r="BG208" s="544"/>
      <c r="BH208" s="544"/>
      <c r="BI208" s="544"/>
      <c r="BJ208" s="544"/>
      <c r="BK208" s="544"/>
      <c r="BL208" s="544"/>
      <c r="BM208" s="544"/>
      <c r="BN208" s="544"/>
      <c r="BO208" s="544"/>
      <c r="BP208" s="544"/>
      <c r="BQ208" s="544"/>
      <c r="BR208" s="544"/>
      <c r="BS208" s="544"/>
      <c r="BT208" s="544"/>
      <c r="BU208" s="544"/>
      <c r="BV208" s="544"/>
      <c r="BW208" s="544"/>
      <c r="BX208" s="544"/>
      <c r="BY208" s="544"/>
      <c r="BZ208" s="544"/>
      <c r="CA208" s="544"/>
      <c r="CB208" s="544"/>
      <c r="CC208" s="544"/>
      <c r="CD208" s="544"/>
      <c r="CE208" s="544"/>
      <c r="CF208" s="544"/>
      <c r="CG208" s="544"/>
      <c r="CH208" s="544"/>
      <c r="CI208" s="544"/>
      <c r="CJ208" s="544"/>
      <c r="CK208" s="544"/>
      <c r="CL208" s="544"/>
      <c r="CM208" s="544"/>
      <c r="CN208" s="544"/>
      <c r="CO208" s="544"/>
      <c r="CP208" s="544"/>
      <c r="CQ208" s="544"/>
      <c r="CR208" s="544"/>
      <c r="CS208" s="544"/>
      <c r="CT208" s="544"/>
      <c r="CU208" s="544"/>
      <c r="CV208" s="544"/>
      <c r="CW208" s="544"/>
      <c r="CX208" s="544"/>
      <c r="CY208" s="544"/>
      <c r="CZ208" s="544"/>
      <c r="DA208" s="544"/>
      <c r="DB208" s="544"/>
      <c r="DC208" s="544"/>
      <c r="DD208" s="544"/>
      <c r="DE208" s="544"/>
      <c r="DF208" s="544"/>
      <c r="DG208" s="544"/>
      <c r="DH208" s="544"/>
      <c r="DI208" s="544"/>
      <c r="DJ208" s="544"/>
      <c r="DK208" s="544"/>
      <c r="DL208" s="544"/>
      <c r="DM208" s="544"/>
      <c r="DN208" s="544"/>
      <c r="DO208" s="544"/>
      <c r="DP208" s="544"/>
      <c r="DQ208" s="544"/>
      <c r="DR208" s="544"/>
      <c r="DS208" s="544"/>
      <c r="DT208" s="544"/>
      <c r="DU208" s="544"/>
      <c r="DV208" s="544"/>
      <c r="DW208" s="544"/>
      <c r="DX208" s="544"/>
      <c r="DY208" s="544"/>
      <c r="DZ208" s="544"/>
      <c r="EA208" s="544"/>
      <c r="EB208" s="544"/>
      <c r="EC208" s="544"/>
      <c r="ED208" s="544"/>
      <c r="EE208" s="544"/>
      <c r="EF208" s="544"/>
      <c r="EG208" s="544"/>
      <c r="EH208" s="544"/>
      <c r="EI208" s="544"/>
      <c r="EJ208" s="544"/>
      <c r="EK208" s="544"/>
      <c r="EL208" s="544"/>
      <c r="EM208" s="544"/>
      <c r="EN208" s="544"/>
      <c r="EO208" s="544"/>
      <c r="EP208" s="544"/>
      <c r="EQ208" s="544"/>
      <c r="ER208" s="544"/>
      <c r="ES208" s="544"/>
      <c r="ET208" s="544"/>
      <c r="EU208" s="544"/>
      <c r="EV208" s="544"/>
      <c r="EW208" s="544"/>
      <c r="EX208" s="544"/>
      <c r="EY208" s="544"/>
      <c r="EZ208" s="544"/>
      <c r="FA208" s="544"/>
      <c r="FB208" s="544"/>
      <c r="FC208" s="544"/>
      <c r="FD208" s="544"/>
      <c r="FE208" s="544"/>
      <c r="FF208" s="544"/>
      <c r="FG208" s="544"/>
      <c r="FH208" s="544"/>
      <c r="FI208" s="544"/>
      <c r="FJ208" s="544"/>
      <c r="FK208" s="544"/>
      <c r="FL208" s="544"/>
      <c r="FM208" s="544"/>
      <c r="FN208" s="544"/>
      <c r="FO208" s="544"/>
      <c r="FP208" s="544"/>
      <c r="FQ208" s="544"/>
      <c r="FR208" s="544"/>
      <c r="FS208" s="544"/>
      <c r="FT208" s="544"/>
      <c r="FU208" s="544"/>
      <c r="FV208" s="544"/>
      <c r="FW208" s="544"/>
      <c r="FX208" s="544"/>
      <c r="FY208" s="544"/>
      <c r="FZ208" s="544"/>
      <c r="GA208" s="544"/>
      <c r="GB208" s="544"/>
      <c r="GC208" s="544"/>
      <c r="GD208" s="544"/>
      <c r="GE208" s="544"/>
      <c r="GF208" s="544"/>
      <c r="GG208" s="544"/>
      <c r="GH208" s="544"/>
      <c r="GI208" s="544"/>
      <c r="GJ208" s="544"/>
      <c r="GK208" s="544"/>
      <c r="GL208" s="544"/>
      <c r="GM208" s="544"/>
      <c r="GN208" s="544"/>
      <c r="GO208" s="544"/>
      <c r="GP208" s="544"/>
      <c r="GQ208" s="544"/>
      <c r="GR208" s="544"/>
      <c r="GS208" s="544"/>
      <c r="GT208" s="544"/>
      <c r="GU208" s="544"/>
      <c r="GV208" s="544"/>
      <c r="GW208" s="544"/>
      <c r="GX208" s="544"/>
      <c r="GY208" s="544"/>
      <c r="GZ208" s="544"/>
      <c r="HA208" s="544"/>
      <c r="HB208" s="544"/>
      <c r="HC208" s="544"/>
      <c r="HD208" s="544"/>
      <c r="HE208" s="544"/>
      <c r="HF208" s="544"/>
      <c r="HG208" s="544"/>
      <c r="HH208" s="544"/>
      <c r="HI208" s="544"/>
      <c r="HJ208" s="544"/>
      <c r="HK208" s="544"/>
      <c r="HL208" s="544"/>
      <c r="HM208" s="544"/>
      <c r="HN208" s="544"/>
      <c r="HO208" s="544"/>
      <c r="HP208" s="544"/>
      <c r="HQ208" s="544"/>
      <c r="HR208" s="544"/>
      <c r="HS208" s="544"/>
      <c r="HT208" s="544"/>
      <c r="HU208" s="544"/>
      <c r="HV208" s="544"/>
      <c r="HW208" s="544"/>
      <c r="HX208" s="544"/>
      <c r="HY208" s="544"/>
      <c r="HZ208" s="544"/>
      <c r="IA208" s="544"/>
      <c r="IB208" s="544"/>
      <c r="IC208" s="544"/>
      <c r="ID208" s="544"/>
      <c r="IE208" s="544"/>
      <c r="IF208" s="544"/>
      <c r="IG208" s="544"/>
      <c r="IH208" s="544"/>
      <c r="II208" s="544"/>
      <c r="IJ208" s="544"/>
      <c r="IK208" s="544"/>
      <c r="IL208" s="544"/>
      <c r="IM208" s="544"/>
      <c r="IN208" s="544"/>
      <c r="IO208" s="544"/>
      <c r="IP208" s="544"/>
      <c r="IQ208" s="544"/>
      <c r="IR208" s="544"/>
      <c r="IS208" s="544"/>
    </row>
    <row r="209" spans="1:253" x14ac:dyDescent="0.35">
      <c r="A209" s="544"/>
      <c r="B209" s="572"/>
      <c r="C209" s="572"/>
      <c r="E209" s="544"/>
      <c r="F209" s="544"/>
      <c r="G209" s="544"/>
      <c r="H209" s="544"/>
      <c r="I209" s="544"/>
      <c r="J209" s="544"/>
      <c r="K209" s="544"/>
      <c r="AY209" s="544"/>
      <c r="AZ209" s="544"/>
      <c r="BA209" s="544"/>
      <c r="BB209" s="544"/>
      <c r="BC209" s="544"/>
      <c r="BD209" s="544"/>
      <c r="BE209" s="544"/>
      <c r="BF209" s="544"/>
      <c r="BG209" s="544"/>
      <c r="BH209" s="544"/>
      <c r="BI209" s="544"/>
      <c r="BJ209" s="544"/>
      <c r="BK209" s="544"/>
      <c r="BL209" s="544"/>
      <c r="BM209" s="544"/>
      <c r="BN209" s="544"/>
      <c r="BO209" s="544"/>
      <c r="BP209" s="544"/>
      <c r="BQ209" s="544"/>
      <c r="BR209" s="544"/>
      <c r="BS209" s="544"/>
      <c r="BT209" s="544"/>
      <c r="BU209" s="544"/>
      <c r="BV209" s="544"/>
      <c r="BW209" s="544"/>
      <c r="BX209" s="544"/>
      <c r="BY209" s="544"/>
      <c r="BZ209" s="544"/>
      <c r="CA209" s="544"/>
      <c r="CB209" s="544"/>
      <c r="CC209" s="544"/>
      <c r="CD209" s="544"/>
      <c r="CE209" s="544"/>
      <c r="CF209" s="544"/>
      <c r="CG209" s="544"/>
      <c r="CH209" s="544"/>
      <c r="CI209" s="544"/>
      <c r="CJ209" s="544"/>
      <c r="CK209" s="544"/>
      <c r="CL209" s="544"/>
      <c r="CM209" s="544"/>
      <c r="CN209" s="544"/>
      <c r="CO209" s="544"/>
      <c r="CP209" s="544"/>
      <c r="CQ209" s="544"/>
      <c r="CR209" s="544"/>
      <c r="CS209" s="544"/>
      <c r="CT209" s="544"/>
      <c r="CU209" s="544"/>
      <c r="CV209" s="544"/>
      <c r="CW209" s="544"/>
      <c r="CX209" s="544"/>
      <c r="CY209" s="544"/>
      <c r="CZ209" s="544"/>
      <c r="DA209" s="544"/>
      <c r="DB209" s="544"/>
      <c r="DC209" s="544"/>
      <c r="DD209" s="544"/>
      <c r="DE209" s="544"/>
      <c r="DF209" s="544"/>
      <c r="DG209" s="544"/>
      <c r="DH209" s="544"/>
      <c r="DI209" s="544"/>
      <c r="DJ209" s="544"/>
      <c r="DK209" s="544"/>
      <c r="DL209" s="544"/>
      <c r="DM209" s="544"/>
      <c r="DN209" s="544"/>
      <c r="DO209" s="544"/>
      <c r="DP209" s="544"/>
      <c r="DQ209" s="544"/>
      <c r="DR209" s="544"/>
      <c r="DS209" s="544"/>
      <c r="DT209" s="544"/>
      <c r="DU209" s="544"/>
      <c r="DV209" s="544"/>
      <c r="DW209" s="544"/>
      <c r="DX209" s="544"/>
      <c r="DY209" s="544"/>
      <c r="DZ209" s="544"/>
      <c r="EA209" s="544"/>
      <c r="EB209" s="544"/>
      <c r="EC209" s="544"/>
      <c r="ED209" s="544"/>
      <c r="EE209" s="544"/>
      <c r="EF209" s="544"/>
      <c r="EG209" s="544"/>
      <c r="EH209" s="544"/>
      <c r="EI209" s="544"/>
      <c r="EJ209" s="544"/>
      <c r="EK209" s="544"/>
      <c r="EL209" s="544"/>
      <c r="EM209" s="544"/>
      <c r="EN209" s="544"/>
      <c r="EO209" s="544"/>
      <c r="EP209" s="544"/>
      <c r="EQ209" s="544"/>
      <c r="ER209" s="544"/>
      <c r="ES209" s="544"/>
      <c r="ET209" s="544"/>
      <c r="EU209" s="544"/>
      <c r="EV209" s="544"/>
      <c r="EW209" s="544"/>
      <c r="EX209" s="544"/>
      <c r="EY209" s="544"/>
      <c r="EZ209" s="544"/>
      <c r="FA209" s="544"/>
      <c r="FB209" s="544"/>
      <c r="FC209" s="544"/>
      <c r="FD209" s="544"/>
      <c r="FE209" s="544"/>
      <c r="FF209" s="544"/>
      <c r="FG209" s="544"/>
      <c r="FH209" s="544"/>
      <c r="FI209" s="544"/>
      <c r="FJ209" s="544"/>
      <c r="FK209" s="544"/>
      <c r="FL209" s="544"/>
      <c r="FM209" s="544"/>
      <c r="FN209" s="544"/>
      <c r="FO209" s="544"/>
      <c r="FP209" s="544"/>
      <c r="FQ209" s="544"/>
      <c r="FR209" s="544"/>
      <c r="FS209" s="544"/>
      <c r="FT209" s="544"/>
      <c r="FU209" s="544"/>
      <c r="FV209" s="544"/>
      <c r="FW209" s="544"/>
      <c r="FX209" s="544"/>
      <c r="FY209" s="544"/>
      <c r="FZ209" s="544"/>
      <c r="GA209" s="544"/>
      <c r="GB209" s="544"/>
      <c r="GC209" s="544"/>
      <c r="GD209" s="544"/>
      <c r="GE209" s="544"/>
      <c r="GF209" s="544"/>
      <c r="GG209" s="544"/>
      <c r="GH209" s="544"/>
      <c r="GI209" s="544"/>
      <c r="GJ209" s="544"/>
      <c r="GK209" s="544"/>
      <c r="GL209" s="544"/>
      <c r="GM209" s="544"/>
      <c r="GN209" s="544"/>
      <c r="GO209" s="544"/>
      <c r="GP209" s="544"/>
      <c r="GQ209" s="544"/>
      <c r="GR209" s="544"/>
      <c r="GS209" s="544"/>
      <c r="GT209" s="544"/>
      <c r="GU209" s="544"/>
      <c r="GV209" s="544"/>
      <c r="GW209" s="544"/>
      <c r="GX209" s="544"/>
      <c r="GY209" s="544"/>
      <c r="GZ209" s="544"/>
      <c r="HA209" s="544"/>
      <c r="HB209" s="544"/>
      <c r="HC209" s="544"/>
      <c r="HD209" s="544"/>
      <c r="HE209" s="544"/>
      <c r="HF209" s="544"/>
      <c r="HG209" s="544"/>
      <c r="HH209" s="544"/>
      <c r="HI209" s="544"/>
      <c r="HJ209" s="544"/>
      <c r="HK209" s="544"/>
      <c r="HL209" s="544"/>
      <c r="HM209" s="544"/>
      <c r="HN209" s="544"/>
      <c r="HO209" s="544"/>
      <c r="HP209" s="544"/>
      <c r="HQ209" s="544"/>
      <c r="HR209" s="544"/>
      <c r="HS209" s="544"/>
      <c r="HT209" s="544"/>
      <c r="HU209" s="544"/>
      <c r="HV209" s="544"/>
      <c r="HW209" s="544"/>
      <c r="HX209" s="544"/>
      <c r="HY209" s="544"/>
      <c r="HZ209" s="544"/>
      <c r="IA209" s="544"/>
      <c r="IB209" s="544"/>
      <c r="IC209" s="544"/>
      <c r="ID209" s="544"/>
      <c r="IE209" s="544"/>
      <c r="IF209" s="544"/>
      <c r="IG209" s="544"/>
      <c r="IH209" s="544"/>
      <c r="II209" s="544"/>
      <c r="IJ209" s="544"/>
      <c r="IK209" s="544"/>
      <c r="IL209" s="544"/>
      <c r="IM209" s="544"/>
      <c r="IN209" s="544"/>
      <c r="IO209" s="544"/>
      <c r="IP209" s="544"/>
      <c r="IQ209" s="544"/>
      <c r="IR209" s="544"/>
      <c r="IS209" s="544"/>
    </row>
    <row r="210" spans="1:253" x14ac:dyDescent="0.35">
      <c r="A210" s="544"/>
      <c r="B210" s="572"/>
      <c r="C210" s="572"/>
      <c r="E210" s="544"/>
      <c r="F210" s="544"/>
      <c r="G210" s="544"/>
      <c r="H210" s="544"/>
      <c r="I210" s="544"/>
      <c r="J210" s="544"/>
      <c r="K210" s="544"/>
      <c r="AY210" s="544"/>
      <c r="AZ210" s="544"/>
      <c r="BA210" s="544"/>
      <c r="BB210" s="544"/>
      <c r="BC210" s="544"/>
      <c r="BD210" s="544"/>
      <c r="BE210" s="544"/>
      <c r="BF210" s="544"/>
      <c r="BG210" s="544"/>
      <c r="BH210" s="544"/>
      <c r="BI210" s="544"/>
      <c r="BJ210" s="544"/>
      <c r="BK210" s="544"/>
      <c r="BL210" s="544"/>
      <c r="BM210" s="544"/>
      <c r="BN210" s="544"/>
      <c r="BO210" s="544"/>
      <c r="BP210" s="544"/>
      <c r="BQ210" s="544"/>
      <c r="BR210" s="544"/>
      <c r="BS210" s="544"/>
      <c r="BT210" s="544"/>
      <c r="BU210" s="544"/>
      <c r="BV210" s="544"/>
      <c r="BW210" s="544"/>
      <c r="BX210" s="544"/>
      <c r="BY210" s="544"/>
      <c r="BZ210" s="544"/>
      <c r="CA210" s="544"/>
      <c r="CB210" s="544"/>
      <c r="CC210" s="544"/>
      <c r="CD210" s="544"/>
      <c r="CE210" s="544"/>
      <c r="CF210" s="544"/>
      <c r="CG210" s="544"/>
      <c r="CH210" s="544"/>
      <c r="CI210" s="544"/>
      <c r="CJ210" s="544"/>
      <c r="CK210" s="544"/>
      <c r="CL210" s="544"/>
      <c r="CM210" s="544"/>
      <c r="CN210" s="544"/>
      <c r="CO210" s="544"/>
      <c r="CP210" s="544"/>
      <c r="CQ210" s="544"/>
      <c r="CR210" s="544"/>
      <c r="CS210" s="544"/>
      <c r="CT210" s="544"/>
      <c r="CU210" s="544"/>
      <c r="CV210" s="544"/>
      <c r="CW210" s="544"/>
      <c r="CX210" s="544"/>
      <c r="CY210" s="544"/>
      <c r="CZ210" s="544"/>
      <c r="DA210" s="544"/>
      <c r="DB210" s="544"/>
      <c r="DC210" s="544"/>
      <c r="DD210" s="544"/>
      <c r="DE210" s="544"/>
      <c r="DF210" s="544"/>
      <c r="DG210" s="544"/>
      <c r="DH210" s="544"/>
      <c r="DI210" s="544"/>
      <c r="DJ210" s="544"/>
      <c r="DK210" s="544"/>
      <c r="DL210" s="544"/>
      <c r="DM210" s="544"/>
      <c r="DN210" s="544"/>
      <c r="DO210" s="544"/>
      <c r="DP210" s="544"/>
      <c r="DQ210" s="544"/>
      <c r="DR210" s="544"/>
      <c r="DS210" s="544"/>
      <c r="DT210" s="544"/>
      <c r="DU210" s="544"/>
      <c r="DV210" s="544"/>
      <c r="DW210" s="544"/>
      <c r="DX210" s="544"/>
      <c r="DY210" s="544"/>
      <c r="DZ210" s="544"/>
      <c r="EA210" s="544"/>
      <c r="EB210" s="544"/>
      <c r="EC210" s="544"/>
      <c r="ED210" s="544"/>
      <c r="EE210" s="544"/>
      <c r="EF210" s="544"/>
      <c r="EG210" s="544"/>
      <c r="EH210" s="544"/>
      <c r="EI210" s="544"/>
      <c r="EJ210" s="544"/>
      <c r="EK210" s="544"/>
      <c r="EL210" s="544"/>
      <c r="EM210" s="544"/>
      <c r="EN210" s="544"/>
      <c r="EO210" s="544"/>
      <c r="EP210" s="544"/>
      <c r="EQ210" s="544"/>
      <c r="ER210" s="544"/>
      <c r="ES210" s="544"/>
      <c r="ET210" s="544"/>
      <c r="EU210" s="544"/>
      <c r="EV210" s="544"/>
      <c r="EW210" s="544"/>
      <c r="EX210" s="544"/>
      <c r="EY210" s="544"/>
      <c r="EZ210" s="544"/>
      <c r="FA210" s="544"/>
      <c r="FB210" s="544"/>
      <c r="FC210" s="544"/>
      <c r="FD210" s="544"/>
      <c r="FE210" s="544"/>
      <c r="FF210" s="544"/>
      <c r="FG210" s="544"/>
      <c r="FH210" s="544"/>
      <c r="FI210" s="544"/>
      <c r="FJ210" s="544"/>
      <c r="FK210" s="544"/>
      <c r="FL210" s="544"/>
      <c r="FM210" s="544"/>
      <c r="FN210" s="544"/>
      <c r="FO210" s="544"/>
      <c r="FP210" s="544"/>
      <c r="FQ210" s="544"/>
      <c r="FR210" s="544"/>
      <c r="FS210" s="544"/>
      <c r="FT210" s="544"/>
      <c r="FU210" s="544"/>
      <c r="FV210" s="544"/>
      <c r="FW210" s="544"/>
      <c r="FX210" s="544"/>
      <c r="FY210" s="544"/>
      <c r="FZ210" s="544"/>
      <c r="GA210" s="544"/>
      <c r="GB210" s="544"/>
      <c r="GC210" s="544"/>
      <c r="GD210" s="544"/>
      <c r="GE210" s="544"/>
      <c r="GF210" s="544"/>
      <c r="GG210" s="544"/>
      <c r="GH210" s="544"/>
      <c r="GI210" s="544"/>
      <c r="GJ210" s="544"/>
      <c r="GK210" s="544"/>
      <c r="GL210" s="544"/>
      <c r="GM210" s="544"/>
      <c r="GN210" s="544"/>
      <c r="GO210" s="544"/>
      <c r="GP210" s="544"/>
      <c r="GQ210" s="544"/>
      <c r="GR210" s="544"/>
      <c r="GS210" s="544"/>
      <c r="GT210" s="544"/>
      <c r="GU210" s="544"/>
      <c r="GV210" s="544"/>
      <c r="GW210" s="544"/>
      <c r="GX210" s="544"/>
      <c r="GY210" s="544"/>
      <c r="GZ210" s="544"/>
      <c r="HA210" s="544"/>
      <c r="HB210" s="544"/>
      <c r="HC210" s="544"/>
      <c r="HD210" s="544"/>
      <c r="HE210" s="544"/>
      <c r="HF210" s="544"/>
      <c r="HG210" s="544"/>
      <c r="HH210" s="544"/>
      <c r="HI210" s="544"/>
      <c r="HJ210" s="544"/>
      <c r="HK210" s="544"/>
      <c r="HL210" s="544"/>
      <c r="HM210" s="544"/>
      <c r="HN210" s="544"/>
      <c r="HO210" s="544"/>
      <c r="HP210" s="544"/>
      <c r="HQ210" s="544"/>
      <c r="HR210" s="544"/>
      <c r="HS210" s="544"/>
      <c r="HT210" s="544"/>
      <c r="HU210" s="544"/>
      <c r="HV210" s="544"/>
      <c r="HW210" s="544"/>
      <c r="HX210" s="544"/>
      <c r="HY210" s="544"/>
      <c r="HZ210" s="544"/>
      <c r="IA210" s="544"/>
      <c r="IB210" s="544"/>
      <c r="IC210" s="544"/>
      <c r="ID210" s="544"/>
      <c r="IE210" s="544"/>
      <c r="IF210" s="544"/>
      <c r="IG210" s="544"/>
      <c r="IH210" s="544"/>
      <c r="II210" s="544"/>
      <c r="IJ210" s="544"/>
      <c r="IK210" s="544"/>
      <c r="IL210" s="544"/>
      <c r="IM210" s="544"/>
      <c r="IN210" s="544"/>
      <c r="IO210" s="544"/>
      <c r="IP210" s="544"/>
      <c r="IQ210" s="544"/>
      <c r="IR210" s="544"/>
      <c r="IS210" s="544"/>
    </row>
    <row r="211" spans="1:253" x14ac:dyDescent="0.35">
      <c r="A211" s="544"/>
      <c r="B211" s="572"/>
      <c r="C211" s="572"/>
      <c r="E211" s="544"/>
      <c r="F211" s="544"/>
      <c r="G211" s="544"/>
      <c r="H211" s="544"/>
      <c r="I211" s="544"/>
      <c r="J211" s="544"/>
      <c r="K211" s="544"/>
      <c r="AY211" s="544"/>
      <c r="AZ211" s="544"/>
      <c r="BA211" s="544"/>
      <c r="BB211" s="544"/>
      <c r="BC211" s="544"/>
      <c r="BD211" s="544"/>
      <c r="BE211" s="544"/>
      <c r="BF211" s="544"/>
      <c r="BG211" s="544"/>
      <c r="BH211" s="544"/>
      <c r="BI211" s="544"/>
      <c r="BJ211" s="544"/>
      <c r="BK211" s="544"/>
      <c r="BL211" s="544"/>
      <c r="BM211" s="544"/>
      <c r="BN211" s="544"/>
      <c r="BO211" s="544"/>
      <c r="BP211" s="544"/>
      <c r="BQ211" s="544"/>
      <c r="BR211" s="544"/>
      <c r="BS211" s="544"/>
      <c r="BT211" s="544"/>
      <c r="BU211" s="544"/>
      <c r="BV211" s="544"/>
      <c r="BW211" s="544"/>
      <c r="BX211" s="544"/>
      <c r="BY211" s="544"/>
      <c r="BZ211" s="544"/>
      <c r="CA211" s="544"/>
      <c r="CB211" s="544"/>
      <c r="CC211" s="544"/>
      <c r="CD211" s="544"/>
      <c r="CE211" s="544"/>
      <c r="CF211" s="544"/>
      <c r="CG211" s="544"/>
      <c r="CH211" s="544"/>
      <c r="CI211" s="544"/>
      <c r="CJ211" s="544"/>
      <c r="CK211" s="544"/>
      <c r="CL211" s="544"/>
      <c r="CM211" s="544"/>
      <c r="CN211" s="544"/>
      <c r="CO211" s="544"/>
      <c r="CP211" s="544"/>
      <c r="CQ211" s="544"/>
      <c r="CR211" s="544"/>
      <c r="CS211" s="544"/>
      <c r="CT211" s="544"/>
      <c r="CU211" s="544"/>
      <c r="CV211" s="544"/>
      <c r="CW211" s="544"/>
      <c r="CX211" s="544"/>
      <c r="CY211" s="544"/>
      <c r="CZ211" s="544"/>
      <c r="DA211" s="544"/>
      <c r="DB211" s="544"/>
      <c r="DC211" s="544"/>
      <c r="DD211" s="544"/>
      <c r="DE211" s="544"/>
      <c r="DF211" s="544"/>
      <c r="DG211" s="544"/>
      <c r="DH211" s="544"/>
      <c r="DI211" s="544"/>
      <c r="DJ211" s="544"/>
      <c r="DK211" s="544"/>
      <c r="DL211" s="544"/>
      <c r="DM211" s="544"/>
      <c r="DN211" s="544"/>
      <c r="DO211" s="544"/>
      <c r="DP211" s="544"/>
      <c r="DQ211" s="544"/>
      <c r="DR211" s="544"/>
      <c r="DS211" s="544"/>
      <c r="DT211" s="544"/>
      <c r="DU211" s="544"/>
      <c r="DV211" s="544"/>
      <c r="DW211" s="544"/>
      <c r="DX211" s="544"/>
      <c r="DY211" s="544"/>
      <c r="DZ211" s="544"/>
      <c r="EA211" s="544"/>
      <c r="EB211" s="544"/>
      <c r="EC211" s="544"/>
      <c r="ED211" s="544"/>
      <c r="EE211" s="544"/>
      <c r="EF211" s="544"/>
      <c r="EG211" s="544"/>
      <c r="EH211" s="544"/>
      <c r="EI211" s="544"/>
      <c r="EJ211" s="544"/>
      <c r="EK211" s="544"/>
      <c r="EL211" s="544"/>
      <c r="EM211" s="544"/>
      <c r="EN211" s="544"/>
      <c r="EO211" s="544"/>
      <c r="EP211" s="544"/>
      <c r="EQ211" s="544"/>
      <c r="ER211" s="544"/>
      <c r="ES211" s="544"/>
      <c r="ET211" s="544"/>
      <c r="EU211" s="544"/>
      <c r="EV211" s="544"/>
      <c r="EW211" s="544"/>
      <c r="EX211" s="544"/>
      <c r="EY211" s="544"/>
      <c r="EZ211" s="544"/>
      <c r="FA211" s="544"/>
      <c r="FB211" s="544"/>
      <c r="FC211" s="544"/>
      <c r="FD211" s="544"/>
      <c r="FE211" s="544"/>
      <c r="FF211" s="544"/>
      <c r="FG211" s="544"/>
      <c r="FH211" s="544"/>
      <c r="FI211" s="544"/>
      <c r="FJ211" s="544"/>
      <c r="FK211" s="544"/>
      <c r="FL211" s="544"/>
      <c r="FM211" s="544"/>
      <c r="FN211" s="544"/>
      <c r="FO211" s="544"/>
      <c r="FP211" s="544"/>
      <c r="FQ211" s="544"/>
      <c r="FR211" s="544"/>
      <c r="FS211" s="544"/>
      <c r="FT211" s="544"/>
      <c r="FU211" s="544"/>
      <c r="FV211" s="544"/>
      <c r="FW211" s="544"/>
      <c r="FX211" s="544"/>
      <c r="FY211" s="544"/>
      <c r="FZ211" s="544"/>
      <c r="GA211" s="544"/>
      <c r="GB211" s="544"/>
      <c r="GC211" s="544"/>
      <c r="GD211" s="544"/>
      <c r="GE211" s="544"/>
      <c r="GF211" s="544"/>
      <c r="GG211" s="544"/>
      <c r="GH211" s="544"/>
      <c r="GI211" s="544"/>
      <c r="GJ211" s="544"/>
      <c r="GK211" s="544"/>
      <c r="GL211" s="544"/>
      <c r="GM211" s="544"/>
      <c r="GN211" s="544"/>
      <c r="GO211" s="544"/>
      <c r="GP211" s="544"/>
      <c r="GQ211" s="544"/>
      <c r="GR211" s="544"/>
      <c r="GS211" s="544"/>
      <c r="GT211" s="544"/>
      <c r="GU211" s="544"/>
      <c r="GV211" s="544"/>
      <c r="GW211" s="544"/>
      <c r="GX211" s="544"/>
      <c r="GY211" s="544"/>
      <c r="GZ211" s="544"/>
      <c r="HA211" s="544"/>
      <c r="HB211" s="544"/>
      <c r="HC211" s="544"/>
      <c r="HD211" s="544"/>
      <c r="HE211" s="544"/>
      <c r="HF211" s="544"/>
      <c r="HG211" s="544"/>
      <c r="HH211" s="544"/>
      <c r="HI211" s="544"/>
      <c r="HJ211" s="544"/>
      <c r="HK211" s="544"/>
      <c r="HL211" s="544"/>
      <c r="HM211" s="544"/>
      <c r="HN211" s="544"/>
      <c r="HO211" s="544"/>
      <c r="HP211" s="544"/>
      <c r="HQ211" s="544"/>
      <c r="HR211" s="544"/>
      <c r="HS211" s="544"/>
      <c r="HT211" s="544"/>
      <c r="HU211" s="544"/>
      <c r="HV211" s="544"/>
      <c r="HW211" s="544"/>
      <c r="HX211" s="544"/>
      <c r="HY211" s="544"/>
      <c r="HZ211" s="544"/>
      <c r="IA211" s="544"/>
      <c r="IB211" s="544"/>
      <c r="IC211" s="544"/>
      <c r="ID211" s="544"/>
      <c r="IE211" s="544"/>
      <c r="IF211" s="544"/>
      <c r="IG211" s="544"/>
      <c r="IH211" s="544"/>
      <c r="II211" s="544"/>
      <c r="IJ211" s="544"/>
      <c r="IK211" s="544"/>
      <c r="IL211" s="544"/>
      <c r="IM211" s="544"/>
      <c r="IN211" s="544"/>
      <c r="IO211" s="544"/>
      <c r="IP211" s="544"/>
      <c r="IQ211" s="544"/>
      <c r="IR211" s="544"/>
      <c r="IS211" s="544"/>
    </row>
    <row r="212" spans="1:253" x14ac:dyDescent="0.35">
      <c r="A212" s="544"/>
      <c r="B212" s="572"/>
      <c r="C212" s="572"/>
      <c r="E212" s="544"/>
      <c r="F212" s="544"/>
      <c r="G212" s="544"/>
      <c r="H212" s="544"/>
      <c r="I212" s="544"/>
      <c r="J212" s="544"/>
      <c r="K212" s="544"/>
      <c r="AY212" s="544"/>
      <c r="AZ212" s="544"/>
      <c r="BA212" s="544"/>
      <c r="BB212" s="544"/>
      <c r="BC212" s="544"/>
      <c r="BD212" s="544"/>
      <c r="BE212" s="544"/>
      <c r="BF212" s="544"/>
      <c r="BG212" s="544"/>
      <c r="BH212" s="544"/>
      <c r="BI212" s="544"/>
      <c r="BJ212" s="544"/>
      <c r="BK212" s="544"/>
      <c r="BL212" s="544"/>
      <c r="BM212" s="544"/>
      <c r="BN212" s="544"/>
      <c r="BO212" s="544"/>
      <c r="BP212" s="544"/>
      <c r="BQ212" s="544"/>
      <c r="BR212" s="544"/>
      <c r="BS212" s="544"/>
      <c r="BT212" s="544"/>
      <c r="BU212" s="544"/>
      <c r="BV212" s="544"/>
      <c r="BW212" s="544"/>
      <c r="BX212" s="544"/>
      <c r="BY212" s="544"/>
      <c r="BZ212" s="544"/>
      <c r="CA212" s="544"/>
      <c r="CB212" s="544"/>
      <c r="CC212" s="544"/>
      <c r="CD212" s="544"/>
      <c r="CE212" s="544"/>
      <c r="CF212" s="544"/>
      <c r="CG212" s="544"/>
      <c r="CH212" s="544"/>
      <c r="CI212" s="544"/>
      <c r="CJ212" s="544"/>
      <c r="CK212" s="544"/>
      <c r="CL212" s="544"/>
      <c r="CM212" s="544"/>
      <c r="CN212" s="544"/>
      <c r="CO212" s="544"/>
      <c r="CP212" s="544"/>
      <c r="CQ212" s="544"/>
      <c r="CR212" s="544"/>
      <c r="CS212" s="544"/>
      <c r="CT212" s="544"/>
      <c r="CU212" s="544"/>
      <c r="CV212" s="544"/>
      <c r="CW212" s="544"/>
      <c r="CX212" s="544"/>
      <c r="CY212" s="544"/>
      <c r="CZ212" s="544"/>
      <c r="DA212" s="544"/>
      <c r="DB212" s="544"/>
      <c r="DC212" s="544"/>
      <c r="DD212" s="544"/>
      <c r="DE212" s="544"/>
      <c r="DF212" s="544"/>
      <c r="DG212" s="544"/>
      <c r="DH212" s="544"/>
      <c r="DI212" s="544"/>
      <c r="DJ212" s="544"/>
      <c r="DK212" s="544"/>
      <c r="DL212" s="544"/>
      <c r="DM212" s="544"/>
      <c r="DN212" s="544"/>
      <c r="DO212" s="544"/>
      <c r="DP212" s="544"/>
      <c r="DQ212" s="544"/>
      <c r="DR212" s="544"/>
      <c r="DS212" s="544"/>
      <c r="DT212" s="544"/>
      <c r="DU212" s="544"/>
      <c r="DV212" s="544"/>
      <c r="DW212" s="544"/>
      <c r="DX212" s="544"/>
      <c r="DY212" s="544"/>
      <c r="DZ212" s="544"/>
      <c r="EA212" s="544"/>
      <c r="EB212" s="544"/>
      <c r="EC212" s="544"/>
      <c r="ED212" s="544"/>
      <c r="EE212" s="544"/>
      <c r="EF212" s="544"/>
      <c r="EG212" s="544"/>
      <c r="EH212" s="544"/>
      <c r="EI212" s="544"/>
      <c r="EJ212" s="544"/>
      <c r="EK212" s="544"/>
      <c r="EL212" s="544"/>
      <c r="EM212" s="544"/>
      <c r="EN212" s="544"/>
      <c r="EO212" s="544"/>
      <c r="EP212" s="544"/>
      <c r="EQ212" s="544"/>
      <c r="ER212" s="544"/>
      <c r="ES212" s="544"/>
      <c r="ET212" s="544"/>
      <c r="EU212" s="544"/>
      <c r="EV212" s="544"/>
      <c r="EW212" s="544"/>
      <c r="EX212" s="544"/>
      <c r="EY212" s="544"/>
      <c r="EZ212" s="544"/>
      <c r="FA212" s="544"/>
      <c r="FB212" s="544"/>
      <c r="FC212" s="544"/>
      <c r="FD212" s="544"/>
      <c r="FE212" s="544"/>
      <c r="FF212" s="544"/>
      <c r="FG212" s="544"/>
      <c r="FH212" s="544"/>
      <c r="FI212" s="544"/>
      <c r="FJ212" s="544"/>
      <c r="FK212" s="544"/>
      <c r="FL212" s="544"/>
      <c r="FM212" s="544"/>
      <c r="FN212" s="544"/>
      <c r="FO212" s="544"/>
      <c r="FP212" s="544"/>
      <c r="FQ212" s="544"/>
      <c r="FR212" s="544"/>
      <c r="FS212" s="544"/>
      <c r="FT212" s="544"/>
      <c r="FU212" s="544"/>
      <c r="FV212" s="544"/>
      <c r="FW212" s="544"/>
      <c r="FX212" s="544"/>
      <c r="FY212" s="544"/>
      <c r="FZ212" s="544"/>
      <c r="GA212" s="544"/>
      <c r="GB212" s="544"/>
      <c r="GC212" s="544"/>
      <c r="GD212" s="544"/>
      <c r="GE212" s="544"/>
      <c r="GF212" s="544"/>
      <c r="GG212" s="544"/>
      <c r="GH212" s="544"/>
      <c r="GI212" s="544"/>
      <c r="GJ212" s="544"/>
      <c r="GK212" s="544"/>
      <c r="GL212" s="544"/>
      <c r="GM212" s="544"/>
      <c r="GN212" s="544"/>
      <c r="GO212" s="544"/>
      <c r="GP212" s="544"/>
      <c r="GQ212" s="544"/>
      <c r="GR212" s="544"/>
      <c r="GS212" s="544"/>
      <c r="GT212" s="544"/>
      <c r="GU212" s="544"/>
      <c r="GV212" s="544"/>
      <c r="GW212" s="544"/>
      <c r="GX212" s="544"/>
      <c r="GY212" s="544"/>
      <c r="GZ212" s="544"/>
      <c r="HA212" s="544"/>
      <c r="HB212" s="544"/>
      <c r="HC212" s="544"/>
      <c r="HD212" s="544"/>
      <c r="HE212" s="544"/>
      <c r="HF212" s="544"/>
      <c r="HG212" s="544"/>
      <c r="HH212" s="544"/>
      <c r="HI212" s="544"/>
      <c r="HJ212" s="544"/>
      <c r="HK212" s="544"/>
      <c r="HL212" s="544"/>
      <c r="HM212" s="544"/>
      <c r="HN212" s="544"/>
      <c r="HO212" s="544"/>
      <c r="HP212" s="544"/>
      <c r="HQ212" s="544"/>
      <c r="HR212" s="544"/>
      <c r="HS212" s="544"/>
      <c r="HT212" s="544"/>
      <c r="HU212" s="544"/>
      <c r="HV212" s="544"/>
      <c r="HW212" s="544"/>
      <c r="HX212" s="544"/>
      <c r="HY212" s="544"/>
      <c r="HZ212" s="544"/>
      <c r="IA212" s="544"/>
      <c r="IB212" s="544"/>
      <c r="IC212" s="544"/>
      <c r="ID212" s="544"/>
      <c r="IE212" s="544"/>
      <c r="IF212" s="544"/>
      <c r="IG212" s="544"/>
      <c r="IH212" s="544"/>
      <c r="II212" s="544"/>
      <c r="IJ212" s="544"/>
      <c r="IK212" s="544"/>
      <c r="IL212" s="544"/>
      <c r="IM212" s="544"/>
      <c r="IN212" s="544"/>
      <c r="IO212" s="544"/>
      <c r="IP212" s="544"/>
      <c r="IQ212" s="544"/>
      <c r="IR212" s="544"/>
      <c r="IS212" s="544"/>
    </row>
    <row r="213" spans="1:253" x14ac:dyDescent="0.35">
      <c r="A213" s="544"/>
      <c r="B213" s="572"/>
      <c r="C213" s="572"/>
      <c r="E213" s="544"/>
      <c r="F213" s="544"/>
      <c r="G213" s="544"/>
      <c r="H213" s="544"/>
      <c r="I213" s="544"/>
      <c r="J213" s="544"/>
      <c r="K213" s="544"/>
      <c r="AY213" s="544"/>
      <c r="AZ213" s="544"/>
      <c r="BA213" s="544"/>
      <c r="BB213" s="544"/>
      <c r="BC213" s="544"/>
      <c r="BD213" s="544"/>
      <c r="BE213" s="544"/>
      <c r="BF213" s="544"/>
      <c r="BG213" s="544"/>
      <c r="BH213" s="544"/>
      <c r="BI213" s="544"/>
      <c r="BJ213" s="544"/>
      <c r="BK213" s="544"/>
      <c r="BL213" s="544"/>
      <c r="BM213" s="544"/>
      <c r="BN213" s="544"/>
      <c r="BO213" s="544"/>
      <c r="BP213" s="544"/>
      <c r="BQ213" s="544"/>
      <c r="BR213" s="544"/>
      <c r="BS213" s="544"/>
      <c r="BT213" s="544"/>
      <c r="BU213" s="544"/>
      <c r="BV213" s="544"/>
      <c r="BW213" s="544"/>
      <c r="BX213" s="544"/>
      <c r="BY213" s="544"/>
      <c r="BZ213" s="544"/>
      <c r="CA213" s="544"/>
      <c r="CB213" s="544"/>
      <c r="CC213" s="544"/>
      <c r="CD213" s="544"/>
      <c r="CE213" s="544"/>
      <c r="CF213" s="544"/>
      <c r="CG213" s="544"/>
      <c r="CH213" s="544"/>
      <c r="CI213" s="544"/>
      <c r="CJ213" s="544"/>
      <c r="CK213" s="544"/>
      <c r="CL213" s="544"/>
      <c r="CM213" s="544"/>
      <c r="CN213" s="544"/>
      <c r="CO213" s="544"/>
      <c r="CP213" s="544"/>
      <c r="CQ213" s="544"/>
      <c r="CR213" s="544"/>
      <c r="CS213" s="544"/>
      <c r="CT213" s="544"/>
      <c r="CU213" s="544"/>
      <c r="CV213" s="544"/>
      <c r="CW213" s="544"/>
      <c r="CX213" s="544"/>
      <c r="CY213" s="544"/>
      <c r="CZ213" s="544"/>
      <c r="DA213" s="544"/>
      <c r="DB213" s="544"/>
      <c r="DC213" s="544"/>
      <c r="DD213" s="544"/>
      <c r="DE213" s="544"/>
      <c r="DF213" s="544"/>
      <c r="DG213" s="544"/>
      <c r="DH213" s="544"/>
      <c r="DI213" s="544"/>
      <c r="DJ213" s="544"/>
      <c r="DK213" s="544"/>
      <c r="DL213" s="544"/>
      <c r="DM213" s="544"/>
      <c r="DN213" s="544"/>
      <c r="DO213" s="544"/>
      <c r="DP213" s="544"/>
      <c r="DQ213" s="544"/>
      <c r="DR213" s="544"/>
      <c r="DS213" s="544"/>
      <c r="DT213" s="544"/>
      <c r="DU213" s="544"/>
      <c r="DV213" s="544"/>
      <c r="DW213" s="544"/>
      <c r="DX213" s="544"/>
      <c r="DY213" s="544"/>
      <c r="DZ213" s="544"/>
      <c r="EA213" s="544"/>
      <c r="EB213" s="544"/>
      <c r="EC213" s="544"/>
      <c r="ED213" s="544"/>
      <c r="EE213" s="544"/>
      <c r="EF213" s="544"/>
      <c r="EG213" s="544"/>
      <c r="EH213" s="544"/>
      <c r="EI213" s="544"/>
      <c r="EJ213" s="544"/>
      <c r="EK213" s="544"/>
      <c r="EL213" s="544"/>
      <c r="EM213" s="544"/>
      <c r="EN213" s="544"/>
      <c r="EO213" s="544"/>
      <c r="EP213" s="544"/>
      <c r="EQ213" s="544"/>
      <c r="ER213" s="544"/>
      <c r="ES213" s="544"/>
      <c r="ET213" s="544"/>
      <c r="EU213" s="544"/>
      <c r="EV213" s="544"/>
      <c r="EW213" s="544"/>
      <c r="EX213" s="544"/>
      <c r="EY213" s="544"/>
      <c r="EZ213" s="544"/>
      <c r="FA213" s="544"/>
      <c r="FB213" s="544"/>
      <c r="FC213" s="544"/>
      <c r="FD213" s="544"/>
      <c r="FE213" s="544"/>
      <c r="FF213" s="544"/>
      <c r="FG213" s="544"/>
      <c r="FH213" s="544"/>
      <c r="FI213" s="544"/>
      <c r="FJ213" s="544"/>
      <c r="FK213" s="544"/>
      <c r="FL213" s="544"/>
      <c r="FM213" s="544"/>
      <c r="FN213" s="544"/>
      <c r="FO213" s="544"/>
      <c r="FP213" s="544"/>
      <c r="FQ213" s="544"/>
      <c r="FR213" s="544"/>
      <c r="FS213" s="544"/>
      <c r="FT213" s="544"/>
      <c r="FU213" s="544"/>
      <c r="FV213" s="544"/>
      <c r="FW213" s="544"/>
      <c r="FX213" s="544"/>
      <c r="FY213" s="544"/>
      <c r="FZ213" s="544"/>
      <c r="GA213" s="544"/>
      <c r="GB213" s="544"/>
      <c r="GC213" s="544"/>
      <c r="GD213" s="544"/>
      <c r="GE213" s="544"/>
      <c r="GF213" s="544"/>
      <c r="GG213" s="544"/>
      <c r="GH213" s="544"/>
      <c r="GI213" s="544"/>
      <c r="GJ213" s="544"/>
      <c r="GK213" s="544"/>
      <c r="GL213" s="544"/>
      <c r="GM213" s="544"/>
      <c r="GN213" s="544"/>
      <c r="GO213" s="544"/>
      <c r="GP213" s="544"/>
      <c r="GQ213" s="544"/>
      <c r="GR213" s="544"/>
      <c r="GS213" s="544"/>
      <c r="GT213" s="544"/>
      <c r="GU213" s="544"/>
      <c r="GV213" s="544"/>
      <c r="GW213" s="544"/>
      <c r="GX213" s="544"/>
      <c r="GY213" s="544"/>
      <c r="GZ213" s="544"/>
      <c r="HA213" s="544"/>
      <c r="HB213" s="544"/>
      <c r="HC213" s="544"/>
      <c r="HD213" s="544"/>
      <c r="HE213" s="544"/>
      <c r="HF213" s="544"/>
      <c r="HG213" s="544"/>
      <c r="HH213" s="544"/>
      <c r="HI213" s="544"/>
      <c r="HJ213" s="544"/>
      <c r="HK213" s="544"/>
      <c r="HL213" s="544"/>
      <c r="HM213" s="544"/>
      <c r="HN213" s="544"/>
      <c r="HO213" s="544"/>
      <c r="HP213" s="544"/>
      <c r="HQ213" s="544"/>
      <c r="HR213" s="544"/>
      <c r="HS213" s="544"/>
      <c r="HT213" s="544"/>
      <c r="HU213" s="544"/>
      <c r="HV213" s="544"/>
      <c r="HW213" s="544"/>
      <c r="HX213" s="544"/>
      <c r="HY213" s="544"/>
      <c r="HZ213" s="544"/>
      <c r="IA213" s="544"/>
      <c r="IB213" s="544"/>
      <c r="IC213" s="544"/>
      <c r="ID213" s="544"/>
      <c r="IE213" s="544"/>
      <c r="IF213" s="544"/>
      <c r="IG213" s="544"/>
      <c r="IH213" s="544"/>
      <c r="II213" s="544"/>
      <c r="IJ213" s="544"/>
      <c r="IK213" s="544"/>
      <c r="IL213" s="544"/>
      <c r="IM213" s="544"/>
      <c r="IN213" s="544"/>
      <c r="IO213" s="544"/>
      <c r="IP213" s="544"/>
      <c r="IQ213" s="544"/>
      <c r="IR213" s="544"/>
      <c r="IS213" s="544"/>
    </row>
    <row r="214" spans="1:253" x14ac:dyDescent="0.35">
      <c r="A214" s="544"/>
      <c r="B214" s="572"/>
      <c r="C214" s="572"/>
      <c r="E214" s="544"/>
      <c r="F214" s="544"/>
      <c r="G214" s="544"/>
      <c r="H214" s="544"/>
      <c r="I214" s="544"/>
      <c r="J214" s="544"/>
      <c r="K214" s="544"/>
      <c r="AY214" s="544"/>
      <c r="AZ214" s="544"/>
      <c r="BA214" s="544"/>
      <c r="BB214" s="544"/>
      <c r="BC214" s="544"/>
      <c r="BD214" s="544"/>
      <c r="BE214" s="544"/>
      <c r="BF214" s="544"/>
      <c r="BG214" s="544"/>
      <c r="BH214" s="544"/>
      <c r="BI214" s="544"/>
      <c r="BJ214" s="544"/>
      <c r="BK214" s="544"/>
      <c r="BL214" s="544"/>
      <c r="BM214" s="544"/>
      <c r="BN214" s="544"/>
      <c r="BO214" s="544"/>
      <c r="BP214" s="544"/>
      <c r="BQ214" s="544"/>
      <c r="BR214" s="544"/>
      <c r="BS214" s="544"/>
      <c r="BT214" s="544"/>
      <c r="BU214" s="544"/>
      <c r="BV214" s="544"/>
      <c r="BW214" s="544"/>
      <c r="BX214" s="544"/>
      <c r="BY214" s="544"/>
      <c r="BZ214" s="544"/>
      <c r="CA214" s="544"/>
      <c r="CB214" s="544"/>
      <c r="CC214" s="544"/>
      <c r="CD214" s="544"/>
      <c r="CE214" s="544"/>
      <c r="CF214" s="544"/>
      <c r="CG214" s="544"/>
      <c r="CH214" s="544"/>
      <c r="CI214" s="544"/>
      <c r="CJ214" s="544"/>
      <c r="CK214" s="544"/>
      <c r="CL214" s="544"/>
      <c r="CM214" s="544"/>
      <c r="CN214" s="544"/>
      <c r="CO214" s="544"/>
      <c r="CP214" s="544"/>
      <c r="CQ214" s="544"/>
      <c r="CR214" s="544"/>
      <c r="CS214" s="544"/>
      <c r="CT214" s="544"/>
      <c r="CU214" s="544"/>
      <c r="CV214" s="544"/>
      <c r="CW214" s="544"/>
      <c r="CX214" s="544"/>
      <c r="CY214" s="544"/>
      <c r="CZ214" s="544"/>
      <c r="DA214" s="544"/>
      <c r="DB214" s="544"/>
      <c r="DC214" s="544"/>
      <c r="DD214" s="544"/>
      <c r="DE214" s="544"/>
      <c r="DF214" s="544"/>
      <c r="DG214" s="544"/>
      <c r="DH214" s="544"/>
      <c r="DI214" s="544"/>
      <c r="DJ214" s="544"/>
      <c r="DK214" s="544"/>
      <c r="DL214" s="544"/>
      <c r="DM214" s="544"/>
      <c r="DN214" s="544"/>
      <c r="DO214" s="544"/>
      <c r="DP214" s="544"/>
      <c r="DQ214" s="544"/>
      <c r="DR214" s="544"/>
      <c r="DS214" s="544"/>
      <c r="DT214" s="544"/>
      <c r="DU214" s="544"/>
      <c r="DV214" s="544"/>
      <c r="DW214" s="544"/>
      <c r="DX214" s="544"/>
      <c r="DY214" s="544"/>
      <c r="DZ214" s="544"/>
      <c r="EA214" s="544"/>
      <c r="EB214" s="544"/>
      <c r="EC214" s="544"/>
      <c r="ED214" s="544"/>
      <c r="EE214" s="544"/>
      <c r="EF214" s="544"/>
      <c r="EG214" s="544"/>
      <c r="EH214" s="544"/>
      <c r="EI214" s="544"/>
      <c r="EJ214" s="544"/>
      <c r="EK214" s="544"/>
      <c r="EL214" s="544"/>
      <c r="EM214" s="544"/>
      <c r="EN214" s="544"/>
      <c r="EO214" s="544"/>
      <c r="EP214" s="544"/>
      <c r="EQ214" s="544"/>
      <c r="ER214" s="544"/>
      <c r="ES214" s="544"/>
      <c r="ET214" s="544"/>
      <c r="EU214" s="544"/>
      <c r="EV214" s="544"/>
      <c r="EW214" s="544"/>
      <c r="EX214" s="544"/>
      <c r="EY214" s="544"/>
      <c r="EZ214" s="544"/>
      <c r="FA214" s="544"/>
      <c r="FB214" s="544"/>
      <c r="FC214" s="544"/>
      <c r="FD214" s="544"/>
      <c r="FE214" s="544"/>
      <c r="FF214" s="544"/>
      <c r="FG214" s="544"/>
      <c r="FH214" s="544"/>
      <c r="FI214" s="544"/>
      <c r="FJ214" s="544"/>
      <c r="FK214" s="544"/>
      <c r="FL214" s="544"/>
      <c r="FM214" s="544"/>
      <c r="FN214" s="544"/>
      <c r="FO214" s="544"/>
      <c r="FP214" s="544"/>
      <c r="FQ214" s="544"/>
      <c r="FR214" s="544"/>
      <c r="FS214" s="544"/>
      <c r="FT214" s="544"/>
      <c r="FU214" s="544"/>
      <c r="FV214" s="544"/>
      <c r="FW214" s="544"/>
      <c r="FX214" s="544"/>
      <c r="FY214" s="544"/>
      <c r="FZ214" s="544"/>
      <c r="GA214" s="544"/>
      <c r="GB214" s="544"/>
      <c r="GC214" s="544"/>
      <c r="GD214" s="544"/>
      <c r="GE214" s="544"/>
      <c r="GF214" s="544"/>
      <c r="GG214" s="544"/>
      <c r="GH214" s="544"/>
      <c r="GI214" s="544"/>
      <c r="GJ214" s="544"/>
      <c r="GK214" s="544"/>
      <c r="GL214" s="544"/>
      <c r="GM214" s="544"/>
      <c r="GN214" s="544"/>
      <c r="GO214" s="544"/>
      <c r="GP214" s="544"/>
      <c r="GQ214" s="544"/>
      <c r="GR214" s="544"/>
      <c r="GS214" s="544"/>
      <c r="GT214" s="544"/>
      <c r="GU214" s="544"/>
      <c r="GV214" s="544"/>
      <c r="GW214" s="544"/>
      <c r="GX214" s="544"/>
      <c r="GY214" s="544"/>
      <c r="GZ214" s="544"/>
      <c r="HA214" s="544"/>
      <c r="HB214" s="544"/>
      <c r="HC214" s="544"/>
      <c r="HD214" s="544"/>
      <c r="HE214" s="544"/>
      <c r="HF214" s="544"/>
      <c r="HG214" s="544"/>
      <c r="HH214" s="544"/>
      <c r="HI214" s="544"/>
      <c r="HJ214" s="544"/>
      <c r="HK214" s="544"/>
      <c r="HL214" s="544"/>
      <c r="HM214" s="544"/>
      <c r="HN214" s="544"/>
      <c r="HO214" s="544"/>
      <c r="HP214" s="544"/>
      <c r="HQ214" s="544"/>
      <c r="HR214" s="544"/>
      <c r="HS214" s="544"/>
      <c r="HT214" s="544"/>
      <c r="HU214" s="544"/>
      <c r="HV214" s="544"/>
      <c r="HW214" s="544"/>
      <c r="HX214" s="544"/>
      <c r="HY214" s="544"/>
      <c r="HZ214" s="544"/>
      <c r="IA214" s="544"/>
      <c r="IB214" s="544"/>
      <c r="IC214" s="544"/>
      <c r="ID214" s="544"/>
      <c r="IE214" s="544"/>
      <c r="IF214" s="544"/>
      <c r="IG214" s="544"/>
      <c r="IH214" s="544"/>
      <c r="II214" s="544"/>
      <c r="IJ214" s="544"/>
      <c r="IK214" s="544"/>
      <c r="IL214" s="544"/>
      <c r="IM214" s="544"/>
      <c r="IN214" s="544"/>
      <c r="IO214" s="544"/>
      <c r="IP214" s="544"/>
      <c r="IQ214" s="544"/>
      <c r="IR214" s="544"/>
      <c r="IS214" s="544"/>
    </row>
    <row r="215" spans="1:253" x14ac:dyDescent="0.35">
      <c r="A215" s="544"/>
      <c r="B215" s="572"/>
      <c r="C215" s="572"/>
      <c r="E215" s="544"/>
      <c r="F215" s="544"/>
      <c r="G215" s="544"/>
      <c r="H215" s="544"/>
      <c r="I215" s="544"/>
      <c r="J215" s="544"/>
      <c r="K215" s="544"/>
      <c r="AY215" s="544"/>
      <c r="AZ215" s="544"/>
      <c r="BA215" s="544"/>
      <c r="BB215" s="544"/>
      <c r="BC215" s="544"/>
      <c r="BD215" s="544"/>
      <c r="BE215" s="544"/>
      <c r="BF215" s="544"/>
      <c r="BG215" s="544"/>
      <c r="BH215" s="544"/>
      <c r="BI215" s="544"/>
      <c r="BJ215" s="544"/>
      <c r="BK215" s="544"/>
      <c r="BL215" s="544"/>
      <c r="BM215" s="544"/>
      <c r="BN215" s="544"/>
      <c r="BO215" s="544"/>
      <c r="BP215" s="544"/>
      <c r="BQ215" s="544"/>
      <c r="BR215" s="544"/>
      <c r="BS215" s="544"/>
      <c r="BT215" s="544"/>
      <c r="BU215" s="544"/>
      <c r="BV215" s="544"/>
      <c r="BW215" s="544"/>
      <c r="BX215" s="544"/>
      <c r="BY215" s="544"/>
      <c r="BZ215" s="544"/>
      <c r="CA215" s="544"/>
      <c r="CB215" s="544"/>
      <c r="CC215" s="544"/>
      <c r="CD215" s="544"/>
      <c r="CE215" s="544"/>
      <c r="CF215" s="544"/>
      <c r="CG215" s="544"/>
      <c r="CH215" s="544"/>
      <c r="CI215" s="544"/>
      <c r="CJ215" s="544"/>
      <c r="CK215" s="544"/>
      <c r="CL215" s="544"/>
      <c r="CM215" s="544"/>
      <c r="CN215" s="544"/>
      <c r="CO215" s="544"/>
      <c r="CP215" s="544"/>
      <c r="CQ215" s="544"/>
      <c r="CR215" s="544"/>
      <c r="CS215" s="544"/>
      <c r="CT215" s="544"/>
      <c r="CU215" s="544"/>
      <c r="CV215" s="544"/>
      <c r="CW215" s="544"/>
      <c r="CX215" s="544"/>
      <c r="CY215" s="544"/>
      <c r="CZ215" s="544"/>
      <c r="DA215" s="544"/>
      <c r="DB215" s="544"/>
      <c r="DC215" s="544"/>
      <c r="DD215" s="544"/>
      <c r="DE215" s="544"/>
      <c r="DF215" s="544"/>
      <c r="DG215" s="544"/>
      <c r="DH215" s="544"/>
      <c r="DI215" s="544"/>
      <c r="DJ215" s="544"/>
      <c r="DK215" s="544"/>
      <c r="DL215" s="544"/>
      <c r="DM215" s="544"/>
      <c r="DN215" s="544"/>
      <c r="DO215" s="544"/>
      <c r="DP215" s="544"/>
      <c r="DQ215" s="544"/>
      <c r="DR215" s="544"/>
      <c r="DS215" s="544"/>
      <c r="DT215" s="544"/>
      <c r="DU215" s="544"/>
      <c r="DV215" s="544"/>
      <c r="DW215" s="544"/>
      <c r="DX215" s="544"/>
      <c r="DY215" s="544"/>
      <c r="DZ215" s="544"/>
      <c r="EA215" s="544"/>
      <c r="EB215" s="544"/>
      <c r="EC215" s="544"/>
      <c r="ED215" s="544"/>
      <c r="EE215" s="544"/>
      <c r="EF215" s="544"/>
      <c r="EG215" s="544"/>
      <c r="EH215" s="544"/>
      <c r="EI215" s="544"/>
      <c r="EJ215" s="544"/>
      <c r="EK215" s="544"/>
      <c r="EL215" s="544"/>
      <c r="EM215" s="544"/>
      <c r="EN215" s="544"/>
      <c r="EO215" s="544"/>
      <c r="EP215" s="544"/>
      <c r="EQ215" s="544"/>
      <c r="ER215" s="544"/>
      <c r="ES215" s="544"/>
      <c r="ET215" s="544"/>
      <c r="EU215" s="544"/>
      <c r="EV215" s="544"/>
      <c r="EW215" s="544"/>
      <c r="EX215" s="544"/>
      <c r="EY215" s="544"/>
      <c r="EZ215" s="544"/>
      <c r="FA215" s="544"/>
      <c r="FB215" s="544"/>
      <c r="FC215" s="544"/>
      <c r="FD215" s="544"/>
      <c r="FE215" s="544"/>
      <c r="FF215" s="544"/>
      <c r="FG215" s="544"/>
      <c r="FH215" s="544"/>
      <c r="FI215" s="544"/>
      <c r="FJ215" s="544"/>
      <c r="FK215" s="544"/>
      <c r="FL215" s="544"/>
      <c r="FM215" s="544"/>
      <c r="FN215" s="544"/>
      <c r="FO215" s="544"/>
      <c r="FP215" s="544"/>
      <c r="FQ215" s="544"/>
      <c r="FR215" s="544"/>
      <c r="FS215" s="544"/>
      <c r="FT215" s="544"/>
      <c r="FU215" s="544"/>
      <c r="FV215" s="544"/>
      <c r="FW215" s="544"/>
      <c r="FX215" s="544"/>
      <c r="FY215" s="544"/>
      <c r="FZ215" s="544"/>
      <c r="GA215" s="544"/>
      <c r="GB215" s="544"/>
      <c r="GC215" s="544"/>
      <c r="GD215" s="544"/>
      <c r="GE215" s="544"/>
      <c r="GF215" s="544"/>
      <c r="GG215" s="544"/>
      <c r="GH215" s="544"/>
      <c r="GI215" s="544"/>
      <c r="GJ215" s="544"/>
      <c r="GK215" s="544"/>
      <c r="GL215" s="544"/>
      <c r="GM215" s="544"/>
      <c r="GN215" s="544"/>
      <c r="GO215" s="544"/>
      <c r="GP215" s="544"/>
      <c r="GQ215" s="544"/>
      <c r="GR215" s="544"/>
      <c r="GS215" s="544"/>
      <c r="GT215" s="544"/>
      <c r="GU215" s="544"/>
      <c r="GV215" s="544"/>
      <c r="GW215" s="544"/>
      <c r="GX215" s="544"/>
      <c r="GY215" s="544"/>
      <c r="GZ215" s="544"/>
      <c r="HA215" s="544"/>
      <c r="HB215" s="544"/>
      <c r="HC215" s="544"/>
      <c r="HD215" s="544"/>
      <c r="HE215" s="544"/>
      <c r="HF215" s="544"/>
      <c r="HG215" s="544"/>
      <c r="HH215" s="544"/>
      <c r="HI215" s="544"/>
      <c r="HJ215" s="544"/>
      <c r="HK215" s="544"/>
      <c r="HL215" s="544"/>
      <c r="HM215" s="544"/>
      <c r="HN215" s="544"/>
      <c r="HO215" s="544"/>
      <c r="HP215" s="544"/>
      <c r="HQ215" s="544"/>
      <c r="HR215" s="544"/>
      <c r="HS215" s="544"/>
      <c r="HT215" s="544"/>
      <c r="HU215" s="544"/>
      <c r="HV215" s="544"/>
      <c r="HW215" s="544"/>
      <c r="HX215" s="544"/>
      <c r="HY215" s="544"/>
      <c r="HZ215" s="544"/>
      <c r="IA215" s="544"/>
      <c r="IB215" s="544"/>
      <c r="IC215" s="544"/>
      <c r="ID215" s="544"/>
      <c r="IE215" s="544"/>
      <c r="IF215" s="544"/>
      <c r="IG215" s="544"/>
      <c r="IH215" s="544"/>
      <c r="II215" s="544"/>
      <c r="IJ215" s="544"/>
      <c r="IK215" s="544"/>
      <c r="IL215" s="544"/>
      <c r="IM215" s="544"/>
      <c r="IN215" s="544"/>
      <c r="IO215" s="544"/>
      <c r="IP215" s="544"/>
      <c r="IQ215" s="544"/>
      <c r="IR215" s="544"/>
      <c r="IS215" s="544"/>
    </row>
    <row r="216" spans="1:253" x14ac:dyDescent="0.35">
      <c r="A216" s="544"/>
      <c r="B216" s="572"/>
      <c r="C216" s="572"/>
      <c r="E216" s="544"/>
      <c r="F216" s="544"/>
      <c r="G216" s="544"/>
      <c r="H216" s="544"/>
      <c r="I216" s="544"/>
      <c r="J216" s="544"/>
      <c r="K216" s="544"/>
      <c r="AY216" s="544"/>
      <c r="AZ216" s="544"/>
      <c r="BA216" s="544"/>
      <c r="BB216" s="544"/>
      <c r="BC216" s="544"/>
      <c r="BD216" s="544"/>
      <c r="BE216" s="544"/>
      <c r="BF216" s="544"/>
      <c r="BG216" s="544"/>
      <c r="BH216" s="544"/>
      <c r="BI216" s="544"/>
      <c r="BJ216" s="544"/>
      <c r="BK216" s="544"/>
      <c r="BL216" s="544"/>
      <c r="BM216" s="544"/>
      <c r="BN216" s="544"/>
      <c r="BO216" s="544"/>
      <c r="BP216" s="544"/>
      <c r="BQ216" s="544"/>
      <c r="BR216" s="544"/>
      <c r="BS216" s="544"/>
      <c r="BT216" s="544"/>
      <c r="BU216" s="544"/>
      <c r="BV216" s="544"/>
      <c r="BW216" s="544"/>
      <c r="BX216" s="544"/>
      <c r="BY216" s="544"/>
      <c r="BZ216" s="544"/>
      <c r="CA216" s="544"/>
      <c r="CB216" s="544"/>
      <c r="CC216" s="544"/>
      <c r="CD216" s="544"/>
      <c r="CE216" s="544"/>
      <c r="CF216" s="544"/>
      <c r="CG216" s="544"/>
      <c r="CH216" s="544"/>
      <c r="CI216" s="544"/>
      <c r="CJ216" s="544"/>
      <c r="CK216" s="544"/>
      <c r="CL216" s="544"/>
      <c r="CM216" s="544"/>
      <c r="CN216" s="544"/>
      <c r="CO216" s="544"/>
      <c r="CP216" s="544"/>
      <c r="CQ216" s="544"/>
      <c r="CR216" s="544"/>
      <c r="CS216" s="544"/>
      <c r="CT216" s="544"/>
      <c r="CU216" s="544"/>
      <c r="CV216" s="544"/>
      <c r="CW216" s="544"/>
      <c r="CX216" s="544"/>
      <c r="CY216" s="544"/>
      <c r="CZ216" s="544"/>
      <c r="DA216" s="544"/>
      <c r="DB216" s="544"/>
      <c r="DC216" s="544"/>
      <c r="DD216" s="544"/>
      <c r="DE216" s="544"/>
      <c r="DF216" s="544"/>
      <c r="DG216" s="544"/>
      <c r="DH216" s="544"/>
      <c r="DI216" s="544"/>
      <c r="DJ216" s="544"/>
      <c r="DK216" s="544"/>
      <c r="DL216" s="544"/>
      <c r="DM216" s="544"/>
      <c r="DN216" s="544"/>
      <c r="DO216" s="544"/>
      <c r="DP216" s="544"/>
      <c r="DQ216" s="544"/>
      <c r="DR216" s="544"/>
      <c r="DS216" s="544"/>
      <c r="DT216" s="544"/>
      <c r="DU216" s="544"/>
      <c r="DV216" s="544"/>
      <c r="DW216" s="544"/>
      <c r="DX216" s="544"/>
      <c r="DY216" s="544"/>
      <c r="DZ216" s="544"/>
      <c r="EA216" s="544"/>
      <c r="EB216" s="544"/>
      <c r="EC216" s="544"/>
      <c r="ED216" s="544"/>
      <c r="EE216" s="544"/>
      <c r="EF216" s="544"/>
      <c r="EG216" s="544"/>
      <c r="EH216" s="544"/>
      <c r="EI216" s="544"/>
      <c r="EJ216" s="544"/>
      <c r="EK216" s="544"/>
      <c r="EL216" s="544"/>
      <c r="EM216" s="544"/>
      <c r="EN216" s="544"/>
      <c r="EO216" s="544"/>
      <c r="EP216" s="544"/>
      <c r="EQ216" s="544"/>
      <c r="ER216" s="544"/>
      <c r="ES216" s="544"/>
      <c r="ET216" s="544"/>
      <c r="EU216" s="544"/>
      <c r="EV216" s="544"/>
      <c r="EW216" s="544"/>
      <c r="EX216" s="544"/>
      <c r="EY216" s="544"/>
      <c r="EZ216" s="544"/>
      <c r="FA216" s="544"/>
      <c r="FB216" s="544"/>
      <c r="FC216" s="544"/>
      <c r="FD216" s="544"/>
      <c r="FE216" s="544"/>
      <c r="FF216" s="544"/>
      <c r="FG216" s="544"/>
      <c r="FH216" s="544"/>
      <c r="FI216" s="544"/>
      <c r="FJ216" s="544"/>
      <c r="FK216" s="544"/>
      <c r="FL216" s="544"/>
      <c r="FM216" s="544"/>
      <c r="FN216" s="544"/>
      <c r="FO216" s="544"/>
      <c r="FP216" s="544"/>
      <c r="FQ216" s="544"/>
      <c r="FR216" s="544"/>
      <c r="FS216" s="544"/>
      <c r="FT216" s="544"/>
      <c r="FU216" s="544"/>
      <c r="FV216" s="544"/>
      <c r="FW216" s="544"/>
      <c r="FX216" s="544"/>
      <c r="FY216" s="544"/>
      <c r="FZ216" s="544"/>
      <c r="GA216" s="544"/>
      <c r="GB216" s="544"/>
      <c r="GC216" s="544"/>
      <c r="GD216" s="544"/>
      <c r="GE216" s="544"/>
      <c r="GF216" s="544"/>
      <c r="GG216" s="544"/>
      <c r="GH216" s="544"/>
      <c r="GI216" s="544"/>
      <c r="GJ216" s="544"/>
      <c r="GK216" s="544"/>
      <c r="GL216" s="544"/>
      <c r="GM216" s="544"/>
      <c r="GN216" s="544"/>
      <c r="GO216" s="544"/>
      <c r="GP216" s="544"/>
      <c r="GQ216" s="544"/>
      <c r="GR216" s="544"/>
      <c r="GS216" s="544"/>
      <c r="GT216" s="544"/>
      <c r="GU216" s="544"/>
      <c r="GV216" s="544"/>
      <c r="GW216" s="544"/>
      <c r="GX216" s="544"/>
      <c r="GY216" s="544"/>
      <c r="GZ216" s="544"/>
      <c r="HA216" s="544"/>
      <c r="HB216" s="544"/>
      <c r="HC216" s="544"/>
      <c r="HD216" s="544"/>
      <c r="HE216" s="544"/>
      <c r="HF216" s="544"/>
      <c r="HG216" s="544"/>
      <c r="HH216" s="544"/>
      <c r="HI216" s="544"/>
      <c r="HJ216" s="544"/>
      <c r="HK216" s="544"/>
      <c r="HL216" s="544"/>
      <c r="HM216" s="544"/>
      <c r="HN216" s="544"/>
      <c r="HO216" s="544"/>
      <c r="HP216" s="544"/>
      <c r="HQ216" s="544"/>
      <c r="HR216" s="544"/>
      <c r="HS216" s="544"/>
      <c r="HT216" s="544"/>
      <c r="HU216" s="544"/>
      <c r="HV216" s="544"/>
      <c r="HW216" s="544"/>
      <c r="HX216" s="544"/>
      <c r="HY216" s="544"/>
      <c r="HZ216" s="544"/>
      <c r="IA216" s="544"/>
      <c r="IB216" s="544"/>
      <c r="IC216" s="544"/>
      <c r="ID216" s="544"/>
      <c r="IE216" s="544"/>
      <c r="IF216" s="544"/>
      <c r="IG216" s="544"/>
      <c r="IH216" s="544"/>
      <c r="II216" s="544"/>
      <c r="IJ216" s="544"/>
      <c r="IK216" s="544"/>
      <c r="IL216" s="544"/>
      <c r="IM216" s="544"/>
      <c r="IN216" s="544"/>
      <c r="IO216" s="544"/>
      <c r="IP216" s="544"/>
      <c r="IQ216" s="544"/>
      <c r="IR216" s="544"/>
      <c r="IS216" s="544"/>
    </row>
    <row r="217" spans="1:253" x14ac:dyDescent="0.35">
      <c r="A217" s="544"/>
      <c r="B217" s="572"/>
      <c r="C217" s="572"/>
      <c r="E217" s="544"/>
      <c r="F217" s="544"/>
      <c r="G217" s="544"/>
      <c r="H217" s="544"/>
      <c r="I217" s="544"/>
      <c r="J217" s="544"/>
      <c r="K217" s="544"/>
      <c r="AY217" s="544"/>
      <c r="AZ217" s="544"/>
      <c r="BA217" s="544"/>
      <c r="BB217" s="544"/>
      <c r="BC217" s="544"/>
      <c r="BD217" s="544"/>
      <c r="BE217" s="544"/>
      <c r="BF217" s="544"/>
      <c r="BG217" s="544"/>
      <c r="BH217" s="544"/>
      <c r="BI217" s="544"/>
      <c r="BJ217" s="544"/>
      <c r="BK217" s="544"/>
      <c r="BL217" s="544"/>
      <c r="BM217" s="544"/>
      <c r="BN217" s="544"/>
      <c r="BO217" s="544"/>
      <c r="BP217" s="544"/>
      <c r="BQ217" s="544"/>
      <c r="BR217" s="544"/>
      <c r="BS217" s="544"/>
      <c r="BT217" s="544"/>
      <c r="BU217" s="544"/>
      <c r="BV217" s="544"/>
      <c r="BW217" s="544"/>
      <c r="BX217" s="544"/>
      <c r="BY217" s="544"/>
      <c r="BZ217" s="544"/>
      <c r="CA217" s="544"/>
      <c r="CB217" s="544"/>
      <c r="CC217" s="544"/>
      <c r="CD217" s="544"/>
      <c r="CE217" s="544"/>
      <c r="CF217" s="544"/>
      <c r="CG217" s="544"/>
      <c r="CH217" s="544"/>
      <c r="CI217" s="544"/>
      <c r="CJ217" s="544"/>
      <c r="CK217" s="544"/>
      <c r="CL217" s="544"/>
      <c r="CM217" s="544"/>
      <c r="CN217" s="544"/>
      <c r="CO217" s="544"/>
      <c r="CP217" s="544"/>
      <c r="CQ217" s="544"/>
      <c r="CR217" s="544"/>
      <c r="CS217" s="544"/>
      <c r="CT217" s="544"/>
      <c r="CU217" s="544"/>
      <c r="CV217" s="544"/>
      <c r="CW217" s="544"/>
      <c r="CX217" s="544"/>
      <c r="CY217" s="544"/>
      <c r="CZ217" s="544"/>
      <c r="DA217" s="544"/>
      <c r="DB217" s="544"/>
      <c r="DC217" s="544"/>
      <c r="DD217" s="544"/>
      <c r="DE217" s="544"/>
      <c r="DF217" s="544"/>
      <c r="DG217" s="544"/>
      <c r="DH217" s="544"/>
      <c r="DI217" s="544"/>
      <c r="DJ217" s="544"/>
      <c r="DK217" s="544"/>
      <c r="DL217" s="544"/>
      <c r="DM217" s="544"/>
      <c r="DN217" s="544"/>
      <c r="DO217" s="544"/>
      <c r="DP217" s="544"/>
      <c r="DQ217" s="544"/>
      <c r="DR217" s="544"/>
      <c r="DS217" s="544"/>
      <c r="DT217" s="544"/>
      <c r="DU217" s="544"/>
      <c r="DV217" s="544"/>
      <c r="DW217" s="544"/>
      <c r="DX217" s="544"/>
      <c r="DY217" s="544"/>
      <c r="DZ217" s="544"/>
      <c r="EA217" s="544"/>
      <c r="EB217" s="544"/>
      <c r="EC217" s="544"/>
      <c r="ED217" s="544"/>
      <c r="EE217" s="544"/>
      <c r="EF217" s="544"/>
      <c r="EG217" s="544"/>
      <c r="EH217" s="544"/>
      <c r="EI217" s="544"/>
      <c r="EJ217" s="544"/>
      <c r="EK217" s="544"/>
      <c r="EL217" s="544"/>
      <c r="EM217" s="544"/>
      <c r="EN217" s="544"/>
      <c r="EO217" s="544"/>
      <c r="EP217" s="544"/>
      <c r="EQ217" s="544"/>
      <c r="ER217" s="544"/>
      <c r="ES217" s="544"/>
      <c r="ET217" s="544"/>
      <c r="EU217" s="544"/>
      <c r="EV217" s="544"/>
      <c r="EW217" s="544"/>
      <c r="EX217" s="544"/>
      <c r="EY217" s="544"/>
      <c r="EZ217" s="544"/>
      <c r="FA217" s="544"/>
      <c r="FB217" s="544"/>
      <c r="FC217" s="544"/>
      <c r="FD217" s="544"/>
      <c r="FE217" s="544"/>
      <c r="FF217" s="544"/>
      <c r="FG217" s="544"/>
      <c r="FH217" s="544"/>
      <c r="FI217" s="544"/>
      <c r="FJ217" s="544"/>
      <c r="FK217" s="544"/>
      <c r="FL217" s="544"/>
      <c r="FM217" s="544"/>
      <c r="FN217" s="544"/>
      <c r="FO217" s="544"/>
      <c r="FP217" s="544"/>
      <c r="FQ217" s="544"/>
      <c r="FR217" s="544"/>
      <c r="FS217" s="544"/>
      <c r="FT217" s="544"/>
      <c r="FU217" s="544"/>
      <c r="FV217" s="544"/>
      <c r="FW217" s="544"/>
      <c r="FX217" s="544"/>
      <c r="FY217" s="544"/>
      <c r="FZ217" s="544"/>
      <c r="GA217" s="544"/>
      <c r="GB217" s="544"/>
      <c r="GC217" s="544"/>
      <c r="GD217" s="544"/>
      <c r="GE217" s="544"/>
      <c r="GF217" s="544"/>
      <c r="GG217" s="544"/>
      <c r="GH217" s="544"/>
      <c r="GI217" s="544"/>
      <c r="GJ217" s="544"/>
      <c r="GK217" s="544"/>
      <c r="GL217" s="544"/>
      <c r="GM217" s="544"/>
      <c r="GN217" s="544"/>
      <c r="GO217" s="544"/>
      <c r="GP217" s="544"/>
      <c r="GQ217" s="544"/>
      <c r="GR217" s="544"/>
      <c r="GS217" s="544"/>
      <c r="GT217" s="544"/>
      <c r="GU217" s="544"/>
      <c r="GV217" s="544"/>
      <c r="GW217" s="544"/>
      <c r="GX217" s="544"/>
      <c r="GY217" s="544"/>
      <c r="GZ217" s="544"/>
      <c r="HA217" s="544"/>
      <c r="HB217" s="544"/>
      <c r="HC217" s="544"/>
      <c r="HD217" s="544"/>
      <c r="HE217" s="544"/>
      <c r="HF217" s="544"/>
      <c r="HG217" s="544"/>
      <c r="HH217" s="544"/>
      <c r="HI217" s="544"/>
      <c r="HJ217" s="544"/>
      <c r="HK217" s="544"/>
      <c r="HL217" s="544"/>
      <c r="HM217" s="544"/>
      <c r="HN217" s="544"/>
      <c r="HO217" s="544"/>
      <c r="HP217" s="544"/>
      <c r="HQ217" s="544"/>
      <c r="HR217" s="544"/>
      <c r="HS217" s="544"/>
      <c r="HT217" s="544"/>
      <c r="HU217" s="544"/>
      <c r="HV217" s="544"/>
      <c r="HW217" s="544"/>
      <c r="HX217" s="544"/>
      <c r="HY217" s="544"/>
      <c r="HZ217" s="544"/>
      <c r="IA217" s="544"/>
      <c r="IB217" s="544"/>
      <c r="IC217" s="544"/>
      <c r="ID217" s="544"/>
      <c r="IE217" s="544"/>
      <c r="IF217" s="544"/>
      <c r="IG217" s="544"/>
      <c r="IH217" s="544"/>
      <c r="II217" s="544"/>
      <c r="IJ217" s="544"/>
      <c r="IK217" s="544"/>
      <c r="IL217" s="544"/>
      <c r="IM217" s="544"/>
      <c r="IN217" s="544"/>
      <c r="IO217" s="544"/>
      <c r="IP217" s="544"/>
      <c r="IQ217" s="544"/>
      <c r="IR217" s="544"/>
      <c r="IS217" s="544"/>
    </row>
    <row r="218" spans="1:253" x14ac:dyDescent="0.35">
      <c r="A218" s="544"/>
      <c r="B218" s="572"/>
      <c r="C218" s="572"/>
      <c r="E218" s="544"/>
      <c r="F218" s="544"/>
      <c r="G218" s="544"/>
      <c r="H218" s="544"/>
      <c r="I218" s="544"/>
      <c r="J218" s="544"/>
      <c r="K218" s="544"/>
      <c r="AY218" s="544"/>
      <c r="AZ218" s="544"/>
      <c r="BA218" s="544"/>
      <c r="BB218" s="544"/>
      <c r="BC218" s="544"/>
      <c r="BD218" s="544"/>
      <c r="BE218" s="544"/>
      <c r="BF218" s="544"/>
      <c r="BG218" s="544"/>
      <c r="BH218" s="544"/>
      <c r="BI218" s="544"/>
      <c r="BJ218" s="544"/>
      <c r="BK218" s="544"/>
      <c r="BL218" s="544"/>
      <c r="BM218" s="544"/>
      <c r="BN218" s="544"/>
      <c r="BO218" s="544"/>
      <c r="BP218" s="544"/>
      <c r="BQ218" s="544"/>
      <c r="BR218" s="544"/>
      <c r="BS218" s="544"/>
      <c r="BT218" s="544"/>
      <c r="BU218" s="544"/>
      <c r="BV218" s="544"/>
      <c r="BW218" s="544"/>
      <c r="BX218" s="544"/>
      <c r="BY218" s="544"/>
      <c r="BZ218" s="544"/>
      <c r="CA218" s="544"/>
      <c r="CB218" s="544"/>
      <c r="CC218" s="544"/>
      <c r="CD218" s="544"/>
      <c r="CE218" s="544"/>
      <c r="CF218" s="544"/>
      <c r="CG218" s="544"/>
      <c r="CH218" s="544"/>
      <c r="CI218" s="544"/>
      <c r="CJ218" s="544"/>
      <c r="CK218" s="544"/>
      <c r="CL218" s="544"/>
      <c r="CM218" s="544"/>
      <c r="CN218" s="544"/>
      <c r="CO218" s="544"/>
      <c r="CP218" s="544"/>
      <c r="CQ218" s="544"/>
      <c r="CR218" s="544"/>
      <c r="CS218" s="544"/>
      <c r="CT218" s="544"/>
      <c r="CU218" s="544"/>
      <c r="CV218" s="544"/>
      <c r="CW218" s="544"/>
      <c r="CX218" s="544"/>
      <c r="CY218" s="544"/>
      <c r="CZ218" s="544"/>
      <c r="DA218" s="544"/>
      <c r="DB218" s="544"/>
      <c r="DC218" s="544"/>
      <c r="DD218" s="544"/>
      <c r="DE218" s="544"/>
      <c r="DF218" s="544"/>
      <c r="DG218" s="544"/>
      <c r="DH218" s="544"/>
      <c r="DI218" s="544"/>
      <c r="DJ218" s="544"/>
      <c r="DK218" s="544"/>
      <c r="DL218" s="544"/>
      <c r="DM218" s="544"/>
      <c r="DN218" s="544"/>
      <c r="DO218" s="544"/>
      <c r="DP218" s="544"/>
      <c r="DQ218" s="544"/>
      <c r="DR218" s="544"/>
      <c r="DS218" s="544"/>
      <c r="DT218" s="544"/>
      <c r="DU218" s="544"/>
      <c r="DV218" s="544"/>
      <c r="DW218" s="544"/>
      <c r="DX218" s="544"/>
      <c r="DY218" s="544"/>
      <c r="DZ218" s="544"/>
      <c r="EA218" s="544"/>
      <c r="EB218" s="544"/>
      <c r="EC218" s="544"/>
      <c r="ED218" s="544"/>
      <c r="EE218" s="544"/>
      <c r="EF218" s="544"/>
      <c r="EG218" s="544"/>
      <c r="EH218" s="544"/>
      <c r="EI218" s="544"/>
      <c r="EJ218" s="544"/>
      <c r="EK218" s="544"/>
      <c r="EL218" s="544"/>
      <c r="EM218" s="544"/>
      <c r="EN218" s="544"/>
      <c r="EO218" s="544"/>
      <c r="EP218" s="544"/>
      <c r="EQ218" s="544"/>
      <c r="ER218" s="544"/>
      <c r="ES218" s="544"/>
      <c r="ET218" s="544"/>
      <c r="EU218" s="544"/>
      <c r="EV218" s="544"/>
      <c r="EW218" s="544"/>
      <c r="EX218" s="544"/>
      <c r="EY218" s="544"/>
      <c r="EZ218" s="544"/>
      <c r="FA218" s="544"/>
      <c r="FB218" s="544"/>
      <c r="FC218" s="544"/>
      <c r="FD218" s="544"/>
      <c r="FE218" s="544"/>
      <c r="FF218" s="544"/>
      <c r="FG218" s="544"/>
      <c r="FH218" s="544"/>
      <c r="FI218" s="544"/>
      <c r="FJ218" s="544"/>
      <c r="FK218" s="544"/>
      <c r="FL218" s="544"/>
      <c r="FM218" s="544"/>
      <c r="FN218" s="544"/>
      <c r="FO218" s="544"/>
      <c r="FP218" s="544"/>
      <c r="FQ218" s="544"/>
      <c r="FR218" s="544"/>
      <c r="FS218" s="544"/>
      <c r="FT218" s="544"/>
      <c r="FU218" s="544"/>
      <c r="FV218" s="544"/>
      <c r="FW218" s="544"/>
      <c r="FX218" s="544"/>
      <c r="FY218" s="544"/>
      <c r="FZ218" s="544"/>
      <c r="GA218" s="544"/>
      <c r="GB218" s="544"/>
      <c r="GC218" s="544"/>
      <c r="GD218" s="544"/>
      <c r="GE218" s="544"/>
      <c r="GF218" s="544"/>
      <c r="GG218" s="544"/>
      <c r="GH218" s="544"/>
      <c r="GI218" s="544"/>
      <c r="GJ218" s="544"/>
      <c r="GK218" s="544"/>
      <c r="GL218" s="544"/>
      <c r="GM218" s="544"/>
      <c r="GN218" s="544"/>
      <c r="GO218" s="544"/>
      <c r="GP218" s="544"/>
      <c r="GQ218" s="544"/>
      <c r="GR218" s="544"/>
      <c r="GS218" s="544"/>
      <c r="GT218" s="544"/>
      <c r="GU218" s="544"/>
      <c r="GV218" s="544"/>
      <c r="GW218" s="544"/>
      <c r="GX218" s="544"/>
      <c r="GY218" s="544"/>
      <c r="GZ218" s="544"/>
      <c r="HA218" s="544"/>
      <c r="HB218" s="544"/>
      <c r="HC218" s="544"/>
      <c r="HD218" s="544"/>
      <c r="HE218" s="544"/>
      <c r="HF218" s="544"/>
      <c r="HG218" s="544"/>
      <c r="HH218" s="544"/>
      <c r="HI218" s="544"/>
      <c r="HJ218" s="544"/>
      <c r="HK218" s="544"/>
      <c r="HL218" s="544"/>
      <c r="HM218" s="544"/>
      <c r="HN218" s="544"/>
      <c r="HO218" s="544"/>
      <c r="HP218" s="544"/>
      <c r="HQ218" s="544"/>
      <c r="HR218" s="544"/>
      <c r="HS218" s="544"/>
      <c r="HT218" s="544"/>
      <c r="HU218" s="544"/>
      <c r="HV218" s="544"/>
      <c r="HW218" s="544"/>
      <c r="HX218" s="544"/>
      <c r="HY218" s="544"/>
      <c r="HZ218" s="544"/>
      <c r="IA218" s="544"/>
      <c r="IB218" s="544"/>
      <c r="IC218" s="544"/>
      <c r="ID218" s="544"/>
      <c r="IE218" s="544"/>
      <c r="IF218" s="544"/>
      <c r="IG218" s="544"/>
      <c r="IH218" s="544"/>
      <c r="II218" s="544"/>
      <c r="IJ218" s="544"/>
      <c r="IK218" s="544"/>
      <c r="IL218" s="544"/>
      <c r="IM218" s="544"/>
      <c r="IN218" s="544"/>
      <c r="IO218" s="544"/>
      <c r="IP218" s="544"/>
      <c r="IQ218" s="544"/>
      <c r="IR218" s="544"/>
      <c r="IS218" s="544"/>
    </row>
    <row r="219" spans="1:253" x14ac:dyDescent="0.35">
      <c r="A219" s="544"/>
      <c r="B219" s="572"/>
      <c r="C219" s="572"/>
      <c r="E219" s="544"/>
      <c r="F219" s="544"/>
      <c r="G219" s="544"/>
      <c r="H219" s="544"/>
      <c r="I219" s="544"/>
      <c r="J219" s="544"/>
      <c r="K219" s="544"/>
      <c r="AY219" s="544"/>
      <c r="AZ219" s="544"/>
      <c r="BA219" s="544"/>
      <c r="BB219" s="544"/>
      <c r="BC219" s="544"/>
      <c r="BD219" s="544"/>
      <c r="BE219" s="544"/>
      <c r="BF219" s="544"/>
      <c r="BG219" s="544"/>
      <c r="BH219" s="544"/>
      <c r="BI219" s="544"/>
      <c r="BJ219" s="544"/>
      <c r="BK219" s="544"/>
      <c r="BL219" s="544"/>
      <c r="BM219" s="544"/>
      <c r="BN219" s="544"/>
      <c r="BO219" s="544"/>
      <c r="BP219" s="544"/>
      <c r="BQ219" s="544"/>
      <c r="BR219" s="544"/>
      <c r="BS219" s="544"/>
      <c r="BT219" s="544"/>
      <c r="BU219" s="544"/>
      <c r="BV219" s="544"/>
      <c r="BW219" s="544"/>
      <c r="BX219" s="544"/>
      <c r="BY219" s="544"/>
      <c r="BZ219" s="544"/>
      <c r="CA219" s="544"/>
      <c r="CB219" s="544"/>
      <c r="CC219" s="544"/>
      <c r="CD219" s="544"/>
      <c r="CE219" s="544"/>
      <c r="CF219" s="544"/>
      <c r="CG219" s="544"/>
      <c r="CH219" s="544"/>
      <c r="CI219" s="544"/>
      <c r="CJ219" s="544"/>
      <c r="CK219" s="544"/>
      <c r="CL219" s="544"/>
      <c r="CM219" s="544"/>
      <c r="CN219" s="544"/>
      <c r="CO219" s="544"/>
      <c r="CP219" s="544"/>
      <c r="CQ219" s="544"/>
      <c r="CR219" s="544"/>
      <c r="CS219" s="544"/>
      <c r="CT219" s="544"/>
      <c r="CU219" s="544"/>
      <c r="CV219" s="544"/>
      <c r="CW219" s="544"/>
      <c r="CX219" s="544"/>
      <c r="CY219" s="544"/>
      <c r="CZ219" s="544"/>
      <c r="DA219" s="544"/>
      <c r="DB219" s="544"/>
      <c r="DC219" s="544"/>
      <c r="DD219" s="544"/>
      <c r="DE219" s="544"/>
      <c r="DF219" s="544"/>
      <c r="DG219" s="544"/>
      <c r="DH219" s="544"/>
      <c r="DI219" s="544"/>
      <c r="DJ219" s="544"/>
      <c r="DK219" s="544"/>
      <c r="DL219" s="544"/>
      <c r="DM219" s="544"/>
      <c r="DN219" s="544"/>
      <c r="DO219" s="544"/>
      <c r="DP219" s="544"/>
      <c r="DQ219" s="544"/>
      <c r="DR219" s="544"/>
      <c r="DS219" s="544"/>
      <c r="DT219" s="544"/>
      <c r="DU219" s="544"/>
      <c r="DV219" s="544"/>
      <c r="DW219" s="544"/>
      <c r="DX219" s="544"/>
      <c r="DY219" s="544"/>
      <c r="DZ219" s="544"/>
      <c r="EA219" s="544"/>
      <c r="EB219" s="544"/>
      <c r="EC219" s="544"/>
      <c r="ED219" s="544"/>
      <c r="EE219" s="544"/>
      <c r="EF219" s="544"/>
      <c r="EG219" s="544"/>
      <c r="EH219" s="544"/>
      <c r="EI219" s="544"/>
      <c r="EJ219" s="544"/>
      <c r="EK219" s="544"/>
      <c r="EL219" s="544"/>
      <c r="EM219" s="544"/>
      <c r="EN219" s="544"/>
      <c r="EO219" s="544"/>
      <c r="EP219" s="544"/>
      <c r="EQ219" s="544"/>
      <c r="ER219" s="544"/>
      <c r="ES219" s="544"/>
      <c r="ET219" s="544"/>
      <c r="EU219" s="544"/>
      <c r="EV219" s="544"/>
      <c r="EW219" s="544"/>
      <c r="EX219" s="544"/>
      <c r="EY219" s="544"/>
      <c r="EZ219" s="544"/>
      <c r="FA219" s="544"/>
      <c r="FB219" s="544"/>
      <c r="FC219" s="544"/>
      <c r="FD219" s="544"/>
      <c r="FE219" s="544"/>
      <c r="FF219" s="544"/>
      <c r="FG219" s="544"/>
      <c r="FH219" s="544"/>
      <c r="FI219" s="544"/>
      <c r="FJ219" s="544"/>
      <c r="FK219" s="544"/>
      <c r="FL219" s="544"/>
      <c r="FM219" s="544"/>
      <c r="FN219" s="544"/>
      <c r="FO219" s="544"/>
      <c r="FP219" s="544"/>
      <c r="FQ219" s="544"/>
      <c r="FR219" s="544"/>
      <c r="FS219" s="544"/>
      <c r="FT219" s="544"/>
      <c r="FU219" s="544"/>
      <c r="FV219" s="544"/>
      <c r="FW219" s="544"/>
      <c r="FX219" s="544"/>
      <c r="FY219" s="544"/>
      <c r="FZ219" s="544"/>
      <c r="GA219" s="544"/>
      <c r="GB219" s="544"/>
      <c r="GC219" s="544"/>
      <c r="GD219" s="544"/>
      <c r="GE219" s="544"/>
      <c r="GF219" s="544"/>
      <c r="GG219" s="544"/>
      <c r="GH219" s="544"/>
      <c r="GI219" s="544"/>
      <c r="GJ219" s="544"/>
      <c r="GK219" s="544"/>
      <c r="GL219" s="544"/>
      <c r="GM219" s="544"/>
      <c r="GN219" s="544"/>
      <c r="GO219" s="544"/>
      <c r="GP219" s="544"/>
      <c r="GQ219" s="544"/>
      <c r="GR219" s="544"/>
      <c r="GS219" s="544"/>
      <c r="GT219" s="544"/>
      <c r="GU219" s="544"/>
      <c r="GV219" s="544"/>
      <c r="GW219" s="544"/>
      <c r="GX219" s="544"/>
      <c r="GY219" s="544"/>
      <c r="GZ219" s="544"/>
      <c r="HA219" s="544"/>
      <c r="HB219" s="544"/>
      <c r="HC219" s="544"/>
      <c r="HD219" s="544"/>
      <c r="HE219" s="544"/>
      <c r="HF219" s="544"/>
      <c r="HG219" s="544"/>
      <c r="HH219" s="544"/>
      <c r="HI219" s="544"/>
      <c r="HJ219" s="544"/>
      <c r="HK219" s="544"/>
      <c r="HL219" s="544"/>
      <c r="HM219" s="544"/>
      <c r="HN219" s="544"/>
      <c r="HO219" s="544"/>
      <c r="HP219" s="544"/>
      <c r="HQ219" s="544"/>
      <c r="HR219" s="544"/>
      <c r="HS219" s="544"/>
      <c r="HT219" s="544"/>
      <c r="HU219" s="544"/>
      <c r="HV219" s="544"/>
      <c r="HW219" s="544"/>
      <c r="HX219" s="544"/>
      <c r="HY219" s="544"/>
      <c r="HZ219" s="544"/>
      <c r="IA219" s="544"/>
      <c r="IB219" s="544"/>
      <c r="IC219" s="544"/>
      <c r="ID219" s="544"/>
      <c r="IE219" s="544"/>
      <c r="IF219" s="544"/>
      <c r="IG219" s="544"/>
      <c r="IH219" s="544"/>
      <c r="II219" s="544"/>
      <c r="IJ219" s="544"/>
      <c r="IK219" s="544"/>
      <c r="IL219" s="544"/>
      <c r="IM219" s="544"/>
      <c r="IN219" s="544"/>
      <c r="IO219" s="544"/>
      <c r="IP219" s="544"/>
      <c r="IQ219" s="544"/>
      <c r="IR219" s="544"/>
      <c r="IS219" s="544"/>
    </row>
    <row r="220" spans="1:253" x14ac:dyDescent="0.35">
      <c r="A220" s="544"/>
      <c r="B220" s="572"/>
      <c r="C220" s="572"/>
      <c r="E220" s="544"/>
      <c r="F220" s="544"/>
      <c r="G220" s="544"/>
      <c r="H220" s="544"/>
      <c r="I220" s="544"/>
      <c r="J220" s="544"/>
      <c r="K220" s="544"/>
      <c r="AY220" s="544"/>
      <c r="AZ220" s="544"/>
      <c r="BA220" s="544"/>
      <c r="BB220" s="544"/>
      <c r="BC220" s="544"/>
      <c r="BD220" s="544"/>
      <c r="BE220" s="544"/>
      <c r="BF220" s="544"/>
      <c r="BG220" s="544"/>
      <c r="BH220" s="544"/>
      <c r="BI220" s="544"/>
      <c r="BJ220" s="544"/>
      <c r="BK220" s="544"/>
      <c r="BL220" s="544"/>
      <c r="BM220" s="544"/>
      <c r="BN220" s="544"/>
      <c r="BO220" s="544"/>
      <c r="BP220" s="544"/>
      <c r="BQ220" s="544"/>
      <c r="BR220" s="544"/>
      <c r="BS220" s="544"/>
      <c r="BT220" s="544"/>
      <c r="BU220" s="544"/>
      <c r="BV220" s="544"/>
      <c r="BW220" s="544"/>
      <c r="BX220" s="544"/>
      <c r="BY220" s="544"/>
      <c r="BZ220" s="544"/>
      <c r="CA220" s="544"/>
      <c r="CB220" s="544"/>
      <c r="CC220" s="544"/>
      <c r="CD220" s="544"/>
      <c r="CE220" s="544"/>
      <c r="CF220" s="544"/>
      <c r="CG220" s="544"/>
      <c r="CH220" s="544"/>
      <c r="CI220" s="544"/>
      <c r="CJ220" s="544"/>
      <c r="CK220" s="544"/>
      <c r="CL220" s="544"/>
      <c r="CM220" s="544"/>
      <c r="CN220" s="544"/>
      <c r="CO220" s="544"/>
      <c r="CP220" s="544"/>
      <c r="CQ220" s="544"/>
      <c r="CR220" s="544"/>
      <c r="CS220" s="544"/>
      <c r="CT220" s="544"/>
      <c r="CU220" s="544"/>
      <c r="CV220" s="544"/>
      <c r="CW220" s="544"/>
      <c r="CX220" s="544"/>
      <c r="CY220" s="544"/>
      <c r="CZ220" s="544"/>
      <c r="DA220" s="544"/>
      <c r="DB220" s="544"/>
      <c r="DC220" s="544"/>
      <c r="DD220" s="544"/>
      <c r="DE220" s="544"/>
      <c r="DF220" s="544"/>
      <c r="DG220" s="544"/>
      <c r="DH220" s="544"/>
      <c r="DI220" s="544"/>
      <c r="DJ220" s="544"/>
      <c r="DK220" s="544"/>
      <c r="DL220" s="544"/>
      <c r="DM220" s="544"/>
      <c r="DN220" s="544"/>
      <c r="DO220" s="544"/>
      <c r="DP220" s="544"/>
      <c r="DQ220" s="544"/>
      <c r="DR220" s="544"/>
      <c r="DS220" s="544"/>
      <c r="DT220" s="544"/>
      <c r="DU220" s="544"/>
      <c r="DV220" s="544"/>
      <c r="DW220" s="544"/>
      <c r="DX220" s="544"/>
      <c r="DY220" s="544"/>
      <c r="DZ220" s="544"/>
      <c r="EA220" s="544"/>
      <c r="EB220" s="544"/>
      <c r="EC220" s="544"/>
      <c r="ED220" s="544"/>
      <c r="EE220" s="544"/>
      <c r="EF220" s="544"/>
      <c r="EG220" s="544"/>
      <c r="EH220" s="544"/>
      <c r="EI220" s="544"/>
      <c r="EJ220" s="544"/>
      <c r="EK220" s="544"/>
      <c r="EL220" s="544"/>
      <c r="EM220" s="544"/>
      <c r="EN220" s="544"/>
      <c r="EO220" s="544"/>
      <c r="EP220" s="544"/>
      <c r="EQ220" s="544"/>
      <c r="ER220" s="544"/>
      <c r="ES220" s="544"/>
      <c r="ET220" s="544"/>
      <c r="EU220" s="544"/>
      <c r="EV220" s="544"/>
      <c r="EW220" s="544"/>
      <c r="EX220" s="544"/>
      <c r="EY220" s="544"/>
      <c r="EZ220" s="544"/>
      <c r="FA220" s="544"/>
      <c r="FB220" s="544"/>
      <c r="FC220" s="544"/>
      <c r="FD220" s="544"/>
      <c r="FE220" s="544"/>
      <c r="FF220" s="544"/>
      <c r="FG220" s="544"/>
      <c r="FH220" s="544"/>
      <c r="FI220" s="544"/>
      <c r="FJ220" s="544"/>
      <c r="FK220" s="544"/>
      <c r="FL220" s="544"/>
      <c r="FM220" s="544"/>
      <c r="FN220" s="544"/>
      <c r="FO220" s="544"/>
      <c r="FP220" s="544"/>
      <c r="FQ220" s="544"/>
      <c r="FR220" s="544"/>
      <c r="FS220" s="544"/>
      <c r="FT220" s="544"/>
      <c r="FU220" s="544"/>
      <c r="FV220" s="544"/>
      <c r="FW220" s="544"/>
      <c r="FX220" s="544"/>
      <c r="FY220" s="544"/>
      <c r="FZ220" s="544"/>
      <c r="GA220" s="544"/>
      <c r="GB220" s="544"/>
      <c r="GC220" s="544"/>
      <c r="GD220" s="544"/>
      <c r="GE220" s="544"/>
      <c r="GF220" s="544"/>
      <c r="GG220" s="544"/>
      <c r="GH220" s="544"/>
      <c r="GI220" s="544"/>
      <c r="GJ220" s="544"/>
      <c r="GK220" s="544"/>
      <c r="GL220" s="544"/>
      <c r="GM220" s="544"/>
      <c r="GN220" s="544"/>
      <c r="GO220" s="544"/>
      <c r="GP220" s="544"/>
      <c r="GQ220" s="544"/>
      <c r="GR220" s="544"/>
      <c r="GS220" s="544"/>
      <c r="GT220" s="544"/>
      <c r="GU220" s="544"/>
      <c r="GV220" s="544"/>
      <c r="GW220" s="544"/>
      <c r="GX220" s="544"/>
      <c r="GY220" s="544"/>
      <c r="GZ220" s="544"/>
      <c r="HA220" s="544"/>
      <c r="HB220" s="544"/>
      <c r="HC220" s="544"/>
      <c r="HD220" s="544"/>
      <c r="HE220" s="544"/>
      <c r="HF220" s="544"/>
      <c r="HG220" s="544"/>
      <c r="HH220" s="544"/>
      <c r="HI220" s="544"/>
      <c r="HJ220" s="544"/>
      <c r="HK220" s="544"/>
      <c r="HL220" s="544"/>
      <c r="HM220" s="544"/>
      <c r="HN220" s="544"/>
      <c r="HO220" s="544"/>
      <c r="HP220" s="544"/>
      <c r="HQ220" s="544"/>
      <c r="HR220" s="544"/>
      <c r="HS220" s="544"/>
      <c r="HT220" s="544"/>
      <c r="HU220" s="544"/>
      <c r="HV220" s="544"/>
      <c r="HW220" s="544"/>
      <c r="HX220" s="544"/>
      <c r="HY220" s="544"/>
      <c r="HZ220" s="544"/>
      <c r="IA220" s="544"/>
      <c r="IB220" s="544"/>
      <c r="IC220" s="544"/>
      <c r="ID220" s="544"/>
      <c r="IE220" s="544"/>
      <c r="IF220" s="544"/>
      <c r="IG220" s="544"/>
      <c r="IH220" s="544"/>
      <c r="II220" s="544"/>
      <c r="IJ220" s="544"/>
      <c r="IK220" s="544"/>
      <c r="IL220" s="544"/>
      <c r="IM220" s="544"/>
      <c r="IN220" s="544"/>
      <c r="IO220" s="544"/>
      <c r="IP220" s="544"/>
      <c r="IQ220" s="544"/>
      <c r="IR220" s="544"/>
      <c r="IS220" s="544"/>
    </row>
    <row r="221" spans="1:253" x14ac:dyDescent="0.35">
      <c r="A221" s="544"/>
      <c r="B221" s="572"/>
      <c r="C221" s="572"/>
      <c r="E221" s="544"/>
      <c r="F221" s="544"/>
      <c r="G221" s="544"/>
      <c r="H221" s="544"/>
      <c r="I221" s="544"/>
      <c r="J221" s="544"/>
      <c r="K221" s="544"/>
      <c r="AY221" s="544"/>
      <c r="AZ221" s="544"/>
      <c r="BA221" s="544"/>
      <c r="BB221" s="544"/>
      <c r="BC221" s="544"/>
      <c r="BD221" s="544"/>
      <c r="BE221" s="544"/>
      <c r="BF221" s="544"/>
      <c r="BG221" s="544"/>
      <c r="BH221" s="544"/>
      <c r="BI221" s="544"/>
      <c r="BJ221" s="544"/>
      <c r="BK221" s="544"/>
      <c r="BL221" s="544"/>
      <c r="BM221" s="544"/>
      <c r="BN221" s="544"/>
      <c r="BO221" s="544"/>
      <c r="BP221" s="544"/>
      <c r="BQ221" s="544"/>
      <c r="BR221" s="544"/>
      <c r="BS221" s="544"/>
      <c r="BT221" s="544"/>
      <c r="BU221" s="544"/>
      <c r="BV221" s="544"/>
      <c r="BW221" s="544"/>
      <c r="BX221" s="544"/>
      <c r="BY221" s="544"/>
      <c r="BZ221" s="544"/>
      <c r="CA221" s="544"/>
      <c r="CB221" s="544"/>
      <c r="CC221" s="544"/>
      <c r="CD221" s="544"/>
      <c r="CE221" s="544"/>
      <c r="CF221" s="544"/>
      <c r="CG221" s="544"/>
      <c r="CH221" s="544"/>
      <c r="CI221" s="544"/>
      <c r="CJ221" s="544"/>
      <c r="CK221" s="544"/>
      <c r="CL221" s="544"/>
      <c r="CM221" s="544"/>
      <c r="CN221" s="544"/>
      <c r="CO221" s="544"/>
      <c r="CP221" s="544"/>
      <c r="CQ221" s="544"/>
      <c r="CR221" s="544"/>
      <c r="CS221" s="544"/>
      <c r="CT221" s="544"/>
      <c r="CU221" s="544"/>
      <c r="CV221" s="544"/>
      <c r="CW221" s="544"/>
      <c r="CX221" s="544"/>
      <c r="CY221" s="544"/>
      <c r="CZ221" s="544"/>
      <c r="DA221" s="544"/>
      <c r="DB221" s="544"/>
      <c r="DC221" s="544"/>
      <c r="DD221" s="544"/>
      <c r="DE221" s="544"/>
      <c r="DF221" s="544"/>
      <c r="DG221" s="544"/>
      <c r="DH221" s="544"/>
      <c r="DI221" s="544"/>
      <c r="DJ221" s="544"/>
      <c r="DK221" s="544"/>
      <c r="DL221" s="544"/>
      <c r="DM221" s="544"/>
      <c r="DN221" s="544"/>
      <c r="DO221" s="544"/>
      <c r="DP221" s="544"/>
      <c r="DQ221" s="544"/>
      <c r="DR221" s="544"/>
      <c r="DS221" s="544"/>
      <c r="DT221" s="544"/>
      <c r="DU221" s="544"/>
      <c r="DV221" s="544"/>
      <c r="DW221" s="544"/>
      <c r="DX221" s="544"/>
      <c r="DY221" s="544"/>
      <c r="DZ221" s="544"/>
      <c r="EA221" s="544"/>
      <c r="EB221" s="544"/>
      <c r="EC221" s="544"/>
      <c r="ED221" s="544"/>
      <c r="EE221" s="544"/>
      <c r="EF221" s="544"/>
      <c r="EG221" s="544"/>
      <c r="EH221" s="544"/>
      <c r="EI221" s="544"/>
      <c r="EJ221" s="544"/>
      <c r="EK221" s="544"/>
      <c r="EL221" s="544"/>
      <c r="EM221" s="544"/>
      <c r="EN221" s="544"/>
      <c r="EO221" s="544"/>
      <c r="EP221" s="544"/>
      <c r="EQ221" s="544"/>
      <c r="ER221" s="544"/>
      <c r="ES221" s="544"/>
      <c r="ET221" s="544"/>
      <c r="EU221" s="544"/>
      <c r="EV221" s="544"/>
      <c r="EW221" s="544"/>
      <c r="EX221" s="544"/>
      <c r="EY221" s="544"/>
      <c r="EZ221" s="544"/>
      <c r="FA221" s="544"/>
      <c r="FB221" s="544"/>
      <c r="FC221" s="544"/>
      <c r="FD221" s="544"/>
      <c r="FE221" s="544"/>
      <c r="FF221" s="544"/>
      <c r="FG221" s="544"/>
      <c r="FH221" s="544"/>
      <c r="FI221" s="544"/>
      <c r="FJ221" s="544"/>
      <c r="FK221" s="544"/>
      <c r="FL221" s="544"/>
      <c r="FM221" s="544"/>
      <c r="FN221" s="544"/>
      <c r="FO221" s="544"/>
      <c r="FP221" s="544"/>
      <c r="FQ221" s="544"/>
      <c r="FR221" s="544"/>
      <c r="FS221" s="544"/>
      <c r="FT221" s="544"/>
      <c r="FU221" s="544"/>
      <c r="FV221" s="544"/>
      <c r="FW221" s="544"/>
      <c r="FX221" s="544"/>
      <c r="FY221" s="544"/>
      <c r="FZ221" s="544"/>
      <c r="GA221" s="544"/>
      <c r="GB221" s="544"/>
      <c r="GC221" s="544"/>
      <c r="GD221" s="544"/>
      <c r="GE221" s="544"/>
      <c r="GF221" s="544"/>
      <c r="GG221" s="544"/>
      <c r="GH221" s="544"/>
      <c r="GI221" s="544"/>
      <c r="GJ221" s="544"/>
      <c r="GK221" s="544"/>
      <c r="GL221" s="544"/>
      <c r="GM221" s="544"/>
      <c r="GN221" s="544"/>
      <c r="GO221" s="544"/>
      <c r="GP221" s="544"/>
      <c r="GQ221" s="544"/>
      <c r="GR221" s="544"/>
      <c r="GS221" s="544"/>
      <c r="GT221" s="544"/>
      <c r="GU221" s="544"/>
      <c r="GV221" s="544"/>
      <c r="GW221" s="544"/>
      <c r="GX221" s="544"/>
      <c r="GY221" s="544"/>
      <c r="GZ221" s="544"/>
      <c r="HA221" s="544"/>
      <c r="HB221" s="544"/>
      <c r="HC221" s="544"/>
      <c r="HD221" s="544"/>
      <c r="HE221" s="544"/>
      <c r="HF221" s="544"/>
      <c r="HG221" s="544"/>
      <c r="HH221" s="544"/>
      <c r="HI221" s="544"/>
      <c r="HJ221" s="544"/>
      <c r="HK221" s="544"/>
      <c r="HL221" s="544"/>
      <c r="HM221" s="544"/>
      <c r="HN221" s="544"/>
      <c r="HO221" s="544"/>
      <c r="HP221" s="544"/>
      <c r="HQ221" s="544"/>
      <c r="HR221" s="544"/>
      <c r="HS221" s="544"/>
      <c r="HT221" s="544"/>
      <c r="HU221" s="544"/>
      <c r="HV221" s="544"/>
      <c r="HW221" s="544"/>
      <c r="HX221" s="544"/>
      <c r="HY221" s="544"/>
      <c r="HZ221" s="544"/>
      <c r="IA221" s="544"/>
      <c r="IB221" s="544"/>
      <c r="IC221" s="544"/>
      <c r="ID221" s="544"/>
      <c r="IE221" s="544"/>
      <c r="IF221" s="544"/>
      <c r="IG221" s="544"/>
      <c r="IH221" s="544"/>
      <c r="II221" s="544"/>
      <c r="IJ221" s="544"/>
      <c r="IK221" s="544"/>
      <c r="IL221" s="544"/>
      <c r="IM221" s="544"/>
      <c r="IN221" s="544"/>
      <c r="IO221" s="544"/>
      <c r="IP221" s="544"/>
      <c r="IQ221" s="544"/>
      <c r="IR221" s="544"/>
      <c r="IS221" s="544"/>
    </row>
    <row r="222" spans="1:253" x14ac:dyDescent="0.35">
      <c r="A222" s="544"/>
      <c r="B222" s="572"/>
      <c r="C222" s="572"/>
      <c r="E222" s="544"/>
      <c r="F222" s="544"/>
      <c r="G222" s="544"/>
      <c r="H222" s="544"/>
      <c r="I222" s="544"/>
      <c r="J222" s="544"/>
      <c r="K222" s="544"/>
      <c r="AY222" s="544"/>
      <c r="AZ222" s="544"/>
      <c r="BA222" s="544"/>
      <c r="BB222" s="544"/>
      <c r="BC222" s="544"/>
      <c r="BD222" s="544"/>
      <c r="BE222" s="544"/>
      <c r="BF222" s="544"/>
      <c r="BG222" s="544"/>
      <c r="BH222" s="544"/>
      <c r="BI222" s="544"/>
      <c r="BJ222" s="544"/>
      <c r="BK222" s="544"/>
      <c r="BL222" s="544"/>
      <c r="BM222" s="544"/>
      <c r="BN222" s="544"/>
      <c r="BO222" s="544"/>
      <c r="BP222" s="544"/>
      <c r="BQ222" s="544"/>
      <c r="BR222" s="544"/>
      <c r="BS222" s="544"/>
      <c r="BT222" s="544"/>
      <c r="BU222" s="544"/>
      <c r="BV222" s="544"/>
      <c r="BW222" s="544"/>
      <c r="BX222" s="544"/>
      <c r="BY222" s="544"/>
      <c r="BZ222" s="544"/>
      <c r="CA222" s="544"/>
      <c r="CB222" s="544"/>
      <c r="CC222" s="544"/>
      <c r="CD222" s="544"/>
      <c r="CE222" s="544"/>
      <c r="CF222" s="544"/>
      <c r="CG222" s="544"/>
      <c r="CH222" s="544"/>
      <c r="CI222" s="544"/>
      <c r="CJ222" s="544"/>
      <c r="CK222" s="544"/>
      <c r="CL222" s="544"/>
      <c r="CM222" s="544"/>
      <c r="CN222" s="544"/>
      <c r="CO222" s="544"/>
      <c r="CP222" s="544"/>
      <c r="CQ222" s="544"/>
      <c r="CR222" s="544"/>
      <c r="CS222" s="544"/>
      <c r="CT222" s="544"/>
      <c r="CU222" s="544"/>
      <c r="CV222" s="544"/>
      <c r="CW222" s="544"/>
      <c r="CX222" s="544"/>
      <c r="CY222" s="544"/>
      <c r="CZ222" s="544"/>
      <c r="DA222" s="544"/>
      <c r="DB222" s="544"/>
      <c r="DC222" s="544"/>
      <c r="DD222" s="544"/>
      <c r="DE222" s="544"/>
      <c r="DF222" s="544"/>
      <c r="DG222" s="544"/>
      <c r="DH222" s="544"/>
      <c r="DI222" s="544"/>
      <c r="DJ222" s="544"/>
      <c r="DK222" s="544"/>
      <c r="DL222" s="544"/>
      <c r="DM222" s="544"/>
      <c r="DN222" s="544"/>
      <c r="DO222" s="544"/>
      <c r="DP222" s="544"/>
      <c r="DQ222" s="544"/>
      <c r="DR222" s="544"/>
      <c r="DS222" s="544"/>
      <c r="DT222" s="544"/>
      <c r="DU222" s="544"/>
      <c r="DV222" s="544"/>
      <c r="DW222" s="544"/>
      <c r="DX222" s="544"/>
      <c r="DY222" s="544"/>
      <c r="DZ222" s="544"/>
      <c r="EA222" s="544"/>
      <c r="EB222" s="544"/>
      <c r="EC222" s="544"/>
      <c r="ED222" s="544"/>
      <c r="EE222" s="544"/>
      <c r="EF222" s="544"/>
      <c r="EG222" s="544"/>
      <c r="EH222" s="544"/>
      <c r="EI222" s="544"/>
      <c r="EJ222" s="544"/>
      <c r="EK222" s="544"/>
      <c r="EL222" s="544"/>
      <c r="EM222" s="544"/>
      <c r="EN222" s="544"/>
      <c r="EO222" s="544"/>
      <c r="EP222" s="544"/>
      <c r="EQ222" s="544"/>
      <c r="ER222" s="544"/>
      <c r="ES222" s="544"/>
      <c r="ET222" s="544"/>
      <c r="EU222" s="544"/>
      <c r="EV222" s="544"/>
      <c r="EW222" s="544"/>
      <c r="EX222" s="544"/>
      <c r="EY222" s="544"/>
      <c r="EZ222" s="544"/>
      <c r="FA222" s="544"/>
      <c r="FB222" s="544"/>
      <c r="FC222" s="544"/>
      <c r="FD222" s="544"/>
      <c r="FE222" s="544"/>
      <c r="FF222" s="544"/>
      <c r="FG222" s="544"/>
      <c r="FH222" s="544"/>
      <c r="FI222" s="544"/>
      <c r="FJ222" s="544"/>
      <c r="FK222" s="544"/>
      <c r="FL222" s="544"/>
      <c r="FM222" s="544"/>
      <c r="FN222" s="544"/>
      <c r="FO222" s="544"/>
      <c r="FP222" s="544"/>
      <c r="FQ222" s="544"/>
      <c r="FR222" s="544"/>
      <c r="FS222" s="544"/>
      <c r="FT222" s="544"/>
      <c r="FU222" s="544"/>
      <c r="FV222" s="544"/>
      <c r="FW222" s="544"/>
      <c r="FX222" s="544"/>
      <c r="FY222" s="544"/>
      <c r="FZ222" s="544"/>
      <c r="GA222" s="544"/>
      <c r="GB222" s="544"/>
      <c r="GC222" s="544"/>
      <c r="GD222" s="544"/>
      <c r="GE222" s="544"/>
      <c r="GF222" s="544"/>
      <c r="GG222" s="544"/>
      <c r="GH222" s="544"/>
      <c r="GI222" s="544"/>
      <c r="GJ222" s="544"/>
      <c r="GK222" s="544"/>
      <c r="GL222" s="544"/>
      <c r="GM222" s="544"/>
      <c r="GN222" s="544"/>
      <c r="GO222" s="544"/>
      <c r="GP222" s="544"/>
      <c r="GQ222" s="544"/>
      <c r="GR222" s="544"/>
      <c r="GS222" s="544"/>
      <c r="GT222" s="544"/>
      <c r="GU222" s="544"/>
      <c r="GV222" s="544"/>
      <c r="GW222" s="544"/>
      <c r="GX222" s="544"/>
      <c r="GY222" s="544"/>
      <c r="GZ222" s="544"/>
      <c r="HA222" s="544"/>
      <c r="HB222" s="544"/>
      <c r="HC222" s="544"/>
      <c r="HD222" s="544"/>
      <c r="HE222" s="544"/>
      <c r="HF222" s="544"/>
      <c r="HG222" s="544"/>
      <c r="HH222" s="544"/>
      <c r="HI222" s="544"/>
      <c r="HJ222" s="544"/>
      <c r="HK222" s="544"/>
      <c r="HL222" s="544"/>
      <c r="HM222" s="544"/>
      <c r="HN222" s="544"/>
      <c r="HO222" s="544"/>
      <c r="HP222" s="544"/>
      <c r="HQ222" s="544"/>
      <c r="HR222" s="544"/>
      <c r="HS222" s="544"/>
      <c r="HT222" s="544"/>
      <c r="HU222" s="544"/>
      <c r="HV222" s="544"/>
      <c r="HW222" s="544"/>
      <c r="HX222" s="544"/>
      <c r="HY222" s="544"/>
      <c r="HZ222" s="544"/>
      <c r="IA222" s="544"/>
      <c r="IB222" s="544"/>
      <c r="IC222" s="544"/>
      <c r="ID222" s="544"/>
      <c r="IE222" s="544"/>
      <c r="IF222" s="544"/>
      <c r="IG222" s="544"/>
      <c r="IH222" s="544"/>
      <c r="II222" s="544"/>
      <c r="IJ222" s="544"/>
      <c r="IK222" s="544"/>
      <c r="IL222" s="544"/>
      <c r="IM222" s="544"/>
      <c r="IN222" s="544"/>
      <c r="IO222" s="544"/>
      <c r="IP222" s="544"/>
      <c r="IQ222" s="544"/>
      <c r="IR222" s="544"/>
      <c r="IS222" s="544"/>
    </row>
    <row r="223" spans="1:253" x14ac:dyDescent="0.35">
      <c r="A223" s="544"/>
      <c r="B223" s="572"/>
      <c r="C223" s="572"/>
      <c r="E223" s="544"/>
      <c r="F223" s="544"/>
      <c r="G223" s="544"/>
      <c r="H223" s="544"/>
      <c r="I223" s="544"/>
      <c r="J223" s="544"/>
      <c r="K223" s="544"/>
      <c r="AY223" s="544"/>
      <c r="AZ223" s="544"/>
      <c r="BA223" s="544"/>
      <c r="BB223" s="544"/>
      <c r="BC223" s="544"/>
      <c r="BD223" s="544"/>
      <c r="BE223" s="544"/>
      <c r="BF223" s="544"/>
      <c r="BG223" s="544"/>
      <c r="BH223" s="544"/>
      <c r="BI223" s="544"/>
      <c r="BJ223" s="544"/>
      <c r="BK223" s="544"/>
      <c r="BL223" s="544"/>
      <c r="BM223" s="544"/>
      <c r="BN223" s="544"/>
      <c r="BO223" s="544"/>
      <c r="BP223" s="544"/>
      <c r="BQ223" s="544"/>
      <c r="BR223" s="544"/>
      <c r="BS223" s="544"/>
      <c r="BT223" s="544"/>
      <c r="BU223" s="544"/>
      <c r="BV223" s="544"/>
      <c r="BW223" s="544"/>
      <c r="BX223" s="544"/>
      <c r="BY223" s="544"/>
      <c r="BZ223" s="544"/>
      <c r="CA223" s="544"/>
      <c r="CB223" s="544"/>
      <c r="CC223" s="544"/>
      <c r="CD223" s="544"/>
      <c r="CE223" s="544"/>
      <c r="CF223" s="544"/>
      <c r="CG223" s="544"/>
      <c r="CH223" s="544"/>
      <c r="CI223" s="544"/>
      <c r="CJ223" s="544"/>
      <c r="CK223" s="544"/>
      <c r="CL223" s="544"/>
      <c r="CM223" s="544"/>
      <c r="CN223" s="544"/>
      <c r="CO223" s="544"/>
      <c r="CP223" s="544"/>
      <c r="CQ223" s="544"/>
      <c r="CR223" s="544"/>
      <c r="CS223" s="544"/>
      <c r="CT223" s="544"/>
      <c r="CU223" s="544"/>
      <c r="CV223" s="544"/>
      <c r="CW223" s="544"/>
      <c r="CX223" s="544"/>
      <c r="CY223" s="544"/>
      <c r="CZ223" s="544"/>
      <c r="DA223" s="544"/>
      <c r="DB223" s="544"/>
      <c r="DC223" s="544"/>
      <c r="DD223" s="544"/>
      <c r="DE223" s="544"/>
      <c r="DF223" s="544"/>
      <c r="DG223" s="544"/>
      <c r="DH223" s="544"/>
      <c r="DI223" s="544"/>
      <c r="DJ223" s="544"/>
      <c r="DK223" s="544"/>
      <c r="DL223" s="544"/>
      <c r="DM223" s="544"/>
      <c r="DN223" s="544"/>
      <c r="DO223" s="544"/>
      <c r="DP223" s="544"/>
      <c r="DQ223" s="544"/>
      <c r="DR223" s="544"/>
      <c r="DS223" s="544"/>
      <c r="DT223" s="544"/>
      <c r="DU223" s="544"/>
      <c r="DV223" s="544"/>
      <c r="DW223" s="544"/>
      <c r="DX223" s="544"/>
      <c r="DY223" s="544"/>
      <c r="DZ223" s="544"/>
      <c r="EA223" s="544"/>
      <c r="EB223" s="544"/>
      <c r="EC223" s="544"/>
      <c r="ED223" s="544"/>
      <c r="EE223" s="544"/>
      <c r="EF223" s="544"/>
      <c r="EG223" s="544"/>
      <c r="EH223" s="544"/>
      <c r="EI223" s="544"/>
      <c r="EJ223" s="544"/>
      <c r="EK223" s="544"/>
      <c r="EL223" s="544"/>
      <c r="EM223" s="544"/>
      <c r="EN223" s="544"/>
      <c r="EO223" s="544"/>
      <c r="EP223" s="544"/>
      <c r="EQ223" s="544"/>
      <c r="ER223" s="544"/>
      <c r="ES223" s="544"/>
      <c r="ET223" s="544"/>
      <c r="EU223" s="544"/>
      <c r="EV223" s="544"/>
      <c r="EW223" s="544"/>
      <c r="EX223" s="544"/>
      <c r="EY223" s="544"/>
      <c r="EZ223" s="544"/>
      <c r="FA223" s="544"/>
      <c r="FB223" s="544"/>
      <c r="FC223" s="544"/>
      <c r="FD223" s="544"/>
      <c r="FE223" s="544"/>
      <c r="FF223" s="544"/>
      <c r="FG223" s="544"/>
      <c r="FH223" s="544"/>
      <c r="FI223" s="544"/>
      <c r="FJ223" s="544"/>
      <c r="FK223" s="544"/>
      <c r="FL223" s="544"/>
      <c r="FM223" s="544"/>
      <c r="FN223" s="544"/>
      <c r="FO223" s="544"/>
      <c r="FP223" s="544"/>
      <c r="FQ223" s="544"/>
      <c r="FR223" s="544"/>
      <c r="FS223" s="544"/>
      <c r="FT223" s="544"/>
      <c r="FU223" s="544"/>
      <c r="FV223" s="544"/>
      <c r="FW223" s="544"/>
      <c r="FX223" s="544"/>
      <c r="FY223" s="544"/>
      <c r="FZ223" s="544"/>
      <c r="GA223" s="544"/>
      <c r="GB223" s="544"/>
      <c r="GC223" s="544"/>
      <c r="GD223" s="544"/>
      <c r="GE223" s="544"/>
      <c r="GF223" s="544"/>
      <c r="GG223" s="544"/>
      <c r="GH223" s="544"/>
      <c r="GI223" s="544"/>
      <c r="GJ223" s="544"/>
      <c r="GK223" s="544"/>
      <c r="GL223" s="544"/>
      <c r="GM223" s="544"/>
      <c r="GN223" s="544"/>
      <c r="GO223" s="544"/>
      <c r="GP223" s="544"/>
      <c r="GQ223" s="544"/>
      <c r="GR223" s="544"/>
      <c r="GS223" s="544"/>
      <c r="GT223" s="544"/>
      <c r="GU223" s="544"/>
      <c r="GV223" s="544"/>
      <c r="GW223" s="544"/>
      <c r="GX223" s="544"/>
      <c r="GY223" s="544"/>
      <c r="GZ223" s="544"/>
      <c r="HA223" s="544"/>
      <c r="HB223" s="544"/>
      <c r="HC223" s="544"/>
      <c r="HD223" s="544"/>
      <c r="HE223" s="544"/>
      <c r="HF223" s="544"/>
      <c r="HG223" s="544"/>
      <c r="HH223" s="544"/>
      <c r="HI223" s="544"/>
      <c r="HJ223" s="544"/>
      <c r="HK223" s="544"/>
      <c r="HL223" s="544"/>
      <c r="HM223" s="544"/>
      <c r="HN223" s="544"/>
      <c r="HO223" s="544"/>
      <c r="HP223" s="544"/>
      <c r="HQ223" s="544"/>
      <c r="HR223" s="544"/>
      <c r="HS223" s="544"/>
      <c r="HT223" s="544"/>
      <c r="HU223" s="544"/>
      <c r="HV223" s="544"/>
      <c r="HW223" s="544"/>
      <c r="HX223" s="544"/>
      <c r="HY223" s="544"/>
      <c r="HZ223" s="544"/>
      <c r="IA223" s="544"/>
      <c r="IB223" s="544"/>
      <c r="IC223" s="544"/>
      <c r="ID223" s="544"/>
      <c r="IE223" s="544"/>
      <c r="IF223" s="544"/>
      <c r="IG223" s="544"/>
      <c r="IH223" s="544"/>
      <c r="II223" s="544"/>
      <c r="IJ223" s="544"/>
      <c r="IK223" s="544"/>
      <c r="IL223" s="544"/>
      <c r="IM223" s="544"/>
      <c r="IN223" s="544"/>
      <c r="IO223" s="544"/>
      <c r="IP223" s="544"/>
      <c r="IQ223" s="544"/>
      <c r="IR223" s="544"/>
      <c r="IS223" s="544"/>
    </row>
    <row r="224" spans="1:253" x14ac:dyDescent="0.35">
      <c r="A224" s="544"/>
      <c r="B224" s="572"/>
      <c r="C224" s="572"/>
      <c r="E224" s="544"/>
      <c r="F224" s="544"/>
      <c r="G224" s="544"/>
      <c r="H224" s="544"/>
      <c r="I224" s="544"/>
      <c r="J224" s="544"/>
      <c r="K224" s="544"/>
      <c r="AY224" s="544"/>
      <c r="AZ224" s="544"/>
      <c r="BA224" s="544"/>
      <c r="BB224" s="544"/>
      <c r="BC224" s="544"/>
      <c r="BD224" s="544"/>
      <c r="BE224" s="544"/>
      <c r="BF224" s="544"/>
      <c r="BG224" s="544"/>
      <c r="BH224" s="544"/>
      <c r="BI224" s="544"/>
      <c r="BJ224" s="544"/>
      <c r="BK224" s="544"/>
      <c r="BL224" s="544"/>
      <c r="BM224" s="544"/>
      <c r="BN224" s="544"/>
      <c r="BO224" s="544"/>
      <c r="BP224" s="544"/>
      <c r="BQ224" s="544"/>
      <c r="BR224" s="544"/>
      <c r="BS224" s="544"/>
      <c r="BT224" s="544"/>
      <c r="BU224" s="544"/>
      <c r="BV224" s="544"/>
      <c r="BW224" s="544"/>
      <c r="BX224" s="544"/>
      <c r="BY224" s="544"/>
      <c r="BZ224" s="544"/>
      <c r="CA224" s="544"/>
      <c r="CB224" s="544"/>
      <c r="CC224" s="544"/>
      <c r="CD224" s="544"/>
      <c r="CE224" s="544"/>
      <c r="CF224" s="544"/>
      <c r="CG224" s="544"/>
      <c r="CH224" s="544"/>
      <c r="CI224" s="544"/>
      <c r="CJ224" s="544"/>
      <c r="CK224" s="544"/>
      <c r="CL224" s="544"/>
      <c r="CM224" s="544"/>
      <c r="CN224" s="544"/>
      <c r="CO224" s="544"/>
      <c r="CP224" s="544"/>
      <c r="CQ224" s="544"/>
      <c r="CR224" s="544"/>
      <c r="CS224" s="544"/>
      <c r="CT224" s="544"/>
      <c r="CU224" s="544"/>
      <c r="CV224" s="544"/>
      <c r="CW224" s="544"/>
      <c r="CX224" s="544"/>
      <c r="CY224" s="544"/>
      <c r="CZ224" s="544"/>
      <c r="DA224" s="544"/>
      <c r="DB224" s="544"/>
      <c r="DC224" s="544"/>
      <c r="DD224" s="544"/>
      <c r="DE224" s="544"/>
      <c r="DF224" s="544"/>
      <c r="DG224" s="544"/>
      <c r="DH224" s="544"/>
      <c r="DI224" s="544"/>
      <c r="DJ224" s="544"/>
      <c r="DK224" s="544"/>
      <c r="DL224" s="544"/>
      <c r="DM224" s="544"/>
      <c r="DN224" s="544"/>
      <c r="DO224" s="544"/>
      <c r="DP224" s="544"/>
      <c r="DQ224" s="544"/>
      <c r="DR224" s="544"/>
      <c r="DS224" s="544"/>
      <c r="DT224" s="544"/>
      <c r="DU224" s="544"/>
      <c r="DV224" s="544"/>
      <c r="DW224" s="544"/>
      <c r="DX224" s="544"/>
      <c r="DY224" s="544"/>
      <c r="DZ224" s="544"/>
      <c r="EA224" s="544"/>
      <c r="EB224" s="544"/>
      <c r="EC224" s="544"/>
      <c r="ED224" s="544"/>
      <c r="EE224" s="544"/>
      <c r="EF224" s="544"/>
      <c r="EG224" s="544"/>
      <c r="EH224" s="544"/>
      <c r="EI224" s="544"/>
      <c r="EJ224" s="544"/>
      <c r="EK224" s="544"/>
      <c r="EL224" s="544"/>
      <c r="EM224" s="544"/>
      <c r="EN224" s="544"/>
      <c r="EO224" s="544"/>
      <c r="EP224" s="544"/>
      <c r="EQ224" s="544"/>
      <c r="ER224" s="544"/>
      <c r="ES224" s="544"/>
      <c r="ET224" s="544"/>
      <c r="EU224" s="544"/>
      <c r="EV224" s="544"/>
      <c r="EW224" s="544"/>
      <c r="EX224" s="544"/>
      <c r="EY224" s="544"/>
      <c r="EZ224" s="544"/>
      <c r="FA224" s="544"/>
      <c r="FB224" s="544"/>
      <c r="FC224" s="544"/>
      <c r="FD224" s="544"/>
      <c r="FE224" s="544"/>
      <c r="FF224" s="544"/>
      <c r="FG224" s="544"/>
      <c r="FH224" s="544"/>
      <c r="FI224" s="544"/>
      <c r="FJ224" s="544"/>
      <c r="FK224" s="544"/>
      <c r="FL224" s="544"/>
      <c r="FM224" s="544"/>
      <c r="FN224" s="544"/>
      <c r="FO224" s="544"/>
      <c r="FP224" s="544"/>
      <c r="FQ224" s="544"/>
      <c r="FR224" s="544"/>
      <c r="FS224" s="544"/>
      <c r="FT224" s="544"/>
      <c r="FU224" s="544"/>
      <c r="FV224" s="544"/>
      <c r="FW224" s="544"/>
      <c r="FX224" s="544"/>
      <c r="FY224" s="544"/>
      <c r="FZ224" s="544"/>
      <c r="GA224" s="544"/>
      <c r="GB224" s="544"/>
      <c r="GC224" s="544"/>
      <c r="GD224" s="544"/>
      <c r="GE224" s="544"/>
      <c r="GF224" s="544"/>
      <c r="GG224" s="544"/>
      <c r="GH224" s="544"/>
      <c r="GI224" s="544"/>
      <c r="GJ224" s="544"/>
      <c r="GK224" s="544"/>
      <c r="GL224" s="544"/>
      <c r="GM224" s="544"/>
      <c r="GN224" s="544"/>
      <c r="GO224" s="544"/>
      <c r="GP224" s="544"/>
      <c r="GQ224" s="544"/>
      <c r="GR224" s="544"/>
      <c r="GS224" s="544"/>
      <c r="GT224" s="544"/>
      <c r="GU224" s="544"/>
      <c r="GV224" s="544"/>
      <c r="GW224" s="544"/>
      <c r="GX224" s="544"/>
      <c r="GY224" s="544"/>
      <c r="GZ224" s="544"/>
      <c r="HA224" s="544"/>
      <c r="HB224" s="544"/>
      <c r="HC224" s="544"/>
      <c r="HD224" s="544"/>
      <c r="HE224" s="544"/>
      <c r="HF224" s="544"/>
      <c r="HG224" s="544"/>
      <c r="HH224" s="544"/>
      <c r="HI224" s="544"/>
      <c r="HJ224" s="544"/>
      <c r="HK224" s="544"/>
      <c r="HL224" s="544"/>
      <c r="HM224" s="544"/>
      <c r="HN224" s="544"/>
      <c r="HO224" s="544"/>
      <c r="HP224" s="544"/>
      <c r="HQ224" s="544"/>
      <c r="HR224" s="544"/>
      <c r="HS224" s="544"/>
      <c r="HT224" s="544"/>
      <c r="HU224" s="544"/>
      <c r="HV224" s="544"/>
      <c r="HW224" s="544"/>
      <c r="HX224" s="544"/>
      <c r="HY224" s="544"/>
      <c r="HZ224" s="544"/>
      <c r="IA224" s="544"/>
      <c r="IB224" s="544"/>
      <c r="IC224" s="544"/>
      <c r="ID224" s="544"/>
      <c r="IE224" s="544"/>
      <c r="IF224" s="544"/>
      <c r="IG224" s="544"/>
      <c r="IH224" s="544"/>
      <c r="II224" s="544"/>
      <c r="IJ224" s="544"/>
      <c r="IK224" s="544"/>
      <c r="IL224" s="544"/>
      <c r="IM224" s="544"/>
      <c r="IN224" s="544"/>
      <c r="IO224" s="544"/>
      <c r="IP224" s="544"/>
      <c r="IQ224" s="544"/>
      <c r="IR224" s="544"/>
      <c r="IS224" s="544"/>
    </row>
    <row r="225" spans="1:253" x14ac:dyDescent="0.35">
      <c r="A225" s="544"/>
      <c r="B225" s="572"/>
      <c r="C225" s="572"/>
      <c r="E225" s="544"/>
      <c r="F225" s="544"/>
      <c r="G225" s="544"/>
      <c r="H225" s="544"/>
      <c r="I225" s="544"/>
      <c r="J225" s="544"/>
      <c r="K225" s="544"/>
      <c r="AY225" s="544"/>
      <c r="AZ225" s="544"/>
      <c r="BA225" s="544"/>
      <c r="BB225" s="544"/>
      <c r="BC225" s="544"/>
      <c r="BD225" s="544"/>
      <c r="BE225" s="544"/>
      <c r="BF225" s="544"/>
      <c r="BG225" s="544"/>
      <c r="BH225" s="544"/>
      <c r="BI225" s="544"/>
      <c r="BJ225" s="544"/>
      <c r="BK225" s="544"/>
      <c r="BL225" s="544"/>
      <c r="BM225" s="544"/>
      <c r="BN225" s="544"/>
      <c r="BO225" s="544"/>
      <c r="BP225" s="544"/>
      <c r="BQ225" s="544"/>
      <c r="BR225" s="544"/>
      <c r="BS225" s="544"/>
      <c r="BT225" s="544"/>
      <c r="BU225" s="544"/>
      <c r="BV225" s="544"/>
      <c r="BW225" s="544"/>
      <c r="BX225" s="544"/>
      <c r="BY225" s="544"/>
      <c r="BZ225" s="544"/>
      <c r="CA225" s="544"/>
      <c r="CB225" s="544"/>
      <c r="CC225" s="544"/>
      <c r="CD225" s="544"/>
      <c r="CE225" s="544"/>
      <c r="CF225" s="544"/>
      <c r="CG225" s="544"/>
      <c r="CH225" s="544"/>
      <c r="CI225" s="544"/>
      <c r="CJ225" s="544"/>
      <c r="CK225" s="544"/>
      <c r="CL225" s="544"/>
      <c r="CM225" s="544"/>
      <c r="CN225" s="544"/>
      <c r="CO225" s="544"/>
      <c r="CP225" s="544"/>
      <c r="CQ225" s="544"/>
      <c r="CR225" s="544"/>
      <c r="CS225" s="544"/>
      <c r="CT225" s="544"/>
      <c r="CU225" s="544"/>
      <c r="CV225" s="544"/>
      <c r="CW225" s="544"/>
      <c r="CX225" s="544"/>
      <c r="CY225" s="544"/>
      <c r="CZ225" s="544"/>
      <c r="DA225" s="544"/>
      <c r="DB225" s="544"/>
      <c r="DC225" s="544"/>
      <c r="DD225" s="544"/>
      <c r="DE225" s="544"/>
      <c r="DF225" s="544"/>
      <c r="DG225" s="544"/>
      <c r="DH225" s="544"/>
      <c r="DI225" s="544"/>
      <c r="DJ225" s="544"/>
      <c r="DK225" s="544"/>
      <c r="DL225" s="544"/>
      <c r="DM225" s="544"/>
      <c r="DN225" s="544"/>
      <c r="DO225" s="544"/>
      <c r="DP225" s="544"/>
      <c r="DQ225" s="544"/>
      <c r="DR225" s="544"/>
      <c r="DS225" s="544"/>
      <c r="DT225" s="544"/>
      <c r="DU225" s="544"/>
      <c r="DV225" s="544"/>
      <c r="DW225" s="544"/>
      <c r="DX225" s="544"/>
      <c r="DY225" s="544"/>
      <c r="DZ225" s="544"/>
      <c r="EA225" s="544"/>
      <c r="EB225" s="544"/>
      <c r="EC225" s="544"/>
      <c r="ED225" s="544"/>
      <c r="EE225" s="544"/>
      <c r="EF225" s="544"/>
      <c r="EG225" s="544"/>
      <c r="EH225" s="544"/>
      <c r="EI225" s="544"/>
      <c r="EJ225" s="544"/>
      <c r="EK225" s="544"/>
      <c r="EL225" s="544"/>
      <c r="EM225" s="544"/>
      <c r="EN225" s="544"/>
      <c r="EO225" s="544"/>
      <c r="EP225" s="544"/>
      <c r="EQ225" s="544"/>
      <c r="ER225" s="544"/>
      <c r="ES225" s="544"/>
      <c r="ET225" s="544"/>
      <c r="EU225" s="544"/>
      <c r="EV225" s="544"/>
      <c r="EW225" s="544"/>
      <c r="EX225" s="544"/>
      <c r="EY225" s="544"/>
      <c r="EZ225" s="544"/>
      <c r="FA225" s="544"/>
      <c r="FB225" s="544"/>
      <c r="FC225" s="544"/>
      <c r="FD225" s="544"/>
      <c r="FE225" s="544"/>
      <c r="FF225" s="544"/>
      <c r="FG225" s="544"/>
      <c r="FH225" s="544"/>
      <c r="FI225" s="544"/>
      <c r="FJ225" s="544"/>
      <c r="FK225" s="544"/>
      <c r="FL225" s="544"/>
      <c r="FM225" s="544"/>
      <c r="FN225" s="544"/>
      <c r="FO225" s="544"/>
      <c r="FP225" s="544"/>
      <c r="FQ225" s="544"/>
      <c r="FR225" s="544"/>
      <c r="FS225" s="544"/>
      <c r="FT225" s="544"/>
      <c r="FU225" s="544"/>
      <c r="FV225" s="544"/>
      <c r="FW225" s="544"/>
      <c r="FX225" s="544"/>
      <c r="FY225" s="544"/>
      <c r="FZ225" s="544"/>
      <c r="GA225" s="544"/>
      <c r="GB225" s="544"/>
      <c r="GC225" s="544"/>
      <c r="GD225" s="544"/>
      <c r="GE225" s="544"/>
      <c r="GF225" s="544"/>
      <c r="GG225" s="544"/>
      <c r="GH225" s="544"/>
      <c r="GI225" s="544"/>
      <c r="GJ225" s="544"/>
      <c r="GK225" s="544"/>
      <c r="GL225" s="544"/>
      <c r="GM225" s="544"/>
      <c r="GN225" s="544"/>
      <c r="GO225" s="544"/>
      <c r="GP225" s="544"/>
      <c r="GQ225" s="544"/>
      <c r="GR225" s="544"/>
      <c r="GS225" s="544"/>
      <c r="GT225" s="544"/>
      <c r="GU225" s="544"/>
      <c r="GV225" s="544"/>
      <c r="GW225" s="544"/>
      <c r="GX225" s="544"/>
      <c r="GY225" s="544"/>
      <c r="GZ225" s="544"/>
      <c r="HA225" s="544"/>
      <c r="HB225" s="544"/>
      <c r="HC225" s="544"/>
      <c r="HD225" s="544"/>
      <c r="HE225" s="544"/>
      <c r="HF225" s="544"/>
      <c r="HG225" s="544"/>
      <c r="HH225" s="544"/>
      <c r="HI225" s="544"/>
      <c r="HJ225" s="544"/>
      <c r="HK225" s="544"/>
      <c r="HL225" s="544"/>
      <c r="HM225" s="544"/>
      <c r="HN225" s="544"/>
      <c r="HO225" s="544"/>
      <c r="HP225" s="544"/>
      <c r="HQ225" s="544"/>
      <c r="HR225" s="544"/>
      <c r="HS225" s="544"/>
      <c r="HT225" s="544"/>
      <c r="HU225" s="544"/>
      <c r="HV225" s="544"/>
      <c r="HW225" s="544"/>
      <c r="HX225" s="544"/>
      <c r="HY225" s="544"/>
      <c r="HZ225" s="544"/>
      <c r="IA225" s="544"/>
      <c r="IB225" s="544"/>
      <c r="IC225" s="544"/>
      <c r="ID225" s="544"/>
      <c r="IE225" s="544"/>
      <c r="IF225" s="544"/>
      <c r="IG225" s="544"/>
      <c r="IH225" s="544"/>
      <c r="II225" s="544"/>
      <c r="IJ225" s="544"/>
      <c r="IK225" s="544"/>
      <c r="IL225" s="544"/>
      <c r="IM225" s="544"/>
      <c r="IN225" s="544"/>
      <c r="IO225" s="544"/>
      <c r="IP225" s="544"/>
      <c r="IQ225" s="544"/>
      <c r="IR225" s="544"/>
      <c r="IS225" s="544"/>
    </row>
    <row r="226" spans="1:253" x14ac:dyDescent="0.35">
      <c r="A226" s="544"/>
      <c r="B226" s="572"/>
      <c r="C226" s="572"/>
      <c r="E226" s="544"/>
      <c r="F226" s="544"/>
      <c r="G226" s="544"/>
      <c r="H226" s="544"/>
      <c r="I226" s="544"/>
      <c r="J226" s="544"/>
      <c r="K226" s="544"/>
      <c r="AY226" s="544"/>
      <c r="AZ226" s="544"/>
      <c r="BA226" s="544"/>
      <c r="BB226" s="544"/>
      <c r="BC226" s="544"/>
      <c r="BD226" s="544"/>
      <c r="BE226" s="544"/>
      <c r="BF226" s="544"/>
      <c r="BG226" s="544"/>
      <c r="BH226" s="544"/>
      <c r="BI226" s="544"/>
      <c r="BJ226" s="544"/>
      <c r="BK226" s="544"/>
      <c r="BL226" s="544"/>
      <c r="BM226" s="544"/>
      <c r="BN226" s="544"/>
      <c r="BO226" s="544"/>
      <c r="BP226" s="544"/>
      <c r="BQ226" s="544"/>
      <c r="BR226" s="544"/>
      <c r="BS226" s="544"/>
      <c r="BT226" s="544"/>
      <c r="BU226" s="544"/>
      <c r="BV226" s="544"/>
      <c r="BW226" s="544"/>
      <c r="BX226" s="544"/>
      <c r="BY226" s="544"/>
      <c r="BZ226" s="544"/>
      <c r="CA226" s="544"/>
      <c r="CB226" s="544"/>
      <c r="CC226" s="544"/>
      <c r="CD226" s="544"/>
      <c r="CE226" s="544"/>
      <c r="CF226" s="544"/>
      <c r="CG226" s="544"/>
      <c r="CH226" s="544"/>
      <c r="CI226" s="544"/>
      <c r="CJ226" s="544"/>
      <c r="CK226" s="544"/>
      <c r="CL226" s="544"/>
      <c r="CM226" s="544"/>
      <c r="CN226" s="544"/>
      <c r="CO226" s="544"/>
      <c r="CP226" s="544"/>
      <c r="CQ226" s="544"/>
      <c r="CR226" s="544"/>
      <c r="CS226" s="544"/>
      <c r="CT226" s="544"/>
      <c r="CU226" s="544"/>
      <c r="CV226" s="544"/>
      <c r="CW226" s="544"/>
      <c r="CX226" s="544"/>
      <c r="CY226" s="544"/>
      <c r="CZ226" s="544"/>
      <c r="DA226" s="544"/>
      <c r="DB226" s="544"/>
      <c r="DC226" s="544"/>
      <c r="DD226" s="544"/>
      <c r="DE226" s="544"/>
      <c r="DF226" s="544"/>
      <c r="DG226" s="544"/>
      <c r="DH226" s="544"/>
      <c r="DI226" s="544"/>
      <c r="DJ226" s="544"/>
      <c r="DK226" s="544"/>
      <c r="DL226" s="544"/>
      <c r="DM226" s="544"/>
      <c r="DN226" s="544"/>
      <c r="DO226" s="544"/>
      <c r="DP226" s="544"/>
      <c r="DQ226" s="544"/>
      <c r="DR226" s="544"/>
      <c r="DS226" s="544"/>
      <c r="DT226" s="544"/>
      <c r="DU226" s="544"/>
      <c r="DV226" s="544"/>
      <c r="DW226" s="544"/>
      <c r="DX226" s="544"/>
      <c r="DY226" s="544"/>
      <c r="DZ226" s="544"/>
      <c r="EA226" s="544"/>
      <c r="EB226" s="544"/>
      <c r="EC226" s="544"/>
      <c r="ED226" s="544"/>
      <c r="EE226" s="544"/>
      <c r="EF226" s="544"/>
      <c r="EG226" s="544"/>
      <c r="EH226" s="544"/>
      <c r="EI226" s="544"/>
      <c r="EJ226" s="544"/>
      <c r="EK226" s="544"/>
      <c r="EL226" s="544"/>
      <c r="EM226" s="544"/>
      <c r="EN226" s="544"/>
      <c r="EO226" s="544"/>
      <c r="EP226" s="544"/>
      <c r="EQ226" s="544"/>
      <c r="ER226" s="544"/>
      <c r="ES226" s="544"/>
      <c r="ET226" s="544"/>
      <c r="EU226" s="544"/>
      <c r="EV226" s="544"/>
      <c r="EW226" s="544"/>
      <c r="EX226" s="544"/>
      <c r="EY226" s="544"/>
      <c r="EZ226" s="544"/>
      <c r="FA226" s="544"/>
      <c r="FB226" s="544"/>
      <c r="FC226" s="544"/>
      <c r="FD226" s="544"/>
      <c r="FE226" s="544"/>
      <c r="FF226" s="544"/>
      <c r="FG226" s="544"/>
      <c r="FH226" s="544"/>
      <c r="FI226" s="544"/>
      <c r="FJ226" s="544"/>
      <c r="FK226" s="544"/>
      <c r="FL226" s="544"/>
      <c r="FM226" s="544"/>
      <c r="FN226" s="544"/>
      <c r="FO226" s="544"/>
      <c r="FP226" s="544"/>
      <c r="FQ226" s="544"/>
      <c r="FR226" s="544"/>
      <c r="FS226" s="544"/>
      <c r="FT226" s="544"/>
      <c r="FU226" s="544"/>
      <c r="FV226" s="544"/>
      <c r="FW226" s="544"/>
      <c r="FX226" s="544"/>
      <c r="FY226" s="544"/>
      <c r="FZ226" s="544"/>
      <c r="GA226" s="544"/>
      <c r="GB226" s="544"/>
      <c r="GC226" s="544"/>
      <c r="GD226" s="544"/>
      <c r="GE226" s="544"/>
      <c r="GF226" s="544"/>
      <c r="GG226" s="544"/>
      <c r="GH226" s="544"/>
      <c r="GI226" s="544"/>
      <c r="GJ226" s="544"/>
      <c r="GK226" s="544"/>
      <c r="GL226" s="544"/>
      <c r="GM226" s="544"/>
      <c r="GN226" s="544"/>
      <c r="GO226" s="544"/>
      <c r="GP226" s="544"/>
      <c r="GQ226" s="544"/>
      <c r="GR226" s="544"/>
      <c r="GS226" s="544"/>
      <c r="GT226" s="544"/>
      <c r="GU226" s="544"/>
      <c r="GV226" s="544"/>
      <c r="GW226" s="544"/>
      <c r="GX226" s="544"/>
      <c r="GY226" s="544"/>
      <c r="GZ226" s="544"/>
      <c r="HA226" s="544"/>
      <c r="HB226" s="544"/>
      <c r="HC226" s="544"/>
      <c r="HD226" s="544"/>
      <c r="HE226" s="544"/>
      <c r="HF226" s="544"/>
      <c r="HG226" s="544"/>
      <c r="HH226" s="544"/>
      <c r="HI226" s="544"/>
      <c r="HJ226" s="544"/>
      <c r="HK226" s="544"/>
      <c r="HL226" s="544"/>
      <c r="HM226" s="544"/>
      <c r="HN226" s="544"/>
      <c r="HO226" s="544"/>
      <c r="HP226" s="544"/>
      <c r="HQ226" s="544"/>
      <c r="HR226" s="544"/>
      <c r="HS226" s="544"/>
      <c r="HT226" s="544"/>
      <c r="HU226" s="544"/>
      <c r="HV226" s="544"/>
      <c r="HW226" s="544"/>
      <c r="HX226" s="544"/>
      <c r="HY226" s="544"/>
      <c r="HZ226" s="544"/>
      <c r="IA226" s="544"/>
      <c r="IB226" s="544"/>
      <c r="IC226" s="544"/>
      <c r="ID226" s="544"/>
      <c r="IE226" s="544"/>
      <c r="IF226" s="544"/>
      <c r="IG226" s="544"/>
      <c r="IH226" s="544"/>
      <c r="II226" s="544"/>
      <c r="IJ226" s="544"/>
      <c r="IK226" s="544"/>
      <c r="IL226" s="544"/>
      <c r="IM226" s="544"/>
      <c r="IN226" s="544"/>
      <c r="IO226" s="544"/>
      <c r="IP226" s="544"/>
      <c r="IQ226" s="544"/>
      <c r="IR226" s="544"/>
      <c r="IS226" s="544"/>
    </row>
    <row r="227" spans="1:253" x14ac:dyDescent="0.35">
      <c r="A227" s="544"/>
      <c r="B227" s="572"/>
      <c r="C227" s="572"/>
      <c r="E227" s="544"/>
      <c r="F227" s="544"/>
      <c r="G227" s="544"/>
      <c r="H227" s="544"/>
      <c r="I227" s="544"/>
      <c r="J227" s="544"/>
      <c r="K227" s="544"/>
      <c r="AY227" s="544"/>
      <c r="AZ227" s="544"/>
      <c r="BA227" s="544"/>
      <c r="BB227" s="544"/>
      <c r="BC227" s="544"/>
      <c r="BD227" s="544"/>
      <c r="BE227" s="544"/>
      <c r="BF227" s="544"/>
      <c r="BG227" s="544"/>
      <c r="BH227" s="544"/>
      <c r="BI227" s="544"/>
      <c r="BJ227" s="544"/>
      <c r="BK227" s="544"/>
      <c r="BL227" s="544"/>
      <c r="BM227" s="544"/>
      <c r="BN227" s="544"/>
      <c r="BO227" s="544"/>
      <c r="BP227" s="544"/>
      <c r="BQ227" s="544"/>
      <c r="BR227" s="544"/>
      <c r="BS227" s="544"/>
      <c r="BT227" s="544"/>
      <c r="BU227" s="544"/>
      <c r="BV227" s="544"/>
      <c r="BW227" s="544"/>
      <c r="BX227" s="544"/>
      <c r="BY227" s="544"/>
      <c r="BZ227" s="544"/>
      <c r="CA227" s="544"/>
      <c r="CB227" s="544"/>
      <c r="CC227" s="544"/>
      <c r="CD227" s="544"/>
      <c r="CE227" s="544"/>
      <c r="CF227" s="544"/>
      <c r="CG227" s="544"/>
      <c r="CH227" s="544"/>
      <c r="CI227" s="544"/>
      <c r="CJ227" s="544"/>
      <c r="CK227" s="544"/>
      <c r="CL227" s="544"/>
      <c r="CM227" s="544"/>
      <c r="CN227" s="544"/>
      <c r="CO227" s="544"/>
      <c r="CP227" s="544"/>
      <c r="CQ227" s="544"/>
      <c r="CR227" s="544"/>
      <c r="CS227" s="544"/>
      <c r="CT227" s="544"/>
      <c r="CU227" s="544"/>
      <c r="CV227" s="544"/>
      <c r="CW227" s="544"/>
      <c r="CX227" s="544"/>
      <c r="CY227" s="544"/>
      <c r="CZ227" s="544"/>
      <c r="DA227" s="544"/>
      <c r="DB227" s="544"/>
      <c r="DC227" s="544"/>
      <c r="DD227" s="544"/>
      <c r="DE227" s="544"/>
      <c r="DF227" s="544"/>
      <c r="DG227" s="544"/>
      <c r="DH227" s="544"/>
      <c r="DI227" s="544"/>
      <c r="DJ227" s="544"/>
      <c r="DK227" s="544"/>
      <c r="DL227" s="544"/>
      <c r="DM227" s="544"/>
      <c r="DN227" s="544"/>
      <c r="DO227" s="544"/>
      <c r="DP227" s="544"/>
      <c r="DQ227" s="544"/>
      <c r="DR227" s="544"/>
      <c r="DS227" s="544"/>
      <c r="DT227" s="544"/>
      <c r="DU227" s="544"/>
      <c r="DV227" s="544"/>
      <c r="DW227" s="544"/>
      <c r="DX227" s="544"/>
      <c r="DY227" s="544"/>
      <c r="DZ227" s="544"/>
      <c r="EA227" s="544"/>
      <c r="EB227" s="544"/>
      <c r="EC227" s="544"/>
      <c r="ED227" s="544"/>
      <c r="EE227" s="544"/>
      <c r="EF227" s="544"/>
      <c r="EG227" s="544"/>
      <c r="EH227" s="544"/>
      <c r="EI227" s="544"/>
      <c r="EJ227" s="544"/>
      <c r="EK227" s="544"/>
      <c r="EL227" s="544"/>
      <c r="EM227" s="544"/>
      <c r="EN227" s="544"/>
      <c r="EO227" s="544"/>
      <c r="EP227" s="544"/>
      <c r="EQ227" s="544"/>
      <c r="ER227" s="544"/>
      <c r="ES227" s="544"/>
      <c r="ET227" s="544"/>
      <c r="EU227" s="544"/>
      <c r="EV227" s="544"/>
      <c r="EW227" s="544"/>
      <c r="EX227" s="544"/>
      <c r="EY227" s="544"/>
      <c r="EZ227" s="544"/>
      <c r="FA227" s="544"/>
      <c r="FB227" s="544"/>
      <c r="FC227" s="544"/>
      <c r="FD227" s="544"/>
      <c r="FE227" s="544"/>
      <c r="FF227" s="544"/>
      <c r="FG227" s="544"/>
      <c r="FH227" s="544"/>
      <c r="FI227" s="544"/>
      <c r="FJ227" s="544"/>
      <c r="FK227" s="544"/>
      <c r="FL227" s="544"/>
      <c r="FM227" s="544"/>
      <c r="FN227" s="544"/>
      <c r="FO227" s="544"/>
      <c r="FP227" s="544"/>
      <c r="FQ227" s="544"/>
      <c r="FR227" s="544"/>
      <c r="FS227" s="544"/>
      <c r="FT227" s="544"/>
      <c r="FU227" s="544"/>
      <c r="FV227" s="544"/>
      <c r="FW227" s="544"/>
      <c r="FX227" s="544"/>
      <c r="FY227" s="544"/>
      <c r="FZ227" s="544"/>
      <c r="GA227" s="544"/>
      <c r="GB227" s="544"/>
      <c r="GC227" s="544"/>
      <c r="GD227" s="544"/>
      <c r="GE227" s="544"/>
      <c r="GF227" s="544"/>
      <c r="GG227" s="544"/>
      <c r="GH227" s="544"/>
      <c r="GI227" s="544"/>
      <c r="GJ227" s="544"/>
      <c r="GK227" s="544"/>
      <c r="GL227" s="544"/>
      <c r="GM227" s="544"/>
      <c r="GN227" s="544"/>
      <c r="GO227" s="544"/>
      <c r="GP227" s="544"/>
      <c r="GQ227" s="544"/>
      <c r="GR227" s="544"/>
      <c r="GS227" s="544"/>
      <c r="GT227" s="544"/>
      <c r="GU227" s="544"/>
      <c r="GV227" s="544"/>
      <c r="GW227" s="544"/>
      <c r="GX227" s="544"/>
      <c r="GY227" s="544"/>
      <c r="GZ227" s="544"/>
      <c r="HA227" s="544"/>
      <c r="HB227" s="544"/>
      <c r="HC227" s="544"/>
      <c r="HD227" s="544"/>
      <c r="HE227" s="544"/>
      <c r="HF227" s="544"/>
      <c r="HG227" s="544"/>
      <c r="HH227" s="544"/>
      <c r="HI227" s="544"/>
      <c r="HJ227" s="544"/>
      <c r="HK227" s="544"/>
      <c r="HL227" s="544"/>
      <c r="HM227" s="544"/>
      <c r="HN227" s="544"/>
      <c r="HO227" s="544"/>
      <c r="HP227" s="544"/>
      <c r="HQ227" s="544"/>
      <c r="HR227" s="544"/>
      <c r="HS227" s="544"/>
      <c r="HT227" s="544"/>
      <c r="HU227" s="544"/>
      <c r="HV227" s="544"/>
      <c r="HW227" s="544"/>
      <c r="HX227" s="544"/>
      <c r="HY227" s="544"/>
      <c r="HZ227" s="544"/>
      <c r="IA227" s="544"/>
      <c r="IB227" s="544"/>
      <c r="IC227" s="544"/>
      <c r="ID227" s="544"/>
      <c r="IE227" s="544"/>
      <c r="IF227" s="544"/>
      <c r="IG227" s="544"/>
      <c r="IH227" s="544"/>
      <c r="II227" s="544"/>
      <c r="IJ227" s="544"/>
      <c r="IK227" s="544"/>
      <c r="IL227" s="544"/>
      <c r="IM227" s="544"/>
      <c r="IN227" s="544"/>
      <c r="IO227" s="544"/>
      <c r="IP227" s="544"/>
      <c r="IQ227" s="544"/>
      <c r="IR227" s="544"/>
      <c r="IS227" s="544"/>
    </row>
    <row r="228" spans="1:253" x14ac:dyDescent="0.35">
      <c r="A228" s="544"/>
      <c r="B228" s="572"/>
      <c r="C228" s="572"/>
      <c r="E228" s="544"/>
      <c r="F228" s="544"/>
      <c r="G228" s="544"/>
      <c r="H228" s="544"/>
      <c r="I228" s="544"/>
      <c r="J228" s="544"/>
      <c r="K228" s="544"/>
      <c r="AY228" s="544"/>
      <c r="AZ228" s="544"/>
      <c r="BA228" s="544"/>
      <c r="BB228" s="544"/>
      <c r="BC228" s="544"/>
      <c r="BD228" s="544"/>
      <c r="BE228" s="544"/>
      <c r="BF228" s="544"/>
      <c r="BG228" s="544"/>
      <c r="BH228" s="544"/>
      <c r="BI228" s="544"/>
      <c r="BJ228" s="544"/>
      <c r="BK228" s="544"/>
      <c r="BL228" s="544"/>
      <c r="BM228" s="544"/>
      <c r="BN228" s="544"/>
      <c r="BO228" s="544"/>
      <c r="BP228" s="544"/>
      <c r="BQ228" s="544"/>
      <c r="BR228" s="544"/>
      <c r="BS228" s="544"/>
      <c r="BT228" s="544"/>
      <c r="BU228" s="544"/>
      <c r="BV228" s="544"/>
      <c r="BW228" s="544"/>
      <c r="BX228" s="544"/>
      <c r="BY228" s="544"/>
      <c r="BZ228" s="544"/>
      <c r="CA228" s="544"/>
      <c r="CB228" s="544"/>
      <c r="CC228" s="544"/>
      <c r="CD228" s="544"/>
      <c r="CE228" s="544"/>
      <c r="CF228" s="544"/>
      <c r="CG228" s="544"/>
      <c r="CH228" s="544"/>
      <c r="CI228" s="544"/>
      <c r="CJ228" s="544"/>
      <c r="CK228" s="544"/>
      <c r="CL228" s="544"/>
      <c r="CM228" s="544"/>
      <c r="CN228" s="544"/>
      <c r="CO228" s="544"/>
      <c r="CP228" s="544"/>
      <c r="CQ228" s="544"/>
      <c r="CR228" s="544"/>
      <c r="CS228" s="544"/>
      <c r="CT228" s="544"/>
      <c r="CU228" s="544"/>
      <c r="CV228" s="544"/>
      <c r="CW228" s="544"/>
      <c r="CX228" s="544"/>
      <c r="CY228" s="544"/>
      <c r="CZ228" s="544"/>
      <c r="DA228" s="544"/>
      <c r="DB228" s="544"/>
      <c r="DC228" s="544"/>
      <c r="DD228" s="544"/>
      <c r="DE228" s="544"/>
      <c r="DF228" s="544"/>
      <c r="DG228" s="544"/>
      <c r="DH228" s="544"/>
      <c r="DI228" s="544"/>
      <c r="DJ228" s="544"/>
      <c r="DK228" s="544"/>
      <c r="DL228" s="544"/>
      <c r="DM228" s="544"/>
      <c r="DN228" s="544"/>
      <c r="DO228" s="544"/>
      <c r="DP228" s="544"/>
      <c r="DQ228" s="544"/>
      <c r="DR228" s="544"/>
      <c r="DS228" s="544"/>
      <c r="DT228" s="544"/>
      <c r="DU228" s="544"/>
      <c r="DV228" s="544"/>
      <c r="DW228" s="544"/>
      <c r="DX228" s="544"/>
      <c r="DY228" s="544"/>
      <c r="DZ228" s="544"/>
      <c r="EA228" s="544"/>
      <c r="EB228" s="544"/>
      <c r="EC228" s="544"/>
      <c r="ED228" s="544"/>
      <c r="EE228" s="544"/>
      <c r="EF228" s="544"/>
      <c r="EG228" s="544"/>
      <c r="EH228" s="544"/>
      <c r="EI228" s="544"/>
      <c r="EJ228" s="544"/>
      <c r="EK228" s="544"/>
      <c r="EL228" s="544"/>
      <c r="EM228" s="544"/>
      <c r="EN228" s="544"/>
      <c r="EO228" s="544"/>
      <c r="EP228" s="544"/>
      <c r="EQ228" s="544"/>
      <c r="ER228" s="544"/>
      <c r="ES228" s="544"/>
      <c r="ET228" s="544"/>
      <c r="EU228" s="544"/>
      <c r="EV228" s="544"/>
      <c r="EW228" s="544"/>
      <c r="EX228" s="544"/>
      <c r="EY228" s="544"/>
      <c r="EZ228" s="544"/>
      <c r="FA228" s="544"/>
      <c r="FB228" s="544"/>
      <c r="FC228" s="544"/>
      <c r="FD228" s="544"/>
      <c r="FE228" s="544"/>
      <c r="FF228" s="544"/>
      <c r="FG228" s="544"/>
      <c r="FH228" s="544"/>
      <c r="FI228" s="544"/>
      <c r="FJ228" s="544"/>
      <c r="FK228" s="544"/>
      <c r="FL228" s="544"/>
      <c r="FM228" s="544"/>
      <c r="FN228" s="544"/>
      <c r="FO228" s="544"/>
      <c r="FP228" s="544"/>
      <c r="FQ228" s="544"/>
      <c r="FR228" s="544"/>
      <c r="FS228" s="544"/>
      <c r="FT228" s="544"/>
      <c r="FU228" s="544"/>
      <c r="FV228" s="544"/>
      <c r="FW228" s="544"/>
      <c r="FX228" s="544"/>
      <c r="FY228" s="544"/>
      <c r="FZ228" s="544"/>
      <c r="GA228" s="544"/>
      <c r="GB228" s="544"/>
      <c r="GC228" s="544"/>
      <c r="GD228" s="544"/>
      <c r="GE228" s="544"/>
      <c r="GF228" s="544"/>
      <c r="GG228" s="544"/>
      <c r="GH228" s="544"/>
      <c r="GI228" s="544"/>
      <c r="GJ228" s="544"/>
      <c r="GK228" s="544"/>
      <c r="GL228" s="544"/>
      <c r="GM228" s="544"/>
      <c r="GN228" s="544"/>
      <c r="GO228" s="544"/>
      <c r="GP228" s="544"/>
      <c r="GQ228" s="544"/>
      <c r="GR228" s="544"/>
      <c r="GS228" s="544"/>
      <c r="GT228" s="544"/>
      <c r="GU228" s="544"/>
      <c r="GV228" s="544"/>
      <c r="GW228" s="544"/>
      <c r="GX228" s="544"/>
      <c r="GY228" s="544"/>
      <c r="GZ228" s="544"/>
      <c r="HA228" s="544"/>
      <c r="HB228" s="544"/>
      <c r="HC228" s="544"/>
      <c r="HD228" s="544"/>
      <c r="HE228" s="544"/>
      <c r="HF228" s="544"/>
      <c r="HG228" s="544"/>
      <c r="HH228" s="544"/>
      <c r="HI228" s="544"/>
      <c r="HJ228" s="544"/>
      <c r="HK228" s="544"/>
      <c r="HL228" s="544"/>
      <c r="HM228" s="544"/>
      <c r="HN228" s="544"/>
      <c r="HO228" s="544"/>
      <c r="HP228" s="544"/>
      <c r="HQ228" s="544"/>
      <c r="HR228" s="544"/>
      <c r="HS228" s="544"/>
      <c r="HT228" s="544"/>
      <c r="HU228" s="544"/>
      <c r="HV228" s="544"/>
      <c r="HW228" s="544"/>
      <c r="HX228" s="544"/>
      <c r="HY228" s="544"/>
      <c r="HZ228" s="544"/>
      <c r="IA228" s="544"/>
      <c r="IB228" s="544"/>
      <c r="IC228" s="544"/>
      <c r="ID228" s="544"/>
      <c r="IE228" s="544"/>
      <c r="IF228" s="544"/>
      <c r="IG228" s="544"/>
      <c r="IH228" s="544"/>
      <c r="II228" s="544"/>
      <c r="IJ228" s="544"/>
      <c r="IK228" s="544"/>
      <c r="IL228" s="544"/>
      <c r="IM228" s="544"/>
      <c r="IN228" s="544"/>
      <c r="IO228" s="544"/>
      <c r="IP228" s="544"/>
      <c r="IQ228" s="544"/>
      <c r="IR228" s="544"/>
      <c r="IS228" s="544"/>
    </row>
    <row r="229" spans="1:253" x14ac:dyDescent="0.35">
      <c r="A229" s="544"/>
      <c r="B229" s="572"/>
      <c r="C229" s="572"/>
      <c r="E229" s="544"/>
      <c r="F229" s="544"/>
      <c r="G229" s="544"/>
      <c r="H229" s="544"/>
      <c r="I229" s="544"/>
      <c r="J229" s="544"/>
      <c r="K229" s="544"/>
      <c r="AY229" s="544"/>
      <c r="AZ229" s="544"/>
      <c r="BA229" s="544"/>
      <c r="BB229" s="544"/>
      <c r="BC229" s="544"/>
      <c r="BD229" s="544"/>
      <c r="BE229" s="544"/>
      <c r="BF229" s="544"/>
      <c r="BG229" s="544"/>
      <c r="BH229" s="544"/>
      <c r="BI229" s="544"/>
      <c r="BJ229" s="544"/>
      <c r="BK229" s="544"/>
      <c r="BL229" s="544"/>
      <c r="BM229" s="544"/>
      <c r="BN229" s="544"/>
      <c r="BO229" s="544"/>
      <c r="BP229" s="544"/>
      <c r="BQ229" s="544"/>
      <c r="BR229" s="544"/>
      <c r="BS229" s="544"/>
      <c r="BT229" s="544"/>
      <c r="BU229" s="544"/>
      <c r="BV229" s="544"/>
      <c r="BW229" s="544"/>
      <c r="BX229" s="544"/>
      <c r="BY229" s="544"/>
      <c r="BZ229" s="544"/>
      <c r="CA229" s="544"/>
      <c r="CB229" s="544"/>
      <c r="CC229" s="544"/>
      <c r="CD229" s="544"/>
      <c r="CE229" s="544"/>
      <c r="CF229" s="544"/>
      <c r="CG229" s="544"/>
      <c r="CH229" s="544"/>
      <c r="CI229" s="544"/>
      <c r="CJ229" s="544"/>
      <c r="CK229" s="544"/>
      <c r="CL229" s="544"/>
      <c r="CM229" s="544"/>
      <c r="CN229" s="544"/>
      <c r="CO229" s="544"/>
      <c r="CP229" s="544"/>
      <c r="CQ229" s="544"/>
      <c r="CR229" s="544"/>
      <c r="CS229" s="544"/>
      <c r="CT229" s="544"/>
      <c r="CU229" s="544"/>
      <c r="CV229" s="544"/>
      <c r="CW229" s="544"/>
      <c r="CX229" s="544"/>
      <c r="CY229" s="544"/>
      <c r="CZ229" s="544"/>
      <c r="DA229" s="544"/>
      <c r="DB229" s="544"/>
      <c r="DC229" s="544"/>
      <c r="DD229" s="544"/>
      <c r="DE229" s="544"/>
      <c r="DF229" s="544"/>
      <c r="DG229" s="544"/>
      <c r="DH229" s="544"/>
      <c r="DI229" s="544"/>
      <c r="DJ229" s="544"/>
      <c r="DK229" s="544"/>
      <c r="DL229" s="544"/>
      <c r="DM229" s="544"/>
      <c r="DN229" s="544"/>
      <c r="DO229" s="544"/>
      <c r="DP229" s="544"/>
      <c r="DQ229" s="544"/>
      <c r="DR229" s="544"/>
      <c r="DS229" s="544"/>
      <c r="DT229" s="544"/>
      <c r="DU229" s="544"/>
      <c r="DV229" s="544"/>
      <c r="DW229" s="544"/>
      <c r="DX229" s="544"/>
      <c r="DY229" s="544"/>
      <c r="DZ229" s="544"/>
      <c r="EA229" s="544"/>
      <c r="EB229" s="544"/>
      <c r="EC229" s="544"/>
      <c r="ED229" s="544"/>
      <c r="EE229" s="544"/>
      <c r="EF229" s="544"/>
      <c r="EG229" s="544"/>
      <c r="EH229" s="544"/>
      <c r="EI229" s="544"/>
      <c r="EJ229" s="544"/>
      <c r="EK229" s="544"/>
      <c r="EL229" s="544"/>
      <c r="EM229" s="544"/>
      <c r="EN229" s="544"/>
      <c r="EO229" s="544"/>
      <c r="EP229" s="544"/>
      <c r="EQ229" s="544"/>
      <c r="ER229" s="544"/>
      <c r="ES229" s="544"/>
      <c r="ET229" s="544"/>
      <c r="EU229" s="544"/>
      <c r="EV229" s="544"/>
      <c r="EW229" s="544"/>
      <c r="EX229" s="544"/>
      <c r="EY229" s="544"/>
      <c r="EZ229" s="544"/>
      <c r="FA229" s="544"/>
      <c r="FB229" s="544"/>
      <c r="FC229" s="544"/>
      <c r="FD229" s="544"/>
      <c r="FE229" s="544"/>
      <c r="FF229" s="544"/>
      <c r="FG229" s="544"/>
      <c r="FH229" s="544"/>
      <c r="FI229" s="544"/>
      <c r="FJ229" s="544"/>
      <c r="FK229" s="544"/>
      <c r="FL229" s="544"/>
      <c r="FM229" s="544"/>
      <c r="FN229" s="544"/>
      <c r="FO229" s="544"/>
      <c r="FP229" s="544"/>
      <c r="FQ229" s="544"/>
      <c r="FR229" s="544"/>
      <c r="FS229" s="544"/>
      <c r="FT229" s="544"/>
      <c r="FU229" s="544"/>
      <c r="FV229" s="544"/>
      <c r="FW229" s="544"/>
      <c r="FX229" s="544"/>
      <c r="FY229" s="544"/>
      <c r="FZ229" s="544"/>
      <c r="GA229" s="544"/>
      <c r="GB229" s="544"/>
      <c r="GC229" s="544"/>
      <c r="GD229" s="544"/>
      <c r="GE229" s="544"/>
      <c r="GF229" s="544"/>
      <c r="GG229" s="544"/>
      <c r="GH229" s="544"/>
      <c r="GI229" s="544"/>
      <c r="GJ229" s="544"/>
      <c r="GK229" s="544"/>
      <c r="GL229" s="544"/>
      <c r="GM229" s="544"/>
      <c r="GN229" s="544"/>
      <c r="GO229" s="544"/>
      <c r="GP229" s="544"/>
      <c r="GQ229" s="544"/>
      <c r="GR229" s="544"/>
      <c r="GS229" s="544"/>
      <c r="GT229" s="544"/>
      <c r="GU229" s="544"/>
      <c r="GV229" s="544"/>
      <c r="GW229" s="544"/>
      <c r="GX229" s="544"/>
      <c r="GY229" s="544"/>
      <c r="GZ229" s="544"/>
      <c r="HA229" s="544"/>
      <c r="HB229" s="544"/>
      <c r="HC229" s="544"/>
      <c r="HD229" s="544"/>
      <c r="HE229" s="544"/>
      <c r="HF229" s="544"/>
      <c r="HG229" s="544"/>
      <c r="HH229" s="544"/>
      <c r="HI229" s="544"/>
      <c r="HJ229" s="544"/>
      <c r="HK229" s="544"/>
      <c r="HL229" s="544"/>
      <c r="HM229" s="544"/>
      <c r="HN229" s="544"/>
      <c r="HO229" s="544"/>
      <c r="HP229" s="544"/>
      <c r="HQ229" s="544"/>
      <c r="HR229" s="544"/>
      <c r="HS229" s="544"/>
      <c r="HT229" s="544"/>
      <c r="HU229" s="544"/>
      <c r="HV229" s="544"/>
      <c r="HW229" s="544"/>
      <c r="HX229" s="544"/>
      <c r="HY229" s="544"/>
      <c r="HZ229" s="544"/>
      <c r="IA229" s="544"/>
      <c r="IB229" s="544"/>
      <c r="IC229" s="544"/>
      <c r="ID229" s="544"/>
      <c r="IE229" s="544"/>
      <c r="IF229" s="544"/>
      <c r="IG229" s="544"/>
      <c r="IH229" s="544"/>
      <c r="II229" s="544"/>
      <c r="IJ229" s="544"/>
      <c r="IK229" s="544"/>
      <c r="IL229" s="544"/>
      <c r="IM229" s="544"/>
      <c r="IN229" s="544"/>
      <c r="IO229" s="544"/>
      <c r="IP229" s="544"/>
      <c r="IQ229" s="544"/>
      <c r="IR229" s="544"/>
      <c r="IS229" s="544"/>
    </row>
    <row r="230" spans="1:253" x14ac:dyDescent="0.35">
      <c r="A230" s="544"/>
      <c r="B230" s="572"/>
      <c r="C230" s="572"/>
      <c r="E230" s="544"/>
      <c r="F230" s="544"/>
      <c r="G230" s="544"/>
      <c r="H230" s="544"/>
      <c r="I230" s="544"/>
      <c r="J230" s="544"/>
      <c r="K230" s="544"/>
      <c r="AY230" s="544"/>
      <c r="AZ230" s="544"/>
      <c r="BA230" s="544"/>
      <c r="BB230" s="544"/>
      <c r="BC230" s="544"/>
      <c r="BD230" s="544"/>
      <c r="BE230" s="544"/>
      <c r="BF230" s="544"/>
      <c r="BG230" s="544"/>
      <c r="BH230" s="544"/>
      <c r="BI230" s="544"/>
      <c r="BJ230" s="544"/>
      <c r="BK230" s="544"/>
      <c r="BL230" s="544"/>
      <c r="BM230" s="544"/>
      <c r="BN230" s="544"/>
      <c r="BO230" s="544"/>
      <c r="BP230" s="544"/>
      <c r="BQ230" s="544"/>
      <c r="BR230" s="544"/>
      <c r="BS230" s="544"/>
      <c r="BT230" s="544"/>
      <c r="BU230" s="544"/>
      <c r="BV230" s="544"/>
      <c r="BW230" s="544"/>
      <c r="BX230" s="544"/>
      <c r="BY230" s="544"/>
      <c r="BZ230" s="544"/>
      <c r="CA230" s="544"/>
      <c r="CB230" s="544"/>
      <c r="CC230" s="544"/>
      <c r="CD230" s="544"/>
      <c r="CE230" s="544"/>
      <c r="CF230" s="544"/>
      <c r="CG230" s="544"/>
      <c r="CH230" s="544"/>
      <c r="CI230" s="544"/>
      <c r="CJ230" s="544"/>
      <c r="CK230" s="544"/>
      <c r="CL230" s="544"/>
      <c r="CM230" s="544"/>
      <c r="CN230" s="544"/>
      <c r="CO230" s="544"/>
      <c r="CP230" s="544"/>
      <c r="CQ230" s="544"/>
      <c r="CR230" s="544"/>
      <c r="CS230" s="544"/>
      <c r="CT230" s="544"/>
      <c r="CU230" s="544"/>
      <c r="CV230" s="544"/>
      <c r="CW230" s="544"/>
      <c r="CX230" s="544"/>
      <c r="CY230" s="544"/>
      <c r="CZ230" s="544"/>
      <c r="DA230" s="544"/>
      <c r="DB230" s="544"/>
      <c r="DC230" s="544"/>
      <c r="DD230" s="544"/>
      <c r="DE230" s="544"/>
      <c r="DF230" s="544"/>
      <c r="DG230" s="544"/>
      <c r="DH230" s="544"/>
      <c r="DI230" s="544"/>
      <c r="DJ230" s="544"/>
      <c r="DK230" s="544"/>
      <c r="DL230" s="544"/>
      <c r="DM230" s="544"/>
      <c r="DN230" s="544"/>
      <c r="DO230" s="544"/>
      <c r="DP230" s="544"/>
      <c r="DQ230" s="544"/>
      <c r="DR230" s="544"/>
      <c r="DS230" s="544"/>
      <c r="DT230" s="544"/>
      <c r="DU230" s="544"/>
      <c r="DV230" s="544"/>
      <c r="DW230" s="544"/>
      <c r="DX230" s="544"/>
      <c r="DY230" s="544"/>
      <c r="DZ230" s="544"/>
      <c r="EA230" s="544"/>
      <c r="EB230" s="544"/>
      <c r="EC230" s="544"/>
      <c r="ED230" s="544"/>
      <c r="EE230" s="544"/>
      <c r="EF230" s="544"/>
      <c r="EG230" s="544"/>
      <c r="EH230" s="544"/>
      <c r="EI230" s="544"/>
      <c r="EJ230" s="544"/>
      <c r="EK230" s="544"/>
      <c r="EL230" s="544"/>
      <c r="EM230" s="544"/>
      <c r="EN230" s="544"/>
      <c r="EO230" s="544"/>
      <c r="EP230" s="544"/>
      <c r="EQ230" s="544"/>
      <c r="ER230" s="544"/>
      <c r="ES230" s="544"/>
      <c r="ET230" s="544"/>
      <c r="EU230" s="544"/>
      <c r="EV230" s="544"/>
      <c r="EW230" s="544"/>
      <c r="EX230" s="544"/>
      <c r="EY230" s="544"/>
      <c r="EZ230" s="544"/>
      <c r="FA230" s="544"/>
      <c r="FB230" s="544"/>
      <c r="FC230" s="544"/>
      <c r="FD230" s="544"/>
      <c r="FE230" s="544"/>
      <c r="FF230" s="544"/>
      <c r="FG230" s="544"/>
      <c r="FH230" s="544"/>
      <c r="FI230" s="544"/>
      <c r="FJ230" s="544"/>
      <c r="FK230" s="544"/>
      <c r="FL230" s="544"/>
      <c r="FM230" s="544"/>
      <c r="FN230" s="544"/>
      <c r="FO230" s="544"/>
      <c r="FP230" s="544"/>
      <c r="FQ230" s="544"/>
      <c r="FR230" s="544"/>
      <c r="FS230" s="544"/>
      <c r="FT230" s="544"/>
      <c r="FU230" s="544"/>
      <c r="FV230" s="544"/>
      <c r="FW230" s="544"/>
      <c r="FX230" s="544"/>
      <c r="FY230" s="544"/>
      <c r="FZ230" s="544"/>
      <c r="GA230" s="544"/>
      <c r="GB230" s="544"/>
      <c r="GC230" s="544"/>
      <c r="GD230" s="544"/>
      <c r="GE230" s="544"/>
      <c r="GF230" s="544"/>
      <c r="GG230" s="544"/>
      <c r="GH230" s="544"/>
      <c r="GI230" s="544"/>
      <c r="GJ230" s="544"/>
      <c r="GK230" s="544"/>
      <c r="GL230" s="544"/>
      <c r="GM230" s="544"/>
      <c r="GN230" s="544"/>
      <c r="GO230" s="544"/>
      <c r="GP230" s="544"/>
      <c r="GQ230" s="544"/>
      <c r="GR230" s="544"/>
      <c r="GS230" s="544"/>
      <c r="GT230" s="544"/>
      <c r="GU230" s="544"/>
      <c r="GV230" s="544"/>
      <c r="GW230" s="544"/>
      <c r="GX230" s="544"/>
      <c r="GY230" s="544"/>
      <c r="GZ230" s="544"/>
      <c r="HA230" s="544"/>
      <c r="HB230" s="544"/>
      <c r="HC230" s="544"/>
      <c r="HD230" s="544"/>
      <c r="HE230" s="544"/>
      <c r="HF230" s="544"/>
      <c r="HG230" s="544"/>
      <c r="HH230" s="544"/>
      <c r="HI230" s="544"/>
      <c r="HJ230" s="544"/>
      <c r="HK230" s="544"/>
      <c r="HL230" s="544"/>
      <c r="HM230" s="544"/>
      <c r="HN230" s="544"/>
      <c r="HO230" s="544"/>
      <c r="HP230" s="544"/>
      <c r="HQ230" s="544"/>
      <c r="HR230" s="544"/>
      <c r="HS230" s="544"/>
      <c r="HT230" s="544"/>
      <c r="HU230" s="544"/>
      <c r="HV230" s="544"/>
      <c r="HW230" s="544"/>
      <c r="HX230" s="544"/>
      <c r="HY230" s="544"/>
      <c r="HZ230" s="544"/>
      <c r="IA230" s="544"/>
      <c r="IB230" s="544"/>
      <c r="IC230" s="544"/>
      <c r="ID230" s="544"/>
      <c r="IE230" s="544"/>
      <c r="IF230" s="544"/>
      <c r="IG230" s="544"/>
      <c r="IH230" s="544"/>
      <c r="II230" s="544"/>
      <c r="IJ230" s="544"/>
      <c r="IK230" s="544"/>
      <c r="IL230" s="544"/>
      <c r="IM230" s="544"/>
      <c r="IN230" s="544"/>
      <c r="IO230" s="544"/>
      <c r="IP230" s="544"/>
      <c r="IQ230" s="544"/>
      <c r="IR230" s="544"/>
      <c r="IS230" s="544"/>
    </row>
    <row r="231" spans="1:253" x14ac:dyDescent="0.35">
      <c r="A231" s="544"/>
      <c r="B231" s="572"/>
      <c r="C231" s="572"/>
      <c r="E231" s="544"/>
      <c r="F231" s="544"/>
      <c r="G231" s="544"/>
      <c r="H231" s="544"/>
      <c r="I231" s="544"/>
      <c r="J231" s="544"/>
      <c r="K231" s="544"/>
      <c r="AY231" s="544"/>
      <c r="AZ231" s="544"/>
      <c r="BA231" s="544"/>
      <c r="BB231" s="544"/>
      <c r="BC231" s="544"/>
      <c r="BD231" s="544"/>
      <c r="BE231" s="544"/>
      <c r="BF231" s="544"/>
      <c r="BG231" s="544"/>
      <c r="BH231" s="544"/>
      <c r="BI231" s="544"/>
      <c r="BJ231" s="544"/>
      <c r="BK231" s="544"/>
      <c r="BL231" s="544"/>
      <c r="BM231" s="544"/>
      <c r="BN231" s="544"/>
      <c r="BO231" s="544"/>
      <c r="BP231" s="544"/>
      <c r="BQ231" s="544"/>
      <c r="BR231" s="544"/>
      <c r="BS231" s="544"/>
      <c r="BT231" s="544"/>
      <c r="BU231" s="544"/>
      <c r="BV231" s="544"/>
      <c r="BW231" s="544"/>
      <c r="BX231" s="544"/>
      <c r="BY231" s="544"/>
      <c r="BZ231" s="544"/>
      <c r="CA231" s="544"/>
      <c r="CB231" s="544"/>
      <c r="CC231" s="544"/>
      <c r="CD231" s="544"/>
      <c r="CE231" s="544"/>
      <c r="CF231" s="544"/>
      <c r="CG231" s="544"/>
      <c r="CH231" s="544"/>
      <c r="CI231" s="544"/>
      <c r="CJ231" s="544"/>
      <c r="CK231" s="544"/>
      <c r="CL231" s="544"/>
      <c r="CM231" s="544"/>
      <c r="CN231" s="544"/>
      <c r="CO231" s="544"/>
      <c r="CP231" s="544"/>
      <c r="CQ231" s="544"/>
      <c r="CR231" s="544"/>
      <c r="CS231" s="544"/>
      <c r="CT231" s="544"/>
      <c r="CU231" s="544"/>
      <c r="CV231" s="544"/>
      <c r="CW231" s="544"/>
      <c r="CX231" s="544"/>
      <c r="CY231" s="544"/>
      <c r="CZ231" s="544"/>
      <c r="DA231" s="544"/>
      <c r="DB231" s="544"/>
      <c r="DC231" s="544"/>
      <c r="DD231" s="544"/>
      <c r="DE231" s="544"/>
      <c r="DF231" s="544"/>
      <c r="DG231" s="544"/>
      <c r="DH231" s="544"/>
      <c r="DI231" s="544"/>
      <c r="DJ231" s="544"/>
      <c r="DK231" s="544"/>
      <c r="DL231" s="544"/>
      <c r="DM231" s="544"/>
      <c r="DN231" s="544"/>
      <c r="DO231" s="544"/>
      <c r="DP231" s="544"/>
      <c r="DQ231" s="544"/>
      <c r="DR231" s="544"/>
      <c r="DS231" s="544"/>
      <c r="DT231" s="544"/>
      <c r="DU231" s="544"/>
      <c r="DV231" s="544"/>
      <c r="DW231" s="544"/>
      <c r="DX231" s="544"/>
      <c r="DY231" s="544"/>
      <c r="DZ231" s="544"/>
      <c r="EA231" s="544"/>
      <c r="EB231" s="544"/>
      <c r="EC231" s="544"/>
      <c r="ED231" s="544"/>
      <c r="EE231" s="544"/>
      <c r="EF231" s="544"/>
      <c r="EG231" s="544"/>
      <c r="EH231" s="544"/>
      <c r="EI231" s="544"/>
      <c r="EJ231" s="544"/>
      <c r="EK231" s="544"/>
      <c r="EL231" s="544"/>
      <c r="EM231" s="544"/>
      <c r="EN231" s="544"/>
      <c r="EO231" s="544"/>
      <c r="EP231" s="544"/>
      <c r="EQ231" s="544"/>
      <c r="ER231" s="544"/>
      <c r="ES231" s="544"/>
      <c r="ET231" s="544"/>
      <c r="EU231" s="544"/>
      <c r="EV231" s="544"/>
      <c r="EW231" s="544"/>
      <c r="EX231" s="544"/>
      <c r="EY231" s="544"/>
      <c r="EZ231" s="544"/>
      <c r="FA231" s="544"/>
      <c r="FB231" s="544"/>
      <c r="FC231" s="544"/>
      <c r="FD231" s="544"/>
      <c r="FE231" s="544"/>
      <c r="FF231" s="544"/>
      <c r="FG231" s="544"/>
      <c r="FH231" s="544"/>
      <c r="FI231" s="544"/>
      <c r="FJ231" s="544"/>
      <c r="FK231" s="544"/>
      <c r="FL231" s="544"/>
      <c r="FM231" s="544"/>
      <c r="FN231" s="544"/>
      <c r="FO231" s="544"/>
      <c r="FP231" s="544"/>
      <c r="FQ231" s="544"/>
      <c r="FR231" s="544"/>
      <c r="FS231" s="544"/>
      <c r="FT231" s="544"/>
      <c r="FU231" s="544"/>
      <c r="FV231" s="544"/>
      <c r="FW231" s="544"/>
      <c r="FX231" s="544"/>
      <c r="FY231" s="544"/>
      <c r="FZ231" s="544"/>
      <c r="GA231" s="544"/>
      <c r="GB231" s="544"/>
      <c r="GC231" s="544"/>
      <c r="GD231" s="544"/>
      <c r="GE231" s="544"/>
      <c r="GF231" s="544"/>
      <c r="GG231" s="544"/>
      <c r="GH231" s="544"/>
      <c r="GI231" s="544"/>
      <c r="GJ231" s="544"/>
      <c r="GK231" s="544"/>
      <c r="GL231" s="544"/>
      <c r="GM231" s="544"/>
      <c r="GN231" s="544"/>
      <c r="GO231" s="544"/>
      <c r="GP231" s="544"/>
      <c r="GQ231" s="544"/>
      <c r="GR231" s="544"/>
      <c r="GS231" s="544"/>
      <c r="GT231" s="544"/>
      <c r="GU231" s="544"/>
      <c r="GV231" s="544"/>
      <c r="GW231" s="544"/>
      <c r="GX231" s="544"/>
      <c r="GY231" s="544"/>
      <c r="GZ231" s="544"/>
      <c r="HA231" s="544"/>
      <c r="HB231" s="544"/>
      <c r="HC231" s="544"/>
      <c r="HD231" s="544"/>
      <c r="HE231" s="544"/>
      <c r="HF231" s="544"/>
      <c r="HG231" s="544"/>
      <c r="HH231" s="544"/>
      <c r="HI231" s="544"/>
      <c r="HJ231" s="544"/>
      <c r="HK231" s="544"/>
      <c r="HL231" s="544"/>
      <c r="HM231" s="544"/>
      <c r="HN231" s="544"/>
      <c r="HO231" s="544"/>
      <c r="HP231" s="544"/>
      <c r="HQ231" s="544"/>
      <c r="HR231" s="544"/>
      <c r="HS231" s="544"/>
      <c r="HT231" s="544"/>
      <c r="HU231" s="544"/>
      <c r="HV231" s="544"/>
      <c r="HW231" s="544"/>
      <c r="HX231" s="544"/>
      <c r="HY231" s="544"/>
      <c r="HZ231" s="544"/>
      <c r="IA231" s="544"/>
      <c r="IB231" s="544"/>
      <c r="IC231" s="544"/>
      <c r="ID231" s="544"/>
      <c r="IE231" s="544"/>
      <c r="IF231" s="544"/>
      <c r="IG231" s="544"/>
      <c r="IH231" s="544"/>
      <c r="II231" s="544"/>
      <c r="IJ231" s="544"/>
      <c r="IK231" s="544"/>
      <c r="IL231" s="544"/>
      <c r="IM231" s="544"/>
      <c r="IN231" s="544"/>
      <c r="IO231" s="544"/>
      <c r="IP231" s="544"/>
      <c r="IQ231" s="544"/>
      <c r="IR231" s="544"/>
      <c r="IS231" s="544"/>
    </row>
    <row r="232" spans="1:253" x14ac:dyDescent="0.35">
      <c r="A232" s="544"/>
      <c r="B232" s="572"/>
      <c r="C232" s="572"/>
      <c r="E232" s="544"/>
      <c r="F232" s="544"/>
      <c r="G232" s="544"/>
      <c r="H232" s="544"/>
      <c r="I232" s="544"/>
      <c r="J232" s="544"/>
      <c r="K232" s="544"/>
      <c r="AY232" s="544"/>
      <c r="AZ232" s="544"/>
      <c r="BA232" s="544"/>
      <c r="BB232" s="544"/>
      <c r="BC232" s="544"/>
      <c r="BD232" s="544"/>
      <c r="BE232" s="544"/>
      <c r="BF232" s="544"/>
      <c r="BG232" s="544"/>
      <c r="BH232" s="544"/>
      <c r="BI232" s="544"/>
      <c r="BJ232" s="544"/>
      <c r="BK232" s="544"/>
      <c r="BL232" s="544"/>
      <c r="BM232" s="544"/>
      <c r="BN232" s="544"/>
      <c r="BO232" s="544"/>
      <c r="BP232" s="544"/>
      <c r="BQ232" s="544"/>
      <c r="BR232" s="544"/>
      <c r="BS232" s="544"/>
      <c r="BT232" s="544"/>
      <c r="BU232" s="544"/>
      <c r="BV232" s="544"/>
      <c r="BW232" s="544"/>
      <c r="BX232" s="544"/>
      <c r="BY232" s="544"/>
      <c r="BZ232" s="544"/>
      <c r="CA232" s="544"/>
      <c r="CB232" s="544"/>
      <c r="CC232" s="544"/>
      <c r="CD232" s="544"/>
      <c r="CE232" s="544"/>
      <c r="CF232" s="544"/>
      <c r="CG232" s="544"/>
      <c r="CH232" s="544"/>
      <c r="CI232" s="544"/>
      <c r="CJ232" s="544"/>
      <c r="CK232" s="544"/>
      <c r="CL232" s="544"/>
      <c r="CM232" s="544"/>
      <c r="CN232" s="544"/>
      <c r="CO232" s="544"/>
      <c r="CP232" s="544"/>
      <c r="CQ232" s="544"/>
      <c r="CR232" s="544"/>
      <c r="CS232" s="544"/>
      <c r="CT232" s="544"/>
      <c r="CU232" s="544"/>
      <c r="CV232" s="544"/>
      <c r="CW232" s="544"/>
      <c r="CX232" s="544"/>
      <c r="CY232" s="544"/>
      <c r="CZ232" s="544"/>
      <c r="DA232" s="544"/>
      <c r="DB232" s="544"/>
      <c r="DC232" s="544"/>
      <c r="DD232" s="544"/>
      <c r="DE232" s="544"/>
      <c r="DF232" s="544"/>
      <c r="DG232" s="544"/>
      <c r="DH232" s="544"/>
      <c r="DI232" s="544"/>
      <c r="DJ232" s="544"/>
      <c r="DK232" s="544"/>
      <c r="DL232" s="544"/>
      <c r="DM232" s="544"/>
      <c r="DN232" s="544"/>
      <c r="DO232" s="544"/>
      <c r="DP232" s="544"/>
      <c r="DQ232" s="544"/>
      <c r="DR232" s="544"/>
      <c r="DS232" s="544"/>
      <c r="DT232" s="544"/>
      <c r="DU232" s="544"/>
      <c r="DV232" s="544"/>
      <c r="DW232" s="544"/>
      <c r="DX232" s="544"/>
      <c r="DY232" s="544"/>
      <c r="DZ232" s="544"/>
      <c r="EA232" s="544"/>
      <c r="EB232" s="544"/>
      <c r="EC232" s="544"/>
      <c r="ED232" s="544"/>
      <c r="EE232" s="544"/>
      <c r="EF232" s="544"/>
      <c r="EG232" s="544"/>
      <c r="EH232" s="544"/>
      <c r="EI232" s="544"/>
      <c r="EJ232" s="544"/>
      <c r="EK232" s="544"/>
      <c r="EL232" s="544"/>
      <c r="EM232" s="544"/>
      <c r="EN232" s="544"/>
      <c r="EO232" s="544"/>
      <c r="EP232" s="544"/>
      <c r="EQ232" s="544"/>
      <c r="ER232" s="544"/>
      <c r="ES232" s="544"/>
      <c r="ET232" s="544"/>
      <c r="EU232" s="544"/>
      <c r="EV232" s="544"/>
      <c r="EW232" s="544"/>
      <c r="EX232" s="544"/>
      <c r="EY232" s="544"/>
      <c r="EZ232" s="544"/>
      <c r="FA232" s="544"/>
      <c r="FB232" s="544"/>
      <c r="FC232" s="544"/>
      <c r="FD232" s="544"/>
      <c r="FE232" s="544"/>
      <c r="FF232" s="544"/>
      <c r="FG232" s="544"/>
      <c r="FH232" s="544"/>
      <c r="FI232" s="544"/>
      <c r="FJ232" s="544"/>
      <c r="FK232" s="544"/>
      <c r="FL232" s="544"/>
      <c r="FM232" s="544"/>
      <c r="FN232" s="544"/>
      <c r="FO232" s="544"/>
      <c r="FP232" s="544"/>
      <c r="FQ232" s="544"/>
      <c r="FR232" s="544"/>
      <c r="FS232" s="544"/>
      <c r="FT232" s="544"/>
      <c r="FU232" s="544"/>
      <c r="FV232" s="544"/>
      <c r="FW232" s="544"/>
      <c r="FX232" s="544"/>
      <c r="FY232" s="544"/>
      <c r="FZ232" s="544"/>
      <c r="GA232" s="544"/>
      <c r="GB232" s="544"/>
      <c r="GC232" s="544"/>
      <c r="GD232" s="544"/>
      <c r="GE232" s="544"/>
      <c r="GF232" s="544"/>
      <c r="GG232" s="544"/>
      <c r="GH232" s="544"/>
      <c r="GI232" s="544"/>
      <c r="GJ232" s="544"/>
      <c r="GK232" s="544"/>
      <c r="GL232" s="544"/>
      <c r="GM232" s="544"/>
      <c r="GN232" s="544"/>
      <c r="GO232" s="544"/>
      <c r="GP232" s="544"/>
      <c r="GQ232" s="544"/>
      <c r="GR232" s="544"/>
      <c r="GS232" s="544"/>
      <c r="GT232" s="544"/>
      <c r="GU232" s="544"/>
      <c r="GV232" s="544"/>
      <c r="GW232" s="544"/>
      <c r="GX232" s="544"/>
      <c r="GY232" s="544"/>
      <c r="GZ232" s="544"/>
      <c r="HA232" s="544"/>
      <c r="HB232" s="544"/>
      <c r="HC232" s="544"/>
      <c r="HD232" s="544"/>
      <c r="HE232" s="544"/>
      <c r="HF232" s="544"/>
      <c r="HG232" s="544"/>
      <c r="HH232" s="544"/>
      <c r="HI232" s="544"/>
      <c r="HJ232" s="544"/>
      <c r="HK232" s="544"/>
      <c r="HL232" s="544"/>
      <c r="HM232" s="544"/>
      <c r="HN232" s="544"/>
      <c r="HO232" s="544"/>
      <c r="HP232" s="544"/>
      <c r="HQ232" s="544"/>
      <c r="HR232" s="544"/>
      <c r="HS232" s="544"/>
      <c r="HT232" s="544"/>
      <c r="HU232" s="544"/>
      <c r="HV232" s="544"/>
      <c r="HW232" s="544"/>
      <c r="HX232" s="544"/>
      <c r="HY232" s="544"/>
      <c r="HZ232" s="544"/>
      <c r="IA232" s="544"/>
      <c r="IB232" s="544"/>
      <c r="IC232" s="544"/>
      <c r="ID232" s="544"/>
      <c r="IE232" s="544"/>
      <c r="IF232" s="544"/>
      <c r="IG232" s="544"/>
      <c r="IH232" s="544"/>
      <c r="II232" s="544"/>
      <c r="IJ232" s="544"/>
      <c r="IK232" s="544"/>
      <c r="IL232" s="544"/>
      <c r="IM232" s="544"/>
      <c r="IN232" s="544"/>
      <c r="IO232" s="544"/>
      <c r="IP232" s="544"/>
      <c r="IQ232" s="544"/>
      <c r="IR232" s="544"/>
      <c r="IS232" s="544"/>
    </row>
    <row r="233" spans="1:253" x14ac:dyDescent="0.35">
      <c r="A233" s="544"/>
      <c r="B233" s="572"/>
      <c r="C233" s="572"/>
      <c r="E233" s="544"/>
      <c r="F233" s="544"/>
      <c r="G233" s="544"/>
      <c r="H233" s="544"/>
      <c r="I233" s="544"/>
      <c r="J233" s="544"/>
      <c r="K233" s="544"/>
      <c r="AY233" s="544"/>
      <c r="AZ233" s="544"/>
      <c r="BA233" s="544"/>
      <c r="BB233" s="544"/>
      <c r="BC233" s="544"/>
      <c r="BD233" s="544"/>
      <c r="BE233" s="544"/>
      <c r="BF233" s="544"/>
      <c r="BG233" s="544"/>
      <c r="BH233" s="544"/>
      <c r="BI233" s="544"/>
      <c r="BJ233" s="544"/>
      <c r="BK233" s="544"/>
      <c r="BL233" s="544"/>
      <c r="BM233" s="544"/>
      <c r="BN233" s="544"/>
      <c r="BO233" s="544"/>
      <c r="BP233" s="544"/>
      <c r="BQ233" s="544"/>
      <c r="BR233" s="544"/>
      <c r="BS233" s="544"/>
      <c r="BT233" s="544"/>
      <c r="BU233" s="544"/>
      <c r="BV233" s="544"/>
      <c r="BW233" s="544"/>
      <c r="BX233" s="544"/>
      <c r="BY233" s="544"/>
      <c r="BZ233" s="544"/>
      <c r="CA233" s="544"/>
      <c r="CB233" s="544"/>
      <c r="CC233" s="544"/>
      <c r="CD233" s="544"/>
      <c r="CE233" s="544"/>
      <c r="CF233" s="544"/>
      <c r="CG233" s="544"/>
      <c r="CH233" s="544"/>
      <c r="CI233" s="544"/>
      <c r="CJ233" s="544"/>
      <c r="CK233" s="544"/>
      <c r="CL233" s="544"/>
      <c r="CM233" s="544"/>
      <c r="CN233" s="544"/>
      <c r="CO233" s="544"/>
      <c r="CP233" s="544"/>
      <c r="CQ233" s="544"/>
      <c r="CR233" s="544"/>
      <c r="CS233" s="544"/>
      <c r="CT233" s="544"/>
      <c r="CU233" s="544"/>
      <c r="CV233" s="544"/>
      <c r="CW233" s="544"/>
      <c r="CX233" s="544"/>
      <c r="CY233" s="544"/>
      <c r="CZ233" s="544"/>
      <c r="DA233" s="544"/>
      <c r="DB233" s="544"/>
      <c r="DC233" s="544"/>
      <c r="DD233" s="544"/>
      <c r="DE233" s="544"/>
      <c r="DF233" s="544"/>
      <c r="DG233" s="544"/>
      <c r="DH233" s="544"/>
      <c r="DI233" s="544"/>
      <c r="DJ233" s="544"/>
      <c r="DK233" s="544"/>
      <c r="DL233" s="544"/>
      <c r="DM233" s="544"/>
      <c r="DN233" s="544"/>
      <c r="DO233" s="544"/>
      <c r="DP233" s="544"/>
      <c r="DQ233" s="544"/>
      <c r="DR233" s="544"/>
      <c r="DS233" s="544"/>
      <c r="DT233" s="544"/>
      <c r="DU233" s="544"/>
      <c r="DV233" s="544"/>
      <c r="DW233" s="544"/>
      <c r="DX233" s="544"/>
      <c r="DY233" s="544"/>
      <c r="DZ233" s="544"/>
      <c r="EA233" s="544"/>
      <c r="EB233" s="544"/>
      <c r="EC233" s="544"/>
      <c r="ED233" s="544"/>
      <c r="EE233" s="544"/>
      <c r="EF233" s="544"/>
      <c r="EG233" s="544"/>
      <c r="EH233" s="544"/>
      <c r="EI233" s="544"/>
      <c r="EJ233" s="544"/>
      <c r="EK233" s="544"/>
      <c r="EL233" s="544"/>
      <c r="EM233" s="544"/>
      <c r="EN233" s="544"/>
      <c r="EO233" s="544"/>
      <c r="EP233" s="544"/>
      <c r="EQ233" s="544"/>
      <c r="ER233" s="544"/>
      <c r="ES233" s="544"/>
      <c r="ET233" s="544"/>
      <c r="EU233" s="544"/>
      <c r="EV233" s="544"/>
      <c r="EW233" s="544"/>
      <c r="EX233" s="544"/>
      <c r="EY233" s="544"/>
      <c r="EZ233" s="544"/>
      <c r="FA233" s="544"/>
      <c r="FB233" s="544"/>
      <c r="FC233" s="544"/>
      <c r="FD233" s="544"/>
      <c r="FE233" s="544"/>
      <c r="FF233" s="544"/>
      <c r="FG233" s="544"/>
      <c r="FH233" s="544"/>
      <c r="FI233" s="544"/>
      <c r="FJ233" s="544"/>
      <c r="FK233" s="544"/>
      <c r="FL233" s="544"/>
      <c r="FM233" s="544"/>
      <c r="FN233" s="544"/>
      <c r="FO233" s="544"/>
      <c r="FP233" s="544"/>
      <c r="FQ233" s="544"/>
      <c r="FR233" s="544"/>
      <c r="FS233" s="544"/>
      <c r="FT233" s="544"/>
      <c r="FU233" s="544"/>
      <c r="FV233" s="544"/>
      <c r="FW233" s="544"/>
      <c r="FX233" s="544"/>
      <c r="FY233" s="544"/>
      <c r="FZ233" s="544"/>
      <c r="GA233" s="544"/>
      <c r="GB233" s="544"/>
      <c r="GC233" s="544"/>
      <c r="GD233" s="544"/>
      <c r="GE233" s="544"/>
      <c r="GF233" s="544"/>
      <c r="GG233" s="544"/>
      <c r="GH233" s="544"/>
      <c r="GI233" s="544"/>
      <c r="GJ233" s="544"/>
      <c r="GK233" s="544"/>
      <c r="GL233" s="544"/>
      <c r="GM233" s="544"/>
      <c r="GN233" s="544"/>
      <c r="GO233" s="544"/>
      <c r="GP233" s="544"/>
      <c r="GQ233" s="544"/>
      <c r="GR233" s="544"/>
      <c r="GS233" s="544"/>
      <c r="GT233" s="544"/>
      <c r="GU233" s="544"/>
      <c r="GV233" s="544"/>
      <c r="GW233" s="544"/>
      <c r="GX233" s="544"/>
      <c r="GY233" s="544"/>
      <c r="GZ233" s="544"/>
      <c r="HA233" s="544"/>
      <c r="HB233" s="544"/>
      <c r="HC233" s="544"/>
      <c r="HD233" s="544"/>
      <c r="HE233" s="544"/>
      <c r="HF233" s="544"/>
      <c r="HG233" s="544"/>
      <c r="HH233" s="544"/>
      <c r="HI233" s="544"/>
      <c r="HJ233" s="544"/>
      <c r="HK233" s="544"/>
      <c r="HL233" s="544"/>
      <c r="HM233" s="544"/>
      <c r="HN233" s="544"/>
      <c r="HO233" s="544"/>
      <c r="HP233" s="544"/>
      <c r="HQ233" s="544"/>
      <c r="HR233" s="544"/>
      <c r="HS233" s="544"/>
      <c r="HT233" s="544"/>
      <c r="HU233" s="544"/>
      <c r="HV233" s="544"/>
      <c r="HW233" s="544"/>
      <c r="HX233" s="544"/>
      <c r="HY233" s="544"/>
      <c r="HZ233" s="544"/>
      <c r="IA233" s="544"/>
      <c r="IB233" s="544"/>
      <c r="IC233" s="544"/>
      <c r="ID233" s="544"/>
      <c r="IE233" s="544"/>
      <c r="IF233" s="544"/>
      <c r="IG233" s="544"/>
      <c r="IH233" s="544"/>
      <c r="II233" s="544"/>
      <c r="IJ233" s="544"/>
      <c r="IK233" s="544"/>
      <c r="IL233" s="544"/>
      <c r="IM233" s="544"/>
      <c r="IN233" s="544"/>
      <c r="IO233" s="544"/>
      <c r="IP233" s="544"/>
      <c r="IQ233" s="544"/>
      <c r="IR233" s="544"/>
      <c r="IS233" s="544"/>
    </row>
    <row r="234" spans="1:253" x14ac:dyDescent="0.35">
      <c r="A234" s="544"/>
      <c r="B234" s="572"/>
      <c r="C234" s="572"/>
      <c r="E234" s="544"/>
      <c r="F234" s="544"/>
      <c r="G234" s="544"/>
      <c r="H234" s="544"/>
      <c r="I234" s="544"/>
      <c r="J234" s="544"/>
      <c r="K234" s="544"/>
      <c r="AY234" s="544"/>
      <c r="AZ234" s="544"/>
      <c r="BA234" s="544"/>
      <c r="BB234" s="544"/>
      <c r="BC234" s="544"/>
      <c r="BD234" s="544"/>
      <c r="BE234" s="544"/>
      <c r="BF234" s="544"/>
      <c r="BG234" s="544"/>
      <c r="BH234" s="544"/>
      <c r="BI234" s="544"/>
      <c r="BJ234" s="544"/>
      <c r="BK234" s="544"/>
      <c r="BL234" s="544"/>
      <c r="BM234" s="544"/>
      <c r="BN234" s="544"/>
      <c r="BO234" s="544"/>
      <c r="BP234" s="544"/>
      <c r="BQ234" s="544"/>
      <c r="BR234" s="544"/>
      <c r="BS234" s="544"/>
      <c r="BT234" s="544"/>
      <c r="BU234" s="544"/>
      <c r="BV234" s="544"/>
      <c r="BW234" s="544"/>
      <c r="BX234" s="544"/>
      <c r="BY234" s="544"/>
      <c r="BZ234" s="544"/>
      <c r="CA234" s="544"/>
      <c r="CB234" s="544"/>
      <c r="CC234" s="544"/>
      <c r="CD234" s="544"/>
      <c r="CE234" s="544"/>
      <c r="CF234" s="544"/>
      <c r="CG234" s="544"/>
      <c r="CH234" s="544"/>
      <c r="CI234" s="544"/>
      <c r="CJ234" s="544"/>
      <c r="CK234" s="544"/>
      <c r="CL234" s="544"/>
      <c r="CM234" s="544"/>
      <c r="CN234" s="544"/>
      <c r="CO234" s="544"/>
      <c r="CP234" s="544"/>
      <c r="CQ234" s="544"/>
      <c r="CR234" s="544"/>
      <c r="CS234" s="544"/>
      <c r="CT234" s="544"/>
      <c r="CU234" s="544"/>
      <c r="CV234" s="544"/>
      <c r="CW234" s="544"/>
      <c r="CX234" s="544"/>
      <c r="CY234" s="544"/>
      <c r="CZ234" s="544"/>
      <c r="DA234" s="544"/>
      <c r="DB234" s="544"/>
      <c r="DC234" s="544"/>
      <c r="DD234" s="544"/>
      <c r="DE234" s="544"/>
      <c r="DF234" s="544"/>
      <c r="DG234" s="544"/>
      <c r="DH234" s="544"/>
      <c r="DI234" s="544"/>
      <c r="DJ234" s="544"/>
      <c r="DK234" s="544"/>
      <c r="DL234" s="544"/>
      <c r="DM234" s="544"/>
      <c r="DN234" s="544"/>
      <c r="DO234" s="544"/>
      <c r="DP234" s="544"/>
      <c r="DQ234" s="544"/>
      <c r="DR234" s="544"/>
      <c r="DS234" s="544"/>
      <c r="DT234" s="544"/>
      <c r="DU234" s="544"/>
      <c r="DV234" s="544"/>
      <c r="DW234" s="544"/>
      <c r="DX234" s="544"/>
      <c r="DY234" s="544"/>
      <c r="DZ234" s="544"/>
      <c r="EA234" s="544"/>
      <c r="EB234" s="544"/>
      <c r="EC234" s="544"/>
      <c r="ED234" s="544"/>
      <c r="EE234" s="544"/>
      <c r="EF234" s="544"/>
      <c r="EG234" s="544"/>
      <c r="EH234" s="544"/>
      <c r="EI234" s="544"/>
      <c r="EJ234" s="544"/>
      <c r="EK234" s="544"/>
      <c r="EL234" s="544"/>
      <c r="EM234" s="544"/>
      <c r="EN234" s="544"/>
      <c r="EO234" s="544"/>
      <c r="EP234" s="544"/>
      <c r="EQ234" s="544"/>
      <c r="ER234" s="544"/>
      <c r="ES234" s="544"/>
      <c r="ET234" s="544"/>
      <c r="EU234" s="544"/>
      <c r="EV234" s="544"/>
      <c r="EW234" s="544"/>
      <c r="EX234" s="544"/>
      <c r="EY234" s="544"/>
      <c r="EZ234" s="544"/>
      <c r="FA234" s="544"/>
      <c r="FB234" s="544"/>
      <c r="FC234" s="544"/>
      <c r="FD234" s="544"/>
      <c r="FE234" s="544"/>
      <c r="FF234" s="544"/>
      <c r="FG234" s="544"/>
      <c r="FH234" s="544"/>
      <c r="FI234" s="544"/>
      <c r="FJ234" s="544"/>
      <c r="FK234" s="544"/>
      <c r="FL234" s="544"/>
      <c r="FM234" s="544"/>
      <c r="FN234" s="544"/>
      <c r="FO234" s="544"/>
      <c r="FP234" s="544"/>
      <c r="FQ234" s="544"/>
      <c r="FR234" s="544"/>
      <c r="FS234" s="544"/>
      <c r="FT234" s="544"/>
      <c r="FU234" s="544"/>
      <c r="FV234" s="544"/>
      <c r="FW234" s="544"/>
      <c r="FX234" s="544"/>
      <c r="FY234" s="544"/>
      <c r="FZ234" s="544"/>
      <c r="GA234" s="544"/>
      <c r="GB234" s="544"/>
      <c r="GC234" s="544"/>
      <c r="GD234" s="544"/>
      <c r="GE234" s="544"/>
      <c r="GF234" s="544"/>
      <c r="GG234" s="544"/>
      <c r="GH234" s="544"/>
      <c r="GI234" s="544"/>
      <c r="GJ234" s="544"/>
      <c r="GK234" s="544"/>
      <c r="GL234" s="544"/>
      <c r="GM234" s="544"/>
      <c r="GN234" s="544"/>
      <c r="GO234" s="544"/>
      <c r="GP234" s="544"/>
      <c r="GQ234" s="544"/>
      <c r="GR234" s="544"/>
      <c r="GS234" s="544"/>
      <c r="GT234" s="544"/>
      <c r="GU234" s="544"/>
      <c r="GV234" s="544"/>
      <c r="GW234" s="544"/>
      <c r="GX234" s="544"/>
      <c r="GY234" s="544"/>
      <c r="GZ234" s="544"/>
      <c r="HA234" s="544"/>
      <c r="HB234" s="544"/>
      <c r="HC234" s="544"/>
      <c r="HD234" s="544"/>
      <c r="HE234" s="544"/>
      <c r="HF234" s="544"/>
      <c r="HG234" s="544"/>
      <c r="HH234" s="544"/>
      <c r="HI234" s="544"/>
      <c r="HJ234" s="544"/>
      <c r="HK234" s="544"/>
      <c r="HL234" s="544"/>
      <c r="HM234" s="544"/>
      <c r="HN234" s="544"/>
      <c r="HO234" s="544"/>
      <c r="HP234" s="544"/>
      <c r="HQ234" s="544"/>
      <c r="HR234" s="544"/>
      <c r="HS234" s="544"/>
      <c r="HT234" s="544"/>
      <c r="HU234" s="544"/>
      <c r="HV234" s="544"/>
      <c r="HW234" s="544"/>
      <c r="HX234" s="544"/>
      <c r="HY234" s="544"/>
      <c r="HZ234" s="544"/>
      <c r="IA234" s="544"/>
      <c r="IB234" s="544"/>
      <c r="IC234" s="544"/>
      <c r="ID234" s="544"/>
      <c r="IE234" s="544"/>
      <c r="IF234" s="544"/>
      <c r="IG234" s="544"/>
      <c r="IH234" s="544"/>
      <c r="II234" s="544"/>
      <c r="IJ234" s="544"/>
      <c r="IK234" s="544"/>
      <c r="IL234" s="544"/>
      <c r="IM234" s="544"/>
      <c r="IN234" s="544"/>
      <c r="IO234" s="544"/>
      <c r="IP234" s="544"/>
      <c r="IQ234" s="544"/>
      <c r="IR234" s="544"/>
      <c r="IS234" s="544"/>
    </row>
    <row r="235" spans="1:253" x14ac:dyDescent="0.35">
      <c r="A235" s="544"/>
      <c r="B235" s="572"/>
      <c r="C235" s="572"/>
      <c r="E235" s="544"/>
      <c r="F235" s="544"/>
      <c r="G235" s="544"/>
      <c r="H235" s="544"/>
      <c r="I235" s="544"/>
      <c r="J235" s="544"/>
      <c r="K235" s="544"/>
      <c r="AY235" s="544"/>
      <c r="AZ235" s="544"/>
      <c r="BA235" s="544"/>
      <c r="BB235" s="544"/>
      <c r="BC235" s="544"/>
      <c r="BD235" s="544"/>
      <c r="BE235" s="544"/>
      <c r="BF235" s="544"/>
      <c r="BG235" s="544"/>
      <c r="BH235" s="544"/>
      <c r="BI235" s="544"/>
      <c r="BJ235" s="544"/>
      <c r="BK235" s="544"/>
      <c r="BL235" s="544"/>
      <c r="BM235" s="544"/>
      <c r="BN235" s="544"/>
      <c r="BO235" s="544"/>
      <c r="BP235" s="544"/>
      <c r="BQ235" s="544"/>
      <c r="BR235" s="544"/>
      <c r="BS235" s="544"/>
      <c r="BT235" s="544"/>
      <c r="BU235" s="544"/>
      <c r="BV235" s="544"/>
      <c r="BW235" s="544"/>
      <c r="BX235" s="544"/>
      <c r="BY235" s="544"/>
      <c r="BZ235" s="544"/>
      <c r="CA235" s="544"/>
      <c r="CB235" s="544"/>
      <c r="CC235" s="544"/>
      <c r="CD235" s="544"/>
      <c r="CE235" s="544"/>
      <c r="CF235" s="544"/>
      <c r="CG235" s="544"/>
      <c r="CH235" s="544"/>
      <c r="CI235" s="544"/>
      <c r="CJ235" s="544"/>
      <c r="CK235" s="544"/>
      <c r="CL235" s="544"/>
      <c r="CM235" s="544"/>
      <c r="CN235" s="544"/>
      <c r="CO235" s="544"/>
      <c r="CP235" s="544"/>
      <c r="CQ235" s="544"/>
      <c r="CR235" s="544"/>
      <c r="CS235" s="544"/>
      <c r="CT235" s="544"/>
      <c r="CU235" s="544"/>
      <c r="CV235" s="544"/>
      <c r="CW235" s="544"/>
      <c r="CX235" s="544"/>
      <c r="CY235" s="544"/>
      <c r="CZ235" s="544"/>
      <c r="DA235" s="544"/>
      <c r="DB235" s="544"/>
      <c r="DC235" s="544"/>
      <c r="DD235" s="544"/>
      <c r="DE235" s="544"/>
      <c r="DF235" s="544"/>
      <c r="DG235" s="544"/>
      <c r="DH235" s="544"/>
      <c r="DI235" s="544"/>
      <c r="DJ235" s="544"/>
      <c r="DK235" s="544"/>
      <c r="DL235" s="544"/>
      <c r="DM235" s="544"/>
      <c r="DN235" s="544"/>
      <c r="DO235" s="544"/>
      <c r="DP235" s="544"/>
      <c r="DQ235" s="544"/>
      <c r="DR235" s="544"/>
      <c r="DS235" s="544"/>
      <c r="DT235" s="544"/>
      <c r="DU235" s="544"/>
      <c r="DV235" s="544"/>
      <c r="DW235" s="544"/>
      <c r="DX235" s="544"/>
      <c r="DY235" s="544"/>
      <c r="DZ235" s="544"/>
      <c r="EA235" s="544"/>
      <c r="EB235" s="544"/>
      <c r="EC235" s="544"/>
      <c r="ED235" s="544"/>
      <c r="EE235" s="544"/>
      <c r="EF235" s="544"/>
      <c r="EG235" s="544"/>
      <c r="EH235" s="544"/>
      <c r="EI235" s="544"/>
      <c r="EJ235" s="544"/>
      <c r="EK235" s="544"/>
      <c r="EL235" s="544"/>
      <c r="EM235" s="544"/>
      <c r="EN235" s="544"/>
      <c r="EO235" s="544"/>
      <c r="EP235" s="544"/>
      <c r="EQ235" s="544"/>
      <c r="ER235" s="544"/>
      <c r="ES235" s="544"/>
      <c r="ET235" s="544"/>
      <c r="EU235" s="544"/>
      <c r="EV235" s="544"/>
      <c r="EW235" s="544"/>
      <c r="EX235" s="544"/>
      <c r="EY235" s="544"/>
      <c r="EZ235" s="544"/>
      <c r="FA235" s="544"/>
      <c r="FB235" s="544"/>
      <c r="FC235" s="544"/>
      <c r="FD235" s="544"/>
      <c r="FE235" s="544"/>
      <c r="FF235" s="544"/>
      <c r="FG235" s="544"/>
      <c r="FH235" s="544"/>
      <c r="FI235" s="544"/>
      <c r="FJ235" s="544"/>
      <c r="FK235" s="544"/>
      <c r="FL235" s="544"/>
      <c r="FM235" s="544"/>
      <c r="FN235" s="544"/>
      <c r="FO235" s="544"/>
      <c r="FP235" s="544"/>
      <c r="FQ235" s="544"/>
      <c r="FR235" s="544"/>
      <c r="FS235" s="544"/>
      <c r="FT235" s="544"/>
      <c r="FU235" s="544"/>
      <c r="FV235" s="544"/>
      <c r="FW235" s="544"/>
      <c r="FX235" s="544"/>
      <c r="FY235" s="544"/>
      <c r="FZ235" s="544"/>
      <c r="GA235" s="544"/>
      <c r="GB235" s="544"/>
      <c r="GC235" s="544"/>
      <c r="GD235" s="544"/>
      <c r="GE235" s="544"/>
      <c r="GF235" s="544"/>
      <c r="GG235" s="544"/>
      <c r="GH235" s="544"/>
      <c r="GI235" s="544"/>
      <c r="GJ235" s="544"/>
      <c r="GK235" s="544"/>
      <c r="GL235" s="544"/>
      <c r="GM235" s="544"/>
      <c r="GN235" s="544"/>
      <c r="GO235" s="544"/>
      <c r="GP235" s="544"/>
      <c r="GQ235" s="544"/>
      <c r="GR235" s="544"/>
      <c r="GS235" s="544"/>
      <c r="GT235" s="544"/>
      <c r="GU235" s="544"/>
      <c r="GV235" s="544"/>
      <c r="GW235" s="544"/>
      <c r="GX235" s="544"/>
      <c r="GY235" s="544"/>
      <c r="GZ235" s="544"/>
      <c r="HA235" s="544"/>
      <c r="HB235" s="544"/>
      <c r="HC235" s="544"/>
      <c r="HD235" s="544"/>
      <c r="HE235" s="544"/>
      <c r="HF235" s="544"/>
      <c r="HG235" s="544"/>
      <c r="HH235" s="544"/>
      <c r="HI235" s="544"/>
      <c r="HJ235" s="544"/>
      <c r="HK235" s="544"/>
      <c r="HL235" s="544"/>
      <c r="HM235" s="544"/>
      <c r="HN235" s="544"/>
      <c r="HO235" s="544"/>
      <c r="HP235" s="544"/>
      <c r="HQ235" s="544"/>
      <c r="HR235" s="544"/>
      <c r="HS235" s="544"/>
      <c r="HT235" s="544"/>
      <c r="HU235" s="544"/>
      <c r="HV235" s="544"/>
      <c r="HW235" s="544"/>
      <c r="HX235" s="544"/>
      <c r="HY235" s="544"/>
      <c r="HZ235" s="544"/>
      <c r="IA235" s="544"/>
      <c r="IB235" s="544"/>
      <c r="IC235" s="544"/>
      <c r="ID235" s="544"/>
      <c r="IE235" s="544"/>
      <c r="IF235" s="544"/>
      <c r="IG235" s="544"/>
      <c r="IH235" s="544"/>
      <c r="II235" s="544"/>
      <c r="IJ235" s="544"/>
      <c r="IK235" s="544"/>
      <c r="IL235" s="544"/>
      <c r="IM235" s="544"/>
      <c r="IN235" s="544"/>
      <c r="IO235" s="544"/>
      <c r="IP235" s="544"/>
      <c r="IQ235" s="544"/>
      <c r="IR235" s="544"/>
      <c r="IS235" s="544"/>
    </row>
    <row r="236" spans="1:253" x14ac:dyDescent="0.35">
      <c r="A236" s="544"/>
      <c r="B236" s="572"/>
      <c r="C236" s="572"/>
      <c r="E236" s="544"/>
      <c r="F236" s="544"/>
      <c r="G236" s="544"/>
      <c r="H236" s="544"/>
      <c r="I236" s="544"/>
      <c r="J236" s="544"/>
      <c r="K236" s="544"/>
      <c r="AY236" s="544"/>
      <c r="AZ236" s="544"/>
      <c r="BA236" s="544"/>
      <c r="BB236" s="544"/>
      <c r="BC236" s="544"/>
      <c r="BD236" s="544"/>
      <c r="BE236" s="544"/>
      <c r="BF236" s="544"/>
      <c r="BG236" s="544"/>
      <c r="BH236" s="544"/>
      <c r="BI236" s="544"/>
      <c r="BJ236" s="544"/>
      <c r="BK236" s="544"/>
      <c r="BL236" s="544"/>
      <c r="BM236" s="544"/>
      <c r="BN236" s="544"/>
      <c r="BO236" s="544"/>
      <c r="BP236" s="544"/>
      <c r="BQ236" s="544"/>
      <c r="BR236" s="544"/>
      <c r="BS236" s="544"/>
      <c r="BT236" s="544"/>
      <c r="BU236" s="544"/>
      <c r="BV236" s="544"/>
      <c r="BW236" s="544"/>
      <c r="BX236" s="544"/>
      <c r="BY236" s="544"/>
      <c r="BZ236" s="544"/>
      <c r="CA236" s="544"/>
      <c r="CB236" s="544"/>
      <c r="CC236" s="544"/>
      <c r="CD236" s="544"/>
      <c r="CE236" s="544"/>
      <c r="CF236" s="544"/>
      <c r="CG236" s="544"/>
      <c r="CH236" s="544"/>
      <c r="CI236" s="544"/>
      <c r="CJ236" s="544"/>
      <c r="CK236" s="544"/>
      <c r="CL236" s="544"/>
      <c r="CM236" s="544"/>
      <c r="CN236" s="544"/>
      <c r="CO236" s="544"/>
      <c r="CP236" s="544"/>
      <c r="CQ236" s="544"/>
      <c r="CR236" s="544"/>
      <c r="CS236" s="544"/>
      <c r="CT236" s="544"/>
      <c r="CU236" s="544"/>
      <c r="CV236" s="544"/>
      <c r="CW236" s="544"/>
      <c r="CX236" s="544"/>
      <c r="CY236" s="544"/>
      <c r="CZ236" s="544"/>
      <c r="DA236" s="544"/>
      <c r="DB236" s="544"/>
      <c r="DC236" s="544"/>
      <c r="DD236" s="544"/>
      <c r="DE236" s="544"/>
      <c r="DF236" s="544"/>
      <c r="DG236" s="544"/>
      <c r="DH236" s="544"/>
      <c r="DI236" s="544"/>
      <c r="DJ236" s="544"/>
      <c r="DK236" s="544"/>
      <c r="DL236" s="544"/>
      <c r="DM236" s="544"/>
      <c r="DN236" s="544"/>
      <c r="DO236" s="544"/>
      <c r="DP236" s="544"/>
      <c r="DQ236" s="544"/>
      <c r="DR236" s="544"/>
      <c r="DS236" s="544"/>
      <c r="DT236" s="544"/>
      <c r="DU236" s="544"/>
      <c r="DV236" s="544"/>
      <c r="DW236" s="544"/>
      <c r="DX236" s="544"/>
      <c r="DY236" s="544"/>
      <c r="DZ236" s="544"/>
      <c r="EA236" s="544"/>
      <c r="EB236" s="544"/>
      <c r="EC236" s="544"/>
      <c r="ED236" s="544"/>
      <c r="EE236" s="544"/>
      <c r="EF236" s="544"/>
      <c r="EG236" s="544"/>
      <c r="EH236" s="544"/>
      <c r="EI236" s="544"/>
      <c r="EJ236" s="544"/>
      <c r="EK236" s="544"/>
      <c r="EL236" s="544"/>
      <c r="EM236" s="544"/>
      <c r="EN236" s="544"/>
      <c r="EO236" s="544"/>
      <c r="EP236" s="544"/>
      <c r="EQ236" s="544"/>
      <c r="ER236" s="544"/>
      <c r="ES236" s="544"/>
      <c r="ET236" s="544"/>
      <c r="EU236" s="544"/>
      <c r="EV236" s="544"/>
      <c r="EW236" s="544"/>
      <c r="EX236" s="544"/>
      <c r="EY236" s="544"/>
      <c r="EZ236" s="544"/>
      <c r="FA236" s="544"/>
      <c r="FB236" s="544"/>
      <c r="FC236" s="544"/>
      <c r="FD236" s="544"/>
      <c r="FE236" s="544"/>
      <c r="FF236" s="544"/>
      <c r="FG236" s="544"/>
      <c r="FH236" s="544"/>
      <c r="FI236" s="544"/>
      <c r="FJ236" s="544"/>
      <c r="FK236" s="544"/>
      <c r="FL236" s="544"/>
      <c r="FM236" s="544"/>
      <c r="FN236" s="544"/>
      <c r="FO236" s="544"/>
      <c r="FP236" s="544"/>
      <c r="FQ236" s="544"/>
      <c r="FR236" s="544"/>
      <c r="FS236" s="544"/>
      <c r="FT236" s="544"/>
      <c r="FU236" s="544"/>
      <c r="FV236" s="544"/>
      <c r="FW236" s="544"/>
      <c r="FX236" s="544"/>
      <c r="FY236" s="544"/>
      <c r="FZ236" s="544"/>
      <c r="GA236" s="544"/>
      <c r="GB236" s="544"/>
      <c r="GC236" s="544"/>
      <c r="GD236" s="544"/>
      <c r="GE236" s="544"/>
      <c r="GF236" s="544"/>
      <c r="GG236" s="544"/>
      <c r="GH236" s="544"/>
      <c r="GI236" s="544"/>
      <c r="GJ236" s="544"/>
      <c r="GK236" s="544"/>
      <c r="GL236" s="544"/>
      <c r="GM236" s="544"/>
      <c r="GN236" s="544"/>
      <c r="GO236" s="544"/>
      <c r="GP236" s="544"/>
      <c r="GQ236" s="544"/>
      <c r="GR236" s="544"/>
      <c r="GS236" s="544"/>
      <c r="GT236" s="544"/>
      <c r="GU236" s="544"/>
      <c r="GV236" s="544"/>
      <c r="GW236" s="544"/>
      <c r="GX236" s="544"/>
      <c r="GY236" s="544"/>
      <c r="GZ236" s="544"/>
      <c r="HA236" s="544"/>
      <c r="HB236" s="544"/>
      <c r="HC236" s="544"/>
      <c r="HD236" s="544"/>
      <c r="HE236" s="544"/>
      <c r="HF236" s="544"/>
      <c r="HG236" s="544"/>
      <c r="HH236" s="544"/>
      <c r="HI236" s="544"/>
      <c r="HJ236" s="544"/>
      <c r="HK236" s="544"/>
      <c r="HL236" s="544"/>
      <c r="HM236" s="544"/>
      <c r="HN236" s="544"/>
      <c r="HO236" s="544"/>
      <c r="HP236" s="544"/>
      <c r="HQ236" s="544"/>
      <c r="HR236" s="544"/>
      <c r="HS236" s="544"/>
      <c r="HT236" s="544"/>
      <c r="HU236" s="544"/>
      <c r="HV236" s="544"/>
      <c r="HW236" s="544"/>
      <c r="HX236" s="544"/>
      <c r="HY236" s="544"/>
      <c r="HZ236" s="544"/>
      <c r="IA236" s="544"/>
      <c r="IB236" s="544"/>
      <c r="IC236" s="544"/>
      <c r="ID236" s="544"/>
      <c r="IE236" s="544"/>
      <c r="IF236" s="544"/>
      <c r="IG236" s="544"/>
      <c r="IH236" s="544"/>
      <c r="II236" s="544"/>
      <c r="IJ236" s="544"/>
      <c r="IK236" s="544"/>
      <c r="IL236" s="544"/>
      <c r="IM236" s="544"/>
      <c r="IN236" s="544"/>
      <c r="IO236" s="544"/>
      <c r="IP236" s="544"/>
      <c r="IQ236" s="544"/>
      <c r="IR236" s="544"/>
      <c r="IS236" s="544"/>
    </row>
    <row r="237" spans="1:253" x14ac:dyDescent="0.35">
      <c r="A237" s="544"/>
      <c r="B237" s="572"/>
      <c r="C237" s="572"/>
      <c r="E237" s="544"/>
      <c r="F237" s="544"/>
      <c r="G237" s="544"/>
      <c r="H237" s="544"/>
      <c r="I237" s="544"/>
      <c r="J237" s="544"/>
      <c r="K237" s="544"/>
      <c r="AY237" s="544"/>
      <c r="AZ237" s="544"/>
      <c r="BA237" s="544"/>
      <c r="BB237" s="544"/>
      <c r="BC237" s="544"/>
      <c r="BD237" s="544"/>
      <c r="BE237" s="544"/>
      <c r="BF237" s="544"/>
      <c r="BG237" s="544"/>
      <c r="BH237" s="544"/>
      <c r="BI237" s="544"/>
      <c r="BJ237" s="544"/>
      <c r="BK237" s="544"/>
      <c r="BL237" s="544"/>
      <c r="BM237" s="544"/>
      <c r="BN237" s="544"/>
      <c r="BO237" s="544"/>
      <c r="BP237" s="544"/>
      <c r="BQ237" s="544"/>
      <c r="BR237" s="544"/>
      <c r="BS237" s="544"/>
      <c r="BT237" s="544"/>
      <c r="BU237" s="544"/>
      <c r="BV237" s="544"/>
      <c r="BW237" s="544"/>
      <c r="BX237" s="544"/>
      <c r="BY237" s="544"/>
      <c r="BZ237" s="544"/>
      <c r="CA237" s="544"/>
      <c r="CB237" s="544"/>
      <c r="CC237" s="544"/>
      <c r="CD237" s="544"/>
      <c r="CE237" s="544"/>
      <c r="CF237" s="544"/>
      <c r="CG237" s="544"/>
      <c r="CH237" s="544"/>
      <c r="CI237" s="544"/>
      <c r="CJ237" s="544"/>
      <c r="CK237" s="544"/>
      <c r="CL237" s="544"/>
      <c r="CM237" s="544"/>
      <c r="CN237" s="544"/>
      <c r="CO237" s="544"/>
      <c r="CP237" s="544"/>
      <c r="CQ237" s="544"/>
      <c r="CR237" s="544"/>
      <c r="CS237" s="544"/>
      <c r="CT237" s="544"/>
      <c r="CU237" s="544"/>
      <c r="CV237" s="544"/>
      <c r="CW237" s="544"/>
      <c r="CX237" s="544"/>
      <c r="CY237" s="544"/>
      <c r="CZ237" s="544"/>
      <c r="DA237" s="544"/>
      <c r="DB237" s="544"/>
      <c r="DC237" s="544"/>
      <c r="DD237" s="544"/>
      <c r="DE237" s="544"/>
      <c r="DF237" s="544"/>
      <c r="DG237" s="544"/>
      <c r="DH237" s="544"/>
      <c r="DI237" s="544"/>
      <c r="DJ237" s="544"/>
      <c r="DK237" s="544"/>
      <c r="DL237" s="544"/>
      <c r="DM237" s="544"/>
      <c r="DN237" s="544"/>
      <c r="DO237" s="544"/>
      <c r="DP237" s="544"/>
      <c r="DQ237" s="544"/>
      <c r="DR237" s="544"/>
      <c r="DS237" s="544"/>
      <c r="DT237" s="544"/>
      <c r="DU237" s="544"/>
      <c r="DV237" s="544"/>
      <c r="DW237" s="544"/>
      <c r="DX237" s="544"/>
      <c r="DY237" s="544"/>
      <c r="DZ237" s="544"/>
      <c r="EA237" s="544"/>
      <c r="EB237" s="544"/>
      <c r="EC237" s="544"/>
      <c r="ED237" s="544"/>
      <c r="EE237" s="544"/>
      <c r="EF237" s="544"/>
      <c r="EG237" s="544"/>
      <c r="EH237" s="544"/>
      <c r="EI237" s="544"/>
      <c r="EJ237" s="544"/>
      <c r="EK237" s="544"/>
      <c r="EL237" s="544"/>
      <c r="EM237" s="544"/>
      <c r="EN237" s="544"/>
      <c r="EO237" s="544"/>
      <c r="EP237" s="544"/>
      <c r="EQ237" s="544"/>
      <c r="ER237" s="544"/>
      <c r="ES237" s="544"/>
      <c r="ET237" s="544"/>
      <c r="EU237" s="544"/>
      <c r="EV237" s="544"/>
      <c r="EW237" s="544"/>
      <c r="EX237" s="544"/>
      <c r="EY237" s="544"/>
      <c r="EZ237" s="544"/>
      <c r="FA237" s="544"/>
      <c r="FB237" s="544"/>
      <c r="FC237" s="544"/>
      <c r="FD237" s="544"/>
      <c r="FE237" s="544"/>
      <c r="FF237" s="544"/>
      <c r="FG237" s="544"/>
      <c r="FH237" s="544"/>
      <c r="FI237" s="544"/>
      <c r="FJ237" s="544"/>
      <c r="FK237" s="544"/>
      <c r="FL237" s="544"/>
      <c r="FM237" s="544"/>
      <c r="FN237" s="544"/>
      <c r="FO237" s="544"/>
      <c r="FP237" s="544"/>
      <c r="FQ237" s="544"/>
      <c r="FR237" s="544"/>
      <c r="FS237" s="544"/>
      <c r="FT237" s="544"/>
      <c r="FU237" s="544"/>
      <c r="FV237" s="544"/>
      <c r="FW237" s="544"/>
      <c r="FX237" s="544"/>
      <c r="FY237" s="544"/>
      <c r="FZ237" s="544"/>
      <c r="GA237" s="544"/>
      <c r="GB237" s="544"/>
      <c r="GC237" s="544"/>
      <c r="GD237" s="544"/>
      <c r="GE237" s="544"/>
      <c r="GF237" s="544"/>
      <c r="GG237" s="544"/>
      <c r="GH237" s="544"/>
      <c r="GI237" s="544"/>
      <c r="GJ237" s="544"/>
      <c r="GK237" s="544"/>
      <c r="GL237" s="544"/>
      <c r="GM237" s="544"/>
      <c r="GN237" s="544"/>
      <c r="GO237" s="544"/>
      <c r="GP237" s="544"/>
      <c r="GQ237" s="544"/>
      <c r="GR237" s="544"/>
      <c r="GS237" s="544"/>
      <c r="GT237" s="544"/>
      <c r="GU237" s="544"/>
      <c r="GV237" s="544"/>
      <c r="GW237" s="544"/>
      <c r="GX237" s="544"/>
      <c r="GY237" s="544"/>
      <c r="GZ237" s="544"/>
      <c r="HA237" s="544"/>
      <c r="HB237" s="544"/>
      <c r="HC237" s="544"/>
      <c r="HD237" s="544"/>
      <c r="HE237" s="544"/>
      <c r="HF237" s="544"/>
      <c r="HG237" s="544"/>
      <c r="HH237" s="544"/>
      <c r="HI237" s="544"/>
      <c r="HJ237" s="544"/>
      <c r="HK237" s="544"/>
      <c r="HL237" s="544"/>
      <c r="HM237" s="544"/>
      <c r="HN237" s="544"/>
      <c r="HO237" s="544"/>
      <c r="HP237" s="544"/>
      <c r="HQ237" s="544"/>
      <c r="HR237" s="544"/>
      <c r="HS237" s="544"/>
      <c r="HT237" s="544"/>
      <c r="HU237" s="544"/>
      <c r="HV237" s="544"/>
      <c r="HW237" s="544"/>
      <c r="HX237" s="544"/>
      <c r="HY237" s="544"/>
      <c r="HZ237" s="544"/>
      <c r="IA237" s="544"/>
      <c r="IB237" s="544"/>
      <c r="IC237" s="544"/>
      <c r="ID237" s="544"/>
      <c r="IE237" s="544"/>
      <c r="IF237" s="544"/>
      <c r="IG237" s="544"/>
      <c r="IH237" s="544"/>
      <c r="II237" s="544"/>
      <c r="IJ237" s="544"/>
      <c r="IK237" s="544"/>
      <c r="IL237" s="544"/>
      <c r="IM237" s="544"/>
      <c r="IN237" s="544"/>
      <c r="IO237" s="544"/>
      <c r="IP237" s="544"/>
      <c r="IQ237" s="544"/>
      <c r="IR237" s="544"/>
      <c r="IS237" s="544"/>
    </row>
    <row r="238" spans="1:253" x14ac:dyDescent="0.35">
      <c r="A238" s="544"/>
      <c r="B238" s="572"/>
      <c r="C238" s="572"/>
      <c r="E238" s="544"/>
      <c r="F238" s="544"/>
      <c r="G238" s="544"/>
      <c r="H238" s="544"/>
      <c r="I238" s="544"/>
      <c r="J238" s="544"/>
      <c r="K238" s="544"/>
      <c r="AY238" s="544"/>
      <c r="AZ238" s="544"/>
      <c r="BA238" s="544"/>
      <c r="BB238" s="544"/>
      <c r="BC238" s="544"/>
      <c r="BD238" s="544"/>
      <c r="BE238" s="544"/>
      <c r="BF238" s="544"/>
      <c r="BG238" s="544"/>
      <c r="BH238" s="544"/>
      <c r="BI238" s="544"/>
      <c r="BJ238" s="544"/>
      <c r="BK238" s="544"/>
      <c r="BL238" s="544"/>
      <c r="BM238" s="544"/>
      <c r="BN238" s="544"/>
      <c r="BO238" s="544"/>
      <c r="BP238" s="544"/>
      <c r="BQ238" s="544"/>
      <c r="BR238" s="544"/>
      <c r="BS238" s="544"/>
      <c r="BT238" s="544"/>
      <c r="BU238" s="544"/>
      <c r="BV238" s="544"/>
      <c r="BW238" s="544"/>
      <c r="BX238" s="544"/>
      <c r="BY238" s="544"/>
      <c r="BZ238" s="544"/>
      <c r="CA238" s="544"/>
      <c r="CB238" s="544"/>
      <c r="CC238" s="544"/>
      <c r="CD238" s="544"/>
      <c r="CE238" s="544"/>
      <c r="CF238" s="544"/>
      <c r="CG238" s="544"/>
      <c r="CH238" s="544"/>
      <c r="CI238" s="544"/>
      <c r="CJ238" s="544"/>
      <c r="CK238" s="544"/>
      <c r="CL238" s="544"/>
      <c r="CM238" s="544"/>
      <c r="CN238" s="544"/>
      <c r="CO238" s="544"/>
      <c r="CP238" s="544"/>
      <c r="CQ238" s="544"/>
      <c r="CR238" s="544"/>
      <c r="CS238" s="544"/>
      <c r="CT238" s="544"/>
      <c r="CU238" s="544"/>
      <c r="CV238" s="544"/>
      <c r="CW238" s="544"/>
      <c r="CX238" s="544"/>
      <c r="CY238" s="544"/>
      <c r="CZ238" s="544"/>
      <c r="DA238" s="544"/>
      <c r="DB238" s="544"/>
      <c r="DC238" s="544"/>
      <c r="DD238" s="544"/>
      <c r="DE238" s="544"/>
      <c r="DF238" s="544"/>
      <c r="DG238" s="544"/>
      <c r="DH238" s="544"/>
      <c r="DI238" s="544"/>
      <c r="DJ238" s="544"/>
      <c r="DK238" s="544"/>
      <c r="DL238" s="544"/>
      <c r="DM238" s="544"/>
      <c r="DN238" s="544"/>
      <c r="DO238" s="544"/>
      <c r="DP238" s="544"/>
      <c r="DQ238" s="544"/>
      <c r="DR238" s="544"/>
      <c r="DS238" s="544"/>
      <c r="DT238" s="544"/>
      <c r="DU238" s="544"/>
      <c r="DV238" s="544"/>
      <c r="DW238" s="544"/>
      <c r="DX238" s="544"/>
      <c r="DY238" s="544"/>
      <c r="DZ238" s="544"/>
      <c r="EA238" s="544"/>
      <c r="EB238" s="544"/>
      <c r="EC238" s="544"/>
      <c r="ED238" s="544"/>
      <c r="EE238" s="544"/>
      <c r="EF238" s="544"/>
      <c r="EG238" s="544"/>
      <c r="EH238" s="544"/>
      <c r="EI238" s="544"/>
      <c r="EJ238" s="544"/>
      <c r="EK238" s="544"/>
      <c r="EL238" s="544"/>
      <c r="EM238" s="544"/>
      <c r="EN238" s="544"/>
      <c r="EO238" s="544"/>
      <c r="EP238" s="544"/>
      <c r="EQ238" s="544"/>
      <c r="ER238" s="544"/>
      <c r="ES238" s="544"/>
      <c r="ET238" s="544"/>
      <c r="EU238" s="544"/>
      <c r="EV238" s="544"/>
      <c r="EW238" s="544"/>
      <c r="EX238" s="544"/>
      <c r="EY238" s="544"/>
      <c r="EZ238" s="544"/>
      <c r="FA238" s="544"/>
      <c r="FB238" s="544"/>
      <c r="FC238" s="544"/>
      <c r="FD238" s="544"/>
      <c r="FE238" s="544"/>
      <c r="FF238" s="544"/>
      <c r="FG238" s="544"/>
      <c r="FH238" s="544"/>
      <c r="FI238" s="544"/>
      <c r="FJ238" s="544"/>
      <c r="FK238" s="544"/>
      <c r="FL238" s="544"/>
      <c r="FM238" s="544"/>
      <c r="FN238" s="544"/>
      <c r="FO238" s="544"/>
      <c r="FP238" s="544"/>
      <c r="FQ238" s="544"/>
      <c r="FR238" s="544"/>
      <c r="FS238" s="544"/>
      <c r="FT238" s="544"/>
      <c r="FU238" s="544"/>
      <c r="FV238" s="544"/>
      <c r="FW238" s="544"/>
      <c r="FX238" s="544"/>
      <c r="FY238" s="544"/>
      <c r="FZ238" s="544"/>
      <c r="GA238" s="544"/>
      <c r="GB238" s="544"/>
      <c r="GC238" s="544"/>
      <c r="GD238" s="544"/>
      <c r="GE238" s="544"/>
      <c r="GF238" s="544"/>
      <c r="GG238" s="544"/>
      <c r="GH238" s="544"/>
      <c r="GI238" s="544"/>
      <c r="GJ238" s="544"/>
      <c r="GK238" s="544"/>
      <c r="GL238" s="544"/>
      <c r="GM238" s="544"/>
      <c r="GN238" s="544"/>
      <c r="GO238" s="544"/>
      <c r="GP238" s="544"/>
      <c r="GQ238" s="544"/>
      <c r="GR238" s="544"/>
      <c r="GS238" s="544"/>
      <c r="GT238" s="544"/>
      <c r="GU238" s="544"/>
      <c r="GV238" s="544"/>
      <c r="GW238" s="544"/>
      <c r="GX238" s="544"/>
      <c r="GY238" s="544"/>
      <c r="GZ238" s="544"/>
      <c r="HA238" s="544"/>
      <c r="HB238" s="544"/>
      <c r="HC238" s="544"/>
      <c r="HD238" s="544"/>
      <c r="HE238" s="544"/>
      <c r="HF238" s="544"/>
      <c r="HG238" s="544"/>
      <c r="HH238" s="544"/>
      <c r="HI238" s="544"/>
      <c r="HJ238" s="544"/>
      <c r="HK238" s="544"/>
      <c r="HL238" s="544"/>
      <c r="HM238" s="544"/>
      <c r="HN238" s="544"/>
      <c r="HO238" s="544"/>
      <c r="HP238" s="544"/>
      <c r="HQ238" s="544"/>
      <c r="HR238" s="544"/>
      <c r="HS238" s="544"/>
      <c r="HT238" s="544"/>
      <c r="HU238" s="544"/>
      <c r="HV238" s="544"/>
      <c r="HW238" s="544"/>
      <c r="HX238" s="544"/>
      <c r="HY238" s="544"/>
      <c r="HZ238" s="544"/>
      <c r="IA238" s="544"/>
      <c r="IB238" s="544"/>
      <c r="IC238" s="544"/>
      <c r="ID238" s="544"/>
      <c r="IE238" s="544"/>
      <c r="IF238" s="544"/>
      <c r="IG238" s="544"/>
      <c r="IH238" s="544"/>
      <c r="II238" s="544"/>
      <c r="IJ238" s="544"/>
      <c r="IK238" s="544"/>
      <c r="IL238" s="544"/>
      <c r="IM238" s="544"/>
      <c r="IN238" s="544"/>
      <c r="IO238" s="544"/>
      <c r="IP238" s="544"/>
      <c r="IQ238" s="544"/>
      <c r="IR238" s="544"/>
      <c r="IS238" s="544"/>
    </row>
    <row r="239" spans="1:253" x14ac:dyDescent="0.35">
      <c r="A239" s="544"/>
      <c r="B239" s="572"/>
      <c r="C239" s="572"/>
      <c r="E239" s="544"/>
      <c r="F239" s="544"/>
      <c r="G239" s="544"/>
      <c r="H239" s="544"/>
      <c r="I239" s="544"/>
      <c r="J239" s="544"/>
      <c r="K239" s="544"/>
      <c r="AY239" s="544"/>
      <c r="AZ239" s="544"/>
      <c r="BA239" s="544"/>
      <c r="BB239" s="544"/>
      <c r="BC239" s="544"/>
      <c r="BD239" s="544"/>
      <c r="BE239" s="544"/>
      <c r="BF239" s="544"/>
      <c r="BG239" s="544"/>
      <c r="BH239" s="544"/>
      <c r="BI239" s="544"/>
      <c r="BJ239" s="544"/>
      <c r="BK239" s="544"/>
      <c r="BL239" s="544"/>
      <c r="BM239" s="544"/>
      <c r="BN239" s="544"/>
      <c r="BO239" s="544"/>
      <c r="BP239" s="544"/>
      <c r="BQ239" s="544"/>
      <c r="BR239" s="544"/>
      <c r="BS239" s="544"/>
      <c r="BT239" s="544"/>
      <c r="BU239" s="544"/>
      <c r="BV239" s="544"/>
      <c r="BW239" s="544"/>
      <c r="BX239" s="544"/>
      <c r="BY239" s="544"/>
      <c r="BZ239" s="544"/>
      <c r="CA239" s="544"/>
      <c r="CB239" s="544"/>
      <c r="CC239" s="544"/>
      <c r="CD239" s="544"/>
      <c r="CE239" s="544"/>
      <c r="CF239" s="544"/>
      <c r="CG239" s="544"/>
      <c r="CH239" s="544"/>
      <c r="CI239" s="544"/>
      <c r="CJ239" s="544"/>
      <c r="CK239" s="544"/>
      <c r="CL239" s="544"/>
      <c r="CM239" s="544"/>
      <c r="CN239" s="544"/>
      <c r="CO239" s="544"/>
      <c r="CP239" s="544"/>
      <c r="CQ239" s="544"/>
      <c r="CR239" s="544"/>
      <c r="CS239" s="544"/>
      <c r="CT239" s="544"/>
      <c r="CU239" s="544"/>
      <c r="CV239" s="544"/>
      <c r="CW239" s="544"/>
      <c r="CX239" s="544"/>
      <c r="CY239" s="544"/>
      <c r="CZ239" s="544"/>
      <c r="DA239" s="544"/>
      <c r="DB239" s="544"/>
      <c r="DC239" s="544"/>
      <c r="DD239" s="544"/>
      <c r="DE239" s="544"/>
      <c r="DF239" s="544"/>
      <c r="DG239" s="544"/>
      <c r="DH239" s="544"/>
      <c r="DI239" s="544"/>
      <c r="DJ239" s="544"/>
      <c r="DK239" s="544"/>
      <c r="DL239" s="544"/>
      <c r="DM239" s="544"/>
      <c r="DN239" s="544"/>
      <c r="DO239" s="544"/>
      <c r="DP239" s="544"/>
      <c r="DQ239" s="544"/>
      <c r="DR239" s="544"/>
      <c r="DS239" s="544"/>
      <c r="DT239" s="544"/>
      <c r="DU239" s="544"/>
      <c r="DV239" s="544"/>
      <c r="DW239" s="544"/>
      <c r="DX239" s="544"/>
      <c r="DY239" s="544"/>
      <c r="DZ239" s="544"/>
      <c r="EA239" s="544"/>
      <c r="EB239" s="544"/>
      <c r="EC239" s="544"/>
      <c r="ED239" s="544"/>
      <c r="EE239" s="544"/>
      <c r="EF239" s="544"/>
      <c r="EG239" s="544"/>
      <c r="EH239" s="544"/>
      <c r="EI239" s="544"/>
      <c r="EJ239" s="544"/>
      <c r="EK239" s="544"/>
      <c r="EL239" s="544"/>
      <c r="EM239" s="544"/>
      <c r="EN239" s="544"/>
      <c r="EO239" s="544"/>
      <c r="EP239" s="544"/>
      <c r="EQ239" s="544"/>
      <c r="ER239" s="544"/>
      <c r="ES239" s="544"/>
      <c r="ET239" s="544"/>
      <c r="EU239" s="544"/>
      <c r="EV239" s="544"/>
      <c r="EW239" s="544"/>
      <c r="EX239" s="544"/>
      <c r="EY239" s="544"/>
      <c r="EZ239" s="544"/>
      <c r="FA239" s="544"/>
      <c r="FB239" s="544"/>
      <c r="FC239" s="544"/>
      <c r="FD239" s="544"/>
      <c r="FE239" s="544"/>
      <c r="FF239" s="544"/>
      <c r="FG239" s="544"/>
      <c r="FH239" s="544"/>
      <c r="FI239" s="544"/>
      <c r="FJ239" s="544"/>
      <c r="FK239" s="544"/>
      <c r="FL239" s="544"/>
      <c r="FM239" s="544"/>
      <c r="FN239" s="544"/>
      <c r="FO239" s="544"/>
      <c r="FP239" s="544"/>
      <c r="FQ239" s="544"/>
      <c r="FR239" s="544"/>
      <c r="FS239" s="544"/>
      <c r="FT239" s="544"/>
      <c r="FU239" s="544"/>
      <c r="FV239" s="544"/>
      <c r="FW239" s="544"/>
      <c r="FX239" s="544"/>
      <c r="FY239" s="544"/>
      <c r="FZ239" s="544"/>
      <c r="GA239" s="544"/>
      <c r="GB239" s="544"/>
      <c r="GC239" s="544"/>
      <c r="GD239" s="544"/>
      <c r="GE239" s="544"/>
      <c r="GF239" s="544"/>
      <c r="GG239" s="544"/>
      <c r="GH239" s="544"/>
      <c r="GI239" s="544"/>
      <c r="GJ239" s="544"/>
      <c r="GK239" s="544"/>
      <c r="GL239" s="544"/>
      <c r="GM239" s="544"/>
      <c r="GN239" s="544"/>
      <c r="GO239" s="544"/>
      <c r="GP239" s="544"/>
      <c r="GQ239" s="544"/>
      <c r="GR239" s="544"/>
      <c r="GS239" s="544"/>
      <c r="GT239" s="544"/>
      <c r="GU239" s="544"/>
      <c r="GV239" s="544"/>
      <c r="GW239" s="544"/>
      <c r="GX239" s="544"/>
      <c r="GY239" s="544"/>
      <c r="GZ239" s="544"/>
      <c r="HA239" s="544"/>
      <c r="HB239" s="544"/>
      <c r="HC239" s="544"/>
      <c r="HD239" s="544"/>
      <c r="HE239" s="544"/>
      <c r="HF239" s="544"/>
      <c r="HG239" s="544"/>
      <c r="HH239" s="544"/>
      <c r="HI239" s="544"/>
      <c r="HJ239" s="544"/>
      <c r="HK239" s="544"/>
      <c r="HL239" s="544"/>
      <c r="HM239" s="544"/>
      <c r="HN239" s="544"/>
      <c r="HO239" s="544"/>
      <c r="HP239" s="544"/>
      <c r="HQ239" s="544"/>
      <c r="HR239" s="544"/>
      <c r="HS239" s="544"/>
      <c r="HT239" s="544"/>
      <c r="HU239" s="544"/>
      <c r="HV239" s="544"/>
      <c r="HW239" s="544"/>
      <c r="HX239" s="544"/>
      <c r="HY239" s="544"/>
      <c r="HZ239" s="544"/>
      <c r="IA239" s="544"/>
      <c r="IB239" s="544"/>
      <c r="IC239" s="544"/>
      <c r="ID239" s="544"/>
      <c r="IE239" s="544"/>
      <c r="IF239" s="544"/>
      <c r="IG239" s="544"/>
      <c r="IH239" s="544"/>
      <c r="II239" s="544"/>
      <c r="IJ239" s="544"/>
      <c r="IK239" s="544"/>
      <c r="IL239" s="544"/>
      <c r="IM239" s="544"/>
      <c r="IN239" s="544"/>
      <c r="IO239" s="544"/>
      <c r="IP239" s="544"/>
      <c r="IQ239" s="544"/>
      <c r="IR239" s="544"/>
      <c r="IS239" s="544"/>
    </row>
    <row r="240" spans="1:253" x14ac:dyDescent="0.35">
      <c r="A240" s="544"/>
      <c r="B240" s="572"/>
      <c r="C240" s="572"/>
      <c r="E240" s="544"/>
      <c r="F240" s="544"/>
      <c r="G240" s="544"/>
      <c r="H240" s="544"/>
      <c r="I240" s="544"/>
      <c r="J240" s="544"/>
      <c r="K240" s="544"/>
      <c r="AY240" s="544"/>
      <c r="AZ240" s="544"/>
      <c r="BA240" s="544"/>
      <c r="BB240" s="544"/>
      <c r="BC240" s="544"/>
      <c r="BD240" s="544"/>
      <c r="BE240" s="544"/>
      <c r="BF240" s="544"/>
      <c r="BG240" s="544"/>
      <c r="BH240" s="544"/>
      <c r="BI240" s="544"/>
      <c r="BJ240" s="544"/>
      <c r="BK240" s="544"/>
      <c r="BL240" s="544"/>
      <c r="BM240" s="544"/>
      <c r="BN240" s="544"/>
      <c r="BO240" s="544"/>
      <c r="BP240" s="544"/>
      <c r="BQ240" s="544"/>
      <c r="BR240" s="544"/>
      <c r="BS240" s="544"/>
      <c r="BT240" s="544"/>
      <c r="BU240" s="544"/>
      <c r="BV240" s="544"/>
      <c r="BW240" s="544"/>
      <c r="BX240" s="544"/>
      <c r="BY240" s="544"/>
      <c r="BZ240" s="544"/>
      <c r="CA240" s="544"/>
      <c r="CB240" s="544"/>
      <c r="CC240" s="544"/>
      <c r="CD240" s="544"/>
      <c r="CE240" s="544"/>
      <c r="CF240" s="544"/>
      <c r="CG240" s="544"/>
      <c r="CH240" s="544"/>
      <c r="CI240" s="544"/>
      <c r="CJ240" s="544"/>
      <c r="CK240" s="544"/>
      <c r="CL240" s="544"/>
      <c r="CM240" s="544"/>
      <c r="CN240" s="544"/>
      <c r="CO240" s="544"/>
      <c r="CP240" s="544"/>
      <c r="CQ240" s="544"/>
      <c r="CR240" s="544"/>
      <c r="CS240" s="544"/>
      <c r="CT240" s="544"/>
      <c r="CU240" s="544"/>
      <c r="CV240" s="544"/>
      <c r="CW240" s="544"/>
      <c r="CX240" s="544"/>
      <c r="CY240" s="544"/>
      <c r="CZ240" s="544"/>
      <c r="DA240" s="544"/>
      <c r="DB240" s="544"/>
      <c r="DC240" s="544"/>
      <c r="DD240" s="544"/>
      <c r="DE240" s="544"/>
      <c r="DF240" s="544"/>
      <c r="DG240" s="544"/>
      <c r="DH240" s="544"/>
      <c r="DI240" s="544"/>
      <c r="DJ240" s="544"/>
      <c r="DK240" s="544"/>
      <c r="DL240" s="544"/>
      <c r="DM240" s="544"/>
      <c r="DN240" s="544"/>
      <c r="DO240" s="544"/>
      <c r="DP240" s="544"/>
      <c r="DQ240" s="544"/>
      <c r="DR240" s="544"/>
      <c r="DS240" s="544"/>
      <c r="DT240" s="544"/>
      <c r="DU240" s="544"/>
      <c r="DV240" s="544"/>
      <c r="DW240" s="544"/>
      <c r="DX240" s="544"/>
      <c r="DY240" s="544"/>
      <c r="DZ240" s="544"/>
      <c r="EA240" s="544"/>
      <c r="EB240" s="544"/>
      <c r="EC240" s="544"/>
      <c r="ED240" s="544"/>
      <c r="EE240" s="544"/>
      <c r="EF240" s="544"/>
      <c r="EG240" s="544"/>
      <c r="EH240" s="544"/>
      <c r="EI240" s="544"/>
      <c r="EJ240" s="544"/>
      <c r="EK240" s="544"/>
      <c r="EL240" s="544"/>
      <c r="EM240" s="544"/>
      <c r="EN240" s="544"/>
      <c r="EO240" s="544"/>
      <c r="EP240" s="544"/>
      <c r="EQ240" s="544"/>
      <c r="ER240" s="544"/>
      <c r="ES240" s="544"/>
      <c r="ET240" s="544"/>
      <c r="EU240" s="544"/>
      <c r="EV240" s="544"/>
      <c r="EW240" s="544"/>
      <c r="EX240" s="544"/>
      <c r="EY240" s="544"/>
      <c r="EZ240" s="544"/>
      <c r="FA240" s="544"/>
      <c r="FB240" s="544"/>
      <c r="FC240" s="544"/>
      <c r="FD240" s="544"/>
      <c r="FE240" s="544"/>
      <c r="FF240" s="544"/>
      <c r="FG240" s="544"/>
      <c r="FH240" s="544"/>
      <c r="FI240" s="544"/>
      <c r="FJ240" s="544"/>
      <c r="FK240" s="544"/>
      <c r="FL240" s="544"/>
      <c r="FM240" s="544"/>
      <c r="FN240" s="544"/>
      <c r="FO240" s="544"/>
      <c r="FP240" s="544"/>
      <c r="FQ240" s="544"/>
      <c r="FR240" s="544"/>
      <c r="FS240" s="544"/>
      <c r="FT240" s="544"/>
      <c r="FU240" s="544"/>
      <c r="FV240" s="544"/>
      <c r="FW240" s="544"/>
      <c r="FX240" s="544"/>
      <c r="FY240" s="544"/>
      <c r="FZ240" s="544"/>
      <c r="GA240" s="544"/>
      <c r="GB240" s="544"/>
      <c r="GC240" s="544"/>
      <c r="GD240" s="544"/>
      <c r="GE240" s="544"/>
      <c r="GF240" s="544"/>
      <c r="GG240" s="544"/>
      <c r="GH240" s="544"/>
      <c r="GI240" s="544"/>
      <c r="GJ240" s="544"/>
      <c r="GK240" s="544"/>
      <c r="GL240" s="544"/>
      <c r="GM240" s="544"/>
      <c r="GN240" s="544"/>
      <c r="GO240" s="544"/>
      <c r="GP240" s="544"/>
      <c r="GQ240" s="544"/>
      <c r="GR240" s="544"/>
      <c r="GS240" s="544"/>
      <c r="GT240" s="544"/>
      <c r="GU240" s="544"/>
      <c r="GV240" s="544"/>
      <c r="GW240" s="544"/>
      <c r="GX240" s="544"/>
      <c r="GY240" s="544"/>
      <c r="GZ240" s="544"/>
      <c r="HA240" s="544"/>
      <c r="HB240" s="544"/>
      <c r="HC240" s="544"/>
      <c r="HD240" s="544"/>
      <c r="HE240" s="544"/>
      <c r="HF240" s="544"/>
      <c r="HG240" s="544"/>
      <c r="HH240" s="544"/>
      <c r="HI240" s="544"/>
      <c r="HJ240" s="544"/>
      <c r="HK240" s="544"/>
      <c r="HL240" s="544"/>
      <c r="HM240" s="544"/>
      <c r="HN240" s="544"/>
      <c r="HO240" s="544"/>
      <c r="HP240" s="544"/>
      <c r="HQ240" s="544"/>
      <c r="HR240" s="544"/>
      <c r="HS240" s="544"/>
      <c r="HT240" s="544"/>
      <c r="HU240" s="544"/>
      <c r="HV240" s="544"/>
      <c r="HW240" s="544"/>
      <c r="HX240" s="544"/>
      <c r="HY240" s="544"/>
      <c r="HZ240" s="544"/>
      <c r="IA240" s="544"/>
      <c r="IB240" s="544"/>
      <c r="IC240" s="544"/>
      <c r="ID240" s="544"/>
      <c r="IE240" s="544"/>
      <c r="IF240" s="544"/>
      <c r="IG240" s="544"/>
      <c r="IH240" s="544"/>
      <c r="II240" s="544"/>
      <c r="IJ240" s="544"/>
      <c r="IK240" s="544"/>
      <c r="IL240" s="544"/>
      <c r="IM240" s="544"/>
      <c r="IN240" s="544"/>
      <c r="IO240" s="544"/>
      <c r="IP240" s="544"/>
      <c r="IQ240" s="544"/>
      <c r="IR240" s="544"/>
      <c r="IS240" s="544"/>
    </row>
    <row r="241" spans="1:253" x14ac:dyDescent="0.35">
      <c r="A241" s="544"/>
      <c r="B241" s="572"/>
      <c r="C241" s="572"/>
      <c r="E241" s="544"/>
      <c r="F241" s="544"/>
      <c r="G241" s="544"/>
      <c r="H241" s="544"/>
      <c r="I241" s="544"/>
      <c r="J241" s="544"/>
      <c r="K241" s="544"/>
      <c r="AY241" s="544"/>
      <c r="AZ241" s="544"/>
      <c r="BA241" s="544"/>
      <c r="BB241" s="544"/>
      <c r="BC241" s="544"/>
      <c r="BD241" s="544"/>
      <c r="BE241" s="544"/>
      <c r="BF241" s="544"/>
      <c r="BG241" s="544"/>
      <c r="BH241" s="544"/>
      <c r="BI241" s="544"/>
      <c r="BJ241" s="544"/>
      <c r="BK241" s="544"/>
      <c r="BL241" s="544"/>
      <c r="BM241" s="544"/>
      <c r="BN241" s="544"/>
      <c r="BO241" s="544"/>
      <c r="BP241" s="544"/>
      <c r="BQ241" s="544"/>
      <c r="BR241" s="544"/>
      <c r="BS241" s="544"/>
      <c r="BT241" s="544"/>
      <c r="BU241" s="544"/>
      <c r="BV241" s="544"/>
      <c r="BW241" s="544"/>
      <c r="BX241" s="544"/>
      <c r="BY241" s="544"/>
      <c r="BZ241" s="544"/>
      <c r="CA241" s="544"/>
      <c r="CB241" s="544"/>
      <c r="CC241" s="544"/>
      <c r="CD241" s="544"/>
      <c r="CE241" s="544"/>
      <c r="CF241" s="544"/>
      <c r="CG241" s="544"/>
      <c r="CH241" s="544"/>
      <c r="CI241" s="544"/>
      <c r="CJ241" s="544"/>
      <c r="CK241" s="544"/>
      <c r="CL241" s="544"/>
      <c r="CM241" s="544"/>
      <c r="CN241" s="544"/>
      <c r="CO241" s="544"/>
      <c r="CP241" s="544"/>
      <c r="CQ241" s="544"/>
      <c r="CR241" s="544"/>
      <c r="CS241" s="544"/>
      <c r="CT241" s="544"/>
      <c r="CU241" s="544"/>
      <c r="CV241" s="544"/>
      <c r="CW241" s="544"/>
      <c r="CX241" s="544"/>
      <c r="CY241" s="544"/>
      <c r="CZ241" s="544"/>
      <c r="DA241" s="544"/>
      <c r="DB241" s="544"/>
      <c r="DC241" s="544"/>
      <c r="DD241" s="544"/>
      <c r="DE241" s="544"/>
      <c r="DF241" s="544"/>
      <c r="DG241" s="544"/>
      <c r="DH241" s="544"/>
      <c r="DI241" s="544"/>
      <c r="DJ241" s="544"/>
      <c r="DK241" s="544"/>
      <c r="DL241" s="544"/>
      <c r="DM241" s="544"/>
      <c r="DN241" s="544"/>
      <c r="DO241" s="544"/>
      <c r="DP241" s="544"/>
      <c r="DQ241" s="544"/>
      <c r="DR241" s="544"/>
      <c r="DS241" s="544"/>
      <c r="DT241" s="544"/>
      <c r="DU241" s="544"/>
      <c r="DV241" s="544"/>
      <c r="DW241" s="544"/>
      <c r="DX241" s="544"/>
      <c r="DY241" s="544"/>
      <c r="DZ241" s="544"/>
      <c r="EA241" s="544"/>
      <c r="EB241" s="544"/>
      <c r="EC241" s="544"/>
      <c r="ED241" s="544"/>
      <c r="EE241" s="544"/>
      <c r="EF241" s="544"/>
      <c r="EG241" s="544"/>
      <c r="EH241" s="544"/>
      <c r="EI241" s="544"/>
      <c r="EJ241" s="544"/>
      <c r="EK241" s="544"/>
      <c r="EL241" s="544"/>
      <c r="EM241" s="544"/>
      <c r="EN241" s="544"/>
      <c r="EO241" s="544"/>
      <c r="EP241" s="544"/>
      <c r="EQ241" s="544"/>
      <c r="ER241" s="544"/>
      <c r="ES241" s="544"/>
      <c r="ET241" s="544"/>
      <c r="EU241" s="544"/>
      <c r="EV241" s="544"/>
      <c r="EW241" s="544"/>
      <c r="EX241" s="544"/>
      <c r="EY241" s="544"/>
      <c r="EZ241" s="544"/>
      <c r="FA241" s="544"/>
      <c r="FB241" s="544"/>
      <c r="FC241" s="544"/>
      <c r="FD241" s="544"/>
      <c r="FE241" s="544"/>
      <c r="FF241" s="544"/>
      <c r="FG241" s="544"/>
      <c r="FH241" s="544"/>
      <c r="FI241" s="544"/>
      <c r="FJ241" s="544"/>
      <c r="FK241" s="544"/>
      <c r="FL241" s="544"/>
      <c r="FM241" s="544"/>
      <c r="FN241" s="544"/>
      <c r="FO241" s="544"/>
      <c r="FP241" s="544"/>
      <c r="FQ241" s="544"/>
      <c r="FR241" s="544"/>
      <c r="FS241" s="544"/>
      <c r="FT241" s="544"/>
      <c r="FU241" s="544"/>
      <c r="FV241" s="544"/>
      <c r="FW241" s="544"/>
      <c r="FX241" s="544"/>
      <c r="FY241" s="544"/>
      <c r="FZ241" s="544"/>
      <c r="GA241" s="544"/>
      <c r="GB241" s="544"/>
      <c r="GC241" s="544"/>
      <c r="GD241" s="544"/>
      <c r="GE241" s="544"/>
      <c r="GF241" s="544"/>
      <c r="GG241" s="544"/>
      <c r="GH241" s="544"/>
      <c r="GI241" s="544"/>
      <c r="GJ241" s="544"/>
      <c r="GK241" s="544"/>
      <c r="GL241" s="544"/>
      <c r="GM241" s="544"/>
      <c r="GN241" s="544"/>
      <c r="GO241" s="544"/>
      <c r="GP241" s="544"/>
      <c r="GQ241" s="544"/>
      <c r="GR241" s="544"/>
      <c r="GS241" s="544"/>
      <c r="GT241" s="544"/>
      <c r="GU241" s="544"/>
      <c r="GV241" s="544"/>
      <c r="GW241" s="544"/>
      <c r="GX241" s="544"/>
      <c r="GY241" s="544"/>
      <c r="GZ241" s="544"/>
      <c r="HA241" s="544"/>
      <c r="HB241" s="544"/>
      <c r="HC241" s="544"/>
      <c r="HD241" s="544"/>
      <c r="HE241" s="544"/>
      <c r="HF241" s="544"/>
      <c r="HG241" s="544"/>
      <c r="HH241" s="544"/>
      <c r="HI241" s="544"/>
      <c r="HJ241" s="544"/>
      <c r="HK241" s="544"/>
      <c r="HL241" s="544"/>
      <c r="HM241" s="544"/>
      <c r="HN241" s="544"/>
      <c r="HO241" s="544"/>
      <c r="HP241" s="544"/>
      <c r="HQ241" s="544"/>
      <c r="HR241" s="544"/>
      <c r="HS241" s="544"/>
      <c r="HT241" s="544"/>
      <c r="HU241" s="544"/>
      <c r="HV241" s="544"/>
      <c r="HW241" s="544"/>
      <c r="HX241" s="544"/>
      <c r="HY241" s="544"/>
      <c r="HZ241" s="544"/>
      <c r="IA241" s="544"/>
      <c r="IB241" s="544"/>
      <c r="IC241" s="544"/>
      <c r="ID241" s="544"/>
      <c r="IE241" s="544"/>
      <c r="IF241" s="544"/>
      <c r="IG241" s="544"/>
      <c r="IH241" s="544"/>
      <c r="II241" s="544"/>
      <c r="IJ241" s="544"/>
      <c r="IK241" s="544"/>
      <c r="IL241" s="544"/>
      <c r="IM241" s="544"/>
      <c r="IN241" s="544"/>
      <c r="IO241" s="544"/>
      <c r="IP241" s="544"/>
      <c r="IQ241" s="544"/>
      <c r="IR241" s="544"/>
      <c r="IS241" s="544"/>
    </row>
    <row r="242" spans="1:253" x14ac:dyDescent="0.35">
      <c r="A242" s="544"/>
      <c r="B242" s="572"/>
      <c r="C242" s="572"/>
      <c r="E242" s="544"/>
      <c r="F242" s="544"/>
      <c r="G242" s="544"/>
      <c r="H242" s="544"/>
      <c r="I242" s="544"/>
      <c r="J242" s="544"/>
      <c r="K242" s="544"/>
      <c r="AY242" s="544"/>
      <c r="AZ242" s="544"/>
      <c r="BA242" s="544"/>
      <c r="BB242" s="544"/>
      <c r="BC242" s="544"/>
      <c r="BD242" s="544"/>
      <c r="BE242" s="544"/>
      <c r="BF242" s="544"/>
      <c r="BG242" s="544"/>
      <c r="BH242" s="544"/>
      <c r="BI242" s="544"/>
      <c r="BJ242" s="544"/>
      <c r="BK242" s="544"/>
      <c r="BL242" s="544"/>
      <c r="BM242" s="544"/>
      <c r="BN242" s="544"/>
      <c r="BO242" s="544"/>
      <c r="BP242" s="544"/>
      <c r="BQ242" s="544"/>
      <c r="BR242" s="544"/>
      <c r="BS242" s="544"/>
      <c r="BT242" s="544"/>
      <c r="BU242" s="544"/>
      <c r="BV242" s="544"/>
      <c r="BW242" s="544"/>
      <c r="BX242" s="544"/>
      <c r="BY242" s="544"/>
      <c r="BZ242" s="544"/>
      <c r="CA242" s="544"/>
      <c r="CB242" s="544"/>
      <c r="CC242" s="544"/>
      <c r="CD242" s="544"/>
      <c r="CE242" s="544"/>
      <c r="CF242" s="544"/>
      <c r="CG242" s="544"/>
      <c r="CH242" s="544"/>
      <c r="CI242" s="544"/>
      <c r="CJ242" s="544"/>
      <c r="CK242" s="544"/>
      <c r="CL242" s="544"/>
      <c r="CM242" s="544"/>
      <c r="CN242" s="544"/>
      <c r="CO242" s="544"/>
      <c r="CP242" s="544"/>
      <c r="CQ242" s="544"/>
      <c r="CR242" s="544"/>
      <c r="CS242" s="544"/>
      <c r="CT242" s="544"/>
      <c r="CU242" s="544"/>
      <c r="CV242" s="544"/>
      <c r="CW242" s="544"/>
      <c r="CX242" s="544"/>
      <c r="CY242" s="544"/>
      <c r="CZ242" s="544"/>
      <c r="DA242" s="544"/>
      <c r="DB242" s="544"/>
      <c r="DC242" s="544"/>
      <c r="DD242" s="544"/>
      <c r="DE242" s="544"/>
      <c r="DF242" s="544"/>
      <c r="DG242" s="544"/>
      <c r="DH242" s="544"/>
      <c r="DI242" s="544"/>
      <c r="DJ242" s="544"/>
      <c r="DK242" s="544"/>
      <c r="DL242" s="544"/>
      <c r="DM242" s="544"/>
      <c r="DN242" s="544"/>
      <c r="DO242" s="544"/>
      <c r="DP242" s="544"/>
      <c r="DQ242" s="544"/>
      <c r="DR242" s="544"/>
      <c r="DS242" s="544"/>
      <c r="DT242" s="544"/>
      <c r="DU242" s="544"/>
      <c r="DV242" s="544"/>
      <c r="DW242" s="544"/>
      <c r="DX242" s="544"/>
      <c r="DY242" s="544"/>
      <c r="DZ242" s="544"/>
      <c r="EA242" s="544"/>
      <c r="EB242" s="544"/>
      <c r="EC242" s="544"/>
      <c r="ED242" s="544"/>
      <c r="EE242" s="544"/>
      <c r="EF242" s="544"/>
      <c r="EG242" s="544"/>
      <c r="EH242" s="544"/>
      <c r="EI242" s="544"/>
      <c r="EJ242" s="544"/>
      <c r="EK242" s="544"/>
      <c r="EL242" s="544"/>
      <c r="EM242" s="544"/>
      <c r="EN242" s="544"/>
      <c r="EO242" s="544"/>
      <c r="EP242" s="544"/>
      <c r="EQ242" s="544"/>
      <c r="ER242" s="544"/>
      <c r="ES242" s="544"/>
      <c r="ET242" s="544"/>
      <c r="EU242" s="544"/>
      <c r="EV242" s="544"/>
      <c r="EW242" s="544"/>
      <c r="EX242" s="544"/>
      <c r="EY242" s="544"/>
      <c r="EZ242" s="544"/>
      <c r="FA242" s="544"/>
      <c r="FB242" s="544"/>
      <c r="FC242" s="544"/>
      <c r="FD242" s="544"/>
      <c r="FE242" s="544"/>
      <c r="FF242" s="544"/>
      <c r="FG242" s="544"/>
      <c r="FH242" s="544"/>
      <c r="FI242" s="544"/>
      <c r="FJ242" s="544"/>
      <c r="FK242" s="544"/>
      <c r="FL242" s="544"/>
      <c r="FM242" s="544"/>
      <c r="FN242" s="544"/>
      <c r="FO242" s="544"/>
      <c r="FP242" s="544"/>
      <c r="FQ242" s="544"/>
      <c r="FR242" s="544"/>
      <c r="FS242" s="544"/>
      <c r="FT242" s="544"/>
      <c r="FU242" s="544"/>
      <c r="FV242" s="544"/>
      <c r="FW242" s="544"/>
      <c r="FX242" s="544"/>
      <c r="FY242" s="544"/>
      <c r="FZ242" s="544"/>
      <c r="GA242" s="544"/>
      <c r="GB242" s="544"/>
      <c r="GC242" s="544"/>
      <c r="GD242" s="544"/>
      <c r="GE242" s="544"/>
      <c r="GF242" s="544"/>
      <c r="GG242" s="544"/>
      <c r="GH242" s="544"/>
      <c r="GI242" s="544"/>
      <c r="GJ242" s="544"/>
      <c r="GK242" s="544"/>
      <c r="GL242" s="544"/>
      <c r="GM242" s="544"/>
      <c r="GN242" s="544"/>
      <c r="GO242" s="544"/>
      <c r="GP242" s="544"/>
      <c r="GQ242" s="544"/>
      <c r="GR242" s="544"/>
      <c r="GS242" s="544"/>
      <c r="GT242" s="544"/>
      <c r="GU242" s="544"/>
      <c r="GV242" s="544"/>
      <c r="GW242" s="544"/>
      <c r="GX242" s="544"/>
      <c r="GY242" s="544"/>
      <c r="GZ242" s="544"/>
      <c r="HA242" s="544"/>
      <c r="HB242" s="544"/>
      <c r="HC242" s="544"/>
      <c r="HD242" s="544"/>
      <c r="HE242" s="544"/>
      <c r="HF242" s="544"/>
      <c r="HG242" s="544"/>
      <c r="HH242" s="544"/>
      <c r="HI242" s="544"/>
      <c r="HJ242" s="544"/>
      <c r="HK242" s="544"/>
      <c r="HL242" s="544"/>
      <c r="HM242" s="544"/>
      <c r="HN242" s="544"/>
      <c r="HO242" s="544"/>
      <c r="HP242" s="544"/>
      <c r="HQ242" s="544"/>
      <c r="HR242" s="544"/>
      <c r="HS242" s="544"/>
      <c r="HT242" s="544"/>
      <c r="HU242" s="544"/>
      <c r="HV242" s="544"/>
      <c r="HW242" s="544"/>
      <c r="HX242" s="544"/>
      <c r="HY242" s="544"/>
      <c r="HZ242" s="544"/>
      <c r="IA242" s="544"/>
      <c r="IB242" s="544"/>
      <c r="IC242" s="544"/>
      <c r="ID242" s="544"/>
      <c r="IE242" s="544"/>
      <c r="IF242" s="544"/>
      <c r="IG242" s="544"/>
      <c r="IH242" s="544"/>
      <c r="II242" s="544"/>
      <c r="IJ242" s="544"/>
      <c r="IK242" s="544"/>
      <c r="IL242" s="544"/>
      <c r="IM242" s="544"/>
      <c r="IN242" s="544"/>
      <c r="IO242" s="544"/>
      <c r="IP242" s="544"/>
      <c r="IQ242" s="544"/>
      <c r="IR242" s="544"/>
      <c r="IS242" s="544"/>
    </row>
    <row r="243" spans="1:253" x14ac:dyDescent="0.35">
      <c r="A243" s="544"/>
      <c r="B243" s="572"/>
      <c r="C243" s="572"/>
      <c r="E243" s="544"/>
      <c r="F243" s="544"/>
      <c r="G243" s="544"/>
      <c r="H243" s="544"/>
      <c r="I243" s="544"/>
      <c r="J243" s="544"/>
      <c r="K243" s="544"/>
      <c r="AY243" s="544"/>
      <c r="AZ243" s="544"/>
      <c r="BA243" s="544"/>
      <c r="BB243" s="544"/>
      <c r="BC243" s="544"/>
      <c r="BD243" s="544"/>
      <c r="BE243" s="544"/>
      <c r="BF243" s="544"/>
      <c r="BG243" s="544"/>
      <c r="BH243" s="544"/>
      <c r="BI243" s="544"/>
      <c r="BJ243" s="544"/>
      <c r="BK243" s="544"/>
      <c r="BL243" s="544"/>
      <c r="BM243" s="544"/>
      <c r="BN243" s="544"/>
      <c r="BO243" s="544"/>
      <c r="BP243" s="544"/>
      <c r="BQ243" s="544"/>
      <c r="BR243" s="544"/>
      <c r="BS243" s="544"/>
      <c r="BT243" s="544"/>
      <c r="BU243" s="544"/>
      <c r="BV243" s="544"/>
      <c r="BW243" s="544"/>
      <c r="BX243" s="544"/>
      <c r="BY243" s="544"/>
      <c r="BZ243" s="544"/>
      <c r="CA243" s="544"/>
      <c r="CB243" s="544"/>
      <c r="CC243" s="544"/>
      <c r="CD243" s="544"/>
      <c r="CE243" s="544"/>
      <c r="CF243" s="544"/>
      <c r="CG243" s="544"/>
      <c r="CH243" s="544"/>
      <c r="CI243" s="544"/>
      <c r="CJ243" s="544"/>
      <c r="CK243" s="544"/>
      <c r="CL243" s="544"/>
      <c r="CM243" s="544"/>
      <c r="CN243" s="544"/>
      <c r="CO243" s="544"/>
      <c r="CP243" s="544"/>
      <c r="CQ243" s="544"/>
      <c r="CR243" s="544"/>
      <c r="CS243" s="544"/>
      <c r="CT243" s="544"/>
      <c r="CU243" s="544"/>
      <c r="CV243" s="544"/>
      <c r="CW243" s="544"/>
      <c r="CX243" s="544"/>
      <c r="CY243" s="544"/>
      <c r="CZ243" s="544"/>
      <c r="DA243" s="544"/>
      <c r="DB243" s="544"/>
      <c r="DC243" s="544"/>
      <c r="DD243" s="544"/>
      <c r="DE243" s="544"/>
      <c r="DF243" s="544"/>
      <c r="DG243" s="544"/>
      <c r="DH243" s="544"/>
      <c r="DI243" s="544"/>
      <c r="DJ243" s="544"/>
      <c r="DK243" s="544"/>
      <c r="DL243" s="544"/>
      <c r="DM243" s="544"/>
      <c r="DN243" s="544"/>
      <c r="DO243" s="544"/>
      <c r="DP243" s="544"/>
      <c r="DQ243" s="544"/>
      <c r="DR243" s="544"/>
      <c r="DS243" s="544"/>
      <c r="DT243" s="544"/>
      <c r="DU243" s="544"/>
      <c r="DV243" s="544"/>
      <c r="DW243" s="544"/>
      <c r="DX243" s="544"/>
      <c r="DY243" s="544"/>
      <c r="DZ243" s="544"/>
      <c r="EA243" s="544"/>
      <c r="EB243" s="544"/>
      <c r="EC243" s="544"/>
      <c r="ED243" s="544"/>
      <c r="EE243" s="544"/>
      <c r="EF243" s="544"/>
      <c r="EG243" s="544"/>
      <c r="EH243" s="544"/>
      <c r="EI243" s="544"/>
      <c r="EJ243" s="544"/>
      <c r="EK243" s="544"/>
      <c r="EL243" s="544"/>
      <c r="EM243" s="544"/>
      <c r="EN243" s="544"/>
      <c r="EO243" s="544"/>
      <c r="EP243" s="544"/>
      <c r="EQ243" s="544"/>
      <c r="ER243" s="544"/>
      <c r="ES243" s="544"/>
      <c r="ET243" s="544"/>
      <c r="EU243" s="544"/>
      <c r="EV243" s="544"/>
      <c r="EW243" s="544"/>
      <c r="EX243" s="544"/>
      <c r="EY243" s="544"/>
      <c r="EZ243" s="544"/>
      <c r="FA243" s="544"/>
      <c r="FB243" s="544"/>
      <c r="FC243" s="544"/>
      <c r="FD243" s="544"/>
      <c r="FE243" s="544"/>
      <c r="FF243" s="544"/>
      <c r="FG243" s="544"/>
      <c r="FH243" s="544"/>
      <c r="FI243" s="544"/>
      <c r="FJ243" s="544"/>
      <c r="FK243" s="544"/>
      <c r="FL243" s="544"/>
      <c r="FM243" s="544"/>
      <c r="FN243" s="544"/>
      <c r="FO243" s="544"/>
      <c r="FP243" s="544"/>
      <c r="FQ243" s="544"/>
      <c r="FR243" s="544"/>
      <c r="FS243" s="544"/>
      <c r="FT243" s="544"/>
      <c r="FU243" s="544"/>
      <c r="FV243" s="544"/>
      <c r="FW243" s="544"/>
      <c r="FX243" s="544"/>
      <c r="FY243" s="544"/>
      <c r="FZ243" s="544"/>
      <c r="GA243" s="544"/>
      <c r="GB243" s="544"/>
      <c r="GC243" s="544"/>
      <c r="GD243" s="544"/>
      <c r="GE243" s="544"/>
      <c r="GF243" s="544"/>
      <c r="GG243" s="544"/>
      <c r="GH243" s="544"/>
      <c r="GI243" s="544"/>
      <c r="GJ243" s="544"/>
      <c r="GK243" s="544"/>
      <c r="GL243" s="544"/>
      <c r="GM243" s="544"/>
      <c r="GN243" s="544"/>
      <c r="GO243" s="544"/>
      <c r="GP243" s="544"/>
      <c r="GQ243" s="544"/>
      <c r="GR243" s="544"/>
      <c r="GS243" s="544"/>
      <c r="GT243" s="544"/>
      <c r="GU243" s="544"/>
      <c r="GV243" s="544"/>
      <c r="GW243" s="544"/>
      <c r="GX243" s="544"/>
      <c r="GY243" s="544"/>
      <c r="GZ243" s="544"/>
      <c r="HA243" s="544"/>
      <c r="HB243" s="544"/>
      <c r="HC243" s="544"/>
      <c r="HD243" s="544"/>
      <c r="HE243" s="544"/>
      <c r="HF243" s="544"/>
      <c r="HG243" s="544"/>
      <c r="HH243" s="544"/>
      <c r="HI243" s="544"/>
      <c r="HJ243" s="544"/>
      <c r="HK243" s="544"/>
      <c r="HL243" s="544"/>
      <c r="HM243" s="544"/>
      <c r="HN243" s="544"/>
      <c r="HO243" s="544"/>
      <c r="HP243" s="544"/>
      <c r="HQ243" s="544"/>
      <c r="HR243" s="544"/>
      <c r="HS243" s="544"/>
      <c r="HT243" s="544"/>
      <c r="HU243" s="544"/>
      <c r="HV243" s="544"/>
      <c r="HW243" s="544"/>
      <c r="HX243" s="544"/>
      <c r="HY243" s="544"/>
      <c r="HZ243" s="544"/>
      <c r="IA243" s="544"/>
      <c r="IB243" s="544"/>
      <c r="IC243" s="544"/>
      <c r="ID243" s="544"/>
      <c r="IE243" s="544"/>
      <c r="IF243" s="544"/>
      <c r="IG243" s="544"/>
      <c r="IH243" s="544"/>
      <c r="II243" s="544"/>
      <c r="IJ243" s="544"/>
      <c r="IK243" s="544"/>
      <c r="IL243" s="544"/>
      <c r="IM243" s="544"/>
      <c r="IN243" s="544"/>
      <c r="IO243" s="544"/>
      <c r="IP243" s="544"/>
      <c r="IQ243" s="544"/>
      <c r="IR243" s="544"/>
      <c r="IS243" s="544"/>
    </row>
    <row r="244" spans="1:253" x14ac:dyDescent="0.35">
      <c r="A244" s="544"/>
      <c r="B244" s="572"/>
      <c r="C244" s="572"/>
      <c r="E244" s="544"/>
      <c r="F244" s="544"/>
      <c r="G244" s="544"/>
      <c r="H244" s="544"/>
      <c r="I244" s="544"/>
      <c r="J244" s="544"/>
      <c r="K244" s="544"/>
      <c r="AY244" s="544"/>
      <c r="AZ244" s="544"/>
      <c r="BA244" s="544"/>
      <c r="BB244" s="544"/>
      <c r="BC244" s="544"/>
      <c r="BD244" s="544"/>
      <c r="BE244" s="544"/>
      <c r="BF244" s="544"/>
      <c r="BG244" s="544"/>
      <c r="BH244" s="544"/>
      <c r="BI244" s="544"/>
      <c r="BJ244" s="544"/>
      <c r="BK244" s="544"/>
      <c r="BL244" s="544"/>
      <c r="BM244" s="544"/>
      <c r="BN244" s="544"/>
      <c r="BO244" s="544"/>
      <c r="BP244" s="544"/>
      <c r="BQ244" s="544"/>
      <c r="BR244" s="544"/>
      <c r="BS244" s="544"/>
      <c r="BT244" s="544"/>
      <c r="BU244" s="544"/>
      <c r="BV244" s="544"/>
      <c r="BW244" s="544"/>
      <c r="BX244" s="544"/>
      <c r="BY244" s="544"/>
      <c r="BZ244" s="544"/>
      <c r="CA244" s="544"/>
      <c r="CB244" s="544"/>
      <c r="CC244" s="544"/>
      <c r="CD244" s="544"/>
      <c r="CE244" s="544"/>
      <c r="CF244" s="544"/>
      <c r="CG244" s="544"/>
      <c r="CH244" s="544"/>
      <c r="CI244" s="544"/>
      <c r="CJ244" s="544"/>
      <c r="CK244" s="544"/>
      <c r="CL244" s="544"/>
      <c r="CM244" s="544"/>
      <c r="CN244" s="544"/>
      <c r="CO244" s="544"/>
      <c r="CP244" s="544"/>
      <c r="CQ244" s="544"/>
      <c r="CR244" s="544"/>
      <c r="CS244" s="544"/>
      <c r="CT244" s="544"/>
      <c r="CU244" s="544"/>
      <c r="CV244" s="544"/>
      <c r="CW244" s="544"/>
      <c r="CX244" s="544"/>
      <c r="CY244" s="544"/>
      <c r="CZ244" s="544"/>
      <c r="DA244" s="544"/>
      <c r="DB244" s="544"/>
      <c r="DC244" s="544"/>
      <c r="DD244" s="544"/>
      <c r="DE244" s="544"/>
      <c r="DF244" s="544"/>
      <c r="DG244" s="544"/>
      <c r="DH244" s="544"/>
      <c r="DI244" s="544"/>
      <c r="DJ244" s="544"/>
      <c r="DK244" s="544"/>
      <c r="DL244" s="544"/>
      <c r="DM244" s="544"/>
      <c r="DN244" s="544"/>
      <c r="DO244" s="544"/>
      <c r="DP244" s="544"/>
      <c r="DQ244" s="544"/>
      <c r="DR244" s="544"/>
      <c r="DS244" s="544"/>
      <c r="DT244" s="544"/>
      <c r="DU244" s="544"/>
      <c r="DV244" s="544"/>
      <c r="DW244" s="544"/>
      <c r="DX244" s="544"/>
      <c r="DY244" s="544"/>
      <c r="DZ244" s="544"/>
      <c r="EA244" s="544"/>
      <c r="EB244" s="544"/>
      <c r="EC244" s="544"/>
      <c r="ED244" s="544"/>
      <c r="EE244" s="544"/>
      <c r="EF244" s="544"/>
      <c r="EG244" s="544"/>
      <c r="EH244" s="544"/>
      <c r="EI244" s="544"/>
      <c r="EJ244" s="544"/>
      <c r="EK244" s="544"/>
      <c r="EL244" s="544"/>
      <c r="EM244" s="544"/>
      <c r="EN244" s="544"/>
      <c r="EO244" s="544"/>
      <c r="EP244" s="544"/>
      <c r="EQ244" s="544"/>
      <c r="ER244" s="544"/>
      <c r="ES244" s="544"/>
      <c r="ET244" s="544"/>
      <c r="EU244" s="544"/>
      <c r="EV244" s="544"/>
      <c r="EW244" s="544"/>
      <c r="EX244" s="544"/>
      <c r="EY244" s="544"/>
      <c r="EZ244" s="544"/>
      <c r="FA244" s="544"/>
      <c r="FB244" s="544"/>
      <c r="FC244" s="544"/>
      <c r="FD244" s="544"/>
      <c r="FE244" s="544"/>
      <c r="FF244" s="544"/>
      <c r="FG244" s="544"/>
      <c r="FH244" s="544"/>
      <c r="FI244" s="544"/>
      <c r="FJ244" s="544"/>
      <c r="FK244" s="544"/>
      <c r="FL244" s="544"/>
      <c r="FM244" s="544"/>
      <c r="FN244" s="544"/>
      <c r="FO244" s="544"/>
      <c r="FP244" s="544"/>
      <c r="FQ244" s="544"/>
      <c r="FR244" s="544"/>
      <c r="FS244" s="544"/>
      <c r="FT244" s="544"/>
      <c r="FU244" s="544"/>
      <c r="FV244" s="544"/>
      <c r="FW244" s="544"/>
      <c r="FX244" s="544"/>
      <c r="FY244" s="544"/>
      <c r="FZ244" s="544"/>
      <c r="GA244" s="544"/>
      <c r="GB244" s="544"/>
      <c r="GC244" s="544"/>
      <c r="GD244" s="544"/>
      <c r="GE244" s="544"/>
      <c r="GF244" s="544"/>
      <c r="GG244" s="544"/>
      <c r="GH244" s="544"/>
      <c r="GI244" s="544"/>
      <c r="GJ244" s="544"/>
      <c r="GK244" s="544"/>
      <c r="GL244" s="544"/>
      <c r="GM244" s="544"/>
      <c r="GN244" s="544"/>
      <c r="GO244" s="544"/>
      <c r="GP244" s="544"/>
      <c r="GQ244" s="544"/>
      <c r="GR244" s="544"/>
      <c r="GS244" s="544"/>
      <c r="GT244" s="544"/>
      <c r="GU244" s="544"/>
      <c r="GV244" s="544"/>
      <c r="GW244" s="544"/>
      <c r="GX244" s="544"/>
      <c r="GY244" s="544"/>
      <c r="GZ244" s="544"/>
      <c r="HA244" s="544"/>
      <c r="HB244" s="544"/>
      <c r="HC244" s="544"/>
      <c r="HD244" s="544"/>
      <c r="HE244" s="544"/>
      <c r="HF244" s="544"/>
      <c r="HG244" s="544"/>
      <c r="HH244" s="544"/>
      <c r="HI244" s="544"/>
      <c r="HJ244" s="544"/>
      <c r="HK244" s="544"/>
      <c r="HL244" s="544"/>
      <c r="HM244" s="544"/>
      <c r="HN244" s="544"/>
      <c r="HO244" s="544"/>
      <c r="HP244" s="544"/>
      <c r="HQ244" s="544"/>
      <c r="HR244" s="544"/>
      <c r="HS244" s="544"/>
      <c r="HT244" s="544"/>
      <c r="HU244" s="544"/>
      <c r="HV244" s="544"/>
      <c r="HW244" s="544"/>
      <c r="HX244" s="544"/>
      <c r="HY244" s="544"/>
      <c r="HZ244" s="544"/>
      <c r="IA244" s="544"/>
      <c r="IB244" s="544"/>
      <c r="IC244" s="544"/>
      <c r="ID244" s="544"/>
      <c r="IE244" s="544"/>
      <c r="IF244" s="544"/>
      <c r="IG244" s="544"/>
      <c r="IH244" s="544"/>
      <c r="II244" s="544"/>
      <c r="IJ244" s="544"/>
      <c r="IK244" s="544"/>
      <c r="IL244" s="544"/>
      <c r="IM244" s="544"/>
      <c r="IN244" s="544"/>
      <c r="IO244" s="544"/>
      <c r="IP244" s="544"/>
      <c r="IQ244" s="544"/>
      <c r="IR244" s="544"/>
      <c r="IS244" s="544"/>
    </row>
    <row r="245" spans="1:253" x14ac:dyDescent="0.35">
      <c r="A245" s="544"/>
      <c r="B245" s="572"/>
      <c r="C245" s="572"/>
      <c r="E245" s="544"/>
      <c r="F245" s="544"/>
      <c r="G245" s="544"/>
      <c r="H245" s="544"/>
      <c r="I245" s="544"/>
      <c r="J245" s="544"/>
      <c r="K245" s="544"/>
      <c r="AY245" s="544"/>
      <c r="AZ245" s="544"/>
      <c r="BA245" s="544"/>
      <c r="BB245" s="544"/>
      <c r="BC245" s="544"/>
      <c r="BD245" s="544"/>
      <c r="BE245" s="544"/>
      <c r="BF245" s="544"/>
      <c r="BG245" s="544"/>
      <c r="BH245" s="544"/>
      <c r="BI245" s="544"/>
      <c r="BJ245" s="544"/>
      <c r="BK245" s="544"/>
      <c r="BL245" s="544"/>
      <c r="BM245" s="544"/>
      <c r="BN245" s="544"/>
      <c r="BO245" s="544"/>
      <c r="BP245" s="544"/>
      <c r="BQ245" s="544"/>
      <c r="BR245" s="544"/>
      <c r="BS245" s="544"/>
      <c r="BT245" s="544"/>
      <c r="BU245" s="544"/>
      <c r="BV245" s="544"/>
      <c r="BW245" s="544"/>
      <c r="BX245" s="544"/>
      <c r="BY245" s="544"/>
      <c r="BZ245" s="544"/>
      <c r="CA245" s="544"/>
      <c r="CB245" s="544"/>
      <c r="CC245" s="544"/>
      <c r="CD245" s="544"/>
      <c r="CE245" s="544"/>
      <c r="CF245" s="544"/>
      <c r="CG245" s="544"/>
      <c r="CH245" s="544"/>
      <c r="CI245" s="544"/>
      <c r="CJ245" s="544"/>
      <c r="CK245" s="544"/>
      <c r="CL245" s="544"/>
      <c r="CM245" s="544"/>
      <c r="CN245" s="544"/>
      <c r="CO245" s="544"/>
      <c r="CP245" s="544"/>
      <c r="CQ245" s="544"/>
      <c r="CR245" s="544"/>
      <c r="CS245" s="544"/>
      <c r="CT245" s="544"/>
      <c r="CU245" s="544"/>
      <c r="CV245" s="544"/>
      <c r="CW245" s="544"/>
      <c r="CX245" s="544"/>
      <c r="CY245" s="544"/>
      <c r="CZ245" s="544"/>
      <c r="DA245" s="544"/>
      <c r="DB245" s="544"/>
      <c r="DC245" s="544"/>
      <c r="DD245" s="544"/>
      <c r="DE245" s="544"/>
      <c r="DF245" s="544"/>
      <c r="DG245" s="544"/>
      <c r="DH245" s="544"/>
      <c r="DI245" s="544"/>
      <c r="DJ245" s="544"/>
      <c r="DK245" s="544"/>
      <c r="DL245" s="544"/>
      <c r="DM245" s="544"/>
      <c r="DN245" s="544"/>
      <c r="DO245" s="544"/>
      <c r="DP245" s="544"/>
      <c r="DQ245" s="544"/>
      <c r="DR245" s="544"/>
      <c r="DS245" s="544"/>
      <c r="DT245" s="544"/>
      <c r="DU245" s="544"/>
      <c r="DV245" s="544"/>
      <c r="DW245" s="544"/>
      <c r="DX245" s="544"/>
      <c r="DY245" s="544"/>
      <c r="DZ245" s="544"/>
      <c r="EA245" s="544"/>
      <c r="EB245" s="544"/>
      <c r="EC245" s="544"/>
      <c r="ED245" s="544"/>
      <c r="EE245" s="544"/>
      <c r="EF245" s="544"/>
      <c r="EG245" s="544"/>
      <c r="EH245" s="544"/>
      <c r="EI245" s="544"/>
      <c r="EJ245" s="544"/>
      <c r="EK245" s="544"/>
      <c r="EL245" s="544"/>
      <c r="EM245" s="544"/>
      <c r="EN245" s="544"/>
      <c r="EO245" s="544"/>
      <c r="EP245" s="544"/>
      <c r="EQ245" s="544"/>
      <c r="ER245" s="544"/>
      <c r="ES245" s="544"/>
      <c r="ET245" s="544"/>
      <c r="EU245" s="544"/>
      <c r="EV245" s="544"/>
      <c r="EW245" s="544"/>
      <c r="EX245" s="544"/>
      <c r="EY245" s="544"/>
      <c r="EZ245" s="544"/>
      <c r="FA245" s="544"/>
      <c r="FB245" s="544"/>
      <c r="FC245" s="544"/>
      <c r="FD245" s="544"/>
      <c r="FE245" s="544"/>
      <c r="FF245" s="544"/>
      <c r="FG245" s="544"/>
      <c r="FH245" s="544"/>
      <c r="FI245" s="544"/>
      <c r="FJ245" s="544"/>
      <c r="FK245" s="544"/>
      <c r="FL245" s="544"/>
      <c r="FM245" s="544"/>
      <c r="FN245" s="544"/>
      <c r="FO245" s="544"/>
      <c r="FP245" s="544"/>
      <c r="FQ245" s="544"/>
      <c r="FR245" s="544"/>
      <c r="FS245" s="544"/>
      <c r="FT245" s="544"/>
      <c r="FU245" s="544"/>
      <c r="FV245" s="544"/>
      <c r="FW245" s="544"/>
      <c r="FX245" s="544"/>
      <c r="FY245" s="544"/>
      <c r="FZ245" s="544"/>
      <c r="GA245" s="544"/>
      <c r="GB245" s="544"/>
      <c r="GC245" s="544"/>
      <c r="GD245" s="544"/>
      <c r="GE245" s="544"/>
      <c r="GF245" s="544"/>
      <c r="GG245" s="544"/>
      <c r="GH245" s="544"/>
      <c r="GI245" s="544"/>
      <c r="GJ245" s="544"/>
      <c r="GK245" s="544"/>
      <c r="GL245" s="544"/>
      <c r="GM245" s="544"/>
      <c r="GN245" s="544"/>
      <c r="GO245" s="544"/>
      <c r="GP245" s="544"/>
      <c r="GQ245" s="544"/>
      <c r="GR245" s="544"/>
      <c r="GS245" s="544"/>
      <c r="GT245" s="544"/>
      <c r="GU245" s="544"/>
      <c r="GV245" s="544"/>
      <c r="GW245" s="544"/>
      <c r="GX245" s="544"/>
      <c r="GY245" s="544"/>
      <c r="GZ245" s="544"/>
      <c r="HA245" s="544"/>
      <c r="HB245" s="544"/>
      <c r="HC245" s="544"/>
      <c r="HD245" s="544"/>
      <c r="HE245" s="544"/>
      <c r="HF245" s="544"/>
      <c r="HG245" s="544"/>
      <c r="HH245" s="544"/>
      <c r="HI245" s="544"/>
      <c r="HJ245" s="544"/>
      <c r="HK245" s="544"/>
      <c r="HL245" s="544"/>
      <c r="HM245" s="544"/>
      <c r="HN245" s="544"/>
      <c r="HO245" s="544"/>
      <c r="HP245" s="544"/>
      <c r="HQ245" s="544"/>
      <c r="HR245" s="544"/>
      <c r="HS245" s="544"/>
      <c r="HT245" s="544"/>
      <c r="HU245" s="544"/>
      <c r="HV245" s="544"/>
      <c r="HW245" s="544"/>
      <c r="HX245" s="544"/>
      <c r="HY245" s="544"/>
      <c r="HZ245" s="544"/>
      <c r="IA245" s="544"/>
      <c r="IB245" s="544"/>
      <c r="IC245" s="544"/>
      <c r="ID245" s="544"/>
      <c r="IE245" s="544"/>
      <c r="IF245" s="544"/>
      <c r="IG245" s="544"/>
      <c r="IH245" s="544"/>
      <c r="II245" s="544"/>
      <c r="IJ245" s="544"/>
      <c r="IK245" s="544"/>
      <c r="IL245" s="544"/>
      <c r="IM245" s="544"/>
      <c r="IN245" s="544"/>
      <c r="IO245" s="544"/>
      <c r="IP245" s="544"/>
      <c r="IQ245" s="544"/>
      <c r="IR245" s="544"/>
      <c r="IS245" s="544"/>
    </row>
    <row r="246" spans="1:253" x14ac:dyDescent="0.35">
      <c r="A246" s="544"/>
      <c r="B246" s="572"/>
      <c r="C246" s="572"/>
      <c r="E246" s="544"/>
      <c r="F246" s="544"/>
      <c r="G246" s="544"/>
      <c r="H246" s="544"/>
      <c r="I246" s="544"/>
      <c r="J246" s="544"/>
      <c r="K246" s="544"/>
      <c r="AY246" s="544"/>
      <c r="AZ246" s="544"/>
      <c r="BA246" s="544"/>
      <c r="BB246" s="544"/>
      <c r="BC246" s="544"/>
      <c r="BD246" s="544"/>
      <c r="BE246" s="544"/>
      <c r="BF246" s="544"/>
      <c r="BG246" s="544"/>
      <c r="BH246" s="544"/>
      <c r="BI246" s="544"/>
      <c r="BJ246" s="544"/>
      <c r="BK246" s="544"/>
      <c r="BL246" s="544"/>
      <c r="BM246" s="544"/>
      <c r="BN246" s="544"/>
      <c r="BO246" s="544"/>
      <c r="BP246" s="544"/>
      <c r="BQ246" s="544"/>
      <c r="BR246" s="544"/>
      <c r="BS246" s="544"/>
      <c r="BT246" s="544"/>
      <c r="BU246" s="544"/>
      <c r="BV246" s="544"/>
      <c r="BW246" s="544"/>
      <c r="BX246" s="544"/>
      <c r="BY246" s="544"/>
      <c r="BZ246" s="544"/>
      <c r="CA246" s="544"/>
      <c r="CB246" s="544"/>
      <c r="CC246" s="544"/>
      <c r="CD246" s="544"/>
      <c r="CE246" s="544"/>
      <c r="CF246" s="544"/>
      <c r="CG246" s="544"/>
      <c r="CH246" s="544"/>
      <c r="CI246" s="544"/>
      <c r="CJ246" s="544"/>
      <c r="CK246" s="544"/>
      <c r="CL246" s="544"/>
      <c r="CM246" s="544"/>
      <c r="CN246" s="544"/>
      <c r="CO246" s="544"/>
      <c r="CP246" s="544"/>
      <c r="CQ246" s="544"/>
      <c r="CR246" s="544"/>
      <c r="CS246" s="544"/>
      <c r="CT246" s="544"/>
      <c r="CU246" s="544"/>
      <c r="CV246" s="544"/>
      <c r="CW246" s="544"/>
      <c r="CX246" s="544"/>
      <c r="CY246" s="544"/>
      <c r="CZ246" s="544"/>
      <c r="DA246" s="544"/>
      <c r="DB246" s="544"/>
      <c r="DC246" s="544"/>
      <c r="DD246" s="544"/>
      <c r="DE246" s="544"/>
      <c r="DF246" s="544"/>
      <c r="DG246" s="544"/>
      <c r="DH246" s="544"/>
      <c r="DI246" s="544"/>
      <c r="DJ246" s="544"/>
      <c r="DK246" s="544"/>
      <c r="DL246" s="544"/>
      <c r="DM246" s="544"/>
      <c r="DN246" s="544"/>
      <c r="DO246" s="544"/>
      <c r="DP246" s="544"/>
      <c r="DQ246" s="544"/>
      <c r="DR246" s="544"/>
      <c r="DS246" s="544"/>
      <c r="DT246" s="544"/>
      <c r="DU246" s="544"/>
      <c r="DV246" s="544"/>
      <c r="DW246" s="544"/>
      <c r="DX246" s="544"/>
      <c r="DY246" s="544"/>
      <c r="DZ246" s="544"/>
      <c r="EA246" s="544"/>
      <c r="EB246" s="544"/>
      <c r="EC246" s="544"/>
      <c r="ED246" s="544"/>
      <c r="EE246" s="544"/>
      <c r="EF246" s="544"/>
      <c r="EG246" s="544"/>
      <c r="EH246" s="544"/>
      <c r="EI246" s="544"/>
      <c r="EJ246" s="544"/>
      <c r="EK246" s="544"/>
      <c r="EL246" s="544"/>
      <c r="EM246" s="544"/>
      <c r="EN246" s="544"/>
      <c r="EO246" s="544"/>
      <c r="EP246" s="544"/>
      <c r="EQ246" s="544"/>
      <c r="ER246" s="544"/>
      <c r="ES246" s="544"/>
      <c r="ET246" s="544"/>
      <c r="EU246" s="544"/>
      <c r="EV246" s="544"/>
      <c r="EW246" s="544"/>
      <c r="EX246" s="544"/>
      <c r="EY246" s="544"/>
      <c r="EZ246" s="544"/>
      <c r="FA246" s="544"/>
      <c r="FB246" s="544"/>
      <c r="FC246" s="544"/>
      <c r="FD246" s="544"/>
      <c r="FE246" s="544"/>
      <c r="FF246" s="544"/>
      <c r="FG246" s="544"/>
      <c r="FH246" s="544"/>
      <c r="FI246" s="544"/>
      <c r="FJ246" s="544"/>
      <c r="FK246" s="544"/>
      <c r="FL246" s="544"/>
      <c r="FM246" s="544"/>
      <c r="FN246" s="544"/>
      <c r="FO246" s="544"/>
      <c r="FP246" s="544"/>
      <c r="FQ246" s="544"/>
      <c r="FR246" s="544"/>
      <c r="FS246" s="544"/>
      <c r="FT246" s="544"/>
      <c r="FU246" s="544"/>
      <c r="FV246" s="544"/>
      <c r="FW246" s="544"/>
      <c r="FX246" s="544"/>
      <c r="FY246" s="544"/>
      <c r="FZ246" s="544"/>
      <c r="GA246" s="544"/>
      <c r="GB246" s="544"/>
      <c r="GC246" s="544"/>
      <c r="GD246" s="544"/>
      <c r="GE246" s="544"/>
      <c r="GF246" s="544"/>
      <c r="GG246" s="544"/>
      <c r="GH246" s="544"/>
      <c r="GI246" s="544"/>
      <c r="GJ246" s="544"/>
      <c r="GK246" s="544"/>
      <c r="GL246" s="544"/>
      <c r="GM246" s="544"/>
      <c r="GN246" s="544"/>
      <c r="GO246" s="544"/>
      <c r="GP246" s="544"/>
      <c r="GQ246" s="544"/>
      <c r="GR246" s="544"/>
      <c r="GS246" s="544"/>
      <c r="GT246" s="544"/>
      <c r="GU246" s="544"/>
      <c r="GV246" s="544"/>
      <c r="GW246" s="544"/>
      <c r="GX246" s="544"/>
      <c r="GY246" s="544"/>
      <c r="GZ246" s="544"/>
      <c r="HA246" s="544"/>
      <c r="HB246" s="544"/>
      <c r="HC246" s="544"/>
      <c r="HD246" s="544"/>
      <c r="HE246" s="544"/>
      <c r="HF246" s="544"/>
      <c r="HG246" s="544"/>
      <c r="HH246" s="544"/>
      <c r="HI246" s="544"/>
      <c r="HJ246" s="544"/>
      <c r="HK246" s="544"/>
      <c r="HL246" s="544"/>
      <c r="HM246" s="544"/>
      <c r="HN246" s="544"/>
      <c r="HO246" s="544"/>
      <c r="HP246" s="544"/>
      <c r="HQ246" s="544"/>
      <c r="HR246" s="544"/>
      <c r="HS246" s="544"/>
      <c r="HT246" s="544"/>
      <c r="HU246" s="544"/>
      <c r="HV246" s="544"/>
      <c r="HW246" s="544"/>
      <c r="HX246" s="544"/>
      <c r="HY246" s="544"/>
      <c r="HZ246" s="544"/>
      <c r="IA246" s="544"/>
      <c r="IB246" s="544"/>
      <c r="IC246" s="544"/>
      <c r="ID246" s="544"/>
      <c r="IE246" s="544"/>
      <c r="IF246" s="544"/>
      <c r="IG246" s="544"/>
      <c r="IH246" s="544"/>
      <c r="II246" s="544"/>
      <c r="IJ246" s="544"/>
      <c r="IK246" s="544"/>
      <c r="IL246" s="544"/>
      <c r="IM246" s="544"/>
      <c r="IN246" s="544"/>
      <c r="IO246" s="544"/>
      <c r="IP246" s="544"/>
      <c r="IQ246" s="544"/>
      <c r="IR246" s="544"/>
      <c r="IS246" s="544"/>
    </row>
    <row r="247" spans="1:253" x14ac:dyDescent="0.35">
      <c r="A247" s="544"/>
      <c r="B247" s="572"/>
      <c r="C247" s="572"/>
      <c r="E247" s="544"/>
      <c r="F247" s="544"/>
      <c r="G247" s="544"/>
      <c r="H247" s="544"/>
      <c r="I247" s="544"/>
      <c r="J247" s="544"/>
      <c r="K247" s="544"/>
      <c r="AY247" s="544"/>
      <c r="AZ247" s="544"/>
      <c r="BA247" s="544"/>
      <c r="BB247" s="544"/>
      <c r="BC247" s="544"/>
      <c r="BD247" s="544"/>
      <c r="BE247" s="544"/>
      <c r="BF247" s="544"/>
      <c r="BG247" s="544"/>
      <c r="BH247" s="544"/>
      <c r="BI247" s="544"/>
      <c r="BJ247" s="544"/>
      <c r="BK247" s="544"/>
      <c r="BL247" s="544"/>
      <c r="BM247" s="544"/>
      <c r="BN247" s="544"/>
      <c r="BO247" s="544"/>
      <c r="BP247" s="544"/>
      <c r="BQ247" s="544"/>
      <c r="BR247" s="544"/>
      <c r="BS247" s="544"/>
      <c r="BT247" s="544"/>
      <c r="BU247" s="544"/>
      <c r="BV247" s="544"/>
      <c r="BW247" s="544"/>
      <c r="BX247" s="544"/>
      <c r="BY247" s="544"/>
      <c r="BZ247" s="544"/>
      <c r="CA247" s="544"/>
      <c r="CB247" s="544"/>
      <c r="CC247" s="544"/>
      <c r="CD247" s="544"/>
      <c r="CE247" s="544"/>
      <c r="CF247" s="544"/>
      <c r="CG247" s="544"/>
      <c r="CH247" s="544"/>
      <c r="CI247" s="544"/>
      <c r="CJ247" s="544"/>
      <c r="CK247" s="544"/>
      <c r="CL247" s="544"/>
      <c r="CM247" s="544"/>
      <c r="CN247" s="544"/>
      <c r="CO247" s="544"/>
      <c r="CP247" s="544"/>
      <c r="CQ247" s="544"/>
      <c r="CR247" s="544"/>
      <c r="CS247" s="544"/>
      <c r="CT247" s="544"/>
      <c r="CU247" s="544"/>
      <c r="CV247" s="544"/>
      <c r="CW247" s="544"/>
      <c r="CX247" s="544"/>
      <c r="CY247" s="544"/>
      <c r="CZ247" s="544"/>
      <c r="DA247" s="544"/>
      <c r="DB247" s="544"/>
      <c r="DC247" s="544"/>
      <c r="DD247" s="544"/>
      <c r="DE247" s="544"/>
      <c r="DF247" s="544"/>
      <c r="DG247" s="544"/>
      <c r="DH247" s="544"/>
      <c r="DI247" s="544"/>
      <c r="DJ247" s="544"/>
      <c r="DK247" s="544"/>
      <c r="DL247" s="544"/>
      <c r="DM247" s="544"/>
      <c r="DN247" s="544"/>
      <c r="DO247" s="544"/>
      <c r="DP247" s="544"/>
      <c r="DQ247" s="544"/>
      <c r="DR247" s="544"/>
      <c r="DS247" s="544"/>
      <c r="DT247" s="544"/>
      <c r="DU247" s="544"/>
      <c r="DV247" s="544"/>
      <c r="DW247" s="544"/>
      <c r="DX247" s="544"/>
      <c r="DY247" s="544"/>
      <c r="DZ247" s="544"/>
      <c r="EA247" s="544"/>
      <c r="EB247" s="544"/>
      <c r="EC247" s="544"/>
      <c r="ED247" s="544"/>
      <c r="EE247" s="544"/>
      <c r="EF247" s="544"/>
      <c r="EG247" s="544"/>
      <c r="EH247" s="544"/>
      <c r="EI247" s="544"/>
      <c r="EJ247" s="544"/>
      <c r="EK247" s="544"/>
      <c r="EL247" s="544"/>
      <c r="EM247" s="544"/>
      <c r="EN247" s="544"/>
      <c r="EO247" s="544"/>
      <c r="EP247" s="544"/>
      <c r="EQ247" s="544"/>
      <c r="ER247" s="544"/>
      <c r="ES247" s="544"/>
      <c r="ET247" s="544"/>
      <c r="EU247" s="544"/>
      <c r="EV247" s="544"/>
      <c r="EW247" s="544"/>
      <c r="EX247" s="544"/>
      <c r="EY247" s="544"/>
      <c r="EZ247" s="544"/>
      <c r="FA247" s="544"/>
      <c r="FB247" s="544"/>
      <c r="FC247" s="544"/>
      <c r="FD247" s="544"/>
      <c r="FE247" s="544"/>
      <c r="FF247" s="544"/>
      <c r="FG247" s="544"/>
      <c r="FH247" s="544"/>
      <c r="FI247" s="544"/>
      <c r="FJ247" s="544"/>
      <c r="FK247" s="544"/>
      <c r="FL247" s="544"/>
      <c r="FM247" s="544"/>
      <c r="FN247" s="544"/>
      <c r="FO247" s="544"/>
      <c r="FP247" s="544"/>
      <c r="FQ247" s="544"/>
      <c r="FR247" s="544"/>
      <c r="FS247" s="544"/>
      <c r="FT247" s="544"/>
      <c r="FU247" s="544"/>
      <c r="FV247" s="544"/>
      <c r="FW247" s="544"/>
      <c r="FX247" s="544"/>
      <c r="FY247" s="544"/>
      <c r="FZ247" s="544"/>
      <c r="GA247" s="544"/>
      <c r="GB247" s="544"/>
      <c r="GC247" s="544"/>
      <c r="GD247" s="544"/>
      <c r="GE247" s="544"/>
      <c r="GF247" s="544"/>
      <c r="GG247" s="544"/>
      <c r="GH247" s="544"/>
      <c r="GI247" s="544"/>
      <c r="GJ247" s="544"/>
      <c r="GK247" s="544"/>
      <c r="GL247" s="544"/>
      <c r="GM247" s="544"/>
      <c r="GN247" s="544"/>
      <c r="GO247" s="544"/>
      <c r="GP247" s="544"/>
      <c r="GQ247" s="544"/>
      <c r="GR247" s="544"/>
      <c r="GS247" s="544"/>
      <c r="GT247" s="544"/>
      <c r="GU247" s="544"/>
      <c r="GV247" s="544"/>
      <c r="GW247" s="544"/>
      <c r="GX247" s="544"/>
      <c r="GY247" s="544"/>
      <c r="GZ247" s="544"/>
      <c r="HA247" s="544"/>
      <c r="HB247" s="544"/>
      <c r="HC247" s="544"/>
      <c r="HD247" s="544"/>
      <c r="HE247" s="544"/>
      <c r="HF247" s="544"/>
      <c r="HG247" s="544"/>
      <c r="HH247" s="544"/>
      <c r="HI247" s="544"/>
      <c r="HJ247" s="544"/>
      <c r="HK247" s="544"/>
      <c r="HL247" s="544"/>
      <c r="HM247" s="544"/>
      <c r="HN247" s="544"/>
      <c r="HO247" s="544"/>
      <c r="HP247" s="544"/>
      <c r="HQ247" s="544"/>
      <c r="HR247" s="544"/>
      <c r="HS247" s="544"/>
      <c r="HT247" s="544"/>
      <c r="HU247" s="544"/>
      <c r="HV247" s="544"/>
      <c r="HW247" s="544"/>
      <c r="HX247" s="544"/>
      <c r="HY247" s="544"/>
      <c r="HZ247" s="544"/>
      <c r="IA247" s="544"/>
      <c r="IB247" s="544"/>
      <c r="IC247" s="544"/>
      <c r="ID247" s="544"/>
      <c r="IE247" s="544"/>
      <c r="IF247" s="544"/>
      <c r="IG247" s="544"/>
      <c r="IH247" s="544"/>
      <c r="II247" s="544"/>
      <c r="IJ247" s="544"/>
      <c r="IK247" s="544"/>
      <c r="IL247" s="544"/>
      <c r="IM247" s="544"/>
      <c r="IN247" s="544"/>
      <c r="IO247" s="544"/>
      <c r="IP247" s="544"/>
      <c r="IQ247" s="544"/>
      <c r="IR247" s="544"/>
      <c r="IS247" s="544"/>
    </row>
    <row r="248" spans="1:253" x14ac:dyDescent="0.35">
      <c r="A248" s="544"/>
      <c r="B248" s="572"/>
      <c r="C248" s="572"/>
      <c r="E248" s="544"/>
      <c r="F248" s="544"/>
      <c r="G248" s="544"/>
      <c r="H248" s="544"/>
      <c r="I248" s="544"/>
      <c r="J248" s="544"/>
      <c r="K248" s="544"/>
      <c r="AY248" s="544"/>
      <c r="AZ248" s="544"/>
      <c r="BA248" s="544"/>
      <c r="BB248" s="544"/>
      <c r="BC248" s="544"/>
      <c r="BD248" s="544"/>
      <c r="BE248" s="544"/>
      <c r="BF248" s="544"/>
      <c r="BG248" s="544"/>
      <c r="BH248" s="544"/>
      <c r="BI248" s="544"/>
      <c r="BJ248" s="544"/>
      <c r="BK248" s="544"/>
      <c r="BL248" s="544"/>
      <c r="BM248" s="544"/>
      <c r="BN248" s="544"/>
      <c r="BO248" s="544"/>
      <c r="BP248" s="544"/>
      <c r="BQ248" s="544"/>
      <c r="BR248" s="544"/>
      <c r="BS248" s="544"/>
      <c r="BT248" s="544"/>
      <c r="BU248" s="544"/>
      <c r="BV248" s="544"/>
      <c r="BW248" s="544"/>
      <c r="BX248" s="544"/>
      <c r="BY248" s="544"/>
      <c r="BZ248" s="544"/>
      <c r="CA248" s="544"/>
      <c r="CB248" s="544"/>
      <c r="CC248" s="544"/>
      <c r="CD248" s="544"/>
      <c r="CE248" s="544"/>
      <c r="CF248" s="544"/>
      <c r="CG248" s="544"/>
      <c r="CH248" s="544"/>
      <c r="CI248" s="544"/>
      <c r="CJ248" s="544"/>
      <c r="CK248" s="544"/>
      <c r="CL248" s="544"/>
      <c r="CM248" s="544"/>
      <c r="CN248" s="544"/>
      <c r="CO248" s="544"/>
      <c r="CP248" s="544"/>
      <c r="CQ248" s="544"/>
      <c r="CR248" s="544"/>
      <c r="CS248" s="544"/>
      <c r="CT248" s="544"/>
      <c r="CU248" s="544"/>
      <c r="CV248" s="544"/>
      <c r="CW248" s="544"/>
      <c r="CX248" s="544"/>
      <c r="CY248" s="544"/>
      <c r="CZ248" s="544"/>
      <c r="DA248" s="544"/>
      <c r="DB248" s="544"/>
      <c r="DC248" s="544"/>
      <c r="DD248" s="544"/>
      <c r="DE248" s="544"/>
      <c r="DF248" s="544"/>
      <c r="DG248" s="544"/>
      <c r="DH248" s="544"/>
      <c r="DI248" s="544"/>
      <c r="DJ248" s="544"/>
      <c r="DK248" s="544"/>
      <c r="DL248" s="544"/>
      <c r="DM248" s="544"/>
      <c r="DN248" s="544"/>
      <c r="DO248" s="544"/>
      <c r="DP248" s="544"/>
      <c r="DQ248" s="544"/>
      <c r="DR248" s="544"/>
      <c r="DS248" s="544"/>
      <c r="DT248" s="544"/>
      <c r="DU248" s="544"/>
      <c r="DV248" s="544"/>
      <c r="DW248" s="544"/>
      <c r="DX248" s="544"/>
      <c r="DY248" s="544"/>
      <c r="DZ248" s="544"/>
      <c r="EA248" s="544"/>
      <c r="EB248" s="544"/>
      <c r="EC248" s="544"/>
      <c r="ED248" s="544"/>
      <c r="EE248" s="544"/>
      <c r="EF248" s="544"/>
      <c r="EG248" s="544"/>
      <c r="EH248" s="544"/>
      <c r="EI248" s="544"/>
      <c r="EJ248" s="544"/>
      <c r="EK248" s="544"/>
      <c r="EL248" s="544"/>
      <c r="EM248" s="544"/>
      <c r="EN248" s="544"/>
      <c r="EO248" s="544"/>
      <c r="EP248" s="544"/>
      <c r="EQ248" s="544"/>
      <c r="ER248" s="544"/>
      <c r="ES248" s="544"/>
      <c r="ET248" s="544"/>
      <c r="EU248" s="544"/>
      <c r="EV248" s="544"/>
      <c r="EW248" s="544"/>
      <c r="EX248" s="544"/>
      <c r="EY248" s="544"/>
      <c r="EZ248" s="544"/>
      <c r="FA248" s="544"/>
      <c r="FB248" s="544"/>
      <c r="FC248" s="544"/>
      <c r="FD248" s="544"/>
      <c r="FE248" s="544"/>
      <c r="FF248" s="544"/>
      <c r="FG248" s="544"/>
      <c r="FH248" s="544"/>
      <c r="FI248" s="544"/>
      <c r="FJ248" s="544"/>
      <c r="FK248" s="544"/>
      <c r="FL248" s="544"/>
      <c r="FM248" s="544"/>
      <c r="FN248" s="544"/>
      <c r="FO248" s="544"/>
      <c r="FP248" s="544"/>
      <c r="FQ248" s="544"/>
      <c r="FR248" s="544"/>
      <c r="FS248" s="544"/>
      <c r="FT248" s="544"/>
      <c r="FU248" s="544"/>
      <c r="FV248" s="544"/>
      <c r="FW248" s="544"/>
      <c r="FX248" s="544"/>
      <c r="FY248" s="544"/>
      <c r="FZ248" s="544"/>
      <c r="GA248" s="544"/>
      <c r="GB248" s="544"/>
      <c r="GC248" s="544"/>
      <c r="GD248" s="544"/>
      <c r="GE248" s="544"/>
      <c r="GF248" s="544"/>
      <c r="GG248" s="544"/>
      <c r="GH248" s="544"/>
      <c r="GI248" s="544"/>
      <c r="GJ248" s="544"/>
      <c r="GK248" s="544"/>
      <c r="GL248" s="544"/>
      <c r="GM248" s="544"/>
      <c r="GN248" s="544"/>
      <c r="GO248" s="544"/>
      <c r="GP248" s="544"/>
      <c r="GQ248" s="544"/>
      <c r="GR248" s="544"/>
      <c r="GS248" s="544"/>
      <c r="GT248" s="544"/>
      <c r="GU248" s="544"/>
      <c r="GV248" s="544"/>
      <c r="GW248" s="544"/>
      <c r="GX248" s="544"/>
      <c r="GY248" s="544"/>
      <c r="GZ248" s="544"/>
      <c r="HA248" s="544"/>
      <c r="HB248" s="544"/>
      <c r="HC248" s="544"/>
      <c r="HD248" s="544"/>
      <c r="HE248" s="544"/>
      <c r="HF248" s="544"/>
      <c r="HG248" s="544"/>
      <c r="HH248" s="544"/>
      <c r="HI248" s="544"/>
      <c r="HJ248" s="544"/>
      <c r="HK248" s="544"/>
      <c r="HL248" s="544"/>
      <c r="HM248" s="544"/>
      <c r="HN248" s="544"/>
      <c r="HO248" s="544"/>
      <c r="HP248" s="544"/>
      <c r="HQ248" s="544"/>
      <c r="HR248" s="544"/>
      <c r="HS248" s="544"/>
      <c r="HT248" s="544"/>
      <c r="HU248" s="544"/>
      <c r="HV248" s="544"/>
      <c r="HW248" s="544"/>
      <c r="HX248" s="544"/>
      <c r="HY248" s="544"/>
      <c r="HZ248" s="544"/>
      <c r="IA248" s="544"/>
      <c r="IB248" s="544"/>
      <c r="IC248" s="544"/>
      <c r="ID248" s="544"/>
      <c r="IE248" s="544"/>
      <c r="IF248" s="544"/>
      <c r="IG248" s="544"/>
      <c r="IH248" s="544"/>
      <c r="II248" s="544"/>
      <c r="IJ248" s="544"/>
      <c r="IK248" s="544"/>
      <c r="IL248" s="544"/>
      <c r="IM248" s="544"/>
      <c r="IN248" s="544"/>
      <c r="IO248" s="544"/>
      <c r="IP248" s="544"/>
      <c r="IQ248" s="544"/>
      <c r="IR248" s="544"/>
      <c r="IS248" s="544"/>
    </row>
    <row r="249" spans="1:253" x14ac:dyDescent="0.35">
      <c r="A249" s="544"/>
      <c r="B249" s="572"/>
      <c r="C249" s="572"/>
      <c r="E249" s="544"/>
      <c r="F249" s="544"/>
      <c r="G249" s="544"/>
      <c r="H249" s="544"/>
      <c r="I249" s="544"/>
      <c r="J249" s="544"/>
      <c r="K249" s="544"/>
      <c r="AY249" s="544"/>
      <c r="AZ249" s="544"/>
      <c r="BA249" s="544"/>
      <c r="BB249" s="544"/>
      <c r="BC249" s="544"/>
      <c r="BD249" s="544"/>
      <c r="BE249" s="544"/>
      <c r="BF249" s="544"/>
      <c r="BG249" s="544"/>
      <c r="BH249" s="544"/>
      <c r="BI249" s="544"/>
      <c r="BJ249" s="544"/>
      <c r="BK249" s="544"/>
      <c r="BL249" s="544"/>
      <c r="BM249" s="544"/>
      <c r="BN249" s="544"/>
      <c r="BO249" s="544"/>
      <c r="BP249" s="544"/>
      <c r="BQ249" s="544"/>
      <c r="BR249" s="544"/>
      <c r="BS249" s="544"/>
      <c r="BT249" s="544"/>
      <c r="BU249" s="544"/>
      <c r="BV249" s="544"/>
      <c r="BW249" s="544"/>
      <c r="BX249" s="544"/>
      <c r="BY249" s="544"/>
      <c r="BZ249" s="544"/>
      <c r="CA249" s="544"/>
      <c r="CB249" s="544"/>
      <c r="CC249" s="544"/>
      <c r="CD249" s="544"/>
      <c r="CE249" s="544"/>
      <c r="CF249" s="544"/>
      <c r="CG249" s="544"/>
      <c r="CH249" s="544"/>
      <c r="CI249" s="544"/>
      <c r="CJ249" s="544"/>
      <c r="CK249" s="544"/>
      <c r="CL249" s="544"/>
      <c r="CM249" s="544"/>
      <c r="CN249" s="544"/>
      <c r="CO249" s="544"/>
      <c r="CP249" s="544"/>
      <c r="CQ249" s="544"/>
      <c r="CR249" s="544"/>
      <c r="CS249" s="544"/>
      <c r="CT249" s="544"/>
      <c r="CU249" s="544"/>
      <c r="CV249" s="544"/>
      <c r="CW249" s="544"/>
      <c r="CX249" s="544"/>
      <c r="CY249" s="544"/>
      <c r="CZ249" s="544"/>
      <c r="DA249" s="544"/>
      <c r="DB249" s="544"/>
      <c r="DC249" s="544"/>
      <c r="DD249" s="544"/>
      <c r="DE249" s="544"/>
      <c r="DF249" s="544"/>
      <c r="DG249" s="544"/>
      <c r="DH249" s="544"/>
      <c r="DI249" s="544"/>
      <c r="DJ249" s="544"/>
      <c r="DK249" s="544"/>
      <c r="DL249" s="544"/>
      <c r="DM249" s="544"/>
      <c r="DN249" s="544"/>
      <c r="DO249" s="544"/>
      <c r="DP249" s="544"/>
      <c r="DQ249" s="544"/>
      <c r="DR249" s="544"/>
      <c r="DS249" s="544"/>
      <c r="DT249" s="544"/>
      <c r="DU249" s="544"/>
      <c r="DV249" s="544"/>
      <c r="DW249" s="544"/>
      <c r="DX249" s="544"/>
      <c r="DY249" s="544"/>
      <c r="DZ249" s="544"/>
      <c r="EA249" s="544"/>
      <c r="EB249" s="544"/>
      <c r="EC249" s="544"/>
      <c r="ED249" s="544"/>
      <c r="EE249" s="544"/>
      <c r="EF249" s="544"/>
      <c r="EG249" s="544"/>
      <c r="EH249" s="544"/>
      <c r="EI249" s="544"/>
      <c r="EJ249" s="544"/>
      <c r="EK249" s="544"/>
      <c r="EL249" s="544"/>
      <c r="EM249" s="544"/>
      <c r="EN249" s="544"/>
      <c r="EO249" s="544"/>
      <c r="EP249" s="544"/>
      <c r="EQ249" s="544"/>
      <c r="ER249" s="544"/>
      <c r="ES249" s="544"/>
      <c r="ET249" s="544"/>
      <c r="EU249" s="544"/>
      <c r="EV249" s="544"/>
      <c r="EW249" s="544"/>
      <c r="EX249" s="544"/>
      <c r="EY249" s="544"/>
      <c r="EZ249" s="544"/>
      <c r="FA249" s="544"/>
      <c r="FB249" s="544"/>
      <c r="FC249" s="544"/>
      <c r="FD249" s="544"/>
      <c r="FE249" s="544"/>
      <c r="FF249" s="544"/>
      <c r="FG249" s="544"/>
      <c r="FH249" s="544"/>
      <c r="FI249" s="544"/>
      <c r="FJ249" s="544"/>
      <c r="FK249" s="544"/>
      <c r="FL249" s="544"/>
      <c r="FM249" s="544"/>
      <c r="FN249" s="544"/>
      <c r="FO249" s="544"/>
      <c r="FP249" s="544"/>
      <c r="FQ249" s="544"/>
      <c r="FR249" s="544"/>
      <c r="FS249" s="544"/>
      <c r="FT249" s="544"/>
      <c r="FU249" s="544"/>
      <c r="FV249" s="544"/>
      <c r="FW249" s="544"/>
      <c r="FX249" s="544"/>
      <c r="FY249" s="544"/>
      <c r="FZ249" s="544"/>
      <c r="GA249" s="544"/>
      <c r="GB249" s="544"/>
      <c r="GC249" s="544"/>
      <c r="GD249" s="544"/>
      <c r="GE249" s="544"/>
      <c r="GF249" s="544"/>
      <c r="GG249" s="544"/>
      <c r="GH249" s="544"/>
      <c r="GI249" s="544"/>
      <c r="GJ249" s="544"/>
      <c r="GK249" s="544"/>
      <c r="GL249" s="544"/>
      <c r="GM249" s="544"/>
      <c r="GN249" s="544"/>
      <c r="GO249" s="544"/>
      <c r="GP249" s="544"/>
      <c r="GQ249" s="544"/>
      <c r="GR249" s="544"/>
      <c r="GS249" s="544"/>
      <c r="GT249" s="544"/>
      <c r="GU249" s="544"/>
      <c r="GV249" s="544"/>
      <c r="GW249" s="544"/>
      <c r="GX249" s="544"/>
      <c r="GY249" s="544"/>
      <c r="GZ249" s="544"/>
      <c r="HA249" s="544"/>
      <c r="HB249" s="544"/>
      <c r="HC249" s="544"/>
      <c r="HD249" s="544"/>
      <c r="HE249" s="544"/>
      <c r="HF249" s="544"/>
      <c r="HG249" s="544"/>
      <c r="HH249" s="544"/>
      <c r="HI249" s="544"/>
      <c r="HJ249" s="544"/>
      <c r="HK249" s="544"/>
      <c r="HL249" s="544"/>
      <c r="HM249" s="544"/>
      <c r="HN249" s="544"/>
      <c r="HO249" s="544"/>
      <c r="HP249" s="544"/>
      <c r="HQ249" s="544"/>
      <c r="HR249" s="544"/>
      <c r="HS249" s="544"/>
      <c r="HT249" s="544"/>
      <c r="HU249" s="544"/>
      <c r="HV249" s="544"/>
      <c r="HW249" s="544"/>
      <c r="HX249" s="544"/>
      <c r="HY249" s="544"/>
      <c r="HZ249" s="544"/>
      <c r="IA249" s="544"/>
      <c r="IB249" s="544"/>
      <c r="IC249" s="544"/>
      <c r="ID249" s="544"/>
      <c r="IE249" s="544"/>
      <c r="IF249" s="544"/>
      <c r="IG249" s="544"/>
      <c r="IH249" s="544"/>
      <c r="II249" s="544"/>
      <c r="IJ249" s="544"/>
      <c r="IK249" s="544"/>
      <c r="IL249" s="544"/>
      <c r="IM249" s="544"/>
      <c r="IN249" s="544"/>
      <c r="IO249" s="544"/>
      <c r="IP249" s="544"/>
      <c r="IQ249" s="544"/>
      <c r="IR249" s="544"/>
      <c r="IS249" s="544"/>
    </row>
    <row r="250" spans="1:253" x14ac:dyDescent="0.35">
      <c r="A250" s="544"/>
      <c r="B250" s="572"/>
      <c r="C250" s="572"/>
      <c r="E250" s="544"/>
      <c r="F250" s="544"/>
      <c r="G250" s="544"/>
      <c r="H250" s="544"/>
      <c r="I250" s="544"/>
      <c r="J250" s="544"/>
      <c r="K250" s="544"/>
      <c r="AY250" s="544"/>
      <c r="AZ250" s="544"/>
      <c r="BA250" s="544"/>
      <c r="BB250" s="544"/>
      <c r="BC250" s="544"/>
      <c r="BD250" s="544"/>
      <c r="BE250" s="544"/>
      <c r="BF250" s="544"/>
      <c r="BG250" s="544"/>
      <c r="BH250" s="544"/>
      <c r="BI250" s="544"/>
      <c r="BJ250" s="544"/>
      <c r="BK250" s="544"/>
      <c r="BL250" s="544"/>
      <c r="BM250" s="544"/>
      <c r="BN250" s="544"/>
      <c r="BO250" s="544"/>
      <c r="BP250" s="544"/>
      <c r="BQ250" s="544"/>
      <c r="BR250" s="544"/>
      <c r="BS250" s="544"/>
      <c r="BT250" s="544"/>
      <c r="BU250" s="544"/>
      <c r="BV250" s="544"/>
      <c r="BW250" s="544"/>
      <c r="BX250" s="544"/>
      <c r="BY250" s="544"/>
      <c r="BZ250" s="544"/>
      <c r="CA250" s="544"/>
      <c r="CB250" s="544"/>
      <c r="CC250" s="544"/>
      <c r="CD250" s="544"/>
      <c r="CE250" s="544"/>
      <c r="CF250" s="544"/>
      <c r="CG250" s="544"/>
      <c r="CH250" s="544"/>
      <c r="CI250" s="544"/>
      <c r="CJ250" s="544"/>
      <c r="CK250" s="544"/>
      <c r="CL250" s="544"/>
      <c r="CM250" s="544"/>
      <c r="CN250" s="544"/>
      <c r="CO250" s="544"/>
      <c r="CP250" s="544"/>
      <c r="CQ250" s="544"/>
      <c r="CR250" s="544"/>
      <c r="CS250" s="544"/>
      <c r="CT250" s="544"/>
      <c r="CU250" s="544"/>
      <c r="CV250" s="544"/>
      <c r="CW250" s="544"/>
      <c r="CX250" s="544"/>
      <c r="CY250" s="544"/>
      <c r="CZ250" s="544"/>
      <c r="DA250" s="544"/>
      <c r="DB250" s="544"/>
      <c r="DC250" s="544"/>
      <c r="DD250" s="544"/>
      <c r="DE250" s="544"/>
      <c r="DF250" s="544"/>
      <c r="DG250" s="544"/>
      <c r="DH250" s="544"/>
      <c r="DI250" s="544"/>
      <c r="DJ250" s="544"/>
      <c r="DK250" s="544"/>
      <c r="DL250" s="544"/>
      <c r="DM250" s="544"/>
      <c r="DN250" s="544"/>
      <c r="DO250" s="544"/>
      <c r="DP250" s="544"/>
      <c r="DQ250" s="544"/>
      <c r="DR250" s="544"/>
      <c r="DS250" s="544"/>
      <c r="DT250" s="544"/>
      <c r="DU250" s="544"/>
      <c r="DV250" s="544"/>
      <c r="DW250" s="544"/>
      <c r="DX250" s="544"/>
      <c r="DY250" s="544"/>
      <c r="DZ250" s="544"/>
      <c r="EA250" s="544"/>
      <c r="EB250" s="544"/>
      <c r="EC250" s="544"/>
      <c r="ED250" s="544"/>
      <c r="EE250" s="544"/>
      <c r="EF250" s="544"/>
      <c r="EG250" s="544"/>
      <c r="EH250" s="544"/>
      <c r="EI250" s="544"/>
      <c r="EJ250" s="544"/>
      <c r="EK250" s="544"/>
      <c r="EL250" s="544"/>
      <c r="EM250" s="544"/>
      <c r="EN250" s="544"/>
      <c r="EO250" s="544"/>
      <c r="EP250" s="544"/>
      <c r="EQ250" s="544"/>
      <c r="ER250" s="544"/>
      <c r="ES250" s="544"/>
      <c r="ET250" s="544"/>
      <c r="EU250" s="544"/>
      <c r="EV250" s="544"/>
      <c r="EW250" s="544"/>
      <c r="EX250" s="544"/>
      <c r="EY250" s="544"/>
      <c r="EZ250" s="544"/>
      <c r="FA250" s="544"/>
      <c r="FB250" s="544"/>
      <c r="FC250" s="544"/>
      <c r="FD250" s="544"/>
      <c r="FE250" s="544"/>
      <c r="FF250" s="544"/>
      <c r="FG250" s="544"/>
      <c r="FH250" s="544"/>
      <c r="FI250" s="544"/>
      <c r="FJ250" s="544"/>
      <c r="FK250" s="544"/>
      <c r="FL250" s="544"/>
      <c r="FM250" s="544"/>
      <c r="FN250" s="544"/>
      <c r="FO250" s="544"/>
      <c r="FP250" s="544"/>
      <c r="FQ250" s="544"/>
      <c r="FR250" s="544"/>
      <c r="FS250" s="544"/>
      <c r="FT250" s="544"/>
      <c r="FU250" s="544"/>
      <c r="FV250" s="544"/>
      <c r="FW250" s="544"/>
      <c r="FX250" s="544"/>
      <c r="FY250" s="544"/>
      <c r="FZ250" s="544"/>
      <c r="GA250" s="544"/>
      <c r="GB250" s="544"/>
      <c r="GC250" s="544"/>
      <c r="GD250" s="544"/>
      <c r="GE250" s="544"/>
      <c r="GF250" s="544"/>
      <c r="GG250" s="544"/>
      <c r="GH250" s="544"/>
      <c r="GI250" s="544"/>
      <c r="GJ250" s="544"/>
      <c r="GK250" s="544"/>
      <c r="GL250" s="544"/>
      <c r="GM250" s="544"/>
      <c r="GN250" s="544"/>
      <c r="GO250" s="544"/>
      <c r="GP250" s="544"/>
      <c r="GQ250" s="544"/>
      <c r="GR250" s="544"/>
      <c r="GS250" s="544"/>
      <c r="GT250" s="544"/>
      <c r="GU250" s="544"/>
      <c r="GV250" s="544"/>
      <c r="GW250" s="544"/>
      <c r="GX250" s="544"/>
      <c r="GY250" s="544"/>
      <c r="GZ250" s="544"/>
      <c r="HA250" s="544"/>
      <c r="HB250" s="544"/>
      <c r="HC250" s="544"/>
      <c r="HD250" s="544"/>
      <c r="HE250" s="544"/>
      <c r="HF250" s="544"/>
      <c r="HG250" s="544"/>
      <c r="HH250" s="544"/>
      <c r="HI250" s="544"/>
      <c r="HJ250" s="544"/>
      <c r="HK250" s="544"/>
      <c r="HL250" s="544"/>
      <c r="HM250" s="544"/>
      <c r="HN250" s="544"/>
      <c r="HO250" s="544"/>
      <c r="HP250" s="544"/>
      <c r="HQ250" s="544"/>
      <c r="HR250" s="544"/>
      <c r="HS250" s="544"/>
      <c r="HT250" s="544"/>
      <c r="HU250" s="544"/>
      <c r="HV250" s="544"/>
      <c r="HW250" s="544"/>
      <c r="HX250" s="544"/>
      <c r="HY250" s="544"/>
      <c r="HZ250" s="544"/>
      <c r="IA250" s="544"/>
      <c r="IB250" s="544"/>
      <c r="IC250" s="544"/>
      <c r="ID250" s="544"/>
      <c r="IE250" s="544"/>
      <c r="IF250" s="544"/>
      <c r="IG250" s="544"/>
      <c r="IH250" s="544"/>
      <c r="II250" s="544"/>
      <c r="IJ250" s="544"/>
      <c r="IK250" s="544"/>
      <c r="IL250" s="544"/>
      <c r="IM250" s="544"/>
      <c r="IN250" s="544"/>
      <c r="IO250" s="544"/>
      <c r="IP250" s="544"/>
      <c r="IQ250" s="544"/>
      <c r="IR250" s="544"/>
      <c r="IS250" s="544"/>
    </row>
    <row r="251" spans="1:253" x14ac:dyDescent="0.35">
      <c r="A251" s="544"/>
      <c r="B251" s="572"/>
      <c r="C251" s="572"/>
      <c r="E251" s="544"/>
      <c r="F251" s="544"/>
      <c r="G251" s="544"/>
      <c r="H251" s="544"/>
      <c r="I251" s="544"/>
      <c r="J251" s="544"/>
      <c r="K251" s="544"/>
      <c r="AY251" s="544"/>
      <c r="AZ251" s="544"/>
      <c r="BA251" s="544"/>
      <c r="BB251" s="544"/>
      <c r="BC251" s="544"/>
      <c r="BD251" s="544"/>
      <c r="BE251" s="544"/>
      <c r="BF251" s="544"/>
      <c r="BG251" s="544"/>
      <c r="BH251" s="544"/>
      <c r="BI251" s="544"/>
      <c r="BJ251" s="544"/>
      <c r="BK251" s="544"/>
      <c r="BL251" s="544"/>
      <c r="BM251" s="544"/>
      <c r="BN251" s="544"/>
      <c r="BO251" s="544"/>
      <c r="BP251" s="544"/>
      <c r="BQ251" s="544"/>
      <c r="BR251" s="544"/>
      <c r="BS251" s="544"/>
      <c r="BT251" s="544"/>
      <c r="BU251" s="544"/>
      <c r="BV251" s="544"/>
      <c r="BW251" s="544"/>
      <c r="BX251" s="544"/>
      <c r="BY251" s="544"/>
      <c r="BZ251" s="544"/>
      <c r="CA251" s="544"/>
      <c r="CB251" s="544"/>
      <c r="CC251" s="544"/>
      <c r="CD251" s="544"/>
      <c r="CE251" s="544"/>
      <c r="CF251" s="544"/>
      <c r="CG251" s="544"/>
      <c r="CH251" s="544"/>
      <c r="CI251" s="544"/>
      <c r="CJ251" s="544"/>
      <c r="CK251" s="544"/>
      <c r="CL251" s="544"/>
      <c r="CM251" s="544"/>
      <c r="CN251" s="544"/>
      <c r="CO251" s="544"/>
      <c r="CP251" s="544"/>
      <c r="CQ251" s="544"/>
      <c r="CR251" s="544"/>
      <c r="CS251" s="544"/>
      <c r="CT251" s="544"/>
      <c r="CU251" s="544"/>
      <c r="CV251" s="544"/>
      <c r="CW251" s="544"/>
      <c r="CX251" s="544"/>
      <c r="CY251" s="544"/>
      <c r="CZ251" s="544"/>
      <c r="DA251" s="544"/>
      <c r="DB251" s="544"/>
      <c r="DC251" s="544"/>
      <c r="DD251" s="544"/>
      <c r="DE251" s="544"/>
      <c r="DF251" s="544"/>
      <c r="DG251" s="544"/>
      <c r="DH251" s="544"/>
      <c r="DI251" s="544"/>
      <c r="DJ251" s="544"/>
      <c r="DK251" s="544"/>
      <c r="DL251" s="544"/>
      <c r="DM251" s="544"/>
      <c r="DN251" s="544"/>
      <c r="DO251" s="544"/>
      <c r="DP251" s="544"/>
      <c r="DQ251" s="544"/>
      <c r="DR251" s="544"/>
      <c r="DS251" s="544"/>
      <c r="DT251" s="544"/>
      <c r="DU251" s="544"/>
      <c r="DV251" s="544"/>
      <c r="DW251" s="544"/>
      <c r="DX251" s="544"/>
      <c r="DY251" s="544"/>
      <c r="DZ251" s="544"/>
      <c r="EA251" s="544"/>
      <c r="EB251" s="544"/>
      <c r="EC251" s="544"/>
      <c r="ED251" s="544"/>
      <c r="EE251" s="544"/>
      <c r="EF251" s="544"/>
      <c r="EG251" s="544"/>
      <c r="EH251" s="544"/>
      <c r="EI251" s="544"/>
      <c r="EJ251" s="544"/>
      <c r="EK251" s="544"/>
      <c r="EL251" s="544"/>
      <c r="EM251" s="544"/>
      <c r="EN251" s="544"/>
      <c r="EO251" s="544"/>
      <c r="EP251" s="544"/>
      <c r="EQ251" s="544"/>
      <c r="ER251" s="544"/>
      <c r="ES251" s="544"/>
      <c r="ET251" s="544"/>
      <c r="EU251" s="544"/>
      <c r="EV251" s="544"/>
      <c r="EW251" s="544"/>
      <c r="EX251" s="544"/>
      <c r="EY251" s="544"/>
      <c r="EZ251" s="544"/>
      <c r="FA251" s="544"/>
      <c r="FB251" s="544"/>
      <c r="FC251" s="544"/>
      <c r="FD251" s="544"/>
      <c r="FE251" s="544"/>
      <c r="FF251" s="544"/>
      <c r="FG251" s="544"/>
      <c r="FH251" s="544"/>
      <c r="FI251" s="544"/>
      <c r="FJ251" s="544"/>
      <c r="FK251" s="544"/>
      <c r="FL251" s="544"/>
      <c r="FM251" s="544"/>
      <c r="FN251" s="544"/>
      <c r="FO251" s="544"/>
      <c r="FP251" s="544"/>
      <c r="FQ251" s="544"/>
      <c r="FR251" s="544"/>
      <c r="FS251" s="544"/>
      <c r="FT251" s="544"/>
      <c r="FU251" s="544"/>
      <c r="FV251" s="544"/>
      <c r="FW251" s="544"/>
      <c r="FX251" s="544"/>
      <c r="FY251" s="544"/>
      <c r="FZ251" s="544"/>
      <c r="GA251" s="544"/>
      <c r="GB251" s="544"/>
      <c r="GC251" s="544"/>
      <c r="GD251" s="544"/>
      <c r="GE251" s="544"/>
      <c r="GF251" s="544"/>
      <c r="GG251" s="544"/>
      <c r="GH251" s="544"/>
      <c r="GI251" s="544"/>
      <c r="GJ251" s="544"/>
      <c r="GK251" s="544"/>
      <c r="GL251" s="544"/>
      <c r="GM251" s="544"/>
      <c r="GN251" s="544"/>
      <c r="GO251" s="544"/>
      <c r="GP251" s="544"/>
      <c r="GQ251" s="544"/>
      <c r="GR251" s="544"/>
      <c r="GS251" s="544"/>
      <c r="GT251" s="544"/>
      <c r="GU251" s="544"/>
      <c r="GV251" s="544"/>
      <c r="GW251" s="544"/>
      <c r="GX251" s="544"/>
      <c r="GY251" s="544"/>
      <c r="GZ251" s="544"/>
      <c r="HA251" s="544"/>
      <c r="HB251" s="544"/>
      <c r="HC251" s="544"/>
      <c r="HD251" s="544"/>
      <c r="HE251" s="544"/>
      <c r="HF251" s="544"/>
      <c r="HG251" s="544"/>
      <c r="HH251" s="544"/>
      <c r="HI251" s="544"/>
      <c r="HJ251" s="544"/>
      <c r="HK251" s="544"/>
      <c r="HL251" s="544"/>
      <c r="HM251" s="544"/>
      <c r="HN251" s="544"/>
      <c r="HO251" s="544"/>
      <c r="HP251" s="544"/>
      <c r="HQ251" s="544"/>
      <c r="HR251" s="544"/>
      <c r="HS251" s="544"/>
      <c r="HT251" s="544"/>
      <c r="HU251" s="544"/>
      <c r="HV251" s="544"/>
      <c r="HW251" s="544"/>
      <c r="HX251" s="544"/>
      <c r="HY251" s="544"/>
      <c r="HZ251" s="544"/>
      <c r="IA251" s="544"/>
      <c r="IB251" s="544"/>
      <c r="IC251" s="544"/>
      <c r="ID251" s="544"/>
      <c r="IE251" s="544"/>
      <c r="IF251" s="544"/>
      <c r="IG251" s="544"/>
      <c r="IH251" s="544"/>
      <c r="II251" s="544"/>
      <c r="IJ251" s="544"/>
      <c r="IK251" s="544"/>
      <c r="IL251" s="544"/>
      <c r="IM251" s="544"/>
      <c r="IN251" s="544"/>
      <c r="IO251" s="544"/>
      <c r="IP251" s="544"/>
      <c r="IQ251" s="544"/>
      <c r="IR251" s="544"/>
      <c r="IS251" s="544"/>
    </row>
    <row r="252" spans="1:253" x14ac:dyDescent="0.35">
      <c r="A252" s="544"/>
      <c r="B252" s="572"/>
      <c r="C252" s="572"/>
      <c r="E252" s="544"/>
      <c r="F252" s="544"/>
      <c r="G252" s="544"/>
      <c r="H252" s="544"/>
      <c r="I252" s="544"/>
      <c r="J252" s="544"/>
      <c r="K252" s="544"/>
      <c r="AY252" s="544"/>
      <c r="AZ252" s="544"/>
      <c r="BA252" s="544"/>
      <c r="BB252" s="544"/>
      <c r="BC252" s="544"/>
      <c r="BD252" s="544"/>
      <c r="BE252" s="544"/>
      <c r="BF252" s="544"/>
      <c r="BG252" s="544"/>
      <c r="BH252" s="544"/>
      <c r="BI252" s="544"/>
      <c r="BJ252" s="544"/>
      <c r="BK252" s="544"/>
      <c r="BL252" s="544"/>
      <c r="BM252" s="544"/>
      <c r="BN252" s="544"/>
      <c r="BO252" s="544"/>
      <c r="BP252" s="544"/>
      <c r="BQ252" s="544"/>
      <c r="BR252" s="544"/>
      <c r="BS252" s="544"/>
      <c r="BT252" s="544"/>
      <c r="BU252" s="544"/>
      <c r="BV252" s="544"/>
      <c r="BW252" s="544"/>
      <c r="BX252" s="544"/>
      <c r="BY252" s="544"/>
      <c r="BZ252" s="544"/>
      <c r="CA252" s="544"/>
      <c r="CB252" s="544"/>
      <c r="CC252" s="544"/>
      <c r="CD252" s="544"/>
      <c r="CE252" s="544"/>
      <c r="CF252" s="544"/>
      <c r="CG252" s="544"/>
      <c r="CH252" s="544"/>
      <c r="CI252" s="544"/>
      <c r="CJ252" s="544"/>
      <c r="CK252" s="544"/>
      <c r="CL252" s="544"/>
      <c r="CM252" s="544"/>
      <c r="CN252" s="544"/>
      <c r="CO252" s="544"/>
      <c r="CP252" s="544"/>
      <c r="CQ252" s="544"/>
      <c r="CR252" s="544"/>
      <c r="CS252" s="544"/>
      <c r="CT252" s="544"/>
      <c r="CU252" s="544"/>
      <c r="CV252" s="544"/>
      <c r="CW252" s="544"/>
      <c r="CX252" s="544"/>
      <c r="CY252" s="544"/>
      <c r="CZ252" s="544"/>
      <c r="DA252" s="544"/>
      <c r="DB252" s="544"/>
      <c r="DC252" s="544"/>
      <c r="DD252" s="544"/>
      <c r="DE252" s="544"/>
      <c r="DF252" s="544"/>
      <c r="DG252" s="544"/>
      <c r="DH252" s="544"/>
      <c r="DI252" s="544"/>
      <c r="DJ252" s="544"/>
      <c r="DK252" s="544"/>
      <c r="DL252" s="544"/>
      <c r="DM252" s="544"/>
      <c r="DN252" s="544"/>
      <c r="DO252" s="544"/>
      <c r="DP252" s="544"/>
      <c r="DQ252" s="544"/>
      <c r="DR252" s="544"/>
      <c r="DS252" s="544"/>
      <c r="DT252" s="544"/>
      <c r="DU252" s="544"/>
      <c r="DV252" s="544"/>
      <c r="DW252" s="544"/>
      <c r="DX252" s="544"/>
      <c r="DY252" s="544"/>
      <c r="DZ252" s="544"/>
      <c r="EA252" s="544"/>
      <c r="EB252" s="544"/>
      <c r="EC252" s="544"/>
      <c r="ED252" s="544"/>
      <c r="EE252" s="544"/>
      <c r="EF252" s="544"/>
      <c r="EG252" s="544"/>
      <c r="EH252" s="544"/>
      <c r="EI252" s="544"/>
      <c r="EJ252" s="544"/>
      <c r="EK252" s="544"/>
      <c r="EL252" s="544"/>
      <c r="EM252" s="544"/>
      <c r="EN252" s="544"/>
      <c r="EO252" s="544"/>
      <c r="EP252" s="544"/>
      <c r="EQ252" s="544"/>
      <c r="ER252" s="544"/>
      <c r="ES252" s="544"/>
      <c r="ET252" s="544"/>
      <c r="EU252" s="544"/>
      <c r="EV252" s="544"/>
      <c r="EW252" s="544"/>
      <c r="EX252" s="544"/>
      <c r="EY252" s="544"/>
      <c r="EZ252" s="544"/>
      <c r="FA252" s="544"/>
      <c r="FB252" s="544"/>
      <c r="FC252" s="544"/>
      <c r="FD252" s="544"/>
      <c r="FE252" s="544"/>
      <c r="FF252" s="544"/>
      <c r="FG252" s="544"/>
      <c r="FH252" s="544"/>
      <c r="FI252" s="544"/>
      <c r="FJ252" s="544"/>
      <c r="FK252" s="544"/>
      <c r="FL252" s="544"/>
      <c r="FM252" s="544"/>
      <c r="FN252" s="544"/>
      <c r="FO252" s="544"/>
      <c r="FP252" s="544"/>
      <c r="FQ252" s="544"/>
      <c r="FR252" s="544"/>
      <c r="FS252" s="544"/>
      <c r="FT252" s="544"/>
      <c r="FU252" s="544"/>
      <c r="FV252" s="544"/>
      <c r="FW252" s="544"/>
      <c r="FX252" s="544"/>
      <c r="FY252" s="544"/>
      <c r="FZ252" s="544"/>
      <c r="GA252" s="544"/>
      <c r="GB252" s="544"/>
      <c r="GC252" s="544"/>
      <c r="GD252" s="544"/>
      <c r="GE252" s="544"/>
      <c r="GF252" s="544"/>
      <c r="GG252" s="544"/>
      <c r="GH252" s="544"/>
      <c r="GI252" s="544"/>
      <c r="GJ252" s="544"/>
      <c r="GK252" s="544"/>
      <c r="GL252" s="544"/>
      <c r="GM252" s="544"/>
      <c r="GN252" s="544"/>
      <c r="GO252" s="544"/>
      <c r="GP252" s="544"/>
      <c r="GQ252" s="544"/>
      <c r="GR252" s="544"/>
      <c r="GS252" s="544"/>
      <c r="GT252" s="544"/>
      <c r="GU252" s="544"/>
      <c r="GV252" s="544"/>
      <c r="GW252" s="544"/>
      <c r="GX252" s="544"/>
      <c r="GY252" s="544"/>
      <c r="GZ252" s="544"/>
      <c r="HA252" s="544"/>
      <c r="HB252" s="544"/>
      <c r="HC252" s="544"/>
      <c r="HD252" s="544"/>
      <c r="HE252" s="544"/>
      <c r="HF252" s="544"/>
      <c r="HG252" s="544"/>
      <c r="HH252" s="544"/>
      <c r="HI252" s="544"/>
      <c r="HJ252" s="544"/>
      <c r="HK252" s="544"/>
      <c r="HL252" s="544"/>
      <c r="HM252" s="544"/>
      <c r="HN252" s="544"/>
      <c r="HO252" s="544"/>
      <c r="HP252" s="544"/>
      <c r="HQ252" s="544"/>
      <c r="HR252" s="544"/>
      <c r="HS252" s="544"/>
      <c r="HT252" s="544"/>
      <c r="HU252" s="544"/>
      <c r="HV252" s="544"/>
      <c r="HW252" s="544"/>
      <c r="HX252" s="544"/>
      <c r="HY252" s="544"/>
      <c r="HZ252" s="544"/>
      <c r="IA252" s="544"/>
      <c r="IB252" s="544"/>
      <c r="IC252" s="544"/>
      <c r="ID252" s="544"/>
      <c r="IE252" s="544"/>
      <c r="IF252" s="544"/>
      <c r="IG252" s="544"/>
      <c r="IH252" s="544"/>
      <c r="II252" s="544"/>
      <c r="IJ252" s="544"/>
      <c r="IK252" s="544"/>
      <c r="IL252" s="544"/>
      <c r="IM252" s="544"/>
      <c r="IN252" s="544"/>
      <c r="IO252" s="544"/>
      <c r="IP252" s="544"/>
      <c r="IQ252" s="544"/>
      <c r="IR252" s="544"/>
      <c r="IS252" s="544"/>
    </row>
    <row r="253" spans="1:253" x14ac:dyDescent="0.35">
      <c r="A253" s="544"/>
      <c r="B253" s="572"/>
      <c r="C253" s="572"/>
      <c r="E253" s="544"/>
      <c r="F253" s="544"/>
      <c r="G253" s="544"/>
      <c r="H253" s="544"/>
      <c r="I253" s="544"/>
      <c r="J253" s="544"/>
      <c r="K253" s="544"/>
      <c r="AY253" s="544"/>
      <c r="AZ253" s="544"/>
      <c r="BA253" s="544"/>
      <c r="BB253" s="544"/>
      <c r="BC253" s="544"/>
      <c r="BD253" s="544"/>
      <c r="BE253" s="544"/>
      <c r="BF253" s="544"/>
      <c r="BG253" s="544"/>
      <c r="BH253" s="544"/>
      <c r="BI253" s="544"/>
      <c r="BJ253" s="544"/>
      <c r="BK253" s="544"/>
      <c r="BL253" s="544"/>
      <c r="BM253" s="544"/>
      <c r="BN253" s="544"/>
      <c r="BO253" s="544"/>
      <c r="BP253" s="544"/>
      <c r="BQ253" s="544"/>
      <c r="BR253" s="544"/>
      <c r="BS253" s="544"/>
      <c r="BT253" s="544"/>
      <c r="BU253" s="544"/>
      <c r="BV253" s="544"/>
      <c r="BW253" s="544"/>
      <c r="BX253" s="544"/>
      <c r="BY253" s="544"/>
      <c r="BZ253" s="544"/>
      <c r="CA253" s="544"/>
      <c r="CB253" s="544"/>
      <c r="CC253" s="544"/>
      <c r="CD253" s="544"/>
      <c r="CE253" s="544"/>
      <c r="CF253" s="544"/>
      <c r="CG253" s="544"/>
      <c r="CH253" s="544"/>
      <c r="CI253" s="544"/>
      <c r="CJ253" s="544"/>
      <c r="CK253" s="544"/>
      <c r="CL253" s="544"/>
      <c r="CM253" s="544"/>
      <c r="CN253" s="544"/>
      <c r="CO253" s="544"/>
      <c r="CP253" s="544"/>
      <c r="CQ253" s="544"/>
      <c r="CR253" s="544"/>
      <c r="CS253" s="544"/>
      <c r="CT253" s="544"/>
      <c r="CU253" s="544"/>
      <c r="CV253" s="544"/>
      <c r="CW253" s="544"/>
      <c r="CX253" s="544"/>
      <c r="CY253" s="544"/>
      <c r="CZ253" s="544"/>
      <c r="DA253" s="544"/>
      <c r="DB253" s="544"/>
      <c r="DC253" s="544"/>
      <c r="DD253" s="544"/>
      <c r="DE253" s="544"/>
      <c r="DF253" s="544"/>
      <c r="DG253" s="544"/>
      <c r="DH253" s="544"/>
      <c r="DI253" s="544"/>
      <c r="DJ253" s="544"/>
      <c r="DK253" s="544"/>
      <c r="DL253" s="544"/>
      <c r="DM253" s="544"/>
      <c r="DN253" s="544"/>
      <c r="DO253" s="544"/>
      <c r="DP253" s="544"/>
      <c r="DQ253" s="544"/>
      <c r="DR253" s="544"/>
      <c r="DS253" s="544"/>
      <c r="DT253" s="544"/>
      <c r="DU253" s="544"/>
      <c r="DV253" s="544"/>
      <c r="DW253" s="544"/>
      <c r="DX253" s="544"/>
      <c r="DY253" s="544"/>
      <c r="DZ253" s="544"/>
      <c r="EA253" s="544"/>
      <c r="EB253" s="544"/>
      <c r="EC253" s="544"/>
      <c r="ED253" s="544"/>
      <c r="EE253" s="544"/>
      <c r="EF253" s="544"/>
      <c r="EG253" s="544"/>
      <c r="EH253" s="544"/>
      <c r="EI253" s="544"/>
      <c r="EJ253" s="544"/>
      <c r="EK253" s="544"/>
      <c r="EL253" s="544"/>
      <c r="EM253" s="544"/>
      <c r="EN253" s="544"/>
      <c r="EO253" s="544"/>
      <c r="EP253" s="544"/>
      <c r="EQ253" s="544"/>
      <c r="ER253" s="544"/>
      <c r="ES253" s="544"/>
      <c r="ET253" s="544"/>
      <c r="EU253" s="544"/>
      <c r="EV253" s="544"/>
      <c r="EW253" s="544"/>
      <c r="EX253" s="544"/>
      <c r="EY253" s="544"/>
      <c r="EZ253" s="544"/>
      <c r="FA253" s="544"/>
      <c r="FB253" s="544"/>
      <c r="FC253" s="544"/>
      <c r="FD253" s="544"/>
      <c r="FE253" s="544"/>
      <c r="FF253" s="544"/>
      <c r="FG253" s="544"/>
      <c r="FH253" s="544"/>
      <c r="FI253" s="544"/>
      <c r="FJ253" s="544"/>
      <c r="FK253" s="544"/>
      <c r="FL253" s="544"/>
      <c r="FM253" s="544"/>
      <c r="FN253" s="544"/>
      <c r="FO253" s="544"/>
      <c r="FP253" s="544"/>
      <c r="FQ253" s="544"/>
      <c r="FR253" s="544"/>
      <c r="FS253" s="544"/>
      <c r="FT253" s="544"/>
      <c r="FU253" s="544"/>
      <c r="FV253" s="544"/>
      <c r="FW253" s="544"/>
      <c r="FX253" s="544"/>
      <c r="FY253" s="544"/>
      <c r="FZ253" s="544"/>
      <c r="GA253" s="544"/>
      <c r="GB253" s="544"/>
      <c r="GC253" s="544"/>
      <c r="GD253" s="544"/>
      <c r="GE253" s="544"/>
      <c r="GF253" s="544"/>
      <c r="GG253" s="544"/>
      <c r="GH253" s="544"/>
      <c r="GI253" s="544"/>
      <c r="GJ253" s="544"/>
      <c r="GK253" s="544"/>
      <c r="GL253" s="544"/>
      <c r="GM253" s="544"/>
      <c r="GN253" s="544"/>
      <c r="GO253" s="544"/>
      <c r="GP253" s="544"/>
      <c r="GQ253" s="544"/>
      <c r="GR253" s="544"/>
      <c r="GS253" s="544"/>
      <c r="GT253" s="544"/>
      <c r="GU253" s="544"/>
      <c r="GV253" s="544"/>
      <c r="GW253" s="544"/>
      <c r="GX253" s="544"/>
      <c r="GY253" s="544"/>
      <c r="GZ253" s="544"/>
      <c r="HA253" s="544"/>
      <c r="HB253" s="544"/>
      <c r="HC253" s="544"/>
      <c r="HD253" s="544"/>
      <c r="HE253" s="544"/>
      <c r="HF253" s="544"/>
      <c r="HG253" s="544"/>
      <c r="HH253" s="544"/>
      <c r="HI253" s="544"/>
      <c r="HJ253" s="544"/>
      <c r="HK253" s="544"/>
      <c r="HL253" s="544"/>
      <c r="HM253" s="544"/>
      <c r="HN253" s="544"/>
      <c r="HO253" s="544"/>
      <c r="HP253" s="544"/>
      <c r="HQ253" s="544"/>
      <c r="HR253" s="544"/>
      <c r="HS253" s="544"/>
      <c r="HT253" s="544"/>
      <c r="HU253" s="544"/>
      <c r="HV253" s="544"/>
      <c r="HW253" s="544"/>
      <c r="HX253" s="544"/>
      <c r="HY253" s="544"/>
      <c r="HZ253" s="544"/>
      <c r="IA253" s="544"/>
      <c r="IB253" s="544"/>
      <c r="IC253" s="544"/>
      <c r="ID253" s="544"/>
      <c r="IE253" s="544"/>
      <c r="IF253" s="544"/>
      <c r="IG253" s="544"/>
      <c r="IH253" s="544"/>
      <c r="II253" s="544"/>
      <c r="IJ253" s="544"/>
      <c r="IK253" s="544"/>
      <c r="IL253" s="544"/>
      <c r="IM253" s="544"/>
      <c r="IN253" s="544"/>
      <c r="IO253" s="544"/>
      <c r="IP253" s="544"/>
      <c r="IQ253" s="544"/>
      <c r="IR253" s="544"/>
      <c r="IS253" s="544"/>
    </row>
    <row r="254" spans="1:253" x14ac:dyDescent="0.35">
      <c r="A254" s="544"/>
      <c r="B254" s="572"/>
      <c r="C254" s="572"/>
      <c r="E254" s="544"/>
      <c r="F254" s="544"/>
      <c r="G254" s="544"/>
      <c r="H254" s="544"/>
      <c r="I254" s="544"/>
      <c r="J254" s="544"/>
      <c r="K254" s="544"/>
      <c r="AY254" s="544"/>
      <c r="AZ254" s="544"/>
      <c r="BA254" s="544"/>
      <c r="BB254" s="544"/>
      <c r="BC254" s="544"/>
      <c r="BD254" s="544"/>
      <c r="BE254" s="544"/>
      <c r="BF254" s="544"/>
      <c r="BG254" s="544"/>
      <c r="BH254" s="544"/>
      <c r="BI254" s="544"/>
      <c r="BJ254" s="544"/>
      <c r="BK254" s="544"/>
      <c r="BL254" s="544"/>
      <c r="BM254" s="544"/>
      <c r="BN254" s="544"/>
      <c r="BO254" s="544"/>
      <c r="BP254" s="544"/>
      <c r="BQ254" s="544"/>
      <c r="BR254" s="544"/>
      <c r="BS254" s="544"/>
      <c r="BT254" s="544"/>
      <c r="BU254" s="544"/>
      <c r="BV254" s="544"/>
      <c r="BW254" s="544"/>
      <c r="BX254" s="544"/>
      <c r="BY254" s="544"/>
      <c r="BZ254" s="544"/>
      <c r="CA254" s="544"/>
      <c r="CB254" s="544"/>
      <c r="CC254" s="544"/>
      <c r="CD254" s="544"/>
      <c r="CE254" s="544"/>
      <c r="CF254" s="544"/>
      <c r="CG254" s="544"/>
      <c r="CH254" s="544"/>
      <c r="CI254" s="544"/>
      <c r="CJ254" s="544"/>
      <c r="CK254" s="544"/>
      <c r="CL254" s="544"/>
      <c r="CM254" s="544"/>
      <c r="CN254" s="544"/>
      <c r="CO254" s="544"/>
      <c r="CP254" s="544"/>
      <c r="CQ254" s="544"/>
      <c r="CR254" s="544"/>
      <c r="CS254" s="544"/>
      <c r="CT254" s="544"/>
      <c r="CU254" s="544"/>
      <c r="CV254" s="544"/>
      <c r="CW254" s="544"/>
      <c r="CX254" s="544"/>
      <c r="CY254" s="544"/>
      <c r="CZ254" s="544"/>
      <c r="DA254" s="544"/>
      <c r="DB254" s="544"/>
      <c r="DC254" s="544"/>
      <c r="DD254" s="544"/>
      <c r="DE254" s="544"/>
      <c r="DF254" s="544"/>
      <c r="DG254" s="544"/>
      <c r="DH254" s="544"/>
      <c r="DI254" s="544"/>
      <c r="DJ254" s="544"/>
      <c r="DK254" s="544"/>
      <c r="DL254" s="544"/>
      <c r="DM254" s="544"/>
      <c r="DN254" s="544"/>
      <c r="DO254" s="544"/>
      <c r="DP254" s="544"/>
      <c r="DQ254" s="544"/>
      <c r="DR254" s="544"/>
      <c r="DS254" s="544"/>
      <c r="DT254" s="544"/>
      <c r="DU254" s="544"/>
      <c r="DV254" s="544"/>
      <c r="DW254" s="544"/>
      <c r="DX254" s="544"/>
      <c r="DY254" s="544"/>
      <c r="DZ254" s="544"/>
      <c r="EA254" s="544"/>
      <c r="EB254" s="544"/>
      <c r="EC254" s="544"/>
      <c r="ED254" s="544"/>
      <c r="EE254" s="544"/>
      <c r="EF254" s="544"/>
      <c r="EG254" s="544"/>
      <c r="EH254" s="544"/>
      <c r="EI254" s="544"/>
      <c r="EJ254" s="544"/>
      <c r="EK254" s="544"/>
      <c r="EL254" s="544"/>
      <c r="EM254" s="544"/>
      <c r="EN254" s="544"/>
      <c r="EO254" s="544"/>
      <c r="EP254" s="544"/>
      <c r="EQ254" s="544"/>
      <c r="ER254" s="544"/>
      <c r="ES254" s="544"/>
      <c r="ET254" s="544"/>
      <c r="EU254" s="544"/>
      <c r="EV254" s="544"/>
      <c r="EW254" s="544"/>
      <c r="EX254" s="544"/>
      <c r="EY254" s="544"/>
      <c r="EZ254" s="544"/>
      <c r="FA254" s="544"/>
      <c r="FB254" s="544"/>
      <c r="FC254" s="544"/>
      <c r="FD254" s="544"/>
      <c r="FE254" s="544"/>
      <c r="FF254" s="544"/>
      <c r="FG254" s="544"/>
      <c r="FH254" s="544"/>
      <c r="FI254" s="544"/>
      <c r="FJ254" s="544"/>
      <c r="FK254" s="544"/>
      <c r="FL254" s="544"/>
      <c r="FM254" s="544"/>
      <c r="FN254" s="544"/>
      <c r="FO254" s="544"/>
      <c r="FP254" s="544"/>
      <c r="FQ254" s="544"/>
      <c r="FR254" s="544"/>
      <c r="FS254" s="544"/>
      <c r="FT254" s="544"/>
      <c r="FU254" s="544"/>
      <c r="FV254" s="544"/>
      <c r="FW254" s="544"/>
      <c r="FX254" s="544"/>
      <c r="FY254" s="544"/>
      <c r="FZ254" s="544"/>
      <c r="GA254" s="544"/>
      <c r="GB254" s="544"/>
      <c r="GC254" s="544"/>
      <c r="GD254" s="544"/>
      <c r="GE254" s="544"/>
      <c r="GF254" s="544"/>
      <c r="GG254" s="544"/>
      <c r="GH254" s="544"/>
      <c r="GI254" s="544"/>
      <c r="GJ254" s="544"/>
      <c r="GK254" s="544"/>
      <c r="GL254" s="544"/>
      <c r="GM254" s="544"/>
      <c r="GN254" s="544"/>
      <c r="GO254" s="544"/>
      <c r="GP254" s="544"/>
      <c r="GQ254" s="544"/>
      <c r="GR254" s="544"/>
      <c r="GS254" s="544"/>
      <c r="GT254" s="544"/>
      <c r="GU254" s="544"/>
      <c r="GV254" s="544"/>
      <c r="GW254" s="544"/>
      <c r="GX254" s="544"/>
      <c r="GY254" s="544"/>
      <c r="GZ254" s="544"/>
      <c r="HA254" s="544"/>
      <c r="HB254" s="544"/>
      <c r="HC254" s="544"/>
      <c r="HD254" s="544"/>
      <c r="HE254" s="544"/>
      <c r="HF254" s="544"/>
      <c r="HG254" s="544"/>
      <c r="HH254" s="544"/>
      <c r="HI254" s="544"/>
      <c r="HJ254" s="544"/>
      <c r="HK254" s="544"/>
      <c r="HL254" s="544"/>
      <c r="HM254" s="544"/>
      <c r="HN254" s="544"/>
      <c r="HO254" s="544"/>
      <c r="HP254" s="544"/>
      <c r="HQ254" s="544"/>
      <c r="HR254" s="544"/>
      <c r="HS254" s="544"/>
      <c r="HT254" s="544"/>
      <c r="HU254" s="544"/>
      <c r="HV254" s="544"/>
      <c r="HW254" s="544"/>
      <c r="HX254" s="544"/>
      <c r="HY254" s="544"/>
      <c r="HZ254" s="544"/>
      <c r="IA254" s="544"/>
      <c r="IB254" s="544"/>
      <c r="IC254" s="544"/>
      <c r="ID254" s="544"/>
      <c r="IE254" s="544"/>
      <c r="IF254" s="544"/>
      <c r="IG254" s="544"/>
      <c r="IH254" s="544"/>
      <c r="II254" s="544"/>
      <c r="IJ254" s="544"/>
      <c r="IK254" s="544"/>
      <c r="IL254" s="544"/>
      <c r="IM254" s="544"/>
      <c r="IN254" s="544"/>
      <c r="IO254" s="544"/>
      <c r="IP254" s="544"/>
      <c r="IQ254" s="544"/>
      <c r="IR254" s="544"/>
      <c r="IS254" s="544"/>
    </row>
    <row r="255" spans="1:253" x14ac:dyDescent="0.35">
      <c r="A255" s="544"/>
      <c r="B255" s="572"/>
      <c r="C255" s="572"/>
      <c r="E255" s="544"/>
      <c r="F255" s="544"/>
      <c r="G255" s="544"/>
      <c r="H255" s="544"/>
      <c r="I255" s="544"/>
      <c r="J255" s="544"/>
      <c r="K255" s="544"/>
      <c r="AY255" s="544"/>
      <c r="AZ255" s="544"/>
      <c r="BA255" s="544"/>
      <c r="BB255" s="544"/>
      <c r="BC255" s="544"/>
      <c r="BD255" s="544"/>
      <c r="BE255" s="544"/>
      <c r="BF255" s="544"/>
      <c r="BG255" s="544"/>
      <c r="BH255" s="544"/>
      <c r="BI255" s="544"/>
      <c r="BJ255" s="544"/>
      <c r="BK255" s="544"/>
      <c r="BL255" s="544"/>
      <c r="BM255" s="544"/>
      <c r="BN255" s="544"/>
      <c r="BO255" s="544"/>
      <c r="BP255" s="544"/>
      <c r="BQ255" s="544"/>
      <c r="BR255" s="544"/>
      <c r="BS255" s="544"/>
      <c r="BT255" s="544"/>
      <c r="BU255" s="544"/>
      <c r="BV255" s="544"/>
      <c r="BW255" s="544"/>
      <c r="BX255" s="544"/>
      <c r="BY255" s="544"/>
      <c r="BZ255" s="544"/>
      <c r="CA255" s="544"/>
      <c r="CB255" s="544"/>
      <c r="CC255" s="544"/>
      <c r="CD255" s="544"/>
      <c r="CE255" s="544"/>
      <c r="CF255" s="544"/>
      <c r="CG255" s="544"/>
      <c r="CH255" s="544"/>
      <c r="CI255" s="544"/>
      <c r="CJ255" s="544"/>
      <c r="CK255" s="544"/>
      <c r="CL255" s="544"/>
      <c r="CM255" s="544"/>
      <c r="CN255" s="544"/>
      <c r="CO255" s="544"/>
      <c r="CP255" s="544"/>
      <c r="CQ255" s="544"/>
      <c r="CR255" s="544"/>
      <c r="CS255" s="544"/>
      <c r="CT255" s="544"/>
      <c r="CU255" s="544"/>
      <c r="CV255" s="544"/>
      <c r="CW255" s="544"/>
      <c r="CX255" s="544"/>
      <c r="CY255" s="544"/>
      <c r="CZ255" s="544"/>
      <c r="DA255" s="544"/>
      <c r="DB255" s="544"/>
      <c r="DC255" s="544"/>
      <c r="DD255" s="544"/>
      <c r="DE255" s="544"/>
      <c r="DF255" s="544"/>
      <c r="DG255" s="544"/>
      <c r="DH255" s="544"/>
      <c r="DI255" s="544"/>
      <c r="DJ255" s="544"/>
      <c r="DK255" s="544"/>
      <c r="DL255" s="544"/>
      <c r="DM255" s="544"/>
      <c r="DN255" s="544"/>
      <c r="DO255" s="544"/>
      <c r="DP255" s="544"/>
      <c r="DQ255" s="544"/>
      <c r="DR255" s="544"/>
      <c r="DS255" s="544"/>
      <c r="DT255" s="544"/>
      <c r="DU255" s="544"/>
      <c r="DV255" s="544"/>
      <c r="DW255" s="544"/>
      <c r="DX255" s="544"/>
      <c r="DY255" s="544"/>
      <c r="DZ255" s="544"/>
      <c r="EA255" s="544"/>
      <c r="EB255" s="544"/>
      <c r="EC255" s="544"/>
      <c r="ED255" s="544"/>
      <c r="EE255" s="544"/>
      <c r="EF255" s="544"/>
      <c r="EG255" s="544"/>
      <c r="EH255" s="544"/>
      <c r="EI255" s="544"/>
      <c r="EJ255" s="544"/>
      <c r="EK255" s="544"/>
      <c r="EL255" s="544"/>
      <c r="EM255" s="544"/>
      <c r="EN255" s="544"/>
      <c r="EO255" s="544"/>
      <c r="EP255" s="544"/>
      <c r="EQ255" s="544"/>
      <c r="ER255" s="544"/>
      <c r="ES255" s="544"/>
      <c r="ET255" s="544"/>
      <c r="EU255" s="544"/>
      <c r="EV255" s="544"/>
      <c r="EW255" s="544"/>
      <c r="EX255" s="544"/>
      <c r="EY255" s="544"/>
      <c r="EZ255" s="544"/>
      <c r="FA255" s="544"/>
      <c r="FB255" s="544"/>
      <c r="FC255" s="544"/>
      <c r="FD255" s="544"/>
      <c r="FE255" s="544"/>
      <c r="FF255" s="544"/>
      <c r="FG255" s="544"/>
      <c r="FH255" s="544"/>
      <c r="FI255" s="544"/>
      <c r="FJ255" s="544"/>
      <c r="FK255" s="544"/>
      <c r="FL255" s="544"/>
      <c r="FM255" s="544"/>
      <c r="FN255" s="544"/>
      <c r="FO255" s="544"/>
      <c r="FP255" s="544"/>
      <c r="FQ255" s="544"/>
      <c r="FR255" s="544"/>
      <c r="FS255" s="544"/>
      <c r="FT255" s="544"/>
      <c r="FU255" s="544"/>
      <c r="FV255" s="544"/>
      <c r="FW255" s="544"/>
      <c r="FX255" s="544"/>
      <c r="FY255" s="544"/>
      <c r="FZ255" s="544"/>
      <c r="GA255" s="544"/>
      <c r="GB255" s="544"/>
      <c r="GC255" s="544"/>
      <c r="GD255" s="544"/>
      <c r="GE255" s="544"/>
      <c r="GF255" s="544"/>
      <c r="GG255" s="544"/>
      <c r="GH255" s="544"/>
      <c r="GI255" s="544"/>
      <c r="GJ255" s="544"/>
      <c r="GK255" s="544"/>
      <c r="GL255" s="544"/>
      <c r="GM255" s="544"/>
      <c r="GN255" s="544"/>
      <c r="GO255" s="544"/>
      <c r="GP255" s="544"/>
      <c r="GQ255" s="544"/>
      <c r="GR255" s="544"/>
      <c r="GS255" s="544"/>
      <c r="GT255" s="544"/>
      <c r="GU255" s="544"/>
      <c r="GV255" s="544"/>
      <c r="GW255" s="544"/>
      <c r="GX255" s="544"/>
      <c r="GY255" s="544"/>
      <c r="GZ255" s="544"/>
      <c r="HA255" s="544"/>
      <c r="HB255" s="544"/>
      <c r="HC255" s="544"/>
      <c r="HD255" s="544"/>
      <c r="HE255" s="544"/>
      <c r="HF255" s="544"/>
      <c r="HG255" s="544"/>
      <c r="HH255" s="544"/>
      <c r="HI255" s="544"/>
      <c r="HJ255" s="544"/>
      <c r="HK255" s="544"/>
      <c r="HL255" s="544"/>
      <c r="HM255" s="544"/>
      <c r="HN255" s="544"/>
      <c r="HO255" s="544"/>
      <c r="HP255" s="544"/>
      <c r="HQ255" s="544"/>
      <c r="HR255" s="544"/>
      <c r="HS255" s="544"/>
      <c r="HT255" s="544"/>
      <c r="HU255" s="544"/>
      <c r="HV255" s="544"/>
      <c r="HW255" s="544"/>
      <c r="HX255" s="544"/>
      <c r="HY255" s="544"/>
      <c r="HZ255" s="544"/>
      <c r="IA255" s="544"/>
      <c r="IB255" s="544"/>
      <c r="IC255" s="544"/>
      <c r="ID255" s="544"/>
      <c r="IE255" s="544"/>
      <c r="IF255" s="544"/>
      <c r="IG255" s="544"/>
      <c r="IH255" s="544"/>
      <c r="II255" s="544"/>
      <c r="IJ255" s="544"/>
      <c r="IK255" s="544"/>
      <c r="IL255" s="544"/>
      <c r="IM255" s="544"/>
      <c r="IN255" s="544"/>
      <c r="IO255" s="544"/>
      <c r="IP255" s="544"/>
      <c r="IQ255" s="544"/>
      <c r="IR255" s="544"/>
      <c r="IS255" s="544"/>
    </row>
    <row r="256" spans="1:253" x14ac:dyDescent="0.35">
      <c r="A256" s="544"/>
      <c r="B256" s="572"/>
      <c r="C256" s="572"/>
      <c r="E256" s="544"/>
      <c r="F256" s="544"/>
      <c r="G256" s="544"/>
      <c r="H256" s="544"/>
      <c r="I256" s="544"/>
      <c r="J256" s="544"/>
      <c r="K256" s="544"/>
      <c r="AY256" s="544"/>
      <c r="AZ256" s="544"/>
      <c r="BA256" s="544"/>
      <c r="BB256" s="544"/>
      <c r="BC256" s="544"/>
      <c r="BD256" s="544"/>
      <c r="BE256" s="544"/>
      <c r="BF256" s="544"/>
      <c r="BG256" s="544"/>
      <c r="BH256" s="544"/>
      <c r="BI256" s="544"/>
      <c r="BJ256" s="544"/>
      <c r="BK256" s="544"/>
      <c r="BL256" s="544"/>
      <c r="BM256" s="544"/>
      <c r="BN256" s="544"/>
      <c r="BO256" s="544"/>
      <c r="BP256" s="544"/>
      <c r="BQ256" s="544"/>
      <c r="BR256" s="544"/>
      <c r="BS256" s="544"/>
      <c r="BT256" s="544"/>
      <c r="BU256" s="544"/>
      <c r="BV256" s="544"/>
      <c r="BW256" s="544"/>
      <c r="BX256" s="544"/>
      <c r="BY256" s="544"/>
      <c r="BZ256" s="544"/>
      <c r="CA256" s="544"/>
      <c r="CB256" s="544"/>
      <c r="CC256" s="544"/>
      <c r="CD256" s="544"/>
      <c r="CE256" s="544"/>
      <c r="CF256" s="544"/>
      <c r="CG256" s="544"/>
      <c r="CH256" s="544"/>
      <c r="CI256" s="544"/>
      <c r="CJ256" s="544"/>
      <c r="CK256" s="544"/>
      <c r="CL256" s="544"/>
      <c r="CM256" s="544"/>
      <c r="CN256" s="544"/>
      <c r="CO256" s="544"/>
      <c r="CP256" s="544"/>
      <c r="CQ256" s="544"/>
      <c r="CR256" s="544"/>
      <c r="CS256" s="544"/>
      <c r="CT256" s="544"/>
      <c r="CU256" s="544"/>
      <c r="CV256" s="544"/>
      <c r="CW256" s="544"/>
      <c r="CX256" s="544"/>
      <c r="CY256" s="544"/>
      <c r="CZ256" s="544"/>
      <c r="DA256" s="544"/>
      <c r="DB256" s="544"/>
      <c r="DC256" s="544"/>
      <c r="DD256" s="544"/>
      <c r="DE256" s="544"/>
      <c r="DF256" s="544"/>
      <c r="DG256" s="544"/>
      <c r="DH256" s="544"/>
      <c r="DI256" s="544"/>
      <c r="DJ256" s="544"/>
      <c r="DK256" s="544"/>
      <c r="DL256" s="544"/>
      <c r="DM256" s="544"/>
      <c r="DN256" s="544"/>
      <c r="DO256" s="544"/>
      <c r="DP256" s="544"/>
      <c r="DQ256" s="544"/>
      <c r="DR256" s="544"/>
      <c r="DS256" s="544"/>
      <c r="DT256" s="544"/>
      <c r="DU256" s="544"/>
      <c r="DV256" s="544"/>
      <c r="DW256" s="544"/>
      <c r="DX256" s="544"/>
      <c r="DY256" s="544"/>
      <c r="DZ256" s="544"/>
      <c r="EA256" s="544"/>
      <c r="EB256" s="544"/>
      <c r="EC256" s="544"/>
      <c r="ED256" s="544"/>
      <c r="EE256" s="544"/>
      <c r="EF256" s="544"/>
      <c r="EG256" s="544"/>
      <c r="EH256" s="544"/>
      <c r="EI256" s="544"/>
      <c r="EJ256" s="544"/>
      <c r="EK256" s="544"/>
      <c r="EL256" s="544"/>
      <c r="EM256" s="544"/>
      <c r="EN256" s="544"/>
      <c r="EO256" s="544"/>
      <c r="EP256" s="544"/>
      <c r="EQ256" s="544"/>
      <c r="ER256" s="544"/>
      <c r="ES256" s="544"/>
      <c r="ET256" s="544"/>
      <c r="EU256" s="544"/>
      <c r="EV256" s="544"/>
      <c r="EW256" s="544"/>
      <c r="EX256" s="544"/>
      <c r="EY256" s="544"/>
      <c r="EZ256" s="544"/>
      <c r="FA256" s="544"/>
      <c r="FB256" s="544"/>
      <c r="FC256" s="544"/>
      <c r="FD256" s="544"/>
      <c r="FE256" s="544"/>
      <c r="FF256" s="544"/>
      <c r="FG256" s="544"/>
      <c r="FH256" s="544"/>
      <c r="FI256" s="544"/>
      <c r="FJ256" s="544"/>
      <c r="FK256" s="544"/>
      <c r="FL256" s="544"/>
      <c r="FM256" s="544"/>
      <c r="FN256" s="544"/>
      <c r="FO256" s="544"/>
      <c r="FP256" s="544"/>
      <c r="FQ256" s="544"/>
      <c r="FR256" s="544"/>
      <c r="FS256" s="544"/>
      <c r="FT256" s="544"/>
      <c r="FU256" s="544"/>
      <c r="FV256" s="544"/>
      <c r="FW256" s="544"/>
      <c r="FX256" s="544"/>
      <c r="FY256" s="544"/>
      <c r="FZ256" s="544"/>
      <c r="GA256" s="544"/>
      <c r="GB256" s="544"/>
      <c r="GC256" s="544"/>
      <c r="GD256" s="544"/>
      <c r="GE256" s="544"/>
      <c r="GF256" s="544"/>
      <c r="GG256" s="544"/>
      <c r="GH256" s="544"/>
      <c r="GI256" s="544"/>
      <c r="GJ256" s="544"/>
      <c r="GK256" s="544"/>
      <c r="GL256" s="544"/>
      <c r="GM256" s="544"/>
      <c r="GN256" s="544"/>
      <c r="GO256" s="544"/>
      <c r="GP256" s="544"/>
      <c r="GQ256" s="544"/>
      <c r="GR256" s="544"/>
      <c r="GS256" s="544"/>
      <c r="GT256" s="544"/>
      <c r="GU256" s="544"/>
      <c r="GV256" s="544"/>
      <c r="GW256" s="544"/>
      <c r="GX256" s="544"/>
      <c r="GY256" s="544"/>
      <c r="GZ256" s="544"/>
      <c r="HA256" s="544"/>
      <c r="HB256" s="544"/>
      <c r="HC256" s="544"/>
      <c r="HD256" s="544"/>
      <c r="HE256" s="544"/>
      <c r="HF256" s="544"/>
      <c r="HG256" s="544"/>
      <c r="HH256" s="544"/>
      <c r="HI256" s="544"/>
      <c r="HJ256" s="544"/>
      <c r="HK256" s="544"/>
      <c r="HL256" s="544"/>
      <c r="HM256" s="544"/>
      <c r="HN256" s="544"/>
      <c r="HO256" s="544"/>
      <c r="HP256" s="544"/>
      <c r="HQ256" s="544"/>
      <c r="HR256" s="544"/>
      <c r="HS256" s="544"/>
      <c r="HT256" s="544"/>
      <c r="HU256" s="544"/>
      <c r="HV256" s="544"/>
      <c r="HW256" s="544"/>
      <c r="HX256" s="544"/>
      <c r="HY256" s="544"/>
      <c r="HZ256" s="544"/>
      <c r="IA256" s="544"/>
      <c r="IB256" s="544"/>
      <c r="IC256" s="544"/>
      <c r="ID256" s="544"/>
      <c r="IE256" s="544"/>
      <c r="IF256" s="544"/>
      <c r="IG256" s="544"/>
      <c r="IH256" s="544"/>
      <c r="II256" s="544"/>
      <c r="IJ256" s="544"/>
      <c r="IK256" s="544"/>
      <c r="IL256" s="544"/>
      <c r="IM256" s="544"/>
      <c r="IN256" s="544"/>
      <c r="IO256" s="544"/>
      <c r="IP256" s="544"/>
      <c r="IQ256" s="544"/>
      <c r="IR256" s="544"/>
      <c r="IS256" s="544"/>
    </row>
    <row r="257" spans="1:253" x14ac:dyDescent="0.35">
      <c r="A257" s="544"/>
      <c r="B257" s="572"/>
      <c r="C257" s="572"/>
      <c r="E257" s="544"/>
      <c r="F257" s="544"/>
      <c r="G257" s="544"/>
      <c r="H257" s="544"/>
      <c r="I257" s="544"/>
      <c r="J257" s="544"/>
      <c r="K257" s="544"/>
      <c r="AY257" s="544"/>
      <c r="AZ257" s="544"/>
      <c r="BA257" s="544"/>
      <c r="BB257" s="544"/>
      <c r="BC257" s="544"/>
      <c r="BD257" s="544"/>
      <c r="BE257" s="544"/>
      <c r="BF257" s="544"/>
      <c r="BG257" s="544"/>
      <c r="BH257" s="544"/>
      <c r="BI257" s="544"/>
      <c r="BJ257" s="544"/>
      <c r="BK257" s="544"/>
      <c r="BL257" s="544"/>
      <c r="BM257" s="544"/>
      <c r="BN257" s="544"/>
      <c r="BO257" s="544"/>
      <c r="BP257" s="544"/>
      <c r="BQ257" s="544"/>
      <c r="BR257" s="544"/>
      <c r="BS257" s="544"/>
      <c r="BT257" s="544"/>
      <c r="BU257" s="544"/>
      <c r="BV257" s="544"/>
      <c r="BW257" s="544"/>
      <c r="BX257" s="544"/>
      <c r="BY257" s="544"/>
      <c r="BZ257" s="544"/>
      <c r="CA257" s="544"/>
      <c r="CB257" s="544"/>
      <c r="CC257" s="544"/>
      <c r="CD257" s="544"/>
      <c r="CE257" s="544"/>
      <c r="CF257" s="544"/>
      <c r="CG257" s="544"/>
      <c r="CH257" s="544"/>
      <c r="CI257" s="544"/>
      <c r="CJ257" s="544"/>
      <c r="CK257" s="544"/>
      <c r="CL257" s="544"/>
      <c r="CM257" s="544"/>
      <c r="CN257" s="544"/>
      <c r="CO257" s="544"/>
      <c r="CP257" s="544"/>
      <c r="CQ257" s="544"/>
      <c r="CR257" s="544"/>
      <c r="CS257" s="544"/>
      <c r="CT257" s="544"/>
      <c r="CU257" s="544"/>
      <c r="CV257" s="544"/>
      <c r="CW257" s="544"/>
      <c r="CX257" s="544"/>
      <c r="CY257" s="544"/>
      <c r="CZ257" s="544"/>
      <c r="DA257" s="544"/>
      <c r="DB257" s="544"/>
      <c r="DC257" s="544"/>
      <c r="DD257" s="544"/>
      <c r="DE257" s="544"/>
      <c r="DF257" s="544"/>
      <c r="DG257" s="544"/>
      <c r="DH257" s="544"/>
      <c r="DI257" s="544"/>
      <c r="DJ257" s="544"/>
      <c r="DK257" s="544"/>
      <c r="DL257" s="544"/>
      <c r="DM257" s="544"/>
      <c r="DN257" s="544"/>
      <c r="DO257" s="544"/>
      <c r="DP257" s="544"/>
      <c r="DQ257" s="544"/>
      <c r="DR257" s="544"/>
      <c r="DS257" s="544"/>
      <c r="DT257" s="544"/>
      <c r="DU257" s="544"/>
      <c r="DV257" s="544"/>
      <c r="DW257" s="544"/>
      <c r="DX257" s="544"/>
      <c r="DY257" s="544"/>
      <c r="DZ257" s="544"/>
      <c r="EA257" s="544"/>
      <c r="EB257" s="544"/>
      <c r="EC257" s="544"/>
      <c r="ED257" s="544"/>
      <c r="EE257" s="544"/>
      <c r="EF257" s="544"/>
      <c r="EG257" s="544"/>
      <c r="EH257" s="544"/>
      <c r="EI257" s="544"/>
      <c r="EJ257" s="544"/>
      <c r="EK257" s="544"/>
      <c r="EL257" s="544"/>
      <c r="EM257" s="544"/>
      <c r="EN257" s="544"/>
      <c r="EO257" s="544"/>
      <c r="EP257" s="544"/>
      <c r="EQ257" s="544"/>
      <c r="ER257" s="544"/>
      <c r="ES257" s="544"/>
      <c r="ET257" s="544"/>
      <c r="EU257" s="544"/>
      <c r="EV257" s="544"/>
      <c r="EW257" s="544"/>
      <c r="EX257" s="544"/>
      <c r="EY257" s="544"/>
      <c r="EZ257" s="544"/>
      <c r="FA257" s="544"/>
      <c r="FB257" s="544"/>
      <c r="FC257" s="544"/>
      <c r="FD257" s="544"/>
      <c r="FE257" s="544"/>
      <c r="FF257" s="544"/>
      <c r="FG257" s="544"/>
      <c r="FH257" s="544"/>
      <c r="FI257" s="544"/>
      <c r="FJ257" s="544"/>
      <c r="FK257" s="544"/>
      <c r="FL257" s="544"/>
      <c r="FM257" s="544"/>
      <c r="FN257" s="544"/>
      <c r="FO257" s="544"/>
      <c r="FP257" s="544"/>
      <c r="FQ257" s="544"/>
      <c r="FR257" s="544"/>
      <c r="FS257" s="544"/>
      <c r="FT257" s="544"/>
      <c r="FU257" s="544"/>
      <c r="FV257" s="544"/>
      <c r="FW257" s="544"/>
      <c r="FX257" s="544"/>
      <c r="FY257" s="544"/>
      <c r="FZ257" s="544"/>
      <c r="GA257" s="544"/>
      <c r="GB257" s="544"/>
      <c r="GC257" s="544"/>
      <c r="GD257" s="544"/>
      <c r="GE257" s="544"/>
      <c r="GF257" s="544"/>
      <c r="GG257" s="544"/>
      <c r="GH257" s="544"/>
      <c r="GI257" s="544"/>
      <c r="GJ257" s="544"/>
      <c r="GK257" s="544"/>
      <c r="GL257" s="544"/>
      <c r="GM257" s="544"/>
      <c r="GN257" s="544"/>
      <c r="GO257" s="544"/>
      <c r="GP257" s="544"/>
      <c r="GQ257" s="544"/>
      <c r="GR257" s="544"/>
      <c r="GS257" s="544"/>
      <c r="GT257" s="544"/>
      <c r="GU257" s="544"/>
      <c r="GV257" s="544"/>
      <c r="GW257" s="544"/>
      <c r="GX257" s="544"/>
      <c r="GY257" s="544"/>
      <c r="GZ257" s="544"/>
      <c r="HA257" s="544"/>
      <c r="HB257" s="544"/>
      <c r="HC257" s="544"/>
      <c r="HD257" s="544"/>
      <c r="HE257" s="544"/>
      <c r="HF257" s="544"/>
      <c r="HG257" s="544"/>
      <c r="HH257" s="544"/>
      <c r="HI257" s="544"/>
      <c r="HJ257" s="544"/>
      <c r="HK257" s="544"/>
      <c r="HL257" s="544"/>
      <c r="HM257" s="544"/>
      <c r="HN257" s="544"/>
      <c r="HO257" s="544"/>
      <c r="HP257" s="544"/>
      <c r="HQ257" s="544"/>
      <c r="HR257" s="544"/>
      <c r="HS257" s="544"/>
      <c r="HT257" s="544"/>
      <c r="HU257" s="544"/>
      <c r="HV257" s="544"/>
      <c r="HW257" s="544"/>
      <c r="HX257" s="544"/>
      <c r="HY257" s="544"/>
      <c r="HZ257" s="544"/>
      <c r="IA257" s="544"/>
      <c r="IB257" s="544"/>
      <c r="IC257" s="544"/>
      <c r="ID257" s="544"/>
      <c r="IE257" s="544"/>
      <c r="IF257" s="544"/>
      <c r="IG257" s="544"/>
      <c r="IH257" s="544"/>
      <c r="II257" s="544"/>
      <c r="IJ257" s="544"/>
      <c r="IK257" s="544"/>
      <c r="IL257" s="544"/>
      <c r="IM257" s="544"/>
      <c r="IN257" s="544"/>
      <c r="IO257" s="544"/>
      <c r="IP257" s="544"/>
      <c r="IQ257" s="544"/>
      <c r="IR257" s="544"/>
      <c r="IS257" s="544"/>
    </row>
    <row r="258" spans="1:253" x14ac:dyDescent="0.35">
      <c r="A258" s="544"/>
      <c r="B258" s="572"/>
      <c r="C258" s="572"/>
      <c r="E258" s="544"/>
      <c r="F258" s="544"/>
      <c r="G258" s="544"/>
      <c r="H258" s="544"/>
      <c r="I258" s="544"/>
      <c r="J258" s="544"/>
      <c r="K258" s="544"/>
      <c r="AY258" s="544"/>
      <c r="AZ258" s="544"/>
      <c r="BA258" s="544"/>
      <c r="BB258" s="544"/>
      <c r="BC258" s="544"/>
      <c r="BD258" s="544"/>
      <c r="BE258" s="544"/>
      <c r="BF258" s="544"/>
      <c r="BG258" s="544"/>
      <c r="BH258" s="544"/>
      <c r="BI258" s="544"/>
      <c r="BJ258" s="544"/>
      <c r="BK258" s="544"/>
      <c r="BL258" s="544"/>
      <c r="BM258" s="544"/>
      <c r="BN258" s="544"/>
      <c r="BO258" s="544"/>
      <c r="BP258" s="544"/>
      <c r="BQ258" s="544"/>
      <c r="BR258" s="544"/>
      <c r="BS258" s="544"/>
      <c r="BT258" s="544"/>
      <c r="BU258" s="544"/>
      <c r="BV258" s="544"/>
      <c r="BW258" s="544"/>
      <c r="BX258" s="544"/>
      <c r="BY258" s="544"/>
      <c r="BZ258" s="544"/>
      <c r="CA258" s="544"/>
      <c r="CB258" s="544"/>
      <c r="CC258" s="544"/>
      <c r="CD258" s="544"/>
      <c r="CE258" s="544"/>
      <c r="CF258" s="544"/>
      <c r="CG258" s="544"/>
      <c r="CH258" s="544"/>
      <c r="CI258" s="544"/>
      <c r="CJ258" s="544"/>
      <c r="CK258" s="544"/>
      <c r="CL258" s="544"/>
      <c r="CM258" s="544"/>
      <c r="CN258" s="544"/>
      <c r="CO258" s="544"/>
      <c r="CP258" s="544"/>
      <c r="CQ258" s="544"/>
      <c r="CR258" s="544"/>
      <c r="CS258" s="544"/>
      <c r="CT258" s="544"/>
      <c r="CU258" s="544"/>
      <c r="CV258" s="544"/>
      <c r="CW258" s="544"/>
      <c r="CX258" s="544"/>
      <c r="CY258" s="544"/>
      <c r="CZ258" s="544"/>
      <c r="DA258" s="544"/>
      <c r="DB258" s="544"/>
      <c r="DC258" s="544"/>
      <c r="DD258" s="544"/>
      <c r="DE258" s="544"/>
      <c r="DF258" s="544"/>
      <c r="DG258" s="544"/>
      <c r="DH258" s="544"/>
      <c r="DI258" s="544"/>
      <c r="DJ258" s="544"/>
      <c r="DK258" s="544"/>
      <c r="DL258" s="544"/>
      <c r="DM258" s="544"/>
      <c r="DN258" s="544"/>
      <c r="DO258" s="544"/>
      <c r="DP258" s="544"/>
      <c r="DQ258" s="544"/>
      <c r="DR258" s="544"/>
      <c r="DS258" s="544"/>
      <c r="DT258" s="544"/>
      <c r="DU258" s="544"/>
      <c r="DV258" s="544"/>
      <c r="DW258" s="544"/>
      <c r="DX258" s="544"/>
      <c r="DY258" s="544"/>
      <c r="DZ258" s="544"/>
      <c r="EA258" s="544"/>
      <c r="EB258" s="544"/>
      <c r="EC258" s="544"/>
      <c r="ED258" s="544"/>
      <c r="EE258" s="544"/>
      <c r="EF258" s="544"/>
      <c r="EG258" s="544"/>
      <c r="EH258" s="544"/>
      <c r="EI258" s="544"/>
      <c r="EJ258" s="544"/>
      <c r="EK258" s="544"/>
      <c r="EL258" s="544"/>
      <c r="EM258" s="544"/>
      <c r="EN258" s="544"/>
      <c r="EO258" s="544"/>
      <c r="EP258" s="544"/>
      <c r="EQ258" s="544"/>
      <c r="ER258" s="544"/>
      <c r="ES258" s="544"/>
      <c r="ET258" s="544"/>
      <c r="EU258" s="544"/>
      <c r="EV258" s="544"/>
      <c r="EW258" s="544"/>
      <c r="EX258" s="544"/>
      <c r="EY258" s="544"/>
      <c r="EZ258" s="544"/>
      <c r="FA258" s="544"/>
      <c r="FB258" s="544"/>
      <c r="FC258" s="544"/>
      <c r="FD258" s="544"/>
      <c r="FE258" s="544"/>
      <c r="FF258" s="544"/>
      <c r="FG258" s="544"/>
      <c r="FH258" s="544"/>
      <c r="FI258" s="544"/>
      <c r="FJ258" s="544"/>
      <c r="FK258" s="544"/>
      <c r="FL258" s="544"/>
      <c r="FM258" s="544"/>
      <c r="FN258" s="544"/>
      <c r="FO258" s="544"/>
      <c r="FP258" s="544"/>
      <c r="FQ258" s="544"/>
      <c r="FR258" s="544"/>
      <c r="FS258" s="544"/>
      <c r="FT258" s="544"/>
      <c r="FU258" s="544"/>
      <c r="FV258" s="544"/>
      <c r="FW258" s="544"/>
      <c r="FX258" s="544"/>
      <c r="FY258" s="544"/>
      <c r="FZ258" s="544"/>
      <c r="GA258" s="544"/>
      <c r="GB258" s="544"/>
      <c r="GC258" s="544"/>
      <c r="GD258" s="544"/>
      <c r="GE258" s="544"/>
      <c r="GF258" s="544"/>
      <c r="GG258" s="544"/>
      <c r="GH258" s="544"/>
      <c r="GI258" s="544"/>
      <c r="GJ258" s="544"/>
      <c r="GK258" s="544"/>
      <c r="GL258" s="544"/>
      <c r="GM258" s="544"/>
      <c r="GN258" s="544"/>
      <c r="GO258" s="544"/>
      <c r="GP258" s="544"/>
      <c r="GQ258" s="544"/>
      <c r="GR258" s="544"/>
      <c r="GS258" s="544"/>
      <c r="GT258" s="544"/>
      <c r="GU258" s="544"/>
      <c r="GV258" s="544"/>
      <c r="GW258" s="544"/>
      <c r="GX258" s="544"/>
      <c r="GY258" s="544"/>
      <c r="GZ258" s="544"/>
      <c r="HA258" s="544"/>
      <c r="HB258" s="544"/>
      <c r="HC258" s="544"/>
      <c r="HD258" s="544"/>
      <c r="HE258" s="544"/>
      <c r="HF258" s="544"/>
      <c r="HG258" s="544"/>
      <c r="HH258" s="544"/>
      <c r="HI258" s="544"/>
      <c r="HJ258" s="544"/>
      <c r="HK258" s="544"/>
      <c r="HL258" s="544"/>
      <c r="HM258" s="544"/>
      <c r="HN258" s="544"/>
      <c r="HO258" s="544"/>
      <c r="HP258" s="544"/>
      <c r="HQ258" s="544"/>
      <c r="HR258" s="544"/>
      <c r="HS258" s="544"/>
      <c r="HT258" s="544"/>
      <c r="HU258" s="544"/>
      <c r="HV258" s="544"/>
      <c r="HW258" s="544"/>
      <c r="HX258" s="544"/>
      <c r="HY258" s="544"/>
      <c r="HZ258" s="544"/>
      <c r="IA258" s="544"/>
      <c r="IB258" s="544"/>
      <c r="IC258" s="544"/>
      <c r="ID258" s="544"/>
      <c r="IE258" s="544"/>
      <c r="IF258" s="544"/>
      <c r="IG258" s="544"/>
      <c r="IH258" s="544"/>
      <c r="II258" s="544"/>
      <c r="IJ258" s="544"/>
      <c r="IK258" s="544"/>
      <c r="IL258" s="544"/>
      <c r="IM258" s="544"/>
      <c r="IN258" s="544"/>
      <c r="IO258" s="544"/>
      <c r="IP258" s="544"/>
      <c r="IQ258" s="544"/>
      <c r="IR258" s="544"/>
      <c r="IS258" s="544"/>
    </row>
    <row r="259" spans="1:253" x14ac:dyDescent="0.35">
      <c r="A259" s="544"/>
      <c r="B259" s="572"/>
      <c r="C259" s="572"/>
      <c r="E259" s="544"/>
      <c r="F259" s="544"/>
      <c r="G259" s="544"/>
      <c r="H259" s="544"/>
      <c r="I259" s="544"/>
      <c r="J259" s="544"/>
      <c r="K259" s="544"/>
      <c r="AY259" s="544"/>
      <c r="AZ259" s="544"/>
      <c r="BA259" s="544"/>
      <c r="BB259" s="544"/>
      <c r="BC259" s="544"/>
      <c r="BD259" s="544"/>
      <c r="BE259" s="544"/>
      <c r="BF259" s="544"/>
      <c r="BG259" s="544"/>
      <c r="BH259" s="544"/>
      <c r="BI259" s="544"/>
      <c r="BJ259" s="544"/>
      <c r="BK259" s="544"/>
      <c r="BL259" s="544"/>
      <c r="BM259" s="544"/>
      <c r="BN259" s="544"/>
      <c r="BO259" s="544"/>
      <c r="BP259" s="544"/>
      <c r="BQ259" s="544"/>
      <c r="BR259" s="544"/>
      <c r="BS259" s="544"/>
      <c r="BT259" s="544"/>
      <c r="BU259" s="544"/>
      <c r="BV259" s="544"/>
      <c r="BW259" s="544"/>
      <c r="BX259" s="544"/>
      <c r="BY259" s="544"/>
      <c r="BZ259" s="544"/>
      <c r="CA259" s="544"/>
      <c r="CB259" s="544"/>
      <c r="CC259" s="544"/>
      <c r="CD259" s="544"/>
      <c r="CE259" s="544"/>
      <c r="CF259" s="544"/>
      <c r="CG259" s="544"/>
      <c r="CH259" s="544"/>
      <c r="CI259" s="544"/>
      <c r="CJ259" s="544"/>
      <c r="CK259" s="544"/>
      <c r="CL259" s="544"/>
      <c r="CM259" s="544"/>
      <c r="CN259" s="544"/>
      <c r="CO259" s="544"/>
      <c r="CP259" s="544"/>
      <c r="CQ259" s="544"/>
      <c r="CR259" s="544"/>
      <c r="CS259" s="544"/>
      <c r="CT259" s="544"/>
      <c r="CU259" s="544"/>
      <c r="CV259" s="544"/>
      <c r="CW259" s="544"/>
      <c r="CX259" s="544"/>
      <c r="CY259" s="544"/>
      <c r="CZ259" s="544"/>
      <c r="DA259" s="544"/>
      <c r="DB259" s="544"/>
      <c r="DC259" s="544"/>
      <c r="DD259" s="544"/>
      <c r="DE259" s="544"/>
      <c r="DF259" s="544"/>
      <c r="DG259" s="544"/>
      <c r="DH259" s="544"/>
      <c r="DI259" s="544"/>
      <c r="DJ259" s="544"/>
      <c r="DK259" s="544"/>
      <c r="DL259" s="544"/>
      <c r="DM259" s="544"/>
      <c r="DN259" s="544"/>
      <c r="DO259" s="544"/>
      <c r="DP259" s="544"/>
      <c r="DQ259" s="544"/>
      <c r="DR259" s="544"/>
      <c r="DS259" s="544"/>
      <c r="DT259" s="544"/>
      <c r="DU259" s="544"/>
      <c r="DV259" s="544"/>
      <c r="DW259" s="544"/>
      <c r="DX259" s="544"/>
      <c r="DY259" s="544"/>
      <c r="DZ259" s="544"/>
      <c r="EA259" s="544"/>
      <c r="EB259" s="544"/>
      <c r="EC259" s="544"/>
      <c r="ED259" s="544"/>
      <c r="EE259" s="544"/>
      <c r="EF259" s="544"/>
      <c r="EG259" s="544"/>
      <c r="EH259" s="544"/>
      <c r="EI259" s="544"/>
      <c r="EJ259" s="544"/>
      <c r="EK259" s="544"/>
      <c r="EL259" s="544"/>
      <c r="EM259" s="544"/>
      <c r="EN259" s="544"/>
      <c r="EO259" s="544"/>
      <c r="EP259" s="544"/>
      <c r="EQ259" s="544"/>
      <c r="ER259" s="544"/>
      <c r="ES259" s="544"/>
      <c r="ET259" s="544"/>
      <c r="EU259" s="544"/>
      <c r="EV259" s="544"/>
      <c r="EW259" s="544"/>
      <c r="EX259" s="544"/>
      <c r="EY259" s="544"/>
      <c r="EZ259" s="544"/>
      <c r="FA259" s="544"/>
      <c r="FB259" s="544"/>
      <c r="FC259" s="544"/>
      <c r="FD259" s="544"/>
      <c r="FE259" s="544"/>
      <c r="FF259" s="544"/>
      <c r="FG259" s="544"/>
      <c r="FH259" s="544"/>
      <c r="FI259" s="544"/>
      <c r="FJ259" s="544"/>
      <c r="FK259" s="544"/>
      <c r="FL259" s="544"/>
      <c r="FM259" s="544"/>
      <c r="FN259" s="544"/>
      <c r="FO259" s="544"/>
      <c r="FP259" s="544"/>
      <c r="FQ259" s="544"/>
      <c r="FR259" s="544"/>
      <c r="FS259" s="544"/>
      <c r="FT259" s="544"/>
      <c r="FU259" s="544"/>
      <c r="FV259" s="544"/>
      <c r="FW259" s="544"/>
      <c r="FX259" s="544"/>
      <c r="FY259" s="544"/>
      <c r="FZ259" s="544"/>
      <c r="GA259" s="544"/>
      <c r="GB259" s="544"/>
      <c r="GC259" s="544"/>
      <c r="GD259" s="544"/>
      <c r="GE259" s="544"/>
      <c r="GF259" s="544"/>
      <c r="GG259" s="544"/>
      <c r="GH259" s="544"/>
      <c r="GI259" s="544"/>
      <c r="GJ259" s="544"/>
      <c r="GK259" s="544"/>
      <c r="GL259" s="544"/>
      <c r="GM259" s="544"/>
      <c r="GN259" s="544"/>
      <c r="GO259" s="544"/>
      <c r="GP259" s="544"/>
      <c r="GQ259" s="544"/>
      <c r="GR259" s="544"/>
      <c r="GS259" s="544"/>
      <c r="GT259" s="544"/>
      <c r="GU259" s="544"/>
      <c r="GV259" s="544"/>
      <c r="GW259" s="544"/>
      <c r="GX259" s="544"/>
      <c r="GY259" s="544"/>
      <c r="GZ259" s="544"/>
      <c r="HA259" s="544"/>
      <c r="HB259" s="544"/>
      <c r="HC259" s="544"/>
      <c r="HD259" s="544"/>
      <c r="HE259" s="544"/>
      <c r="HF259" s="544"/>
      <c r="HG259" s="544"/>
      <c r="HH259" s="544"/>
      <c r="HI259" s="544"/>
      <c r="HJ259" s="544"/>
      <c r="HK259" s="544"/>
      <c r="HL259" s="544"/>
      <c r="HM259" s="544"/>
      <c r="HN259" s="544"/>
      <c r="HO259" s="544"/>
      <c r="HP259" s="544"/>
      <c r="HQ259" s="544"/>
      <c r="HR259" s="544"/>
      <c r="HS259" s="544"/>
      <c r="HT259" s="544"/>
      <c r="HU259" s="544"/>
      <c r="HV259" s="544"/>
      <c r="HW259" s="544"/>
      <c r="HX259" s="544"/>
      <c r="HY259" s="544"/>
      <c r="HZ259" s="544"/>
      <c r="IA259" s="544"/>
      <c r="IB259" s="544"/>
      <c r="IC259" s="544"/>
      <c r="ID259" s="544"/>
      <c r="IE259" s="544"/>
      <c r="IF259" s="544"/>
      <c r="IG259" s="544"/>
      <c r="IH259" s="544"/>
      <c r="II259" s="544"/>
      <c r="IJ259" s="544"/>
      <c r="IK259" s="544"/>
      <c r="IL259" s="544"/>
      <c r="IM259" s="544"/>
      <c r="IN259" s="544"/>
      <c r="IO259" s="544"/>
      <c r="IP259" s="544"/>
      <c r="IQ259" s="544"/>
      <c r="IR259" s="544"/>
      <c r="IS259" s="544"/>
    </row>
    <row r="260" spans="1:253" x14ac:dyDescent="0.35">
      <c r="A260" s="544"/>
      <c r="B260" s="572"/>
      <c r="C260" s="572"/>
      <c r="E260" s="544"/>
      <c r="F260" s="544"/>
      <c r="G260" s="544"/>
      <c r="H260" s="544"/>
      <c r="I260" s="544"/>
      <c r="J260" s="544"/>
      <c r="K260" s="544"/>
      <c r="AY260" s="544"/>
      <c r="AZ260" s="544"/>
      <c r="BA260" s="544"/>
      <c r="BB260" s="544"/>
      <c r="BC260" s="544"/>
      <c r="BD260" s="544"/>
      <c r="BE260" s="544"/>
      <c r="BF260" s="544"/>
      <c r="BG260" s="544"/>
      <c r="BH260" s="544"/>
      <c r="BI260" s="544"/>
      <c r="BJ260" s="544"/>
      <c r="BK260" s="544"/>
      <c r="BL260" s="544"/>
      <c r="BM260" s="544"/>
      <c r="BN260" s="544"/>
      <c r="BO260" s="544"/>
      <c r="BP260" s="544"/>
      <c r="BQ260" s="544"/>
      <c r="BR260" s="544"/>
      <c r="BS260" s="544"/>
      <c r="BT260" s="544"/>
      <c r="BU260" s="544"/>
      <c r="BV260" s="544"/>
      <c r="BW260" s="544"/>
      <c r="BX260" s="544"/>
      <c r="BY260" s="544"/>
      <c r="BZ260" s="544"/>
      <c r="CA260" s="544"/>
      <c r="CB260" s="544"/>
      <c r="CC260" s="544"/>
      <c r="CD260" s="544"/>
      <c r="CE260" s="544"/>
      <c r="CF260" s="544"/>
      <c r="CG260" s="544"/>
      <c r="CH260" s="544"/>
      <c r="CI260" s="544"/>
      <c r="CJ260" s="544"/>
      <c r="CK260" s="544"/>
      <c r="CL260" s="544"/>
      <c r="CM260" s="544"/>
      <c r="CN260" s="544"/>
      <c r="CO260" s="544"/>
      <c r="CP260" s="544"/>
      <c r="CQ260" s="544"/>
      <c r="CR260" s="544"/>
      <c r="CS260" s="544"/>
      <c r="CT260" s="544"/>
      <c r="CU260" s="544"/>
      <c r="CV260" s="544"/>
      <c r="CW260" s="544"/>
      <c r="CX260" s="544"/>
      <c r="CY260" s="544"/>
      <c r="CZ260" s="544"/>
      <c r="DA260" s="544"/>
      <c r="DB260" s="544"/>
      <c r="DC260" s="544"/>
      <c r="DD260" s="544"/>
      <c r="DE260" s="544"/>
      <c r="DF260" s="544"/>
      <c r="DG260" s="544"/>
      <c r="DH260" s="544"/>
      <c r="DI260" s="544"/>
      <c r="DJ260" s="544"/>
      <c r="DK260" s="544"/>
      <c r="DL260" s="544"/>
      <c r="DM260" s="544"/>
      <c r="DN260" s="544"/>
      <c r="DO260" s="544"/>
      <c r="DP260" s="544"/>
      <c r="DQ260" s="544"/>
      <c r="DR260" s="544"/>
      <c r="DS260" s="544"/>
      <c r="DT260" s="544"/>
      <c r="DU260" s="544"/>
      <c r="DV260" s="544"/>
      <c r="DW260" s="544"/>
      <c r="DX260" s="544"/>
      <c r="DY260" s="544"/>
      <c r="DZ260" s="544"/>
      <c r="EA260" s="544"/>
      <c r="EB260" s="544"/>
      <c r="EC260" s="544"/>
      <c r="ED260" s="544"/>
      <c r="EE260" s="544"/>
      <c r="EF260" s="544"/>
      <c r="EG260" s="544"/>
      <c r="EH260" s="544"/>
      <c r="EI260" s="544"/>
      <c r="EJ260" s="544"/>
      <c r="EK260" s="544"/>
      <c r="EL260" s="544"/>
      <c r="EM260" s="544"/>
      <c r="EN260" s="544"/>
      <c r="EO260" s="544"/>
      <c r="EP260" s="544"/>
      <c r="EQ260" s="544"/>
      <c r="ER260" s="544"/>
      <c r="ES260" s="544"/>
      <c r="ET260" s="544"/>
      <c r="EU260" s="544"/>
      <c r="EV260" s="544"/>
      <c r="EW260" s="544"/>
      <c r="EX260" s="544"/>
      <c r="EY260" s="544"/>
      <c r="EZ260" s="544"/>
      <c r="FA260" s="544"/>
      <c r="FB260" s="544"/>
      <c r="FC260" s="544"/>
      <c r="FD260" s="544"/>
      <c r="FE260" s="544"/>
      <c r="FF260" s="544"/>
      <c r="FG260" s="544"/>
      <c r="FH260" s="544"/>
      <c r="FI260" s="544"/>
      <c r="FJ260" s="544"/>
      <c r="FK260" s="544"/>
      <c r="FL260" s="544"/>
      <c r="FM260" s="544"/>
      <c r="FN260" s="544"/>
      <c r="FO260" s="544"/>
      <c r="FP260" s="544"/>
      <c r="FQ260" s="544"/>
      <c r="FR260" s="544"/>
      <c r="FS260" s="544"/>
      <c r="FT260" s="544"/>
      <c r="FU260" s="544"/>
      <c r="FV260" s="544"/>
      <c r="FW260" s="544"/>
      <c r="FX260" s="544"/>
      <c r="FY260" s="544"/>
      <c r="FZ260" s="544"/>
      <c r="GA260" s="544"/>
      <c r="GB260" s="544"/>
      <c r="GC260" s="544"/>
      <c r="GD260" s="544"/>
      <c r="GE260" s="544"/>
      <c r="GF260" s="544"/>
      <c r="GG260" s="544"/>
      <c r="GH260" s="544"/>
      <c r="GI260" s="544"/>
      <c r="GJ260" s="544"/>
      <c r="GK260" s="544"/>
      <c r="GL260" s="544"/>
      <c r="GM260" s="544"/>
      <c r="GN260" s="544"/>
      <c r="GO260" s="544"/>
      <c r="GP260" s="544"/>
      <c r="GQ260" s="544"/>
      <c r="GR260" s="544"/>
      <c r="GS260" s="544"/>
      <c r="GT260" s="544"/>
      <c r="GU260" s="544"/>
      <c r="GV260" s="544"/>
      <c r="GW260" s="544"/>
      <c r="GX260" s="544"/>
      <c r="GY260" s="544"/>
      <c r="GZ260" s="544"/>
      <c r="HA260" s="544"/>
      <c r="HB260" s="544"/>
      <c r="HC260" s="544"/>
      <c r="HD260" s="544"/>
      <c r="HE260" s="544"/>
      <c r="HF260" s="544"/>
      <c r="HG260" s="544"/>
      <c r="HH260" s="544"/>
      <c r="HI260" s="544"/>
      <c r="HJ260" s="544"/>
      <c r="HK260" s="544"/>
      <c r="HL260" s="544"/>
      <c r="HM260" s="544"/>
      <c r="HN260" s="544"/>
      <c r="HO260" s="544"/>
      <c r="HP260" s="544"/>
      <c r="HQ260" s="544"/>
      <c r="HR260" s="544"/>
      <c r="HS260" s="544"/>
      <c r="HT260" s="544"/>
      <c r="HU260" s="544"/>
      <c r="HV260" s="544"/>
      <c r="HW260" s="544"/>
      <c r="HX260" s="544"/>
      <c r="HY260" s="544"/>
      <c r="HZ260" s="544"/>
      <c r="IA260" s="544"/>
      <c r="IB260" s="544"/>
      <c r="IC260" s="544"/>
      <c r="ID260" s="544"/>
      <c r="IE260" s="544"/>
      <c r="IF260" s="544"/>
      <c r="IG260" s="544"/>
      <c r="IH260" s="544"/>
      <c r="II260" s="544"/>
      <c r="IJ260" s="544"/>
      <c r="IK260" s="544"/>
      <c r="IL260" s="544"/>
      <c r="IM260" s="544"/>
      <c r="IN260" s="544"/>
      <c r="IO260" s="544"/>
      <c r="IP260" s="544"/>
      <c r="IQ260" s="544"/>
      <c r="IR260" s="544"/>
      <c r="IS260" s="544"/>
    </row>
    <row r="261" spans="1:253" x14ac:dyDescent="0.35">
      <c r="A261" s="544"/>
      <c r="B261" s="572"/>
      <c r="C261" s="572"/>
      <c r="E261" s="544"/>
      <c r="F261" s="544"/>
      <c r="G261" s="544"/>
      <c r="H261" s="544"/>
      <c r="I261" s="544"/>
      <c r="J261" s="544"/>
      <c r="K261" s="544"/>
      <c r="AY261" s="544"/>
      <c r="AZ261" s="544"/>
      <c r="BA261" s="544"/>
      <c r="BB261" s="544"/>
      <c r="BC261" s="544"/>
      <c r="BD261" s="544"/>
      <c r="BE261" s="544"/>
      <c r="BF261" s="544"/>
      <c r="BG261" s="544"/>
      <c r="BH261" s="544"/>
      <c r="BI261" s="544"/>
      <c r="BJ261" s="544"/>
      <c r="BK261" s="544"/>
      <c r="BL261" s="544"/>
      <c r="BM261" s="544"/>
      <c r="BN261" s="544"/>
      <c r="BO261" s="544"/>
      <c r="BP261" s="544"/>
      <c r="BQ261" s="544"/>
      <c r="BR261" s="544"/>
      <c r="BS261" s="544"/>
      <c r="BT261" s="544"/>
      <c r="BU261" s="544"/>
      <c r="BV261" s="544"/>
      <c r="BW261" s="544"/>
      <c r="BX261" s="544"/>
      <c r="BY261" s="544"/>
      <c r="BZ261" s="544"/>
      <c r="CA261" s="544"/>
      <c r="CB261" s="544"/>
      <c r="CC261" s="544"/>
      <c r="CD261" s="544"/>
      <c r="CE261" s="544"/>
      <c r="CF261" s="544"/>
      <c r="CG261" s="544"/>
      <c r="CH261" s="544"/>
      <c r="CI261" s="544"/>
      <c r="CJ261" s="544"/>
      <c r="CK261" s="544"/>
      <c r="CL261" s="544"/>
      <c r="CM261" s="544"/>
      <c r="CN261" s="544"/>
      <c r="CO261" s="544"/>
      <c r="CP261" s="544"/>
      <c r="CQ261" s="544"/>
      <c r="CR261" s="544"/>
      <c r="CS261" s="544"/>
      <c r="CT261" s="544"/>
      <c r="CU261" s="544"/>
      <c r="CV261" s="544"/>
      <c r="CW261" s="544"/>
      <c r="CX261" s="544"/>
      <c r="CY261" s="544"/>
      <c r="CZ261" s="544"/>
      <c r="DA261" s="544"/>
      <c r="DB261" s="544"/>
      <c r="DC261" s="544"/>
      <c r="DD261" s="544"/>
      <c r="DE261" s="544"/>
      <c r="DF261" s="544"/>
      <c r="DG261" s="544"/>
      <c r="DH261" s="544"/>
      <c r="DI261" s="544"/>
      <c r="DJ261" s="544"/>
      <c r="DK261" s="544"/>
      <c r="DL261" s="544"/>
      <c r="DM261" s="544"/>
      <c r="DN261" s="544"/>
      <c r="DO261" s="544"/>
      <c r="DP261" s="544"/>
      <c r="DQ261" s="544"/>
      <c r="DR261" s="544"/>
      <c r="DS261" s="544"/>
      <c r="DT261" s="544"/>
      <c r="DU261" s="544"/>
      <c r="DV261" s="544"/>
      <c r="DW261" s="544"/>
      <c r="DX261" s="544"/>
      <c r="DY261" s="544"/>
      <c r="DZ261" s="544"/>
      <c r="EA261" s="544"/>
      <c r="EB261" s="544"/>
      <c r="EC261" s="544"/>
      <c r="ED261" s="544"/>
      <c r="EE261" s="544"/>
      <c r="EF261" s="544"/>
      <c r="EG261" s="544"/>
      <c r="EH261" s="544"/>
      <c r="EI261" s="544"/>
      <c r="EJ261" s="544"/>
      <c r="EK261" s="544"/>
      <c r="EL261" s="544"/>
      <c r="EM261" s="544"/>
      <c r="EN261" s="544"/>
      <c r="EO261" s="544"/>
      <c r="EP261" s="544"/>
      <c r="EQ261" s="544"/>
      <c r="ER261" s="544"/>
      <c r="ES261" s="544"/>
      <c r="ET261" s="544"/>
      <c r="EU261" s="544"/>
      <c r="EV261" s="544"/>
      <c r="EW261" s="544"/>
      <c r="EX261" s="544"/>
      <c r="EY261" s="544"/>
      <c r="EZ261" s="544"/>
      <c r="FA261" s="544"/>
      <c r="FB261" s="544"/>
      <c r="FC261" s="544"/>
      <c r="FD261" s="544"/>
      <c r="FE261" s="544"/>
      <c r="FF261" s="544"/>
      <c r="FG261" s="544"/>
      <c r="FH261" s="544"/>
      <c r="FI261" s="544"/>
      <c r="FJ261" s="544"/>
      <c r="FK261" s="544"/>
      <c r="FL261" s="544"/>
      <c r="FM261" s="544"/>
      <c r="FN261" s="544"/>
      <c r="FO261" s="544"/>
      <c r="FP261" s="544"/>
      <c r="FQ261" s="544"/>
      <c r="FR261" s="544"/>
      <c r="FS261" s="544"/>
      <c r="FT261" s="544"/>
      <c r="FU261" s="544"/>
      <c r="FV261" s="544"/>
      <c r="FW261" s="544"/>
      <c r="FX261" s="544"/>
      <c r="FY261" s="544"/>
      <c r="FZ261" s="544"/>
      <c r="GA261" s="544"/>
      <c r="GB261" s="544"/>
      <c r="GC261" s="544"/>
      <c r="GD261" s="544"/>
      <c r="GE261" s="544"/>
      <c r="GF261" s="544"/>
      <c r="GG261" s="544"/>
      <c r="GH261" s="544"/>
      <c r="GI261" s="544"/>
      <c r="GJ261" s="544"/>
      <c r="GK261" s="544"/>
      <c r="GL261" s="544"/>
      <c r="GM261" s="544"/>
      <c r="GN261" s="544"/>
      <c r="GO261" s="544"/>
      <c r="GP261" s="544"/>
      <c r="GQ261" s="544"/>
      <c r="GR261" s="544"/>
      <c r="GS261" s="544"/>
      <c r="GT261" s="544"/>
      <c r="GU261" s="544"/>
      <c r="GV261" s="544"/>
      <c r="GW261" s="544"/>
      <c r="GX261" s="544"/>
      <c r="GY261" s="544"/>
      <c r="GZ261" s="544"/>
      <c r="HA261" s="544"/>
      <c r="HB261" s="544"/>
      <c r="HC261" s="544"/>
      <c r="HD261" s="544"/>
      <c r="HE261" s="544"/>
      <c r="HF261" s="544"/>
      <c r="HG261" s="544"/>
      <c r="HH261" s="544"/>
      <c r="HI261" s="544"/>
      <c r="HJ261" s="544"/>
      <c r="HK261" s="544"/>
      <c r="HL261" s="544"/>
      <c r="HM261" s="544"/>
      <c r="HN261" s="544"/>
      <c r="HO261" s="544"/>
      <c r="HP261" s="544"/>
      <c r="HQ261" s="544"/>
      <c r="HR261" s="544"/>
      <c r="HS261" s="544"/>
      <c r="HT261" s="544"/>
      <c r="HU261" s="544"/>
      <c r="HV261" s="544"/>
      <c r="HW261" s="544"/>
      <c r="HX261" s="544"/>
      <c r="HY261" s="544"/>
      <c r="HZ261" s="544"/>
      <c r="IA261" s="544"/>
      <c r="IB261" s="544"/>
      <c r="IC261" s="544"/>
      <c r="ID261" s="544"/>
      <c r="IE261" s="544"/>
      <c r="IF261" s="544"/>
      <c r="IG261" s="544"/>
      <c r="IH261" s="544"/>
      <c r="II261" s="544"/>
      <c r="IJ261" s="544"/>
      <c r="IK261" s="544"/>
      <c r="IL261" s="544"/>
      <c r="IM261" s="544"/>
      <c r="IN261" s="544"/>
      <c r="IO261" s="544"/>
      <c r="IP261" s="544"/>
      <c r="IQ261" s="544"/>
      <c r="IR261" s="544"/>
      <c r="IS261" s="544"/>
    </row>
    <row r="262" spans="1:253" x14ac:dyDescent="0.35">
      <c r="A262" s="544"/>
      <c r="B262" s="572"/>
      <c r="C262" s="572"/>
      <c r="E262" s="544"/>
      <c r="F262" s="544"/>
      <c r="G262" s="544"/>
      <c r="H262" s="544"/>
      <c r="I262" s="544"/>
      <c r="J262" s="544"/>
      <c r="K262" s="544"/>
      <c r="AY262" s="544"/>
      <c r="AZ262" s="544"/>
      <c r="BA262" s="544"/>
      <c r="BB262" s="544"/>
      <c r="BC262" s="544"/>
      <c r="BD262" s="544"/>
      <c r="BE262" s="544"/>
      <c r="BF262" s="544"/>
      <c r="BG262" s="544"/>
      <c r="BH262" s="544"/>
      <c r="BI262" s="544"/>
      <c r="BJ262" s="544"/>
      <c r="BK262" s="544"/>
      <c r="BL262" s="544"/>
      <c r="BM262" s="544"/>
      <c r="BN262" s="544"/>
      <c r="BO262" s="544"/>
      <c r="BP262" s="544"/>
      <c r="BQ262" s="544"/>
      <c r="BR262" s="544"/>
      <c r="BS262" s="544"/>
      <c r="BT262" s="544"/>
      <c r="BU262" s="544"/>
      <c r="BV262" s="544"/>
      <c r="BW262" s="544"/>
      <c r="BX262" s="544"/>
      <c r="BY262" s="544"/>
      <c r="BZ262" s="544"/>
      <c r="CA262" s="544"/>
      <c r="CB262" s="544"/>
      <c r="CC262" s="544"/>
      <c r="CD262" s="544"/>
      <c r="CE262" s="544"/>
      <c r="CF262" s="544"/>
      <c r="CG262" s="544"/>
      <c r="CH262" s="544"/>
      <c r="CI262" s="544"/>
      <c r="CJ262" s="544"/>
      <c r="CK262" s="544"/>
      <c r="CL262" s="544"/>
      <c r="CM262" s="544"/>
      <c r="CN262" s="544"/>
      <c r="CO262" s="544"/>
      <c r="CP262" s="544"/>
      <c r="CQ262" s="544"/>
      <c r="CR262" s="544"/>
      <c r="CS262" s="544"/>
      <c r="CT262" s="544"/>
      <c r="CU262" s="544"/>
      <c r="CV262" s="544"/>
      <c r="CW262" s="544"/>
      <c r="CX262" s="544"/>
      <c r="CY262" s="544"/>
      <c r="CZ262" s="544"/>
      <c r="DA262" s="544"/>
      <c r="DB262" s="544"/>
      <c r="DC262" s="544"/>
      <c r="DD262" s="544"/>
      <c r="DE262" s="544"/>
      <c r="DF262" s="544"/>
      <c r="DG262" s="544"/>
      <c r="DH262" s="544"/>
      <c r="DI262" s="544"/>
      <c r="DJ262" s="544"/>
      <c r="DK262" s="544"/>
      <c r="DL262" s="544"/>
      <c r="DM262" s="544"/>
      <c r="DN262" s="544"/>
      <c r="DO262" s="544"/>
      <c r="DP262" s="544"/>
      <c r="DQ262" s="544"/>
      <c r="DR262" s="544"/>
      <c r="DS262" s="544"/>
      <c r="DT262" s="544"/>
      <c r="DU262" s="544"/>
      <c r="DV262" s="544"/>
      <c r="DW262" s="544"/>
      <c r="DX262" s="544"/>
      <c r="DY262" s="544"/>
      <c r="DZ262" s="544"/>
      <c r="EA262" s="544"/>
      <c r="EB262" s="544"/>
      <c r="EC262" s="544"/>
      <c r="ED262" s="544"/>
      <c r="EE262" s="544"/>
      <c r="EF262" s="544"/>
      <c r="EG262" s="544"/>
      <c r="EH262" s="544"/>
      <c r="EI262" s="544"/>
      <c r="EJ262" s="544"/>
      <c r="EK262" s="544"/>
      <c r="EL262" s="544"/>
      <c r="EM262" s="544"/>
      <c r="EN262" s="544"/>
      <c r="EO262" s="544"/>
      <c r="EP262" s="544"/>
      <c r="EQ262" s="544"/>
      <c r="ER262" s="544"/>
      <c r="ES262" s="544"/>
      <c r="ET262" s="544"/>
      <c r="EU262" s="544"/>
      <c r="EV262" s="544"/>
      <c r="EW262" s="544"/>
      <c r="EX262" s="544"/>
      <c r="EY262" s="544"/>
      <c r="EZ262" s="544"/>
      <c r="FA262" s="544"/>
      <c r="FB262" s="544"/>
      <c r="FC262" s="544"/>
      <c r="FD262" s="544"/>
      <c r="FE262" s="544"/>
      <c r="FF262" s="544"/>
      <c r="FG262" s="544"/>
      <c r="FH262" s="544"/>
      <c r="FI262" s="544"/>
      <c r="FJ262" s="544"/>
      <c r="FK262" s="544"/>
      <c r="FL262" s="544"/>
      <c r="FM262" s="544"/>
      <c r="FN262" s="544"/>
      <c r="FO262" s="544"/>
      <c r="FP262" s="544"/>
      <c r="FQ262" s="544"/>
      <c r="FR262" s="544"/>
      <c r="FS262" s="544"/>
      <c r="FT262" s="544"/>
      <c r="FU262" s="544"/>
      <c r="FV262" s="544"/>
      <c r="FW262" s="544"/>
      <c r="FX262" s="544"/>
      <c r="FY262" s="544"/>
      <c r="FZ262" s="544"/>
      <c r="GA262" s="544"/>
      <c r="GB262" s="544"/>
      <c r="GC262" s="544"/>
      <c r="GD262" s="544"/>
      <c r="GE262" s="544"/>
      <c r="GF262" s="544"/>
      <c r="GG262" s="544"/>
      <c r="GH262" s="544"/>
      <c r="GI262" s="544"/>
      <c r="GJ262" s="544"/>
      <c r="GK262" s="544"/>
      <c r="GL262" s="544"/>
      <c r="GM262" s="544"/>
      <c r="GN262" s="544"/>
      <c r="GO262" s="544"/>
      <c r="GP262" s="544"/>
      <c r="GQ262" s="544"/>
      <c r="GR262" s="544"/>
      <c r="GS262" s="544"/>
      <c r="GT262" s="544"/>
      <c r="GU262" s="544"/>
      <c r="GV262" s="544"/>
      <c r="GW262" s="544"/>
      <c r="GX262" s="544"/>
      <c r="GY262" s="544"/>
      <c r="GZ262" s="544"/>
      <c r="HA262" s="544"/>
      <c r="HB262" s="544"/>
      <c r="HC262" s="544"/>
      <c r="HD262" s="544"/>
      <c r="HE262" s="544"/>
      <c r="HF262" s="544"/>
      <c r="HG262" s="544"/>
      <c r="HH262" s="544"/>
      <c r="HI262" s="544"/>
      <c r="HJ262" s="544"/>
      <c r="HK262" s="544"/>
      <c r="HL262" s="544"/>
      <c r="HM262" s="544"/>
      <c r="HN262" s="544"/>
      <c r="HO262" s="544"/>
      <c r="HP262" s="544"/>
      <c r="HQ262" s="544"/>
      <c r="HR262" s="544"/>
      <c r="HS262" s="544"/>
      <c r="HT262" s="544"/>
      <c r="HU262" s="544"/>
      <c r="HV262" s="544"/>
      <c r="HW262" s="544"/>
      <c r="HX262" s="544"/>
      <c r="HY262" s="544"/>
      <c r="HZ262" s="544"/>
      <c r="IA262" s="544"/>
      <c r="IB262" s="544"/>
      <c r="IC262" s="544"/>
      <c r="ID262" s="544"/>
      <c r="IE262" s="544"/>
      <c r="IF262" s="544"/>
      <c r="IG262" s="544"/>
      <c r="IH262" s="544"/>
      <c r="II262" s="544"/>
      <c r="IJ262" s="544"/>
      <c r="IK262" s="544"/>
      <c r="IL262" s="544"/>
      <c r="IM262" s="544"/>
      <c r="IN262" s="544"/>
      <c r="IO262" s="544"/>
      <c r="IP262" s="544"/>
      <c r="IQ262" s="544"/>
      <c r="IR262" s="544"/>
      <c r="IS262" s="544"/>
    </row>
    <row r="263" spans="1:253" x14ac:dyDescent="0.35">
      <c r="A263" s="544"/>
      <c r="B263" s="572"/>
      <c r="C263" s="572"/>
      <c r="E263" s="544"/>
      <c r="F263" s="544"/>
      <c r="G263" s="544"/>
      <c r="H263" s="544"/>
      <c r="I263" s="544"/>
      <c r="J263" s="544"/>
      <c r="K263" s="544"/>
      <c r="AY263" s="544"/>
      <c r="AZ263" s="544"/>
      <c r="BA263" s="544"/>
      <c r="BB263" s="544"/>
      <c r="BC263" s="544"/>
      <c r="BD263" s="544"/>
      <c r="BE263" s="544"/>
      <c r="BF263" s="544"/>
      <c r="BG263" s="544"/>
      <c r="BH263" s="544"/>
      <c r="BI263" s="544"/>
      <c r="BJ263" s="544"/>
      <c r="BK263" s="544"/>
      <c r="BL263" s="544"/>
      <c r="BM263" s="544"/>
      <c r="BN263" s="544"/>
      <c r="BO263" s="544"/>
      <c r="BP263" s="544"/>
      <c r="BQ263" s="544"/>
      <c r="BR263" s="544"/>
      <c r="BS263" s="544"/>
      <c r="BT263" s="544"/>
      <c r="BU263" s="544"/>
      <c r="BV263" s="544"/>
      <c r="BW263" s="544"/>
      <c r="BX263" s="544"/>
      <c r="BY263" s="544"/>
      <c r="BZ263" s="544"/>
      <c r="CA263" s="544"/>
      <c r="CB263" s="544"/>
      <c r="CC263" s="544"/>
      <c r="CD263" s="544"/>
      <c r="CE263" s="544"/>
      <c r="CF263" s="544"/>
      <c r="CG263" s="544"/>
      <c r="CH263" s="544"/>
      <c r="CI263" s="544"/>
      <c r="CJ263" s="544"/>
      <c r="CK263" s="544"/>
      <c r="CL263" s="544"/>
      <c r="CM263" s="544"/>
      <c r="CN263" s="544"/>
      <c r="CO263" s="544"/>
      <c r="CP263" s="544"/>
      <c r="CQ263" s="544"/>
      <c r="CR263" s="544"/>
      <c r="CS263" s="544"/>
      <c r="CT263" s="544"/>
      <c r="CU263" s="544"/>
      <c r="CV263" s="544"/>
      <c r="CW263" s="544"/>
      <c r="CX263" s="544"/>
      <c r="CY263" s="544"/>
      <c r="CZ263" s="544"/>
      <c r="DA263" s="544"/>
      <c r="DB263" s="544"/>
      <c r="DC263" s="544"/>
      <c r="DD263" s="544"/>
      <c r="DE263" s="544"/>
      <c r="DF263" s="544"/>
      <c r="DG263" s="544"/>
      <c r="DH263" s="544"/>
      <c r="DI263" s="544"/>
      <c r="DJ263" s="544"/>
      <c r="DK263" s="544"/>
      <c r="DL263" s="544"/>
      <c r="DM263" s="544"/>
      <c r="DN263" s="544"/>
      <c r="DO263" s="544"/>
      <c r="DP263" s="544"/>
      <c r="DQ263" s="544"/>
      <c r="DR263" s="544"/>
      <c r="DS263" s="544"/>
      <c r="DT263" s="544"/>
      <c r="DU263" s="544"/>
      <c r="DV263" s="544"/>
      <c r="DW263" s="544"/>
      <c r="DX263" s="544"/>
      <c r="DY263" s="544"/>
      <c r="DZ263" s="544"/>
      <c r="EA263" s="544"/>
      <c r="EB263" s="544"/>
      <c r="EC263" s="544"/>
      <c r="ED263" s="544"/>
      <c r="EE263" s="544"/>
      <c r="EF263" s="544"/>
      <c r="EG263" s="544"/>
      <c r="EH263" s="544"/>
      <c r="EI263" s="544"/>
      <c r="EJ263" s="544"/>
      <c r="EK263" s="544"/>
      <c r="EL263" s="544"/>
      <c r="EM263" s="544"/>
      <c r="EN263" s="544"/>
      <c r="EO263" s="544"/>
      <c r="EP263" s="544"/>
      <c r="EQ263" s="544"/>
      <c r="ER263" s="544"/>
      <c r="ES263" s="544"/>
      <c r="ET263" s="544"/>
      <c r="EU263" s="544"/>
      <c r="EV263" s="544"/>
      <c r="EW263" s="544"/>
      <c r="EX263" s="544"/>
      <c r="EY263" s="544"/>
      <c r="EZ263" s="544"/>
      <c r="FA263" s="544"/>
      <c r="FB263" s="544"/>
      <c r="FC263" s="544"/>
      <c r="FD263" s="544"/>
      <c r="FE263" s="544"/>
      <c r="FF263" s="544"/>
      <c r="FG263" s="544"/>
      <c r="FH263" s="544"/>
      <c r="FI263" s="544"/>
      <c r="FJ263" s="544"/>
      <c r="FK263" s="544"/>
      <c r="FL263" s="544"/>
      <c r="FM263" s="544"/>
      <c r="FN263" s="544"/>
      <c r="FO263" s="544"/>
      <c r="FP263" s="544"/>
      <c r="FQ263" s="544"/>
      <c r="FR263" s="544"/>
      <c r="FS263" s="544"/>
      <c r="FT263" s="544"/>
      <c r="FU263" s="544"/>
      <c r="FV263" s="544"/>
      <c r="FW263" s="544"/>
      <c r="FX263" s="544"/>
      <c r="FY263" s="544"/>
      <c r="FZ263" s="544"/>
      <c r="GA263" s="544"/>
      <c r="GB263" s="544"/>
      <c r="GC263" s="544"/>
      <c r="GD263" s="544"/>
      <c r="GE263" s="544"/>
      <c r="GF263" s="544"/>
      <c r="GG263" s="544"/>
      <c r="GH263" s="544"/>
      <c r="GI263" s="544"/>
      <c r="GJ263" s="544"/>
      <c r="GK263" s="544"/>
      <c r="GL263" s="544"/>
      <c r="GM263" s="544"/>
      <c r="GN263" s="544"/>
      <c r="GO263" s="544"/>
      <c r="GP263" s="544"/>
      <c r="GQ263" s="544"/>
      <c r="GR263" s="544"/>
      <c r="GS263" s="544"/>
      <c r="GT263" s="544"/>
      <c r="GU263" s="544"/>
      <c r="GV263" s="544"/>
      <c r="GW263" s="544"/>
      <c r="GX263" s="544"/>
      <c r="GY263" s="544"/>
      <c r="GZ263" s="544"/>
      <c r="HA263" s="544"/>
      <c r="HB263" s="544"/>
      <c r="HC263" s="544"/>
      <c r="HD263" s="544"/>
      <c r="HE263" s="544"/>
      <c r="HF263" s="544"/>
      <c r="HG263" s="544"/>
      <c r="HH263" s="544"/>
      <c r="HI263" s="544"/>
      <c r="HJ263" s="544"/>
      <c r="HK263" s="544"/>
      <c r="HL263" s="544"/>
      <c r="HM263" s="544"/>
      <c r="HN263" s="544"/>
      <c r="HO263" s="544"/>
      <c r="HP263" s="544"/>
      <c r="HQ263" s="544"/>
      <c r="HR263" s="544"/>
      <c r="HS263" s="544"/>
      <c r="HT263" s="544"/>
      <c r="HU263" s="544"/>
      <c r="HV263" s="544"/>
      <c r="HW263" s="544"/>
      <c r="HX263" s="544"/>
      <c r="HY263" s="544"/>
      <c r="HZ263" s="544"/>
      <c r="IA263" s="544"/>
      <c r="IB263" s="544"/>
      <c r="IC263" s="544"/>
      <c r="ID263" s="544"/>
      <c r="IE263" s="544"/>
      <c r="IF263" s="544"/>
      <c r="IG263" s="544"/>
      <c r="IH263" s="544"/>
      <c r="II263" s="544"/>
      <c r="IJ263" s="544"/>
      <c r="IK263" s="544"/>
      <c r="IL263" s="544"/>
      <c r="IM263" s="544"/>
      <c r="IN263" s="544"/>
      <c r="IO263" s="544"/>
      <c r="IP263" s="544"/>
      <c r="IQ263" s="544"/>
      <c r="IR263" s="544"/>
      <c r="IS263" s="544"/>
    </row>
    <row r="264" spans="1:253" x14ac:dyDescent="0.35">
      <c r="A264" s="544"/>
      <c r="B264" s="572"/>
      <c r="C264" s="572"/>
      <c r="E264" s="544"/>
      <c r="F264" s="544"/>
      <c r="G264" s="544"/>
      <c r="H264" s="544"/>
      <c r="I264" s="544"/>
      <c r="J264" s="544"/>
      <c r="K264" s="544"/>
      <c r="AY264" s="544"/>
      <c r="AZ264" s="544"/>
      <c r="BA264" s="544"/>
      <c r="BB264" s="544"/>
      <c r="BC264" s="544"/>
      <c r="BD264" s="544"/>
      <c r="BE264" s="544"/>
      <c r="BF264" s="544"/>
      <c r="BG264" s="544"/>
      <c r="BH264" s="544"/>
      <c r="BI264" s="544"/>
      <c r="BJ264" s="544"/>
      <c r="BK264" s="544"/>
      <c r="BL264" s="544"/>
      <c r="BM264" s="544"/>
      <c r="BN264" s="544"/>
      <c r="BO264" s="544"/>
      <c r="BP264" s="544"/>
      <c r="BQ264" s="544"/>
      <c r="BR264" s="544"/>
      <c r="BS264" s="544"/>
      <c r="BT264" s="544"/>
      <c r="BU264" s="544"/>
      <c r="BV264" s="544"/>
      <c r="BW264" s="544"/>
      <c r="BX264" s="544"/>
      <c r="BY264" s="544"/>
      <c r="BZ264" s="544"/>
      <c r="CA264" s="544"/>
      <c r="CB264" s="544"/>
      <c r="CC264" s="544"/>
      <c r="CD264" s="544"/>
      <c r="CE264" s="544"/>
      <c r="CF264" s="544"/>
      <c r="CG264" s="544"/>
      <c r="CH264" s="544"/>
      <c r="CI264" s="544"/>
      <c r="CJ264" s="544"/>
      <c r="CK264" s="544"/>
      <c r="CL264" s="544"/>
      <c r="CM264" s="544"/>
      <c r="CN264" s="544"/>
      <c r="CO264" s="544"/>
      <c r="CP264" s="544"/>
      <c r="CQ264" s="544"/>
      <c r="CR264" s="544"/>
      <c r="CS264" s="544"/>
      <c r="CT264" s="544"/>
      <c r="CU264" s="544"/>
      <c r="CV264" s="544"/>
      <c r="CW264" s="544"/>
      <c r="CX264" s="544"/>
      <c r="CY264" s="544"/>
      <c r="CZ264" s="544"/>
      <c r="DA264" s="544"/>
      <c r="DB264" s="544"/>
      <c r="DC264" s="544"/>
      <c r="DD264" s="544"/>
      <c r="DE264" s="544"/>
      <c r="DF264" s="544"/>
      <c r="DG264" s="544"/>
      <c r="DH264" s="544"/>
      <c r="DI264" s="544"/>
      <c r="DJ264" s="544"/>
      <c r="DK264" s="544"/>
      <c r="DL264" s="544"/>
      <c r="DM264" s="544"/>
      <c r="DN264" s="544"/>
      <c r="DO264" s="544"/>
      <c r="DP264" s="544"/>
      <c r="DQ264" s="544"/>
      <c r="DR264" s="544"/>
      <c r="DS264" s="544"/>
      <c r="DT264" s="544"/>
      <c r="DU264" s="544"/>
      <c r="DV264" s="544"/>
      <c r="DW264" s="544"/>
      <c r="DX264" s="544"/>
      <c r="DY264" s="544"/>
      <c r="DZ264" s="544"/>
      <c r="EA264" s="544"/>
      <c r="EB264" s="544"/>
      <c r="EC264" s="544"/>
      <c r="ED264" s="544"/>
      <c r="EE264" s="544"/>
      <c r="EF264" s="544"/>
      <c r="EG264" s="544"/>
      <c r="EH264" s="544"/>
      <c r="EI264" s="544"/>
      <c r="EJ264" s="544"/>
      <c r="EK264" s="544"/>
      <c r="EL264" s="544"/>
      <c r="EM264" s="544"/>
      <c r="EN264" s="544"/>
      <c r="EO264" s="544"/>
      <c r="EP264" s="544"/>
      <c r="EQ264" s="544"/>
      <c r="ER264" s="544"/>
      <c r="ES264" s="544"/>
      <c r="ET264" s="544"/>
      <c r="EU264" s="544"/>
      <c r="EV264" s="544"/>
      <c r="EW264" s="544"/>
      <c r="EX264" s="544"/>
      <c r="EY264" s="544"/>
      <c r="EZ264" s="544"/>
      <c r="FA264" s="544"/>
      <c r="FB264" s="544"/>
      <c r="FC264" s="544"/>
      <c r="FD264" s="544"/>
      <c r="FE264" s="544"/>
      <c r="FF264" s="544"/>
      <c r="FG264" s="544"/>
      <c r="FH264" s="544"/>
      <c r="FI264" s="544"/>
      <c r="FJ264" s="544"/>
      <c r="FK264" s="544"/>
      <c r="FL264" s="544"/>
      <c r="FM264" s="544"/>
      <c r="FN264" s="544"/>
      <c r="FO264" s="544"/>
      <c r="FP264" s="544"/>
      <c r="FQ264" s="544"/>
      <c r="FR264" s="544"/>
      <c r="FS264" s="544"/>
      <c r="FT264" s="544"/>
      <c r="FU264" s="544"/>
      <c r="FV264" s="544"/>
      <c r="FW264" s="544"/>
      <c r="FX264" s="544"/>
      <c r="FY264" s="544"/>
      <c r="FZ264" s="544"/>
      <c r="GA264" s="544"/>
      <c r="GB264" s="544"/>
      <c r="GC264" s="544"/>
      <c r="GD264" s="544"/>
      <c r="GE264" s="544"/>
      <c r="GF264" s="544"/>
      <c r="GG264" s="544"/>
      <c r="GH264" s="544"/>
      <c r="GI264" s="544"/>
      <c r="GJ264" s="544"/>
      <c r="GK264" s="544"/>
      <c r="GL264" s="544"/>
      <c r="GM264" s="544"/>
      <c r="GN264" s="544"/>
      <c r="GO264" s="544"/>
      <c r="GP264" s="544"/>
      <c r="GQ264" s="544"/>
      <c r="GR264" s="544"/>
      <c r="GS264" s="544"/>
      <c r="GT264" s="544"/>
      <c r="GU264" s="544"/>
      <c r="GV264" s="544"/>
      <c r="GW264" s="544"/>
      <c r="GX264" s="544"/>
      <c r="GY264" s="544"/>
      <c r="GZ264" s="544"/>
      <c r="HA264" s="544"/>
      <c r="HB264" s="544"/>
      <c r="HC264" s="544"/>
      <c r="HD264" s="544"/>
      <c r="HE264" s="544"/>
      <c r="HF264" s="544"/>
      <c r="HG264" s="544"/>
      <c r="HH264" s="544"/>
      <c r="HI264" s="544"/>
      <c r="HJ264" s="544"/>
      <c r="HK264" s="544"/>
      <c r="HL264" s="544"/>
      <c r="HM264" s="544"/>
      <c r="HN264" s="544"/>
      <c r="HO264" s="544"/>
      <c r="HP264" s="544"/>
      <c r="HQ264" s="544"/>
      <c r="HR264" s="544"/>
      <c r="HS264" s="544"/>
      <c r="HT264" s="544"/>
      <c r="HU264" s="544"/>
      <c r="HV264" s="544"/>
      <c r="HW264" s="544"/>
      <c r="HX264" s="544"/>
      <c r="HY264" s="544"/>
      <c r="HZ264" s="544"/>
      <c r="IA264" s="544"/>
      <c r="IB264" s="544"/>
      <c r="IC264" s="544"/>
      <c r="ID264" s="544"/>
      <c r="IE264" s="544"/>
      <c r="IF264" s="544"/>
      <c r="IG264" s="544"/>
      <c r="IH264" s="544"/>
      <c r="II264" s="544"/>
      <c r="IJ264" s="544"/>
      <c r="IK264" s="544"/>
      <c r="IL264" s="544"/>
      <c r="IM264" s="544"/>
      <c r="IN264" s="544"/>
      <c r="IO264" s="544"/>
      <c r="IP264" s="544"/>
      <c r="IQ264" s="544"/>
      <c r="IR264" s="544"/>
      <c r="IS264" s="544"/>
    </row>
    <row r="265" spans="1:253" x14ac:dyDescent="0.35">
      <c r="A265" s="544"/>
      <c r="B265" s="572"/>
      <c r="C265" s="572"/>
      <c r="E265" s="544"/>
      <c r="F265" s="544"/>
      <c r="G265" s="544"/>
      <c r="H265" s="544"/>
      <c r="I265" s="544"/>
      <c r="J265" s="544"/>
      <c r="K265" s="544"/>
      <c r="AY265" s="544"/>
      <c r="AZ265" s="544"/>
      <c r="BA265" s="544"/>
      <c r="BB265" s="544"/>
      <c r="BC265" s="544"/>
      <c r="BD265" s="544"/>
      <c r="BE265" s="544"/>
      <c r="BF265" s="544"/>
      <c r="BG265" s="544"/>
      <c r="BH265" s="544"/>
      <c r="BI265" s="544"/>
      <c r="BJ265" s="544"/>
      <c r="BK265" s="544"/>
      <c r="BL265" s="544"/>
      <c r="BM265" s="544"/>
      <c r="BN265" s="544"/>
      <c r="BO265" s="544"/>
      <c r="BP265" s="544"/>
      <c r="BQ265" s="544"/>
      <c r="BR265" s="544"/>
      <c r="BS265" s="544"/>
      <c r="BT265" s="544"/>
      <c r="BU265" s="544"/>
      <c r="BV265" s="544"/>
      <c r="BW265" s="544"/>
      <c r="BX265" s="544"/>
      <c r="BY265" s="544"/>
      <c r="BZ265" s="544"/>
      <c r="CA265" s="544"/>
      <c r="CB265" s="544"/>
      <c r="CC265" s="544"/>
      <c r="CD265" s="544"/>
      <c r="CE265" s="544"/>
      <c r="CF265" s="544"/>
      <c r="CG265" s="544"/>
      <c r="CH265" s="544"/>
      <c r="CI265" s="544"/>
      <c r="CJ265" s="544"/>
      <c r="CK265" s="544"/>
      <c r="CL265" s="544"/>
      <c r="CM265" s="544"/>
      <c r="CN265" s="544"/>
      <c r="CO265" s="544"/>
      <c r="CP265" s="544"/>
      <c r="CQ265" s="544"/>
      <c r="CR265" s="544"/>
      <c r="CS265" s="544"/>
      <c r="CT265" s="544"/>
      <c r="CU265" s="544"/>
      <c r="CV265" s="544"/>
      <c r="CW265" s="544"/>
      <c r="CX265" s="544"/>
      <c r="CY265" s="544"/>
      <c r="CZ265" s="544"/>
      <c r="DA265" s="544"/>
      <c r="DB265" s="544"/>
      <c r="DC265" s="544"/>
      <c r="DD265" s="544"/>
      <c r="DE265" s="544"/>
      <c r="DF265" s="544"/>
      <c r="DG265" s="544"/>
      <c r="DH265" s="544"/>
      <c r="DI265" s="544"/>
      <c r="DJ265" s="544"/>
      <c r="DK265" s="544"/>
      <c r="DL265" s="544"/>
      <c r="DM265" s="544"/>
      <c r="DN265" s="544"/>
      <c r="DO265" s="544"/>
      <c r="DP265" s="544"/>
      <c r="DQ265" s="544"/>
      <c r="DR265" s="544"/>
      <c r="DS265" s="544"/>
      <c r="DT265" s="544"/>
      <c r="DU265" s="544"/>
      <c r="DV265" s="544"/>
      <c r="DW265" s="544"/>
      <c r="DX265" s="544"/>
      <c r="DY265" s="544"/>
      <c r="DZ265" s="544"/>
      <c r="EA265" s="544"/>
      <c r="EB265" s="544"/>
      <c r="EC265" s="544"/>
      <c r="ED265" s="544"/>
      <c r="EE265" s="544"/>
      <c r="EF265" s="544"/>
      <c r="EG265" s="544"/>
      <c r="EH265" s="544"/>
      <c r="EI265" s="544"/>
      <c r="EJ265" s="544"/>
      <c r="EK265" s="544"/>
      <c r="EL265" s="544"/>
      <c r="EM265" s="544"/>
      <c r="EN265" s="544"/>
      <c r="EO265" s="544"/>
      <c r="EP265" s="544"/>
      <c r="EQ265" s="544"/>
      <c r="ER265" s="544"/>
      <c r="ES265" s="544"/>
      <c r="ET265" s="544"/>
      <c r="EU265" s="544"/>
      <c r="EV265" s="544"/>
      <c r="EW265" s="544"/>
      <c r="EX265" s="544"/>
      <c r="EY265" s="544"/>
      <c r="EZ265" s="544"/>
      <c r="FA265" s="544"/>
      <c r="FB265" s="544"/>
      <c r="FC265" s="544"/>
      <c r="FD265" s="544"/>
      <c r="FE265" s="544"/>
      <c r="FF265" s="544"/>
      <c r="FG265" s="544"/>
      <c r="FH265" s="544"/>
      <c r="FI265" s="544"/>
      <c r="FJ265" s="544"/>
      <c r="FK265" s="544"/>
      <c r="FL265" s="544"/>
      <c r="FM265" s="544"/>
      <c r="FN265" s="544"/>
      <c r="FO265" s="544"/>
      <c r="FP265" s="544"/>
      <c r="FQ265" s="544"/>
      <c r="FR265" s="544"/>
      <c r="FS265" s="544"/>
      <c r="FT265" s="544"/>
      <c r="FU265" s="544"/>
      <c r="FV265" s="544"/>
      <c r="FW265" s="544"/>
      <c r="FX265" s="544"/>
      <c r="FY265" s="544"/>
      <c r="FZ265" s="544"/>
      <c r="GA265" s="544"/>
      <c r="GB265" s="544"/>
      <c r="GC265" s="544"/>
      <c r="GD265" s="544"/>
      <c r="GE265" s="544"/>
      <c r="GF265" s="544"/>
      <c r="GG265" s="544"/>
      <c r="GH265" s="544"/>
      <c r="GI265" s="544"/>
      <c r="GJ265" s="544"/>
      <c r="GK265" s="544"/>
      <c r="GL265" s="544"/>
      <c r="GM265" s="544"/>
      <c r="GN265" s="544"/>
      <c r="GO265" s="544"/>
      <c r="GP265" s="544"/>
      <c r="GQ265" s="544"/>
      <c r="GR265" s="544"/>
      <c r="GS265" s="544"/>
      <c r="GT265" s="544"/>
      <c r="GU265" s="544"/>
      <c r="GV265" s="544"/>
      <c r="GW265" s="544"/>
      <c r="GX265" s="544"/>
      <c r="GY265" s="544"/>
      <c r="GZ265" s="544"/>
      <c r="HA265" s="544"/>
      <c r="HB265" s="544"/>
      <c r="HC265" s="544"/>
      <c r="HD265" s="544"/>
      <c r="HE265" s="544"/>
      <c r="HF265" s="544"/>
      <c r="HG265" s="544"/>
      <c r="HH265" s="544"/>
      <c r="HI265" s="544"/>
      <c r="HJ265" s="544"/>
      <c r="HK265" s="544"/>
      <c r="HL265" s="544"/>
      <c r="HM265" s="544"/>
      <c r="HN265" s="544"/>
      <c r="HO265" s="544"/>
      <c r="HP265" s="544"/>
      <c r="HQ265" s="544"/>
      <c r="HR265" s="544"/>
      <c r="HS265" s="544"/>
      <c r="HT265" s="544"/>
      <c r="HU265" s="544"/>
      <c r="HV265" s="544"/>
      <c r="HW265" s="544"/>
      <c r="HX265" s="544"/>
      <c r="HY265" s="544"/>
      <c r="HZ265" s="544"/>
      <c r="IA265" s="544"/>
      <c r="IB265" s="544"/>
      <c r="IC265" s="544"/>
      <c r="ID265" s="544"/>
      <c r="IE265" s="544"/>
      <c r="IF265" s="544"/>
      <c r="IG265" s="544"/>
      <c r="IH265" s="544"/>
      <c r="II265" s="544"/>
      <c r="IJ265" s="544"/>
      <c r="IK265" s="544"/>
      <c r="IL265" s="544"/>
      <c r="IM265" s="544"/>
      <c r="IN265" s="544"/>
      <c r="IO265" s="544"/>
      <c r="IP265" s="544"/>
      <c r="IQ265" s="544"/>
      <c r="IR265" s="544"/>
      <c r="IS265" s="544"/>
    </row>
    <row r="266" spans="1:253" x14ac:dyDescent="0.35">
      <c r="A266" s="544"/>
      <c r="B266" s="572"/>
      <c r="C266" s="572"/>
      <c r="E266" s="544"/>
      <c r="F266" s="544"/>
      <c r="G266" s="544"/>
      <c r="H266" s="544"/>
      <c r="I266" s="544"/>
      <c r="J266" s="544"/>
      <c r="K266" s="544"/>
      <c r="AY266" s="544"/>
      <c r="AZ266" s="544"/>
      <c r="BA266" s="544"/>
      <c r="BB266" s="544"/>
      <c r="BC266" s="544"/>
      <c r="BD266" s="544"/>
      <c r="BE266" s="544"/>
      <c r="BF266" s="544"/>
      <c r="BG266" s="544"/>
      <c r="BH266" s="544"/>
      <c r="BI266" s="544"/>
      <c r="BJ266" s="544"/>
      <c r="BK266" s="544"/>
      <c r="BL266" s="544"/>
      <c r="BM266" s="544"/>
      <c r="BN266" s="544"/>
      <c r="BO266" s="544"/>
      <c r="BP266" s="544"/>
      <c r="BQ266" s="544"/>
      <c r="BR266" s="544"/>
      <c r="BS266" s="544"/>
      <c r="BT266" s="544"/>
      <c r="BU266" s="544"/>
      <c r="BV266" s="544"/>
      <c r="BW266" s="544"/>
      <c r="BX266" s="544"/>
      <c r="BY266" s="544"/>
      <c r="BZ266" s="544"/>
      <c r="CA266" s="544"/>
      <c r="CB266" s="544"/>
      <c r="CC266" s="544"/>
      <c r="CD266" s="544"/>
      <c r="CE266" s="544"/>
      <c r="CF266" s="544"/>
      <c r="CG266" s="544"/>
      <c r="CH266" s="544"/>
      <c r="CI266" s="544"/>
      <c r="CJ266" s="544"/>
      <c r="CK266" s="544"/>
      <c r="CL266" s="544"/>
      <c r="CM266" s="544"/>
      <c r="CN266" s="544"/>
      <c r="CO266" s="544"/>
      <c r="CP266" s="544"/>
      <c r="CQ266" s="544"/>
      <c r="CR266" s="544"/>
      <c r="CS266" s="544"/>
      <c r="CT266" s="544"/>
      <c r="CU266" s="544"/>
      <c r="CV266" s="544"/>
      <c r="CW266" s="544"/>
      <c r="CX266" s="544"/>
      <c r="CY266" s="544"/>
      <c r="CZ266" s="544"/>
      <c r="DA266" s="544"/>
      <c r="DB266" s="544"/>
      <c r="DC266" s="544"/>
      <c r="DD266" s="544"/>
      <c r="DE266" s="544"/>
      <c r="DF266" s="544"/>
      <c r="DG266" s="544"/>
      <c r="DH266" s="544"/>
      <c r="DI266" s="544"/>
      <c r="DJ266" s="544"/>
      <c r="DK266" s="544"/>
      <c r="DL266" s="544"/>
      <c r="DM266" s="544"/>
      <c r="DN266" s="544"/>
      <c r="DO266" s="544"/>
      <c r="DP266" s="544"/>
      <c r="DQ266" s="544"/>
      <c r="DR266" s="544"/>
      <c r="DS266" s="544"/>
      <c r="DT266" s="544"/>
      <c r="DU266" s="544"/>
      <c r="DV266" s="544"/>
      <c r="DW266" s="544"/>
      <c r="DX266" s="544"/>
      <c r="DY266" s="544"/>
      <c r="DZ266" s="544"/>
      <c r="EA266" s="544"/>
      <c r="EB266" s="544"/>
      <c r="EC266" s="544"/>
      <c r="ED266" s="544"/>
      <c r="EE266" s="544"/>
      <c r="EF266" s="544"/>
      <c r="EG266" s="544"/>
      <c r="EH266" s="544"/>
      <c r="EI266" s="544"/>
      <c r="EJ266" s="544"/>
      <c r="EK266" s="544"/>
      <c r="EL266" s="544"/>
      <c r="EM266" s="544"/>
      <c r="EN266" s="544"/>
      <c r="EO266" s="544"/>
      <c r="EP266" s="544"/>
      <c r="EQ266" s="544"/>
      <c r="ER266" s="544"/>
      <c r="ES266" s="544"/>
      <c r="ET266" s="544"/>
      <c r="EU266" s="544"/>
      <c r="EV266" s="544"/>
      <c r="EW266" s="544"/>
      <c r="EX266" s="544"/>
      <c r="EY266" s="544"/>
      <c r="EZ266" s="544"/>
      <c r="FA266" s="544"/>
      <c r="FB266" s="544"/>
      <c r="FC266" s="544"/>
      <c r="FD266" s="544"/>
      <c r="FE266" s="544"/>
      <c r="FF266" s="544"/>
      <c r="FG266" s="544"/>
      <c r="FH266" s="544"/>
      <c r="FI266" s="544"/>
      <c r="FJ266" s="544"/>
      <c r="FK266" s="544"/>
      <c r="FL266" s="544"/>
      <c r="FM266" s="544"/>
      <c r="FN266" s="544"/>
      <c r="FO266" s="544"/>
      <c r="FP266" s="544"/>
      <c r="FQ266" s="544"/>
      <c r="FR266" s="544"/>
      <c r="FS266" s="544"/>
      <c r="FT266" s="544"/>
      <c r="FU266" s="544"/>
      <c r="FV266" s="544"/>
      <c r="FW266" s="544"/>
      <c r="FX266" s="544"/>
      <c r="FY266" s="544"/>
      <c r="FZ266" s="544"/>
      <c r="GA266" s="544"/>
      <c r="GB266" s="544"/>
      <c r="GC266" s="544"/>
      <c r="GD266" s="544"/>
      <c r="GE266" s="544"/>
      <c r="GF266" s="544"/>
      <c r="GG266" s="544"/>
      <c r="GH266" s="544"/>
      <c r="GI266" s="544"/>
      <c r="GJ266" s="544"/>
      <c r="GK266" s="544"/>
      <c r="GL266" s="544"/>
      <c r="GM266" s="544"/>
      <c r="GN266" s="544"/>
      <c r="GO266" s="544"/>
      <c r="GP266" s="544"/>
      <c r="GQ266" s="544"/>
      <c r="GR266" s="544"/>
      <c r="GS266" s="544"/>
      <c r="GT266" s="544"/>
      <c r="GU266" s="544"/>
      <c r="GV266" s="544"/>
      <c r="GW266" s="544"/>
      <c r="GX266" s="544"/>
      <c r="GY266" s="544"/>
      <c r="GZ266" s="544"/>
      <c r="HA266" s="544"/>
      <c r="HB266" s="544"/>
      <c r="HC266" s="544"/>
      <c r="HD266" s="544"/>
      <c r="HE266" s="544"/>
      <c r="HF266" s="544"/>
      <c r="HG266" s="544"/>
      <c r="HH266" s="544"/>
      <c r="HI266" s="544"/>
      <c r="HJ266" s="544"/>
      <c r="HK266" s="544"/>
      <c r="HL266" s="544"/>
      <c r="HM266" s="544"/>
      <c r="HN266" s="544"/>
      <c r="HO266" s="544"/>
      <c r="HP266" s="544"/>
      <c r="HQ266" s="544"/>
      <c r="HR266" s="544"/>
      <c r="HS266" s="544"/>
      <c r="HT266" s="544"/>
      <c r="HU266" s="544"/>
      <c r="HV266" s="544"/>
      <c r="HW266" s="544"/>
      <c r="HX266" s="544"/>
      <c r="HY266" s="544"/>
      <c r="HZ266" s="544"/>
      <c r="IA266" s="544"/>
      <c r="IB266" s="544"/>
      <c r="IC266" s="544"/>
      <c r="ID266" s="544"/>
      <c r="IE266" s="544"/>
      <c r="IF266" s="544"/>
      <c r="IG266" s="544"/>
      <c r="IH266" s="544"/>
      <c r="II266" s="544"/>
      <c r="IJ266" s="544"/>
      <c r="IK266" s="544"/>
      <c r="IL266" s="544"/>
      <c r="IM266" s="544"/>
      <c r="IN266" s="544"/>
      <c r="IO266" s="544"/>
      <c r="IP266" s="544"/>
      <c r="IQ266" s="544"/>
      <c r="IR266" s="544"/>
      <c r="IS266" s="544"/>
    </row>
    <row r="267" spans="1:253" x14ac:dyDescent="0.35">
      <c r="A267" s="544"/>
      <c r="B267" s="572"/>
      <c r="C267" s="572"/>
      <c r="E267" s="544"/>
      <c r="F267" s="544"/>
      <c r="G267" s="544"/>
      <c r="H267" s="544"/>
      <c r="I267" s="544"/>
      <c r="J267" s="544"/>
      <c r="K267" s="544"/>
      <c r="AY267" s="544"/>
      <c r="AZ267" s="544"/>
      <c r="BA267" s="544"/>
      <c r="BB267" s="544"/>
      <c r="BC267" s="544"/>
      <c r="BD267" s="544"/>
      <c r="BE267" s="544"/>
      <c r="BF267" s="544"/>
      <c r="BG267" s="544"/>
      <c r="BH267" s="544"/>
      <c r="BI267" s="544"/>
      <c r="BJ267" s="544"/>
      <c r="BK267" s="544"/>
      <c r="BL267" s="544"/>
      <c r="BM267" s="544"/>
      <c r="BN267" s="544"/>
      <c r="BO267" s="544"/>
      <c r="BP267" s="544"/>
      <c r="BQ267" s="544"/>
      <c r="BR267" s="544"/>
      <c r="BS267" s="544"/>
      <c r="BT267" s="544"/>
      <c r="BU267" s="544"/>
      <c r="BV267" s="544"/>
      <c r="BW267" s="544"/>
      <c r="BX267" s="544"/>
      <c r="BY267" s="544"/>
      <c r="BZ267" s="544"/>
      <c r="CA267" s="544"/>
      <c r="CB267" s="544"/>
      <c r="CC267" s="544"/>
      <c r="CD267" s="544"/>
      <c r="CE267" s="544"/>
      <c r="CF267" s="544"/>
      <c r="CG267" s="544"/>
      <c r="CH267" s="544"/>
      <c r="CI267" s="544"/>
      <c r="CJ267" s="544"/>
      <c r="CK267" s="544"/>
      <c r="CL267" s="544"/>
      <c r="CM267" s="544"/>
      <c r="CN267" s="544"/>
      <c r="CO267" s="544"/>
      <c r="CP267" s="544"/>
      <c r="CQ267" s="544"/>
      <c r="CR267" s="544"/>
      <c r="CS267" s="544"/>
      <c r="CT267" s="544"/>
      <c r="CU267" s="544"/>
      <c r="CV267" s="544"/>
      <c r="CW267" s="544"/>
      <c r="CX267" s="544"/>
      <c r="CY267" s="544"/>
      <c r="CZ267" s="544"/>
      <c r="DA267" s="544"/>
      <c r="DB267" s="544"/>
      <c r="DC267" s="544"/>
      <c r="DD267" s="544"/>
      <c r="DE267" s="544"/>
      <c r="DF267" s="544"/>
      <c r="DG267" s="544"/>
      <c r="DH267" s="544"/>
      <c r="DI267" s="544"/>
      <c r="DJ267" s="544"/>
      <c r="DK267" s="544"/>
      <c r="DL267" s="544"/>
      <c r="DM267" s="544"/>
      <c r="DN267" s="544"/>
      <c r="DO267" s="544"/>
      <c r="DP267" s="544"/>
      <c r="DQ267" s="544"/>
      <c r="DR267" s="544"/>
      <c r="DS267" s="544"/>
      <c r="DT267" s="544"/>
      <c r="DU267" s="544"/>
      <c r="DV267" s="544"/>
      <c r="DW267" s="544"/>
      <c r="DX267" s="544"/>
      <c r="DY267" s="544"/>
      <c r="DZ267" s="544"/>
      <c r="EA267" s="544"/>
      <c r="EB267" s="544"/>
      <c r="EC267" s="544"/>
      <c r="ED267" s="544"/>
      <c r="EE267" s="544"/>
      <c r="EF267" s="544"/>
      <c r="EG267" s="544"/>
      <c r="EH267" s="544"/>
      <c r="EI267" s="544"/>
      <c r="EJ267" s="544"/>
      <c r="EK267" s="544"/>
      <c r="EL267" s="544"/>
      <c r="EM267" s="544"/>
      <c r="EN267" s="544"/>
      <c r="EO267" s="544"/>
      <c r="EP267" s="544"/>
      <c r="EQ267" s="544"/>
      <c r="ER267" s="544"/>
      <c r="ES267" s="544"/>
      <c r="ET267" s="544"/>
      <c r="EU267" s="544"/>
      <c r="EV267" s="544"/>
      <c r="EW267" s="544"/>
      <c r="EX267" s="544"/>
      <c r="EY267" s="544"/>
      <c r="EZ267" s="544"/>
      <c r="FA267" s="544"/>
      <c r="FB267" s="544"/>
      <c r="FC267" s="544"/>
      <c r="FD267" s="544"/>
      <c r="FE267" s="544"/>
      <c r="FF267" s="544"/>
      <c r="FG267" s="544"/>
      <c r="FH267" s="544"/>
      <c r="FI267" s="544"/>
      <c r="FJ267" s="544"/>
      <c r="FK267" s="544"/>
      <c r="FL267" s="544"/>
      <c r="FM267" s="544"/>
      <c r="FN267" s="544"/>
      <c r="FO267" s="544"/>
      <c r="FP267" s="544"/>
      <c r="FQ267" s="544"/>
      <c r="FR267" s="544"/>
      <c r="FS267" s="544"/>
      <c r="FT267" s="544"/>
      <c r="FU267" s="544"/>
      <c r="FV267" s="544"/>
      <c r="FW267" s="544"/>
      <c r="FX267" s="544"/>
      <c r="FY267" s="544"/>
      <c r="FZ267" s="544"/>
      <c r="GA267" s="544"/>
      <c r="GB267" s="544"/>
      <c r="GC267" s="544"/>
      <c r="GD267" s="544"/>
      <c r="GE267" s="544"/>
      <c r="GF267" s="544"/>
      <c r="GG267" s="544"/>
      <c r="GH267" s="544"/>
      <c r="GI267" s="544"/>
      <c r="GJ267" s="544"/>
      <c r="GK267" s="544"/>
      <c r="GL267" s="544"/>
      <c r="GM267" s="544"/>
      <c r="GN267" s="544"/>
      <c r="GO267" s="544"/>
      <c r="GP267" s="544"/>
      <c r="GQ267" s="544"/>
      <c r="GR267" s="544"/>
      <c r="GS267" s="544"/>
      <c r="GT267" s="544"/>
      <c r="GU267" s="544"/>
      <c r="GV267" s="544"/>
      <c r="GW267" s="544"/>
      <c r="GX267" s="544"/>
      <c r="GY267" s="544"/>
      <c r="GZ267" s="544"/>
      <c r="HA267" s="544"/>
      <c r="HB267" s="544"/>
      <c r="HC267" s="544"/>
      <c r="HD267" s="544"/>
      <c r="HE267" s="544"/>
      <c r="HF267" s="544"/>
      <c r="HG267" s="544"/>
      <c r="HH267" s="544"/>
      <c r="HI267" s="544"/>
      <c r="HJ267" s="544"/>
      <c r="HK267" s="544"/>
      <c r="HL267" s="544"/>
      <c r="HM267" s="544"/>
      <c r="HN267" s="544"/>
      <c r="HO267" s="544"/>
      <c r="HP267" s="544"/>
      <c r="HQ267" s="544"/>
      <c r="HR267" s="544"/>
      <c r="HS267" s="544"/>
      <c r="HT267" s="544"/>
      <c r="HU267" s="544"/>
      <c r="HV267" s="544"/>
      <c r="HW267" s="544"/>
      <c r="HX267" s="544"/>
      <c r="HY267" s="544"/>
      <c r="HZ267" s="544"/>
      <c r="IA267" s="544"/>
      <c r="IB267" s="544"/>
      <c r="IC267" s="544"/>
      <c r="ID267" s="544"/>
      <c r="IE267" s="544"/>
      <c r="IF267" s="544"/>
      <c r="IG267" s="544"/>
      <c r="IH267" s="544"/>
      <c r="II267" s="544"/>
      <c r="IJ267" s="544"/>
      <c r="IK267" s="544"/>
      <c r="IL267" s="544"/>
      <c r="IM267" s="544"/>
      <c r="IN267" s="544"/>
      <c r="IO267" s="544"/>
      <c r="IP267" s="544"/>
      <c r="IQ267" s="544"/>
      <c r="IR267" s="544"/>
      <c r="IS267" s="544"/>
    </row>
    <row r="268" spans="1:253" x14ac:dyDescent="0.35">
      <c r="A268" s="544"/>
      <c r="B268" s="572"/>
      <c r="C268" s="572"/>
      <c r="E268" s="544"/>
      <c r="F268" s="544"/>
      <c r="G268" s="544"/>
      <c r="H268" s="544"/>
      <c r="I268" s="544"/>
      <c r="J268" s="544"/>
      <c r="K268" s="544"/>
      <c r="AY268" s="544"/>
      <c r="AZ268" s="544"/>
      <c r="BA268" s="544"/>
      <c r="BB268" s="544"/>
      <c r="BC268" s="544"/>
      <c r="BD268" s="544"/>
      <c r="BE268" s="544"/>
      <c r="BF268" s="544"/>
      <c r="BG268" s="544"/>
      <c r="BH268" s="544"/>
      <c r="BI268" s="544"/>
      <c r="BJ268" s="544"/>
      <c r="BK268" s="544"/>
      <c r="BL268" s="544"/>
      <c r="BM268" s="544"/>
      <c r="BN268" s="544"/>
      <c r="BO268" s="544"/>
      <c r="BP268" s="544"/>
      <c r="BQ268" s="544"/>
      <c r="BR268" s="544"/>
      <c r="BS268" s="544"/>
      <c r="BT268" s="544"/>
      <c r="BU268" s="544"/>
      <c r="BV268" s="544"/>
      <c r="BW268" s="544"/>
      <c r="BX268" s="544"/>
      <c r="BY268" s="544"/>
      <c r="BZ268" s="544"/>
      <c r="CA268" s="544"/>
      <c r="CB268" s="544"/>
      <c r="CC268" s="544"/>
      <c r="CD268" s="544"/>
      <c r="CE268" s="544"/>
      <c r="CF268" s="544"/>
      <c r="CG268" s="544"/>
      <c r="CH268" s="544"/>
      <c r="CI268" s="544"/>
      <c r="CJ268" s="544"/>
      <c r="CK268" s="544"/>
      <c r="CL268" s="544"/>
      <c r="CM268" s="544"/>
      <c r="CN268" s="544"/>
      <c r="CO268" s="544"/>
      <c r="CP268" s="544"/>
      <c r="CQ268" s="544"/>
      <c r="CR268" s="544"/>
      <c r="CS268" s="544"/>
      <c r="CT268" s="544"/>
      <c r="CU268" s="544"/>
      <c r="CV268" s="544"/>
      <c r="CW268" s="544"/>
      <c r="CX268" s="544"/>
      <c r="CY268" s="544"/>
      <c r="CZ268" s="544"/>
      <c r="DA268" s="544"/>
      <c r="DB268" s="544"/>
      <c r="DC268" s="544"/>
      <c r="DD268" s="544"/>
      <c r="DE268" s="544"/>
      <c r="DF268" s="544"/>
      <c r="DG268" s="544"/>
      <c r="DH268" s="544"/>
      <c r="DI268" s="544"/>
      <c r="DJ268" s="544"/>
      <c r="DK268" s="544"/>
      <c r="DL268" s="544"/>
      <c r="DM268" s="544"/>
      <c r="DN268" s="544"/>
      <c r="DO268" s="544"/>
      <c r="DP268" s="544"/>
      <c r="DQ268" s="544"/>
      <c r="DR268" s="544"/>
      <c r="DS268" s="544"/>
      <c r="DT268" s="544"/>
      <c r="DU268" s="544"/>
      <c r="DV268" s="544"/>
      <c r="DW268" s="544"/>
      <c r="DX268" s="544"/>
      <c r="DY268" s="544"/>
      <c r="DZ268" s="544"/>
      <c r="EA268" s="544"/>
      <c r="EB268" s="544"/>
      <c r="EC268" s="544"/>
      <c r="ED268" s="544"/>
      <c r="EE268" s="544"/>
      <c r="EF268" s="544"/>
      <c r="EG268" s="544"/>
      <c r="EH268" s="544"/>
      <c r="EI268" s="544"/>
      <c r="EJ268" s="544"/>
      <c r="EK268" s="544"/>
      <c r="EL268" s="544"/>
      <c r="EM268" s="544"/>
      <c r="EN268" s="544"/>
      <c r="EO268" s="544"/>
      <c r="EP268" s="544"/>
      <c r="EQ268" s="544"/>
      <c r="ER268" s="544"/>
      <c r="ES268" s="544"/>
      <c r="ET268" s="544"/>
      <c r="EU268" s="544"/>
      <c r="EV268" s="544"/>
      <c r="EW268" s="544"/>
      <c r="EX268" s="544"/>
      <c r="EY268" s="544"/>
      <c r="EZ268" s="544"/>
      <c r="FA268" s="544"/>
      <c r="FB268" s="544"/>
      <c r="FC268" s="544"/>
      <c r="FD268" s="544"/>
      <c r="FE268" s="544"/>
      <c r="FF268" s="544"/>
      <c r="FG268" s="544"/>
      <c r="FH268" s="544"/>
      <c r="FI268" s="544"/>
      <c r="FJ268" s="544"/>
      <c r="FK268" s="544"/>
      <c r="FL268" s="544"/>
      <c r="FM268" s="544"/>
      <c r="FN268" s="544"/>
      <c r="FO268" s="544"/>
      <c r="FP268" s="544"/>
      <c r="FQ268" s="544"/>
      <c r="FR268" s="544"/>
      <c r="FS268" s="544"/>
      <c r="FT268" s="544"/>
      <c r="FU268" s="544"/>
      <c r="FV268" s="544"/>
      <c r="FW268" s="544"/>
      <c r="FX268" s="544"/>
      <c r="FY268" s="544"/>
      <c r="FZ268" s="544"/>
      <c r="GA268" s="544"/>
      <c r="GB268" s="544"/>
      <c r="GC268" s="544"/>
      <c r="GD268" s="544"/>
      <c r="GE268" s="544"/>
      <c r="GF268" s="544"/>
      <c r="GG268" s="544"/>
      <c r="GH268" s="544"/>
      <c r="GI268" s="544"/>
      <c r="GJ268" s="544"/>
      <c r="GK268" s="544"/>
      <c r="GL268" s="544"/>
      <c r="GM268" s="544"/>
      <c r="GN268" s="544"/>
      <c r="GO268" s="544"/>
      <c r="GP268" s="544"/>
      <c r="GQ268" s="544"/>
      <c r="GR268" s="544"/>
      <c r="GS268" s="544"/>
      <c r="GT268" s="544"/>
      <c r="GU268" s="544"/>
      <c r="GV268" s="544"/>
      <c r="GW268" s="544"/>
      <c r="GX268" s="544"/>
      <c r="GY268" s="544"/>
      <c r="GZ268" s="544"/>
      <c r="HA268" s="544"/>
      <c r="HB268" s="544"/>
      <c r="HC268" s="544"/>
      <c r="HD268" s="544"/>
      <c r="HE268" s="544"/>
      <c r="HF268" s="544"/>
      <c r="HG268" s="544"/>
      <c r="HH268" s="544"/>
      <c r="HI268" s="544"/>
      <c r="HJ268" s="544"/>
      <c r="HK268" s="544"/>
      <c r="HL268" s="544"/>
      <c r="HM268" s="544"/>
      <c r="HN268" s="544"/>
      <c r="HO268" s="544"/>
      <c r="HP268" s="544"/>
      <c r="HQ268" s="544"/>
      <c r="HR268" s="544"/>
      <c r="HS268" s="544"/>
      <c r="HT268" s="544"/>
      <c r="HU268" s="544"/>
      <c r="HV268" s="544"/>
      <c r="HW268" s="544"/>
      <c r="HX268" s="544"/>
      <c r="HY268" s="544"/>
      <c r="HZ268" s="544"/>
      <c r="IA268" s="544"/>
      <c r="IB268" s="544"/>
      <c r="IC268" s="544"/>
      <c r="ID268" s="544"/>
      <c r="IE268" s="544"/>
      <c r="IF268" s="544"/>
      <c r="IG268" s="544"/>
      <c r="IH268" s="544"/>
      <c r="II268" s="544"/>
      <c r="IJ268" s="544"/>
      <c r="IK268" s="544"/>
      <c r="IL268" s="544"/>
      <c r="IM268" s="544"/>
      <c r="IN268" s="544"/>
      <c r="IO268" s="544"/>
      <c r="IP268" s="544"/>
      <c r="IQ268" s="544"/>
      <c r="IR268" s="544"/>
      <c r="IS268" s="544"/>
    </row>
    <row r="269" spans="1:253" x14ac:dyDescent="0.35">
      <c r="A269" s="544"/>
      <c r="B269" s="572"/>
      <c r="C269" s="572"/>
      <c r="E269" s="544"/>
      <c r="F269" s="544"/>
      <c r="G269" s="544"/>
      <c r="H269" s="544"/>
      <c r="I269" s="544"/>
      <c r="J269" s="544"/>
      <c r="K269" s="544"/>
      <c r="AY269" s="544"/>
      <c r="AZ269" s="544"/>
      <c r="BA269" s="544"/>
      <c r="BB269" s="544"/>
      <c r="BC269" s="544"/>
      <c r="BD269" s="544"/>
      <c r="BE269" s="544"/>
      <c r="BF269" s="544"/>
      <c r="BG269" s="544"/>
      <c r="BH269" s="544"/>
      <c r="BI269" s="544"/>
      <c r="BJ269" s="544"/>
      <c r="BK269" s="544"/>
      <c r="BL269" s="544"/>
      <c r="BM269" s="544"/>
      <c r="BN269" s="544"/>
      <c r="BO269" s="544"/>
      <c r="BP269" s="544"/>
      <c r="BQ269" s="544"/>
      <c r="BR269" s="544"/>
      <c r="BS269" s="544"/>
      <c r="BT269" s="544"/>
      <c r="BU269" s="544"/>
      <c r="BV269" s="544"/>
      <c r="BW269" s="544"/>
      <c r="BX269" s="544"/>
      <c r="BY269" s="544"/>
      <c r="BZ269" s="544"/>
      <c r="CA269" s="544"/>
      <c r="CB269" s="544"/>
      <c r="CC269" s="544"/>
      <c r="CD269" s="544"/>
      <c r="CE269" s="544"/>
      <c r="CF269" s="544"/>
      <c r="CG269" s="544"/>
      <c r="CH269" s="544"/>
      <c r="CI269" s="544"/>
      <c r="CJ269" s="544"/>
      <c r="CK269" s="544"/>
      <c r="CL269" s="544"/>
      <c r="CM269" s="544"/>
      <c r="CN269" s="544"/>
      <c r="CO269" s="544"/>
      <c r="CP269" s="544"/>
      <c r="CQ269" s="544"/>
      <c r="CR269" s="544"/>
      <c r="CS269" s="544"/>
      <c r="CT269" s="544"/>
      <c r="CU269" s="544"/>
      <c r="CV269" s="544"/>
      <c r="CW269" s="544"/>
      <c r="CX269" s="544"/>
      <c r="CY269" s="544"/>
      <c r="CZ269" s="544"/>
      <c r="DA269" s="544"/>
      <c r="DB269" s="544"/>
      <c r="DC269" s="544"/>
      <c r="DD269" s="544"/>
      <c r="DE269" s="544"/>
      <c r="DF269" s="544"/>
      <c r="DG269" s="544"/>
      <c r="DH269" s="544"/>
      <c r="DI269" s="544"/>
      <c r="DJ269" s="544"/>
      <c r="DK269" s="544"/>
      <c r="DL269" s="544"/>
      <c r="DM269" s="544"/>
      <c r="DN269" s="544"/>
      <c r="DO269" s="544"/>
      <c r="DP269" s="544"/>
      <c r="DQ269" s="544"/>
      <c r="DR269" s="544"/>
      <c r="DS269" s="544"/>
      <c r="DT269" s="544"/>
      <c r="DU269" s="544"/>
      <c r="DV269" s="544"/>
      <c r="DW269" s="544"/>
      <c r="DX269" s="544"/>
      <c r="DY269" s="544"/>
      <c r="DZ269" s="544"/>
      <c r="EA269" s="544"/>
      <c r="EB269" s="544"/>
      <c r="EC269" s="544"/>
      <c r="ED269" s="544"/>
      <c r="EE269" s="544"/>
      <c r="EF269" s="544"/>
      <c r="EG269" s="544"/>
      <c r="EH269" s="544"/>
      <c r="EI269" s="544"/>
      <c r="EJ269" s="544"/>
      <c r="EK269" s="544"/>
      <c r="EL269" s="544"/>
      <c r="EM269" s="544"/>
      <c r="EN269" s="544"/>
      <c r="EO269" s="544"/>
      <c r="EP269" s="544"/>
      <c r="EQ269" s="544"/>
      <c r="ER269" s="544"/>
      <c r="ES269" s="544"/>
      <c r="ET269" s="544"/>
      <c r="EU269" s="544"/>
      <c r="EV269" s="544"/>
      <c r="EW269" s="544"/>
      <c r="EX269" s="544"/>
      <c r="EY269" s="544"/>
      <c r="EZ269" s="544"/>
      <c r="FA269" s="544"/>
      <c r="FB269" s="544"/>
      <c r="FC269" s="544"/>
      <c r="FD269" s="544"/>
      <c r="FE269" s="544"/>
      <c r="FF269" s="544"/>
      <c r="FG269" s="544"/>
      <c r="FH269" s="544"/>
      <c r="FI269" s="544"/>
      <c r="FJ269" s="544"/>
      <c r="FK269" s="544"/>
      <c r="FL269" s="544"/>
      <c r="FM269" s="544"/>
      <c r="FN269" s="544"/>
      <c r="FO269" s="544"/>
      <c r="FP269" s="544"/>
      <c r="FQ269" s="544"/>
      <c r="FR269" s="544"/>
      <c r="FS269" s="544"/>
      <c r="FT269" s="544"/>
      <c r="FU269" s="544"/>
      <c r="FV269" s="544"/>
      <c r="FW269" s="544"/>
      <c r="FX269" s="544"/>
      <c r="FY269" s="544"/>
      <c r="FZ269" s="544"/>
      <c r="GA269" s="544"/>
      <c r="GB269" s="544"/>
      <c r="GC269" s="544"/>
      <c r="GD269" s="544"/>
      <c r="GE269" s="544"/>
      <c r="GF269" s="544"/>
      <c r="GG269" s="544"/>
      <c r="GH269" s="544"/>
      <c r="GI269" s="544"/>
      <c r="GJ269" s="544"/>
      <c r="GK269" s="544"/>
      <c r="GL269" s="544"/>
      <c r="GM269" s="544"/>
      <c r="GN269" s="544"/>
      <c r="GO269" s="544"/>
      <c r="GP269" s="544"/>
      <c r="GQ269" s="544"/>
      <c r="GR269" s="544"/>
      <c r="GS269" s="544"/>
      <c r="GT269" s="544"/>
      <c r="GU269" s="544"/>
      <c r="GV269" s="544"/>
      <c r="GW269" s="544"/>
      <c r="GX269" s="544"/>
      <c r="GY269" s="544"/>
      <c r="GZ269" s="544"/>
      <c r="HA269" s="544"/>
      <c r="HB269" s="544"/>
      <c r="HC269" s="544"/>
      <c r="HD269" s="544"/>
      <c r="HE269" s="544"/>
      <c r="HF269" s="544"/>
      <c r="HG269" s="544"/>
      <c r="HH269" s="544"/>
      <c r="HI269" s="544"/>
      <c r="HJ269" s="544"/>
      <c r="HK269" s="544"/>
      <c r="HL269" s="544"/>
      <c r="HM269" s="544"/>
      <c r="HN269" s="544"/>
      <c r="HO269" s="544"/>
      <c r="HP269" s="544"/>
      <c r="HQ269" s="544"/>
      <c r="HR269" s="544"/>
      <c r="HS269" s="544"/>
      <c r="HT269" s="544"/>
      <c r="HU269" s="544"/>
      <c r="HV269" s="544"/>
      <c r="HW269" s="544"/>
      <c r="HX269" s="544"/>
      <c r="HY269" s="544"/>
      <c r="HZ269" s="544"/>
      <c r="IA269" s="544"/>
      <c r="IB269" s="544"/>
      <c r="IC269" s="544"/>
      <c r="ID269" s="544"/>
      <c r="IE269" s="544"/>
      <c r="IF269" s="544"/>
      <c r="IG269" s="544"/>
      <c r="IH269" s="544"/>
      <c r="II269" s="544"/>
      <c r="IJ269" s="544"/>
      <c r="IK269" s="544"/>
      <c r="IL269" s="544"/>
      <c r="IM269" s="544"/>
      <c r="IN269" s="544"/>
      <c r="IO269" s="544"/>
      <c r="IP269" s="544"/>
      <c r="IQ269" s="544"/>
      <c r="IR269" s="544"/>
      <c r="IS269" s="544"/>
    </row>
    <row r="270" spans="1:253" x14ac:dyDescent="0.35">
      <c r="A270" s="544"/>
      <c r="B270" s="572"/>
      <c r="C270" s="572"/>
      <c r="E270" s="544"/>
      <c r="F270" s="544"/>
      <c r="G270" s="544"/>
      <c r="H270" s="544"/>
      <c r="I270" s="544"/>
      <c r="J270" s="544"/>
      <c r="K270" s="544"/>
      <c r="AY270" s="544"/>
      <c r="AZ270" s="544"/>
      <c r="BA270" s="544"/>
      <c r="BB270" s="544"/>
      <c r="BC270" s="544"/>
      <c r="BD270" s="544"/>
      <c r="BE270" s="544"/>
      <c r="BF270" s="544"/>
      <c r="BG270" s="544"/>
      <c r="BH270" s="544"/>
      <c r="BI270" s="544"/>
      <c r="BJ270" s="544"/>
      <c r="BK270" s="544"/>
      <c r="BL270" s="544"/>
      <c r="BM270" s="544"/>
      <c r="BN270" s="544"/>
      <c r="BO270" s="544"/>
      <c r="BP270" s="544"/>
      <c r="BQ270" s="544"/>
      <c r="BR270" s="544"/>
      <c r="BS270" s="544"/>
      <c r="BT270" s="544"/>
      <c r="BU270" s="544"/>
      <c r="BV270" s="544"/>
      <c r="BW270" s="544"/>
      <c r="BX270" s="544"/>
      <c r="BY270" s="544"/>
      <c r="BZ270" s="544"/>
      <c r="CA270" s="544"/>
      <c r="CB270" s="544"/>
      <c r="CC270" s="544"/>
      <c r="CD270" s="544"/>
      <c r="CE270" s="544"/>
      <c r="CF270" s="544"/>
      <c r="CG270" s="544"/>
      <c r="CH270" s="544"/>
      <c r="CI270" s="544"/>
      <c r="CJ270" s="544"/>
      <c r="CK270" s="544"/>
      <c r="CL270" s="544"/>
      <c r="CM270" s="544"/>
      <c r="CN270" s="544"/>
      <c r="CO270" s="544"/>
      <c r="CP270" s="544"/>
      <c r="CQ270" s="544"/>
      <c r="CR270" s="544"/>
      <c r="CS270" s="544"/>
      <c r="CT270" s="544"/>
      <c r="CU270" s="544"/>
      <c r="CV270" s="544"/>
      <c r="CW270" s="544"/>
      <c r="CX270" s="544"/>
      <c r="CY270" s="544"/>
      <c r="CZ270" s="544"/>
      <c r="DA270" s="544"/>
      <c r="DB270" s="544"/>
      <c r="DC270" s="544"/>
      <c r="DD270" s="544"/>
      <c r="DE270" s="544"/>
      <c r="DF270" s="544"/>
      <c r="DG270" s="544"/>
      <c r="DH270" s="544"/>
      <c r="DI270" s="544"/>
      <c r="DJ270" s="544"/>
      <c r="DK270" s="544"/>
      <c r="DL270" s="544"/>
      <c r="DM270" s="544"/>
      <c r="DN270" s="544"/>
      <c r="DO270" s="544"/>
      <c r="DP270" s="544"/>
      <c r="DQ270" s="544"/>
      <c r="DR270" s="544"/>
      <c r="DS270" s="544"/>
      <c r="DT270" s="544"/>
      <c r="DU270" s="544"/>
      <c r="DV270" s="544"/>
      <c r="DW270" s="544"/>
      <c r="DX270" s="544"/>
      <c r="DY270" s="544"/>
      <c r="DZ270" s="544"/>
      <c r="EA270" s="544"/>
      <c r="EB270" s="544"/>
      <c r="EC270" s="544"/>
      <c r="ED270" s="544"/>
      <c r="EE270" s="544"/>
      <c r="EF270" s="544"/>
      <c r="EG270" s="544"/>
      <c r="EH270" s="544"/>
      <c r="EI270" s="544"/>
      <c r="EJ270" s="544"/>
      <c r="EK270" s="544"/>
      <c r="EL270" s="544"/>
      <c r="EM270" s="544"/>
      <c r="EN270" s="544"/>
      <c r="EO270" s="544"/>
      <c r="EP270" s="544"/>
      <c r="EQ270" s="544"/>
      <c r="ER270" s="544"/>
      <c r="ES270" s="544"/>
      <c r="ET270" s="544"/>
      <c r="EU270" s="544"/>
      <c r="EV270" s="544"/>
      <c r="EW270" s="544"/>
      <c r="EX270" s="544"/>
      <c r="EY270" s="544"/>
      <c r="EZ270" s="544"/>
      <c r="FA270" s="544"/>
      <c r="FB270" s="544"/>
      <c r="FC270" s="544"/>
      <c r="FD270" s="544"/>
      <c r="FE270" s="544"/>
      <c r="FF270" s="544"/>
      <c r="FG270" s="544"/>
      <c r="FH270" s="544"/>
      <c r="FI270" s="544"/>
      <c r="FJ270" s="544"/>
      <c r="FK270" s="544"/>
      <c r="FL270" s="544"/>
      <c r="FM270" s="544"/>
      <c r="FN270" s="544"/>
      <c r="FO270" s="544"/>
      <c r="FP270" s="544"/>
      <c r="FQ270" s="544"/>
      <c r="FR270" s="544"/>
      <c r="FS270" s="544"/>
      <c r="FT270" s="544"/>
      <c r="FU270" s="544"/>
      <c r="FV270" s="544"/>
      <c r="FW270" s="544"/>
      <c r="FX270" s="544"/>
      <c r="FY270" s="544"/>
      <c r="FZ270" s="544"/>
      <c r="GA270" s="544"/>
      <c r="GB270" s="544"/>
      <c r="GC270" s="544"/>
      <c r="GD270" s="544"/>
      <c r="GE270" s="544"/>
      <c r="GF270" s="544"/>
      <c r="GG270" s="544"/>
      <c r="GH270" s="544"/>
      <c r="GI270" s="544"/>
      <c r="GJ270" s="544"/>
      <c r="GK270" s="544"/>
      <c r="GL270" s="544"/>
      <c r="GM270" s="544"/>
      <c r="GN270" s="544"/>
      <c r="GO270" s="544"/>
      <c r="GP270" s="544"/>
      <c r="GQ270" s="544"/>
      <c r="GR270" s="544"/>
      <c r="GS270" s="544"/>
      <c r="GT270" s="544"/>
      <c r="GU270" s="544"/>
      <c r="GV270" s="544"/>
      <c r="GW270" s="544"/>
      <c r="GX270" s="544"/>
      <c r="GY270" s="544"/>
      <c r="GZ270" s="544"/>
      <c r="HA270" s="544"/>
      <c r="HB270" s="544"/>
      <c r="HC270" s="544"/>
      <c r="HD270" s="544"/>
      <c r="HE270" s="544"/>
      <c r="HF270" s="544"/>
      <c r="HG270" s="544"/>
      <c r="HH270" s="544"/>
      <c r="HI270" s="544"/>
      <c r="HJ270" s="544"/>
      <c r="HK270" s="544"/>
      <c r="HL270" s="544"/>
      <c r="HM270" s="544"/>
      <c r="HN270" s="544"/>
      <c r="HO270" s="544"/>
      <c r="HP270" s="544"/>
      <c r="HQ270" s="544"/>
      <c r="HR270" s="544"/>
      <c r="HS270" s="544"/>
      <c r="HT270" s="544"/>
      <c r="HU270" s="544"/>
      <c r="HV270" s="544"/>
      <c r="HW270" s="544"/>
      <c r="HX270" s="544"/>
      <c r="HY270" s="544"/>
      <c r="HZ270" s="544"/>
      <c r="IA270" s="544"/>
      <c r="IB270" s="544"/>
      <c r="IC270" s="544"/>
      <c r="ID270" s="544"/>
      <c r="IE270" s="544"/>
      <c r="IF270" s="544"/>
      <c r="IG270" s="544"/>
      <c r="IH270" s="544"/>
      <c r="II270" s="544"/>
      <c r="IJ270" s="544"/>
      <c r="IK270" s="544"/>
      <c r="IL270" s="544"/>
      <c r="IM270" s="544"/>
      <c r="IN270" s="544"/>
      <c r="IO270" s="544"/>
      <c r="IP270" s="544"/>
      <c r="IQ270" s="544"/>
      <c r="IR270" s="544"/>
      <c r="IS270" s="544"/>
    </row>
    <row r="271" spans="1:253" x14ac:dyDescent="0.35">
      <c r="A271" s="544"/>
      <c r="B271" s="572"/>
      <c r="C271" s="572"/>
      <c r="E271" s="544"/>
      <c r="F271" s="544"/>
      <c r="G271" s="544"/>
      <c r="H271" s="544"/>
      <c r="I271" s="544"/>
      <c r="J271" s="544"/>
      <c r="K271" s="544"/>
      <c r="AY271" s="544"/>
      <c r="AZ271" s="544"/>
      <c r="BA271" s="544"/>
      <c r="BB271" s="544"/>
      <c r="BC271" s="544"/>
      <c r="BD271" s="544"/>
      <c r="BE271" s="544"/>
      <c r="BF271" s="544"/>
      <c r="BG271" s="544"/>
      <c r="BH271" s="544"/>
      <c r="BI271" s="544"/>
      <c r="BJ271" s="544"/>
      <c r="BK271" s="544"/>
      <c r="BL271" s="544"/>
      <c r="BM271" s="544"/>
      <c r="BN271" s="544"/>
      <c r="BO271" s="544"/>
      <c r="BP271" s="544"/>
      <c r="BQ271" s="544"/>
      <c r="BR271" s="544"/>
      <c r="BS271" s="544"/>
      <c r="BT271" s="544"/>
      <c r="BU271" s="544"/>
      <c r="BV271" s="544"/>
      <c r="BW271" s="544"/>
      <c r="BX271" s="544"/>
      <c r="BY271" s="544"/>
      <c r="BZ271" s="544"/>
      <c r="CA271" s="544"/>
      <c r="CB271" s="544"/>
      <c r="CC271" s="544"/>
      <c r="CD271" s="544"/>
      <c r="CE271" s="544"/>
      <c r="CF271" s="544"/>
      <c r="CG271" s="544"/>
      <c r="CH271" s="544"/>
      <c r="CI271" s="544"/>
      <c r="CJ271" s="544"/>
      <c r="CK271" s="544"/>
      <c r="CL271" s="544"/>
      <c r="CM271" s="544"/>
      <c r="CN271" s="544"/>
      <c r="CO271" s="544"/>
      <c r="CP271" s="544"/>
      <c r="CQ271" s="544"/>
      <c r="CR271" s="544"/>
      <c r="CS271" s="544"/>
      <c r="CT271" s="544"/>
      <c r="CU271" s="544"/>
      <c r="CV271" s="544"/>
      <c r="CW271" s="544"/>
      <c r="CX271" s="544"/>
      <c r="CY271" s="544"/>
      <c r="CZ271" s="544"/>
      <c r="DA271" s="544"/>
      <c r="DB271" s="544"/>
      <c r="DC271" s="544"/>
      <c r="DD271" s="544"/>
      <c r="DE271" s="544"/>
      <c r="DF271" s="544"/>
      <c r="DG271" s="544"/>
      <c r="DH271" s="544"/>
      <c r="DI271" s="544"/>
      <c r="DJ271" s="544"/>
      <c r="DK271" s="544"/>
      <c r="DL271" s="544"/>
      <c r="DM271" s="544"/>
      <c r="DN271" s="544"/>
      <c r="DO271" s="544"/>
      <c r="DP271" s="544"/>
      <c r="DQ271" s="544"/>
      <c r="DR271" s="544"/>
      <c r="DS271" s="544"/>
      <c r="DT271" s="544"/>
      <c r="DU271" s="544"/>
      <c r="DV271" s="544"/>
      <c r="DW271" s="544"/>
      <c r="DX271" s="544"/>
      <c r="DY271" s="544"/>
      <c r="DZ271" s="544"/>
      <c r="EA271" s="544"/>
      <c r="EB271" s="544"/>
      <c r="EC271" s="544"/>
      <c r="ED271" s="544"/>
      <c r="EE271" s="544"/>
      <c r="EF271" s="544"/>
      <c r="EG271" s="544"/>
      <c r="EH271" s="544"/>
      <c r="EI271" s="544"/>
      <c r="EJ271" s="544"/>
      <c r="EK271" s="544"/>
      <c r="EL271" s="544"/>
      <c r="EM271" s="544"/>
      <c r="EN271" s="544"/>
      <c r="EO271" s="544"/>
      <c r="EP271" s="544"/>
      <c r="EQ271" s="544"/>
      <c r="ER271" s="544"/>
      <c r="ES271" s="544"/>
      <c r="ET271" s="544"/>
      <c r="EU271" s="544"/>
      <c r="EV271" s="544"/>
      <c r="EW271" s="544"/>
      <c r="EX271" s="544"/>
      <c r="EY271" s="544"/>
      <c r="EZ271" s="544"/>
      <c r="FA271" s="544"/>
      <c r="FB271" s="544"/>
      <c r="FC271" s="544"/>
      <c r="FD271" s="544"/>
      <c r="FE271" s="544"/>
      <c r="FF271" s="544"/>
      <c r="FG271" s="544"/>
      <c r="FH271" s="544"/>
      <c r="FI271" s="544"/>
      <c r="FJ271" s="544"/>
      <c r="FK271" s="544"/>
      <c r="FL271" s="544"/>
      <c r="FM271" s="544"/>
      <c r="FN271" s="544"/>
      <c r="FO271" s="544"/>
      <c r="FP271" s="544"/>
      <c r="FQ271" s="544"/>
      <c r="FR271" s="544"/>
      <c r="FS271" s="544"/>
      <c r="FT271" s="544"/>
      <c r="FU271" s="544"/>
      <c r="FV271" s="544"/>
      <c r="FW271" s="544"/>
      <c r="FX271" s="544"/>
      <c r="FY271" s="544"/>
      <c r="FZ271" s="544"/>
      <c r="GA271" s="544"/>
      <c r="GB271" s="544"/>
      <c r="GC271" s="544"/>
      <c r="GD271" s="544"/>
      <c r="GE271" s="544"/>
      <c r="GF271" s="544"/>
      <c r="GG271" s="544"/>
      <c r="GH271" s="544"/>
      <c r="GI271" s="544"/>
      <c r="GJ271" s="544"/>
      <c r="GK271" s="544"/>
      <c r="GL271" s="544"/>
      <c r="GM271" s="544"/>
      <c r="GN271" s="544"/>
      <c r="GO271" s="544"/>
      <c r="GP271" s="544"/>
      <c r="GQ271" s="544"/>
      <c r="GR271" s="544"/>
      <c r="GS271" s="544"/>
      <c r="GT271" s="544"/>
      <c r="GU271" s="544"/>
      <c r="GV271" s="544"/>
      <c r="GW271" s="544"/>
      <c r="GX271" s="544"/>
      <c r="GY271" s="544"/>
      <c r="GZ271" s="544"/>
      <c r="HA271" s="544"/>
      <c r="HB271" s="544"/>
      <c r="HC271" s="544"/>
      <c r="HD271" s="544"/>
      <c r="HE271" s="544"/>
      <c r="HF271" s="544"/>
      <c r="HG271" s="544"/>
      <c r="HH271" s="544"/>
      <c r="HI271" s="544"/>
      <c r="HJ271" s="544"/>
      <c r="HK271" s="544"/>
      <c r="HL271" s="544"/>
      <c r="HM271" s="544"/>
      <c r="HN271" s="544"/>
      <c r="HO271" s="544"/>
      <c r="HP271" s="544"/>
      <c r="HQ271" s="544"/>
      <c r="HR271" s="544"/>
      <c r="HS271" s="544"/>
      <c r="HT271" s="544"/>
      <c r="HU271" s="544"/>
      <c r="HV271" s="544"/>
      <c r="HW271" s="544"/>
      <c r="HX271" s="544"/>
      <c r="HY271" s="544"/>
      <c r="HZ271" s="544"/>
      <c r="IA271" s="544"/>
      <c r="IB271" s="544"/>
      <c r="IC271" s="544"/>
      <c r="ID271" s="544"/>
      <c r="IE271" s="544"/>
      <c r="IF271" s="544"/>
      <c r="IG271" s="544"/>
      <c r="IH271" s="544"/>
      <c r="II271" s="544"/>
      <c r="IJ271" s="544"/>
      <c r="IK271" s="544"/>
      <c r="IL271" s="544"/>
      <c r="IM271" s="544"/>
      <c r="IN271" s="544"/>
      <c r="IO271" s="544"/>
      <c r="IP271" s="544"/>
      <c r="IQ271" s="544"/>
      <c r="IR271" s="544"/>
      <c r="IS271" s="544"/>
    </row>
    <row r="272" spans="1:253" x14ac:dyDescent="0.35">
      <c r="A272" s="544"/>
      <c r="B272" s="572"/>
      <c r="C272" s="572"/>
      <c r="E272" s="544"/>
      <c r="F272" s="544"/>
      <c r="G272" s="544"/>
      <c r="H272" s="544"/>
      <c r="I272" s="544"/>
      <c r="J272" s="544"/>
      <c r="K272" s="544"/>
      <c r="AY272" s="544"/>
      <c r="AZ272" s="544"/>
      <c r="BA272" s="544"/>
      <c r="BB272" s="544"/>
      <c r="BC272" s="544"/>
      <c r="BD272" s="544"/>
      <c r="BE272" s="544"/>
      <c r="BF272" s="544"/>
      <c r="BG272" s="544"/>
      <c r="BH272" s="544"/>
      <c r="BI272" s="544"/>
      <c r="BJ272" s="544"/>
      <c r="BK272" s="544"/>
      <c r="BL272" s="544"/>
      <c r="BM272" s="544"/>
      <c r="BN272" s="544"/>
      <c r="BO272" s="544"/>
      <c r="BP272" s="544"/>
      <c r="BQ272" s="544"/>
      <c r="BR272" s="544"/>
      <c r="BS272" s="544"/>
      <c r="BT272" s="544"/>
      <c r="BU272" s="544"/>
      <c r="BV272" s="544"/>
      <c r="BW272" s="544"/>
      <c r="BX272" s="544"/>
      <c r="BY272" s="544"/>
      <c r="BZ272" s="544"/>
      <c r="CA272" s="544"/>
      <c r="CB272" s="544"/>
      <c r="CC272" s="544"/>
      <c r="CD272" s="544"/>
      <c r="CE272" s="544"/>
      <c r="CF272" s="544"/>
      <c r="CG272" s="544"/>
      <c r="CH272" s="544"/>
      <c r="CI272" s="544"/>
      <c r="CJ272" s="544"/>
      <c r="CK272" s="544"/>
      <c r="CL272" s="544"/>
      <c r="CM272" s="544"/>
      <c r="CN272" s="544"/>
      <c r="CO272" s="544"/>
      <c r="CP272" s="544"/>
      <c r="CQ272" s="544"/>
      <c r="CR272" s="544"/>
      <c r="CS272" s="544"/>
      <c r="CT272" s="544"/>
      <c r="CU272" s="544"/>
      <c r="CV272" s="544"/>
      <c r="CW272" s="544"/>
      <c r="CX272" s="544"/>
      <c r="CY272" s="544"/>
      <c r="CZ272" s="544"/>
      <c r="DA272" s="544"/>
      <c r="DB272" s="544"/>
      <c r="DC272" s="544"/>
      <c r="DD272" s="544"/>
      <c r="DE272" s="544"/>
      <c r="DF272" s="544"/>
      <c r="DG272" s="544"/>
      <c r="DH272" s="544"/>
      <c r="DI272" s="544"/>
      <c r="DJ272" s="544"/>
      <c r="DK272" s="544"/>
      <c r="DL272" s="544"/>
      <c r="DM272" s="544"/>
      <c r="DN272" s="544"/>
      <c r="DO272" s="544"/>
      <c r="DP272" s="544"/>
      <c r="DQ272" s="544"/>
      <c r="DR272" s="544"/>
      <c r="DS272" s="544"/>
      <c r="DT272" s="544"/>
      <c r="DU272" s="544"/>
      <c r="DV272" s="544"/>
      <c r="DW272" s="544"/>
      <c r="DX272" s="544"/>
      <c r="DY272" s="544"/>
      <c r="DZ272" s="544"/>
      <c r="EA272" s="544"/>
      <c r="EB272" s="544"/>
      <c r="EC272" s="544"/>
      <c r="ED272" s="544"/>
      <c r="EE272" s="544"/>
      <c r="EF272" s="544"/>
      <c r="EG272" s="544"/>
      <c r="EH272" s="544"/>
      <c r="EI272" s="544"/>
      <c r="EJ272" s="544"/>
      <c r="EK272" s="544"/>
      <c r="EL272" s="544"/>
      <c r="EM272" s="544"/>
      <c r="EN272" s="544"/>
      <c r="EO272" s="544"/>
      <c r="EP272" s="544"/>
      <c r="EQ272" s="544"/>
      <c r="ER272" s="544"/>
      <c r="ES272" s="544"/>
      <c r="ET272" s="544"/>
      <c r="EU272" s="544"/>
      <c r="EV272" s="544"/>
      <c r="EW272" s="544"/>
      <c r="EX272" s="544"/>
      <c r="EY272" s="544"/>
      <c r="EZ272" s="544"/>
      <c r="FA272" s="544"/>
      <c r="FB272" s="544"/>
      <c r="FC272" s="544"/>
      <c r="FD272" s="544"/>
      <c r="FE272" s="544"/>
      <c r="FF272" s="544"/>
      <c r="FG272" s="544"/>
      <c r="FH272" s="544"/>
      <c r="FI272" s="544"/>
      <c r="FJ272" s="544"/>
      <c r="FK272" s="544"/>
      <c r="FL272" s="544"/>
      <c r="FM272" s="544"/>
      <c r="FN272" s="544"/>
      <c r="FO272" s="544"/>
      <c r="FP272" s="544"/>
      <c r="FQ272" s="544"/>
      <c r="FR272" s="544"/>
      <c r="FS272" s="544"/>
      <c r="FT272" s="544"/>
      <c r="FU272" s="544"/>
      <c r="FV272" s="544"/>
      <c r="FW272" s="544"/>
      <c r="FX272" s="544"/>
      <c r="FY272" s="544"/>
      <c r="FZ272" s="544"/>
      <c r="GA272" s="544"/>
      <c r="GB272" s="544"/>
      <c r="GC272" s="544"/>
      <c r="GD272" s="544"/>
      <c r="GE272" s="544"/>
      <c r="GF272" s="544"/>
      <c r="GG272" s="544"/>
      <c r="GH272" s="544"/>
      <c r="GI272" s="544"/>
      <c r="GJ272" s="544"/>
      <c r="GK272" s="544"/>
      <c r="GL272" s="544"/>
      <c r="GM272" s="544"/>
      <c r="GN272" s="544"/>
      <c r="GO272" s="544"/>
      <c r="GP272" s="544"/>
      <c r="GQ272" s="544"/>
      <c r="GR272" s="544"/>
      <c r="GS272" s="544"/>
      <c r="GT272" s="544"/>
      <c r="GU272" s="544"/>
      <c r="GV272" s="544"/>
      <c r="GW272" s="544"/>
      <c r="GX272" s="544"/>
      <c r="GY272" s="544"/>
      <c r="GZ272" s="544"/>
      <c r="HA272" s="544"/>
      <c r="HB272" s="544"/>
      <c r="HC272" s="544"/>
      <c r="HD272" s="544"/>
      <c r="HE272" s="544"/>
      <c r="HF272" s="544"/>
      <c r="HG272" s="544"/>
      <c r="HH272" s="544"/>
      <c r="HI272" s="544"/>
      <c r="HJ272" s="544"/>
      <c r="HK272" s="544"/>
      <c r="HL272" s="544"/>
      <c r="HM272" s="544"/>
      <c r="HN272" s="544"/>
      <c r="HO272" s="544"/>
      <c r="HP272" s="544"/>
      <c r="HQ272" s="544"/>
      <c r="HR272" s="544"/>
      <c r="HS272" s="544"/>
      <c r="HT272" s="544"/>
      <c r="HU272" s="544"/>
      <c r="HV272" s="544"/>
      <c r="HW272" s="544"/>
      <c r="HX272" s="544"/>
      <c r="HY272" s="544"/>
      <c r="HZ272" s="544"/>
      <c r="IA272" s="544"/>
      <c r="IB272" s="544"/>
      <c r="IC272" s="544"/>
      <c r="ID272" s="544"/>
      <c r="IE272" s="544"/>
      <c r="IF272" s="544"/>
      <c r="IG272" s="544"/>
      <c r="IH272" s="544"/>
      <c r="II272" s="544"/>
      <c r="IJ272" s="544"/>
      <c r="IK272" s="544"/>
      <c r="IL272" s="544"/>
      <c r="IM272" s="544"/>
      <c r="IN272" s="544"/>
      <c r="IO272" s="544"/>
      <c r="IP272" s="544"/>
      <c r="IQ272" s="544"/>
      <c r="IR272" s="544"/>
      <c r="IS272" s="544"/>
    </row>
    <row r="273" spans="1:11" x14ac:dyDescent="0.35">
      <c r="A273" s="544"/>
      <c r="B273" s="572"/>
      <c r="C273" s="572"/>
      <c r="E273" s="544"/>
      <c r="F273" s="544"/>
      <c r="G273" s="544"/>
      <c r="H273" s="544"/>
      <c r="I273" s="544"/>
      <c r="J273" s="544"/>
      <c r="K273" s="544"/>
    </row>
    <row r="274" spans="1:11" x14ac:dyDescent="0.35">
      <c r="A274" s="544"/>
      <c r="B274" s="572"/>
      <c r="C274" s="572"/>
      <c r="E274" s="544"/>
      <c r="F274" s="544"/>
      <c r="G274" s="544"/>
      <c r="H274" s="544"/>
      <c r="I274" s="544"/>
      <c r="J274" s="544"/>
      <c r="K274" s="544"/>
    </row>
    <row r="275" spans="1:11" x14ac:dyDescent="0.35">
      <c r="A275" s="544"/>
      <c r="B275" s="572"/>
      <c r="C275" s="572"/>
      <c r="E275" s="544"/>
      <c r="F275" s="544"/>
      <c r="G275" s="544"/>
      <c r="H275" s="544"/>
      <c r="I275" s="544"/>
      <c r="J275" s="544"/>
      <c r="K275" s="544"/>
    </row>
    <row r="276" spans="1:11" x14ac:dyDescent="0.35">
      <c r="A276" s="544"/>
      <c r="B276" s="572"/>
      <c r="C276" s="572"/>
      <c r="E276" s="544"/>
      <c r="F276" s="544"/>
      <c r="G276" s="544"/>
      <c r="H276" s="544"/>
      <c r="I276" s="544"/>
      <c r="J276" s="544"/>
      <c r="K276" s="544"/>
    </row>
    <row r="277" spans="1:11" x14ac:dyDescent="0.35">
      <c r="A277" s="544"/>
      <c r="B277" s="572"/>
      <c r="C277" s="572"/>
      <c r="E277" s="544"/>
      <c r="F277" s="544"/>
      <c r="G277" s="544"/>
      <c r="H277" s="544"/>
      <c r="I277" s="544"/>
      <c r="J277" s="544"/>
      <c r="K277" s="544"/>
    </row>
    <row r="278" spans="1:11" x14ac:dyDescent="0.35">
      <c r="A278" s="544"/>
      <c r="B278" s="572"/>
      <c r="C278" s="572"/>
      <c r="E278" s="544"/>
      <c r="F278" s="544"/>
      <c r="G278" s="544"/>
      <c r="H278" s="544"/>
      <c r="I278" s="544"/>
      <c r="J278" s="544"/>
      <c r="K278" s="544"/>
    </row>
    <row r="279" spans="1:11" x14ac:dyDescent="0.35">
      <c r="A279" s="544"/>
      <c r="B279" s="572"/>
      <c r="C279" s="572"/>
      <c r="E279" s="544"/>
      <c r="F279" s="544"/>
      <c r="G279" s="544"/>
      <c r="H279" s="544"/>
      <c r="I279" s="544"/>
      <c r="J279" s="544"/>
      <c r="K279" s="544"/>
    </row>
    <row r="280" spans="1:11" x14ac:dyDescent="0.35">
      <c r="A280" s="544"/>
      <c r="B280" s="572"/>
      <c r="C280" s="572"/>
      <c r="E280" s="544"/>
      <c r="F280" s="544"/>
      <c r="G280" s="544"/>
      <c r="H280" s="544"/>
      <c r="I280" s="544"/>
      <c r="J280" s="544"/>
      <c r="K280" s="544"/>
    </row>
    <row r="281" spans="1:11" x14ac:dyDescent="0.35">
      <c r="A281" s="544"/>
      <c r="B281" s="572"/>
      <c r="C281" s="572"/>
      <c r="E281" s="544"/>
      <c r="F281" s="544"/>
      <c r="G281" s="544"/>
      <c r="H281" s="544"/>
      <c r="I281" s="544"/>
      <c r="J281" s="544"/>
      <c r="K281" s="544"/>
    </row>
    <row r="282" spans="1:11" x14ac:dyDescent="0.35">
      <c r="A282" s="544"/>
      <c r="B282" s="572"/>
      <c r="C282" s="572"/>
      <c r="E282" s="544"/>
      <c r="F282" s="544"/>
      <c r="G282" s="544"/>
      <c r="H282" s="544"/>
      <c r="I282" s="544"/>
      <c r="J282" s="544"/>
      <c r="K282" s="544"/>
    </row>
    <row r="283" spans="1:11" x14ac:dyDescent="0.35">
      <c r="A283" s="544"/>
      <c r="B283" s="572"/>
      <c r="C283" s="572"/>
      <c r="E283" s="544"/>
      <c r="F283" s="544"/>
      <c r="G283" s="544"/>
      <c r="H283" s="544"/>
      <c r="I283" s="544"/>
      <c r="J283" s="544"/>
      <c r="K283" s="544"/>
    </row>
    <row r="284" spans="1:11" x14ac:dyDescent="0.35">
      <c r="A284" s="544"/>
      <c r="B284" s="572"/>
      <c r="C284" s="572"/>
      <c r="E284" s="544"/>
      <c r="F284" s="544"/>
      <c r="G284" s="544"/>
      <c r="H284" s="544"/>
      <c r="I284" s="544"/>
      <c r="J284" s="544"/>
      <c r="K284" s="544"/>
    </row>
    <row r="285" spans="1:11" x14ac:dyDescent="0.35">
      <c r="A285" s="544"/>
      <c r="B285" s="572"/>
      <c r="C285" s="572"/>
      <c r="E285" s="544"/>
      <c r="F285" s="544"/>
      <c r="G285" s="544"/>
      <c r="H285" s="544"/>
      <c r="I285" s="544"/>
      <c r="J285" s="544"/>
      <c r="K285" s="544"/>
    </row>
    <row r="286" spans="1:11" x14ac:dyDescent="0.35">
      <c r="A286" s="544"/>
      <c r="B286" s="572"/>
      <c r="C286" s="572"/>
      <c r="E286" s="544"/>
      <c r="F286" s="544"/>
      <c r="G286" s="544"/>
      <c r="H286" s="544"/>
      <c r="I286" s="544"/>
      <c r="J286" s="544"/>
      <c r="K286" s="544"/>
    </row>
    <row r="287" spans="1:11" x14ac:dyDescent="0.35">
      <c r="A287" s="544"/>
      <c r="B287" s="572"/>
      <c r="C287" s="572"/>
      <c r="E287" s="544"/>
      <c r="F287" s="544"/>
      <c r="G287" s="544"/>
      <c r="H287" s="544"/>
      <c r="I287" s="544"/>
      <c r="J287" s="544"/>
      <c r="K287" s="544"/>
    </row>
    <row r="288" spans="1:11" x14ac:dyDescent="0.35">
      <c r="A288" s="544"/>
      <c r="B288" s="572"/>
      <c r="C288" s="572"/>
      <c r="E288" s="544"/>
      <c r="F288" s="544"/>
      <c r="G288" s="544"/>
      <c r="H288" s="544"/>
      <c r="I288" s="544"/>
      <c r="J288" s="544"/>
      <c r="K288" s="544"/>
    </row>
    <row r="289" spans="1:11" x14ac:dyDescent="0.35">
      <c r="A289" s="544"/>
      <c r="B289" s="572"/>
      <c r="C289" s="572"/>
      <c r="E289" s="544"/>
      <c r="F289" s="544"/>
      <c r="G289" s="544"/>
      <c r="H289" s="544"/>
      <c r="I289" s="544"/>
      <c r="J289" s="544"/>
      <c r="K289" s="544"/>
    </row>
    <row r="290" spans="1:11" x14ac:dyDescent="0.35">
      <c r="A290" s="544"/>
      <c r="B290" s="572"/>
      <c r="C290" s="572"/>
      <c r="E290" s="544"/>
      <c r="F290" s="544"/>
      <c r="G290" s="544"/>
      <c r="H290" s="544"/>
      <c r="I290" s="544"/>
      <c r="J290" s="544"/>
      <c r="K290" s="544"/>
    </row>
    <row r="291" spans="1:11" x14ac:dyDescent="0.35">
      <c r="A291" s="544"/>
      <c r="B291" s="572"/>
      <c r="C291" s="572"/>
      <c r="E291" s="544"/>
      <c r="F291" s="544"/>
      <c r="G291" s="544"/>
      <c r="H291" s="544"/>
      <c r="I291" s="544"/>
      <c r="J291" s="544"/>
      <c r="K291" s="544"/>
    </row>
    <row r="292" spans="1:11" x14ac:dyDescent="0.35">
      <c r="A292" s="544"/>
      <c r="B292" s="572"/>
      <c r="C292" s="572"/>
      <c r="E292" s="544"/>
      <c r="F292" s="544"/>
      <c r="G292" s="544"/>
      <c r="H292" s="544"/>
      <c r="I292" s="544"/>
      <c r="J292" s="544"/>
      <c r="K292" s="544"/>
    </row>
    <row r="293" spans="1:11" x14ac:dyDescent="0.35">
      <c r="A293" s="544"/>
      <c r="B293" s="572"/>
      <c r="C293" s="572"/>
      <c r="E293" s="544"/>
      <c r="F293" s="544"/>
      <c r="G293" s="544"/>
      <c r="H293" s="544"/>
      <c r="I293" s="544"/>
      <c r="J293" s="544"/>
      <c r="K293" s="544"/>
    </row>
    <row r="294" spans="1:11" x14ac:dyDescent="0.35">
      <c r="A294" s="544"/>
      <c r="B294" s="572"/>
      <c r="C294" s="572"/>
      <c r="E294" s="544"/>
      <c r="F294" s="544"/>
      <c r="G294" s="544"/>
      <c r="H294" s="544"/>
      <c r="I294" s="544"/>
      <c r="J294" s="544"/>
      <c r="K294" s="544"/>
    </row>
    <row r="295" spans="1:11" x14ac:dyDescent="0.35">
      <c r="A295" s="544"/>
      <c r="B295" s="544"/>
      <c r="C295" s="544"/>
      <c r="E295" s="544"/>
      <c r="F295" s="544"/>
      <c r="G295" s="544"/>
      <c r="H295" s="544"/>
      <c r="I295" s="544"/>
      <c r="J295" s="544"/>
      <c r="K295" s="544"/>
    </row>
    <row r="296" spans="1:11" x14ac:dyDescent="0.35">
      <c r="A296" s="544"/>
      <c r="B296" s="544"/>
      <c r="C296" s="544"/>
      <c r="E296" s="544"/>
      <c r="F296" s="544"/>
      <c r="G296" s="544"/>
      <c r="H296" s="544"/>
      <c r="I296" s="544"/>
      <c r="J296" s="544"/>
      <c r="K296" s="544"/>
    </row>
    <row r="297" spans="1:11" x14ac:dyDescent="0.35">
      <c r="A297" s="544"/>
      <c r="B297" s="544"/>
      <c r="C297" s="544"/>
      <c r="E297" s="544"/>
      <c r="F297" s="544"/>
      <c r="G297" s="544"/>
      <c r="H297" s="544"/>
      <c r="I297" s="544"/>
      <c r="J297" s="544"/>
      <c r="K297" s="544"/>
    </row>
    <row r="298" spans="1:11" x14ac:dyDescent="0.35">
      <c r="A298" s="544"/>
      <c r="B298" s="544"/>
      <c r="C298" s="544"/>
      <c r="E298" s="544"/>
      <c r="F298" s="544"/>
      <c r="G298" s="544"/>
      <c r="H298" s="544"/>
      <c r="I298" s="544"/>
      <c r="J298" s="544"/>
      <c r="K298" s="544"/>
    </row>
    <row r="299" spans="1:11" x14ac:dyDescent="0.35">
      <c r="A299" s="544"/>
      <c r="B299" s="544"/>
      <c r="C299" s="544"/>
      <c r="E299" s="544"/>
      <c r="F299" s="544"/>
      <c r="G299" s="544"/>
      <c r="H299" s="544"/>
      <c r="I299" s="544"/>
      <c r="J299" s="544"/>
      <c r="K299" s="544"/>
    </row>
    <row r="300" spans="1:11" x14ac:dyDescent="0.35">
      <c r="A300" s="544"/>
      <c r="B300" s="544"/>
      <c r="C300" s="544"/>
      <c r="E300" s="544"/>
      <c r="F300" s="544"/>
      <c r="G300" s="544"/>
      <c r="H300" s="544"/>
      <c r="I300" s="544"/>
      <c r="J300" s="544"/>
      <c r="K300" s="544"/>
    </row>
    <row r="301" spans="1:11" x14ac:dyDescent="0.35">
      <c r="A301" s="544"/>
      <c r="B301" s="544"/>
      <c r="C301" s="544"/>
      <c r="E301" s="544"/>
      <c r="F301" s="544"/>
      <c r="G301" s="544"/>
      <c r="H301" s="544"/>
      <c r="I301" s="544"/>
      <c r="J301" s="544"/>
      <c r="K301" s="544"/>
    </row>
    <row r="302" spans="1:11" x14ac:dyDescent="0.35">
      <c r="A302" s="544"/>
      <c r="B302" s="544"/>
      <c r="C302" s="544"/>
      <c r="E302" s="544"/>
      <c r="F302" s="544"/>
      <c r="G302" s="544"/>
      <c r="H302" s="544"/>
      <c r="I302" s="544"/>
      <c r="J302" s="544"/>
      <c r="K302" s="544"/>
    </row>
    <row r="303" spans="1:11" x14ac:dyDescent="0.35">
      <c r="A303" s="544"/>
      <c r="B303" s="544"/>
      <c r="C303" s="544"/>
      <c r="E303" s="544"/>
      <c r="F303" s="544"/>
      <c r="G303" s="544"/>
      <c r="H303" s="544"/>
      <c r="I303" s="544"/>
      <c r="J303" s="544"/>
      <c r="K303" s="544"/>
    </row>
    <row r="304" spans="1:11" x14ac:dyDescent="0.35">
      <c r="A304" s="544"/>
      <c r="B304" s="544"/>
      <c r="C304" s="544"/>
      <c r="E304" s="544"/>
      <c r="F304" s="544"/>
      <c r="G304" s="544"/>
      <c r="H304" s="544"/>
      <c r="I304" s="544"/>
      <c r="J304" s="544"/>
      <c r="K304" s="544"/>
    </row>
    <row r="305" spans="1:11" x14ac:dyDescent="0.35">
      <c r="A305" s="544"/>
      <c r="B305" s="544"/>
      <c r="C305" s="544"/>
      <c r="E305" s="544"/>
      <c r="F305" s="544"/>
      <c r="G305" s="544"/>
      <c r="H305" s="544"/>
      <c r="I305" s="544"/>
      <c r="J305" s="544"/>
      <c r="K305" s="544"/>
    </row>
    <row r="306" spans="1:11" x14ac:dyDescent="0.35">
      <c r="A306" s="544"/>
      <c r="B306" s="544"/>
      <c r="C306" s="544"/>
      <c r="E306" s="544"/>
      <c r="F306" s="544"/>
      <c r="G306" s="544"/>
      <c r="H306" s="544"/>
      <c r="I306" s="544"/>
      <c r="J306" s="544"/>
      <c r="K306" s="544"/>
    </row>
    <row r="307" spans="1:11" x14ac:dyDescent="0.35">
      <c r="A307" s="544"/>
      <c r="B307" s="544"/>
      <c r="C307" s="544"/>
      <c r="E307" s="544"/>
      <c r="F307" s="544"/>
      <c r="G307" s="544"/>
      <c r="H307" s="544"/>
      <c r="I307" s="544"/>
      <c r="J307" s="544"/>
      <c r="K307" s="544"/>
    </row>
    <row r="308" spans="1:11" x14ac:dyDescent="0.35">
      <c r="A308" s="544"/>
      <c r="B308" s="544"/>
      <c r="C308" s="544"/>
      <c r="E308" s="544"/>
      <c r="F308" s="544"/>
      <c r="G308" s="544"/>
      <c r="H308" s="544"/>
      <c r="I308" s="544"/>
      <c r="J308" s="544"/>
      <c r="K308" s="544"/>
    </row>
    <row r="309" spans="1:11" x14ac:dyDescent="0.35">
      <c r="A309" s="544"/>
      <c r="B309" s="544"/>
      <c r="C309" s="544"/>
      <c r="E309" s="544"/>
      <c r="F309" s="544"/>
      <c r="G309" s="544"/>
      <c r="H309" s="544"/>
      <c r="I309" s="544"/>
      <c r="J309" s="544"/>
      <c r="K309" s="544"/>
    </row>
    <row r="310" spans="1:11" x14ac:dyDescent="0.35">
      <c r="A310" s="544"/>
      <c r="B310" s="544"/>
      <c r="C310" s="544"/>
      <c r="E310" s="544"/>
      <c r="F310" s="544"/>
      <c r="G310" s="544"/>
      <c r="H310" s="544"/>
      <c r="I310" s="544"/>
      <c r="J310" s="544"/>
      <c r="K310" s="544"/>
    </row>
    <row r="311" spans="1:11" x14ac:dyDescent="0.35">
      <c r="A311" s="544"/>
      <c r="B311" s="544"/>
      <c r="C311" s="544"/>
      <c r="E311" s="544"/>
      <c r="F311" s="544"/>
      <c r="G311" s="544"/>
      <c r="H311" s="544"/>
      <c r="I311" s="544"/>
      <c r="J311" s="544"/>
      <c r="K311" s="544"/>
    </row>
    <row r="312" spans="1:11" x14ac:dyDescent="0.35">
      <c r="A312" s="544"/>
      <c r="B312" s="544"/>
      <c r="C312" s="544"/>
      <c r="E312" s="544"/>
      <c r="F312" s="544"/>
      <c r="G312" s="544"/>
      <c r="H312" s="544"/>
      <c r="I312" s="544"/>
      <c r="J312" s="544"/>
      <c r="K312" s="544"/>
    </row>
    <row r="313" spans="1:11" x14ac:dyDescent="0.35">
      <c r="A313" s="544"/>
      <c r="B313" s="544"/>
      <c r="C313" s="544"/>
      <c r="E313" s="544"/>
      <c r="F313" s="544"/>
      <c r="G313" s="544"/>
      <c r="H313" s="544"/>
      <c r="I313" s="544"/>
      <c r="J313" s="544"/>
      <c r="K313" s="544"/>
    </row>
    <row r="314" spans="1:11" x14ac:dyDescent="0.35">
      <c r="A314" s="544"/>
      <c r="B314" s="544"/>
      <c r="C314" s="544"/>
      <c r="E314" s="544"/>
      <c r="F314" s="544"/>
      <c r="G314" s="544"/>
      <c r="H314" s="544"/>
      <c r="I314" s="544"/>
      <c r="J314" s="544"/>
      <c r="K314" s="544"/>
    </row>
    <row r="315" spans="1:11" x14ac:dyDescent="0.35">
      <c r="A315" s="544"/>
      <c r="B315" s="544"/>
      <c r="C315" s="544"/>
      <c r="E315" s="544"/>
      <c r="F315" s="544"/>
      <c r="G315" s="544"/>
      <c r="H315" s="544"/>
      <c r="I315" s="544"/>
      <c r="J315" s="544"/>
      <c r="K315" s="544"/>
    </row>
    <row r="316" spans="1:11" x14ac:dyDescent="0.35">
      <c r="A316" s="544"/>
      <c r="B316" s="544"/>
      <c r="C316" s="544"/>
      <c r="E316" s="544"/>
      <c r="F316" s="544"/>
      <c r="G316" s="544"/>
      <c r="H316" s="544"/>
      <c r="I316" s="544"/>
      <c r="J316" s="544"/>
      <c r="K316" s="544"/>
    </row>
    <row r="317" spans="1:11" x14ac:dyDescent="0.35">
      <c r="A317" s="544"/>
      <c r="B317" s="544"/>
      <c r="C317" s="544"/>
      <c r="E317" s="544"/>
      <c r="F317" s="544"/>
      <c r="G317" s="544"/>
      <c r="H317" s="544"/>
      <c r="I317" s="544"/>
      <c r="J317" s="544"/>
      <c r="K317" s="544"/>
    </row>
    <row r="318" spans="1:11" x14ac:dyDescent="0.35">
      <c r="A318" s="544"/>
      <c r="B318" s="544"/>
      <c r="C318" s="544"/>
    </row>
    <row r="319" spans="1:11" x14ac:dyDescent="0.35">
      <c r="A319" s="544"/>
      <c r="B319" s="544"/>
      <c r="C319" s="544"/>
    </row>
    <row r="320" spans="1:11" x14ac:dyDescent="0.35">
      <c r="A320" s="544"/>
      <c r="B320" s="544"/>
      <c r="C320" s="544"/>
    </row>
    <row r="321" spans="1:3" x14ac:dyDescent="0.35">
      <c r="A321" s="544"/>
      <c r="B321" s="544"/>
      <c r="C321" s="544"/>
    </row>
    <row r="322" spans="1:3" x14ac:dyDescent="0.35">
      <c r="A322" s="544"/>
      <c r="B322" s="544"/>
      <c r="C322" s="544"/>
    </row>
    <row r="323" spans="1:3" x14ac:dyDescent="0.35">
      <c r="A323" s="544"/>
      <c r="B323" s="544"/>
      <c r="C323" s="544"/>
    </row>
    <row r="324" spans="1:3" x14ac:dyDescent="0.35">
      <c r="A324" s="544"/>
      <c r="B324" s="544"/>
      <c r="C324" s="544"/>
    </row>
    <row r="325" spans="1:3" x14ac:dyDescent="0.35">
      <c r="B325" s="544"/>
      <c r="C325" s="544"/>
    </row>
    <row r="326" spans="1:3" x14ac:dyDescent="0.35">
      <c r="B326" s="544"/>
      <c r="C326" s="544"/>
    </row>
    <row r="327" spans="1:3" x14ac:dyDescent="0.35">
      <c r="B327" s="544"/>
      <c r="C327" s="544"/>
    </row>
    <row r="328" spans="1:3" x14ac:dyDescent="0.35">
      <c r="B328" s="544"/>
      <c r="C328" s="544"/>
    </row>
    <row r="329" spans="1:3" x14ac:dyDescent="0.35">
      <c r="B329" s="544"/>
      <c r="C329" s="544"/>
    </row>
    <row r="330" spans="1:3" x14ac:dyDescent="0.35">
      <c r="B330" s="544"/>
      <c r="C330" s="544"/>
    </row>
    <row r="331" spans="1:3" x14ac:dyDescent="0.35">
      <c r="B331" s="544"/>
      <c r="C331" s="544"/>
    </row>
    <row r="332" spans="1:3" x14ac:dyDescent="0.35">
      <c r="B332" s="544"/>
      <c r="C332" s="544"/>
    </row>
  </sheetData>
  <sheetProtection password="C8C1" sheet="1" objects="1" scenarios="1" selectLockedCells="1"/>
  <mergeCells count="1">
    <mergeCell ref="H8:L8"/>
  </mergeCells>
  <dataValidations count="1">
    <dataValidation type="whole" operator="equal" allowBlank="1" showInputMessage="1" showErrorMessage="1" sqref="C10:C17 C22:C29 C36:C43 C99:C106 C88:C95 C74:C81 C62:C69 C48:C55 C113:C120 C125:C132 C139:C146 C151:C158 C163:C170 C175:C182">
      <formula1>1</formula1>
    </dataValidation>
  </dataValidation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B050"/>
  </sheetPr>
  <dimension ref="A1:IK527"/>
  <sheetViews>
    <sheetView showGridLines="0" showRowColHeaders="0" topLeftCell="A2" zoomScale="80" zoomScaleNormal="80" workbookViewId="0">
      <pane ySplit="3" topLeftCell="A5" activePane="bottomLeft" state="frozen"/>
      <selection activeCell="A2" sqref="A2"/>
      <selection pane="bottomLeft" activeCell="E127" sqref="E127"/>
    </sheetView>
  </sheetViews>
  <sheetFormatPr defaultColWidth="9.1796875" defaultRowHeight="14.5" x14ac:dyDescent="0.35"/>
  <cols>
    <col min="1" max="1" width="3.26953125" style="17" customWidth="1"/>
    <col min="2" max="2" width="50.7265625" style="17" customWidth="1"/>
    <col min="3" max="3" width="10.7265625" style="11" customWidth="1"/>
    <col min="4" max="4" width="8.7265625" style="544" customWidth="1"/>
    <col min="5" max="8" width="45.7265625" style="17" customWidth="1"/>
    <col min="9" max="11" width="9.1796875" style="544"/>
    <col min="12" max="12" width="65.453125" style="544" customWidth="1"/>
    <col min="13" max="26" width="9.1796875" style="544"/>
    <col min="27" max="27" width="3.7265625" style="544" customWidth="1"/>
    <col min="28" max="245" width="9.1796875" style="544"/>
    <col min="246" max="16384" width="9.1796875" style="17"/>
  </cols>
  <sheetData>
    <row r="1" spans="1:27" ht="18.5" hidden="1" x14ac:dyDescent="0.35">
      <c r="B1" s="13" t="e">
        <f>Overview_SLUDGE!#REF!</f>
        <v>#REF!</v>
      </c>
    </row>
    <row r="2" spans="1:27" s="520" customFormat="1" ht="36.75" customHeight="1" x14ac:dyDescent="0.45">
      <c r="B2" s="824" t="str">
        <f>'User interface_RES'!AJ11</f>
        <v>Any city in , the world</v>
      </c>
      <c r="C2" s="692"/>
    </row>
    <row r="3" spans="1:27" s="521" customFormat="1" ht="10.5" hidden="1" x14ac:dyDescent="0.35">
      <c r="C3" s="693"/>
    </row>
    <row r="4" spans="1:27" s="658" customFormat="1" ht="57.75" customHeight="1" thickBot="1" x14ac:dyDescent="0.4">
      <c r="B4" s="1497" t="s">
        <v>674</v>
      </c>
      <c r="C4" s="698"/>
    </row>
    <row r="5" spans="1:27" ht="17.149999999999999" customHeight="1" x14ac:dyDescent="0.35">
      <c r="A5" s="903"/>
      <c r="B5" s="544"/>
      <c r="C5" s="572"/>
      <c r="E5" s="544"/>
      <c r="F5" s="544"/>
      <c r="G5" s="544"/>
      <c r="H5" s="544"/>
    </row>
    <row r="6" spans="1:27" ht="17.149999999999999" hidden="1" customHeight="1" x14ac:dyDescent="0.35">
      <c r="A6" s="544"/>
      <c r="B6" s="544"/>
      <c r="C6" s="572"/>
      <c r="E6" s="544"/>
      <c r="F6" s="544"/>
      <c r="G6" s="544"/>
      <c r="H6" s="544"/>
    </row>
    <row r="7" spans="1:27" ht="17.149999999999999" customHeight="1" x14ac:dyDescent="0.35">
      <c r="A7" s="544"/>
      <c r="B7" s="695" t="s">
        <v>675</v>
      </c>
      <c r="C7" s="696"/>
      <c r="D7" s="697"/>
      <c r="E7" s="697"/>
      <c r="F7" s="697"/>
      <c r="G7" s="697"/>
      <c r="H7" s="544"/>
    </row>
    <row r="8" spans="1:27" ht="17.149999999999999" customHeight="1" x14ac:dyDescent="0.35">
      <c r="A8" s="544"/>
      <c r="B8" s="544"/>
      <c r="C8" s="572"/>
      <c r="E8" s="544"/>
      <c r="F8" s="544"/>
      <c r="G8" s="544"/>
      <c r="H8" s="544"/>
    </row>
    <row r="9" spans="1:27" ht="17.149999999999999" customHeight="1" x14ac:dyDescent="0.35">
      <c r="A9" s="544"/>
      <c r="B9" s="592" t="s">
        <v>676</v>
      </c>
      <c r="C9" s="572"/>
      <c r="E9" s="572" t="s">
        <v>521</v>
      </c>
      <c r="F9" s="544"/>
      <c r="G9" s="544"/>
      <c r="H9" s="544"/>
    </row>
    <row r="10" spans="1:27" ht="28" customHeight="1" x14ac:dyDescent="0.35">
      <c r="A10" s="544"/>
      <c r="B10" s="1484" t="s">
        <v>594</v>
      </c>
      <c r="C10" s="597" t="s">
        <v>374</v>
      </c>
      <c r="D10" s="572"/>
      <c r="E10" s="594" t="s">
        <v>677</v>
      </c>
      <c r="F10" s="553" t="s">
        <v>678</v>
      </c>
      <c r="G10" s="553" t="s">
        <v>599</v>
      </c>
      <c r="H10" s="572"/>
    </row>
    <row r="11" spans="1:27" ht="31" x14ac:dyDescent="0.35">
      <c r="A11" s="544"/>
      <c r="B11" s="598" t="s">
        <v>679</v>
      </c>
      <c r="C11" s="881"/>
      <c r="D11" s="478"/>
      <c r="E11" s="1171"/>
      <c r="F11" s="906"/>
      <c r="G11" s="906"/>
      <c r="H11" s="686"/>
      <c r="AA11" s="1089" t="s">
        <v>601</v>
      </c>
    </row>
    <row r="12" spans="1:27" ht="31" x14ac:dyDescent="0.35">
      <c r="A12" s="544"/>
      <c r="B12" s="598" t="s">
        <v>680</v>
      </c>
      <c r="C12" s="881"/>
      <c r="D12" s="478"/>
      <c r="E12" s="906"/>
      <c r="F12" s="906"/>
      <c r="G12" s="906"/>
      <c r="H12" s="686"/>
      <c r="AA12" s="1089" t="s">
        <v>601</v>
      </c>
    </row>
    <row r="13" spans="1:27" ht="31" x14ac:dyDescent="0.35">
      <c r="A13" s="544"/>
      <c r="B13" s="598" t="s">
        <v>681</v>
      </c>
      <c r="C13" s="881"/>
      <c r="D13" s="478"/>
      <c r="E13" s="906"/>
      <c r="F13" s="906"/>
      <c r="G13" s="906"/>
      <c r="H13" s="686"/>
      <c r="AA13" s="1089" t="s">
        <v>601</v>
      </c>
    </row>
    <row r="14" spans="1:27" ht="31" x14ac:dyDescent="0.35">
      <c r="A14" s="544"/>
      <c r="B14" s="598" t="s">
        <v>682</v>
      </c>
      <c r="C14" s="881">
        <v>1</v>
      </c>
      <c r="D14" s="478"/>
      <c r="E14" s="906"/>
      <c r="F14" s="906">
        <v>1</v>
      </c>
      <c r="G14" s="906"/>
      <c r="H14" s="686"/>
      <c r="AA14" s="1089" t="s">
        <v>601</v>
      </c>
    </row>
    <row r="15" spans="1:27" ht="31" x14ac:dyDescent="0.35">
      <c r="A15" s="544"/>
      <c r="B15" s="598" t="s">
        <v>683</v>
      </c>
      <c r="C15" s="881"/>
      <c r="D15" s="478"/>
      <c r="E15" s="906"/>
      <c r="F15" s="906"/>
      <c r="G15" s="906"/>
      <c r="H15" s="549"/>
      <c r="AA15" s="1089" t="s">
        <v>601</v>
      </c>
    </row>
    <row r="16" spans="1:27" ht="17.149999999999999" customHeight="1" x14ac:dyDescent="0.35">
      <c r="A16" s="544"/>
      <c r="B16" s="478"/>
      <c r="C16" s="601"/>
      <c r="D16" s="523"/>
      <c r="E16" s="523"/>
      <c r="F16" s="523"/>
      <c r="G16" s="523"/>
      <c r="H16" s="478"/>
      <c r="I16" s="478"/>
      <c r="J16" s="478"/>
      <c r="K16" s="478"/>
    </row>
    <row r="17" spans="1:27" ht="17.149999999999999" customHeight="1" x14ac:dyDescent="0.35">
      <c r="A17" s="544"/>
      <c r="B17" s="478"/>
      <c r="C17" s="601"/>
      <c r="D17" s="523"/>
      <c r="E17" s="523"/>
      <c r="F17" s="523"/>
      <c r="G17" s="523"/>
      <c r="H17" s="478"/>
      <c r="I17" s="478"/>
      <c r="J17" s="478"/>
      <c r="K17" s="478"/>
    </row>
    <row r="18" spans="1:27" ht="17.149999999999999" customHeight="1" x14ac:dyDescent="0.35">
      <c r="A18" s="544"/>
      <c r="B18" s="592" t="s">
        <v>684</v>
      </c>
      <c r="C18" s="572"/>
      <c r="E18" s="572" t="s">
        <v>521</v>
      </c>
      <c r="F18" s="544"/>
      <c r="G18" s="690"/>
      <c r="H18" s="544"/>
    </row>
    <row r="19" spans="1:27" ht="28" customHeight="1" x14ac:dyDescent="0.35">
      <c r="A19" s="544"/>
      <c r="B19" s="1484" t="s">
        <v>594</v>
      </c>
      <c r="C19" s="597" t="s">
        <v>374</v>
      </c>
      <c r="D19" s="572"/>
      <c r="E19" s="594" t="s">
        <v>685</v>
      </c>
      <c r="F19" s="553" t="s">
        <v>678</v>
      </c>
      <c r="G19" s="553" t="s">
        <v>599</v>
      </c>
      <c r="H19" s="572"/>
    </row>
    <row r="20" spans="1:27" ht="31.5" customHeight="1" x14ac:dyDescent="0.35">
      <c r="A20" s="544"/>
      <c r="B20" s="598" t="s">
        <v>686</v>
      </c>
      <c r="C20" s="881"/>
      <c r="D20" s="478"/>
      <c r="E20" s="906"/>
      <c r="F20" s="906"/>
      <c r="G20" s="906"/>
      <c r="H20" s="686"/>
      <c r="AA20" s="1089" t="s">
        <v>601</v>
      </c>
    </row>
    <row r="21" spans="1:27" ht="31.5" customHeight="1" x14ac:dyDescent="0.35">
      <c r="A21" s="544"/>
      <c r="B21" s="598" t="s">
        <v>687</v>
      </c>
      <c r="C21" s="881">
        <v>1</v>
      </c>
      <c r="D21" s="478"/>
      <c r="E21" s="906"/>
      <c r="F21" s="906"/>
      <c r="G21" s="906"/>
      <c r="H21" s="686"/>
      <c r="AA21" s="1089" t="s">
        <v>601</v>
      </c>
    </row>
    <row r="22" spans="1:27" ht="31.5" customHeight="1" x14ac:dyDescent="0.35">
      <c r="A22" s="544"/>
      <c r="B22" s="598" t="s">
        <v>688</v>
      </c>
      <c r="C22" s="881"/>
      <c r="D22" s="478"/>
      <c r="E22" s="906"/>
      <c r="F22" s="906"/>
      <c r="G22" s="906"/>
      <c r="H22" s="686"/>
      <c r="AA22" s="1089" t="s">
        <v>601</v>
      </c>
    </row>
    <row r="23" spans="1:27" ht="31.5" customHeight="1" x14ac:dyDescent="0.35">
      <c r="A23" s="544"/>
      <c r="B23" s="598" t="s">
        <v>689</v>
      </c>
      <c r="C23" s="881"/>
      <c r="D23" s="478"/>
      <c r="E23" s="906"/>
      <c r="F23" s="906"/>
      <c r="G23" s="906"/>
      <c r="H23" s="686"/>
      <c r="AA23" s="1089" t="s">
        <v>601</v>
      </c>
    </row>
    <row r="24" spans="1:27" ht="17.149999999999999" customHeight="1" x14ac:dyDescent="0.35">
      <c r="A24" s="544"/>
      <c r="B24" s="544"/>
      <c r="C24" s="572"/>
      <c r="E24" s="544"/>
      <c r="F24" s="544"/>
      <c r="G24" s="544"/>
      <c r="H24" s="544"/>
      <c r="AA24" s="1089"/>
    </row>
    <row r="25" spans="1:27" ht="17.149999999999999" customHeight="1" x14ac:dyDescent="0.35">
      <c r="A25" s="544"/>
      <c r="B25" s="544"/>
      <c r="C25" s="572"/>
      <c r="E25" s="544"/>
      <c r="F25" s="544"/>
      <c r="G25" s="544"/>
      <c r="H25" s="544"/>
    </row>
    <row r="26" spans="1:27" ht="17.149999999999999" customHeight="1" x14ac:dyDescent="0.35">
      <c r="A26" s="544"/>
      <c r="B26" s="695" t="s">
        <v>44</v>
      </c>
      <c r="C26" s="696"/>
      <c r="D26" s="697"/>
      <c r="E26" s="697"/>
      <c r="F26" s="697"/>
      <c r="G26" s="697"/>
      <c r="H26" s="544"/>
    </row>
    <row r="27" spans="1:27" ht="17.149999999999999" customHeight="1" x14ac:dyDescent="0.35">
      <c r="A27" s="544"/>
      <c r="B27" s="544"/>
      <c r="C27" s="572"/>
      <c r="E27" s="572"/>
      <c r="F27" s="478"/>
      <c r="G27" s="544"/>
      <c r="H27" s="544"/>
    </row>
    <row r="28" spans="1:27" ht="17.149999999999999" customHeight="1" x14ac:dyDescent="0.35">
      <c r="A28" s="544"/>
      <c r="B28" s="592" t="s">
        <v>690</v>
      </c>
      <c r="C28" s="572"/>
      <c r="E28" s="572" t="s">
        <v>521</v>
      </c>
      <c r="F28" s="478"/>
      <c r="G28" s="544"/>
      <c r="H28" s="544"/>
    </row>
    <row r="29" spans="1:27" ht="28" customHeight="1" x14ac:dyDescent="0.35">
      <c r="A29" s="544"/>
      <c r="B29" s="1484" t="s">
        <v>594</v>
      </c>
      <c r="C29" s="597" t="s">
        <v>374</v>
      </c>
      <c r="D29" s="572"/>
      <c r="E29" s="594" t="s">
        <v>677</v>
      </c>
      <c r="F29" s="594" t="s">
        <v>678</v>
      </c>
      <c r="G29" s="553" t="s">
        <v>599</v>
      </c>
      <c r="H29" s="544"/>
    </row>
    <row r="30" spans="1:27" ht="31" x14ac:dyDescent="0.35">
      <c r="A30" s="544"/>
      <c r="B30" s="598" t="s">
        <v>679</v>
      </c>
      <c r="C30" s="881">
        <v>1</v>
      </c>
      <c r="E30" s="906"/>
      <c r="F30" s="906"/>
      <c r="G30" s="906"/>
      <c r="H30" s="544"/>
      <c r="AA30" s="1089" t="s">
        <v>601</v>
      </c>
    </row>
    <row r="31" spans="1:27" ht="31" x14ac:dyDescent="0.35">
      <c r="A31" s="544"/>
      <c r="B31" s="598" t="s">
        <v>691</v>
      </c>
      <c r="C31" s="881"/>
      <c r="E31" s="906"/>
      <c r="F31" s="906"/>
      <c r="G31" s="906"/>
      <c r="H31" s="544"/>
      <c r="AA31" s="1089" t="s">
        <v>601</v>
      </c>
    </row>
    <row r="32" spans="1:27" ht="31" x14ac:dyDescent="0.35">
      <c r="A32" s="544"/>
      <c r="B32" s="598" t="s">
        <v>692</v>
      </c>
      <c r="C32" s="881"/>
      <c r="E32" s="906"/>
      <c r="F32" s="906"/>
      <c r="G32" s="906"/>
      <c r="H32" s="544"/>
      <c r="AA32" s="1089" t="s">
        <v>601</v>
      </c>
    </row>
    <row r="33" spans="1:27" ht="31" x14ac:dyDescent="0.35">
      <c r="A33" s="544"/>
      <c r="B33" s="598" t="s">
        <v>693</v>
      </c>
      <c r="C33" s="881"/>
      <c r="E33" s="906"/>
      <c r="F33" s="906"/>
      <c r="G33" s="906"/>
      <c r="H33" s="544"/>
      <c r="AA33" s="1089" t="s">
        <v>601</v>
      </c>
    </row>
    <row r="34" spans="1:27" ht="31" x14ac:dyDescent="0.35">
      <c r="A34" s="544"/>
      <c r="B34" s="598" t="s">
        <v>683</v>
      </c>
      <c r="C34" s="881"/>
      <c r="E34" s="906"/>
      <c r="F34" s="906"/>
      <c r="G34" s="906"/>
      <c r="H34" s="544"/>
      <c r="AA34" s="1089" t="s">
        <v>601</v>
      </c>
    </row>
    <row r="35" spans="1:27" ht="17.149999999999999" customHeight="1" x14ac:dyDescent="0.35">
      <c r="A35" s="544"/>
      <c r="B35" s="478"/>
      <c r="C35" s="601"/>
      <c r="E35" s="544"/>
      <c r="F35" s="544"/>
      <c r="G35" s="544"/>
      <c r="H35" s="544"/>
    </row>
    <row r="36" spans="1:27" ht="17.149999999999999" customHeight="1" x14ac:dyDescent="0.35">
      <c r="A36" s="544"/>
      <c r="B36" s="478"/>
      <c r="C36" s="601"/>
      <c r="E36" s="544"/>
      <c r="F36" s="544"/>
      <c r="G36" s="544"/>
      <c r="H36" s="544"/>
    </row>
    <row r="37" spans="1:27" ht="17.149999999999999" customHeight="1" x14ac:dyDescent="0.35">
      <c r="A37" s="544"/>
      <c r="B37" s="592" t="s">
        <v>694</v>
      </c>
      <c r="C37" s="572"/>
      <c r="E37" s="572" t="s">
        <v>521</v>
      </c>
      <c r="F37" s="478"/>
      <c r="G37" s="544"/>
      <c r="H37" s="544"/>
    </row>
    <row r="38" spans="1:27" ht="28" customHeight="1" x14ac:dyDescent="0.35">
      <c r="A38" s="544"/>
      <c r="B38" s="1484" t="s">
        <v>594</v>
      </c>
      <c r="C38" s="597" t="s">
        <v>374</v>
      </c>
      <c r="D38" s="572"/>
      <c r="E38" s="594" t="s">
        <v>685</v>
      </c>
      <c r="F38" s="553" t="s">
        <v>678</v>
      </c>
      <c r="G38" s="553" t="s">
        <v>599</v>
      </c>
      <c r="H38" s="544"/>
    </row>
    <row r="39" spans="1:27" ht="31" x14ac:dyDescent="0.35">
      <c r="A39" s="544"/>
      <c r="B39" s="598" t="s">
        <v>695</v>
      </c>
      <c r="C39" s="881">
        <v>1</v>
      </c>
      <c r="E39" s="906"/>
      <c r="F39" s="906"/>
      <c r="G39" s="906"/>
      <c r="H39" s="544"/>
      <c r="AA39" s="1089" t="s">
        <v>601</v>
      </c>
    </row>
    <row r="40" spans="1:27" ht="31" x14ac:dyDescent="0.35">
      <c r="A40" s="544"/>
      <c r="B40" s="598" t="s">
        <v>696</v>
      </c>
      <c r="C40" s="881"/>
      <c r="E40" s="906"/>
      <c r="F40" s="906"/>
      <c r="G40" s="906"/>
      <c r="H40" s="544"/>
      <c r="AA40" s="1089" t="s">
        <v>601</v>
      </c>
    </row>
    <row r="41" spans="1:27" ht="31" x14ac:dyDescent="0.35">
      <c r="A41" s="544"/>
      <c r="B41" s="598" t="s">
        <v>697</v>
      </c>
      <c r="C41" s="881"/>
      <c r="E41" s="906"/>
      <c r="F41" s="906"/>
      <c r="G41" s="906"/>
      <c r="H41" s="544"/>
      <c r="AA41" s="1089" t="s">
        <v>601</v>
      </c>
    </row>
    <row r="42" spans="1:27" ht="31" x14ac:dyDescent="0.35">
      <c r="A42" s="544"/>
      <c r="B42" s="598" t="s">
        <v>698</v>
      </c>
      <c r="C42" s="881"/>
      <c r="E42" s="906"/>
      <c r="F42" s="906"/>
      <c r="G42" s="906"/>
      <c r="H42" s="544"/>
      <c r="AA42" s="1089" t="s">
        <v>601</v>
      </c>
    </row>
    <row r="43" spans="1:27" ht="17.149999999999999" customHeight="1" x14ac:dyDescent="0.35">
      <c r="A43" s="544"/>
      <c r="B43" s="544"/>
      <c r="C43" s="572"/>
      <c r="E43" s="478"/>
      <c r="F43" s="478"/>
      <c r="G43" s="544"/>
      <c r="H43" s="544"/>
    </row>
    <row r="44" spans="1:27" ht="17.149999999999999" customHeight="1" x14ac:dyDescent="0.35">
      <c r="A44" s="544"/>
      <c r="B44" s="544"/>
      <c r="C44" s="572"/>
      <c r="E44" s="544"/>
      <c r="F44" s="544"/>
      <c r="G44" s="544"/>
      <c r="H44" s="544"/>
    </row>
    <row r="45" spans="1:27" ht="17.149999999999999" customHeight="1" x14ac:dyDescent="0.35">
      <c r="A45" s="544"/>
      <c r="B45" s="544"/>
      <c r="C45" s="572"/>
      <c r="E45" s="544"/>
      <c r="F45" s="544"/>
      <c r="G45" s="544"/>
      <c r="H45" s="544"/>
    </row>
    <row r="46" spans="1:27" ht="17.149999999999999" customHeight="1" x14ac:dyDescent="0.35">
      <c r="A46" s="544"/>
      <c r="B46" s="695" t="s">
        <v>45</v>
      </c>
      <c r="C46" s="696"/>
      <c r="D46" s="697"/>
      <c r="E46" s="697"/>
      <c r="F46" s="697"/>
      <c r="G46" s="697"/>
      <c r="H46" s="544"/>
    </row>
    <row r="47" spans="1:27" ht="17.149999999999999" customHeight="1" x14ac:dyDescent="0.35">
      <c r="A47" s="544"/>
      <c r="B47" s="564"/>
      <c r="C47" s="572"/>
      <c r="E47" s="544"/>
      <c r="F47" s="544"/>
      <c r="G47" s="544"/>
      <c r="H47" s="544"/>
    </row>
    <row r="48" spans="1:27" ht="17.149999999999999" customHeight="1" x14ac:dyDescent="0.35">
      <c r="A48" s="544"/>
      <c r="B48" s="592" t="s">
        <v>699</v>
      </c>
      <c r="C48" s="601"/>
      <c r="D48" s="478"/>
      <c r="E48" s="572" t="s">
        <v>521</v>
      </c>
      <c r="F48" s="478"/>
      <c r="G48" s="544"/>
      <c r="H48" s="544"/>
    </row>
    <row r="49" spans="1:27" ht="28" customHeight="1" x14ac:dyDescent="0.35">
      <c r="A49" s="544"/>
      <c r="B49" s="1484" t="s">
        <v>594</v>
      </c>
      <c r="C49" s="597" t="s">
        <v>374</v>
      </c>
      <c r="D49" s="572"/>
      <c r="E49" s="594" t="s">
        <v>677</v>
      </c>
      <c r="F49" s="594" t="s">
        <v>678</v>
      </c>
      <c r="G49" s="553" t="s">
        <v>599</v>
      </c>
      <c r="H49" s="544"/>
    </row>
    <row r="50" spans="1:27" ht="31" x14ac:dyDescent="0.35">
      <c r="A50" s="544"/>
      <c r="B50" s="598" t="s">
        <v>679</v>
      </c>
      <c r="C50" s="881">
        <v>1</v>
      </c>
      <c r="D50" s="478"/>
      <c r="E50" s="906"/>
      <c r="F50" s="906"/>
      <c r="G50" s="906"/>
      <c r="H50" s="544"/>
      <c r="AA50" s="1089" t="s">
        <v>601</v>
      </c>
    </row>
    <row r="51" spans="1:27" ht="31" x14ac:dyDescent="0.35">
      <c r="A51" s="544"/>
      <c r="B51" s="598" t="s">
        <v>691</v>
      </c>
      <c r="C51" s="881"/>
      <c r="D51" s="478"/>
      <c r="E51" s="906"/>
      <c r="F51" s="906"/>
      <c r="G51" s="906"/>
      <c r="H51" s="544"/>
      <c r="AA51" s="1089" t="s">
        <v>601</v>
      </c>
    </row>
    <row r="52" spans="1:27" ht="31" x14ac:dyDescent="0.35">
      <c r="A52" s="544"/>
      <c r="B52" s="598" t="s">
        <v>692</v>
      </c>
      <c r="C52" s="881"/>
      <c r="D52" s="478"/>
      <c r="E52" s="906"/>
      <c r="F52" s="906"/>
      <c r="G52" s="906"/>
      <c r="H52" s="544"/>
      <c r="AA52" s="1089" t="s">
        <v>601</v>
      </c>
    </row>
    <row r="53" spans="1:27" ht="31" x14ac:dyDescent="0.35">
      <c r="A53" s="544"/>
      <c r="B53" s="598" t="s">
        <v>693</v>
      </c>
      <c r="C53" s="881"/>
      <c r="D53" s="478"/>
      <c r="E53" s="906"/>
      <c r="F53" s="906"/>
      <c r="G53" s="906"/>
      <c r="H53" s="544"/>
      <c r="AA53" s="1089" t="s">
        <v>601</v>
      </c>
    </row>
    <row r="54" spans="1:27" ht="31" x14ac:dyDescent="0.35">
      <c r="A54" s="544"/>
      <c r="B54" s="598" t="s">
        <v>683</v>
      </c>
      <c r="C54" s="881"/>
      <c r="D54" s="478"/>
      <c r="E54" s="906"/>
      <c r="F54" s="906"/>
      <c r="G54" s="906"/>
      <c r="H54" s="544"/>
      <c r="AA54" s="1089" t="s">
        <v>601</v>
      </c>
    </row>
    <row r="55" spans="1:27" ht="17.149999999999999" customHeight="1" x14ac:dyDescent="0.35">
      <c r="A55" s="544"/>
      <c r="B55" s="544"/>
      <c r="C55" s="572"/>
      <c r="E55" s="544"/>
      <c r="F55" s="544"/>
      <c r="G55" s="544"/>
      <c r="H55" s="544"/>
    </row>
    <row r="56" spans="1:27" ht="17.149999999999999" customHeight="1" x14ac:dyDescent="0.35">
      <c r="A56" s="544"/>
      <c r="B56" s="544"/>
      <c r="C56" s="572"/>
      <c r="E56" s="544"/>
      <c r="F56" s="544"/>
      <c r="G56" s="544"/>
      <c r="H56" s="544"/>
    </row>
    <row r="57" spans="1:27" ht="17.149999999999999" customHeight="1" x14ac:dyDescent="0.35">
      <c r="A57" s="544"/>
      <c r="B57" s="592" t="s">
        <v>700</v>
      </c>
      <c r="C57" s="601"/>
      <c r="D57" s="478"/>
      <c r="E57" s="572" t="s">
        <v>521</v>
      </c>
      <c r="F57" s="478"/>
      <c r="G57" s="544"/>
      <c r="H57" s="544"/>
    </row>
    <row r="58" spans="1:27" ht="28" customHeight="1" x14ac:dyDescent="0.35">
      <c r="A58" s="544"/>
      <c r="B58" s="1484" t="s">
        <v>594</v>
      </c>
      <c r="C58" s="597" t="s">
        <v>374</v>
      </c>
      <c r="D58" s="572"/>
      <c r="E58" s="594" t="s">
        <v>685</v>
      </c>
      <c r="F58" s="553" t="s">
        <v>678</v>
      </c>
      <c r="G58" s="553" t="s">
        <v>599</v>
      </c>
      <c r="H58" s="544"/>
    </row>
    <row r="59" spans="1:27" ht="31" x14ac:dyDescent="0.35">
      <c r="A59" s="544"/>
      <c r="B59" s="598" t="s">
        <v>695</v>
      </c>
      <c r="C59" s="881">
        <v>1</v>
      </c>
      <c r="E59" s="906"/>
      <c r="F59" s="906"/>
      <c r="G59" s="906"/>
      <c r="H59" s="544"/>
      <c r="AA59" s="1089" t="s">
        <v>601</v>
      </c>
    </row>
    <row r="60" spans="1:27" ht="31" x14ac:dyDescent="0.35">
      <c r="A60" s="544"/>
      <c r="B60" s="598" t="s">
        <v>696</v>
      </c>
      <c r="C60" s="881"/>
      <c r="E60" s="906"/>
      <c r="F60" s="906"/>
      <c r="G60" s="906"/>
      <c r="H60" s="544"/>
      <c r="AA60" s="1089" t="s">
        <v>601</v>
      </c>
    </row>
    <row r="61" spans="1:27" ht="31" x14ac:dyDescent="0.35">
      <c r="A61" s="544"/>
      <c r="B61" s="598" t="s">
        <v>697</v>
      </c>
      <c r="C61" s="881"/>
      <c r="E61" s="906"/>
      <c r="F61" s="906"/>
      <c r="G61" s="906"/>
      <c r="H61" s="544"/>
      <c r="AA61" s="1089" t="s">
        <v>601</v>
      </c>
    </row>
    <row r="62" spans="1:27" ht="31" x14ac:dyDescent="0.35">
      <c r="A62" s="544"/>
      <c r="B62" s="598" t="s">
        <v>698</v>
      </c>
      <c r="C62" s="881"/>
      <c r="E62" s="906"/>
      <c r="F62" s="906"/>
      <c r="G62" s="906"/>
      <c r="H62" s="544"/>
      <c r="AA62" s="1089" t="s">
        <v>601</v>
      </c>
    </row>
    <row r="63" spans="1:27" ht="17.149999999999999" customHeight="1" x14ac:dyDescent="0.35">
      <c r="A63" s="544"/>
      <c r="B63" s="544"/>
      <c r="C63" s="572"/>
      <c r="E63" s="544"/>
      <c r="F63" s="544"/>
      <c r="G63" s="544"/>
      <c r="H63" s="544"/>
    </row>
    <row r="64" spans="1:27" ht="17.149999999999999" customHeight="1" x14ac:dyDescent="0.35">
      <c r="A64" s="544"/>
      <c r="B64" s="544"/>
      <c r="C64" s="572"/>
      <c r="E64" s="544"/>
      <c r="F64" s="544"/>
      <c r="G64" s="544"/>
      <c r="H64" s="544"/>
    </row>
    <row r="65" spans="1:27" ht="17.149999999999999" customHeight="1" x14ac:dyDescent="0.35">
      <c r="A65" s="544"/>
      <c r="B65" s="695" t="s">
        <v>46</v>
      </c>
      <c r="C65" s="696"/>
      <c r="D65" s="697"/>
      <c r="E65" s="697"/>
      <c r="F65" s="697"/>
      <c r="G65" s="697"/>
      <c r="H65" s="544"/>
    </row>
    <row r="66" spans="1:27" ht="17.149999999999999" customHeight="1" x14ac:dyDescent="0.35">
      <c r="A66" s="544"/>
      <c r="B66" s="564"/>
      <c r="C66" s="572"/>
      <c r="E66" s="544"/>
      <c r="F66" s="544"/>
      <c r="G66" s="544"/>
      <c r="H66" s="544"/>
    </row>
    <row r="67" spans="1:27" ht="17.149999999999999" customHeight="1" x14ac:dyDescent="0.35">
      <c r="A67" s="544"/>
      <c r="B67" s="592" t="s">
        <v>701</v>
      </c>
      <c r="C67" s="601"/>
      <c r="D67" s="478"/>
      <c r="E67" s="572" t="s">
        <v>521</v>
      </c>
      <c r="F67" s="478"/>
      <c r="G67" s="544"/>
      <c r="H67" s="544"/>
    </row>
    <row r="68" spans="1:27" ht="28" customHeight="1" x14ac:dyDescent="0.35">
      <c r="A68" s="544"/>
      <c r="B68" s="1484" t="s">
        <v>594</v>
      </c>
      <c r="C68" s="597" t="s">
        <v>374</v>
      </c>
      <c r="D68" s="572"/>
      <c r="E68" s="594" t="s">
        <v>677</v>
      </c>
      <c r="F68" s="594" t="s">
        <v>678</v>
      </c>
      <c r="G68" s="553" t="s">
        <v>599</v>
      </c>
      <c r="H68" s="551"/>
    </row>
    <row r="69" spans="1:27" ht="28" customHeight="1" x14ac:dyDescent="0.35">
      <c r="A69" s="544"/>
      <c r="B69" s="600" t="s">
        <v>376</v>
      </c>
      <c r="C69" s="881"/>
      <c r="D69" s="650"/>
      <c r="E69" s="533" t="s">
        <v>702</v>
      </c>
      <c r="F69" s="694"/>
      <c r="G69" s="548"/>
      <c r="H69" s="544"/>
      <c r="I69" s="936"/>
    </row>
    <row r="70" spans="1:27" ht="31" x14ac:dyDescent="0.35">
      <c r="A70" s="544"/>
      <c r="B70" s="598" t="s">
        <v>703</v>
      </c>
      <c r="C70" s="881"/>
      <c r="D70" s="478"/>
      <c r="E70" s="906"/>
      <c r="F70" s="906"/>
      <c r="G70" s="906"/>
      <c r="H70" s="544"/>
      <c r="I70" s="936"/>
      <c r="AA70" s="1089" t="s">
        <v>601</v>
      </c>
    </row>
    <row r="71" spans="1:27" ht="31" x14ac:dyDescent="0.35">
      <c r="A71" s="544"/>
      <c r="B71" s="598" t="s">
        <v>704</v>
      </c>
      <c r="C71" s="881"/>
      <c r="D71" s="478"/>
      <c r="E71" s="906"/>
      <c r="F71" s="906"/>
      <c r="G71" s="906"/>
      <c r="H71" s="544"/>
      <c r="I71" s="936"/>
      <c r="AA71" s="1089" t="s">
        <v>601</v>
      </c>
    </row>
    <row r="72" spans="1:27" ht="31" x14ac:dyDescent="0.35">
      <c r="A72" s="544"/>
      <c r="B72" s="598" t="s">
        <v>705</v>
      </c>
      <c r="C72" s="881"/>
      <c r="D72" s="478"/>
      <c r="E72" s="906"/>
      <c r="F72" s="906"/>
      <c r="G72" s="906"/>
      <c r="H72" s="544"/>
      <c r="I72" s="936"/>
      <c r="AA72" s="1089" t="s">
        <v>601</v>
      </c>
    </row>
    <row r="73" spans="1:27" ht="31" x14ac:dyDescent="0.35">
      <c r="A73" s="544"/>
      <c r="B73" s="598" t="s">
        <v>706</v>
      </c>
      <c r="C73" s="881">
        <v>1</v>
      </c>
      <c r="D73" s="478"/>
      <c r="E73" s="906"/>
      <c r="F73" s="906"/>
      <c r="G73" s="906"/>
      <c r="H73" s="544"/>
      <c r="I73" s="936"/>
      <c r="AA73" s="1089" t="s">
        <v>601</v>
      </c>
    </row>
    <row r="74" spans="1:27" ht="31" x14ac:dyDescent="0.35">
      <c r="A74" s="544"/>
      <c r="B74" s="598" t="s">
        <v>683</v>
      </c>
      <c r="C74" s="881"/>
      <c r="D74" s="478"/>
      <c r="E74" s="906"/>
      <c r="F74" s="906"/>
      <c r="G74" s="906"/>
      <c r="H74" s="544"/>
      <c r="I74" s="936"/>
      <c r="AA74" s="1089" t="s">
        <v>601</v>
      </c>
    </row>
    <row r="75" spans="1:27" ht="17.149999999999999" customHeight="1" x14ac:dyDescent="0.35">
      <c r="A75" s="544"/>
      <c r="B75" s="544"/>
      <c r="C75" s="572"/>
      <c r="E75" s="544"/>
      <c r="F75" s="544"/>
      <c r="G75" s="544"/>
      <c r="H75" s="544"/>
      <c r="I75" s="936"/>
    </row>
    <row r="76" spans="1:27" ht="17.149999999999999" customHeight="1" x14ac:dyDescent="0.35">
      <c r="A76" s="544"/>
      <c r="B76" s="544"/>
      <c r="C76" s="572"/>
      <c r="E76" s="544"/>
      <c r="F76" s="544"/>
      <c r="G76" s="544"/>
      <c r="H76" s="544"/>
      <c r="I76" s="936"/>
    </row>
    <row r="77" spans="1:27" ht="17.149999999999999" customHeight="1" x14ac:dyDescent="0.35">
      <c r="A77" s="544"/>
      <c r="B77" s="592" t="s">
        <v>707</v>
      </c>
      <c r="C77" s="601"/>
      <c r="D77" s="478"/>
      <c r="E77" s="572" t="s">
        <v>521</v>
      </c>
      <c r="F77" s="478"/>
      <c r="G77" s="544"/>
      <c r="H77" s="544"/>
    </row>
    <row r="78" spans="1:27" ht="28" customHeight="1" x14ac:dyDescent="0.35">
      <c r="A78" s="544"/>
      <c r="B78" s="1484" t="s">
        <v>594</v>
      </c>
      <c r="C78" s="597" t="s">
        <v>374</v>
      </c>
      <c r="D78" s="572"/>
      <c r="E78" s="594" t="s">
        <v>677</v>
      </c>
      <c r="F78" s="594" t="s">
        <v>678</v>
      </c>
      <c r="G78" s="553" t="s">
        <v>599</v>
      </c>
      <c r="H78" s="544"/>
    </row>
    <row r="79" spans="1:27" ht="28" customHeight="1" x14ac:dyDescent="0.35">
      <c r="A79" s="544"/>
      <c r="B79" s="600" t="s">
        <v>376</v>
      </c>
      <c r="C79" s="881"/>
      <c r="D79" s="650"/>
      <c r="E79" s="533" t="s">
        <v>708</v>
      </c>
      <c r="F79" s="694"/>
      <c r="G79" s="548"/>
      <c r="H79" s="544"/>
    </row>
    <row r="80" spans="1:27" ht="31" x14ac:dyDescent="0.35">
      <c r="A80" s="544"/>
      <c r="B80" s="598" t="s">
        <v>709</v>
      </c>
      <c r="C80" s="881"/>
      <c r="D80" s="478"/>
      <c r="E80" s="906"/>
      <c r="F80" s="906"/>
      <c r="G80" s="906"/>
      <c r="H80" s="544"/>
      <c r="AA80" s="1089" t="s">
        <v>601</v>
      </c>
    </row>
    <row r="81" spans="1:27" ht="31" x14ac:dyDescent="0.35">
      <c r="A81" s="544"/>
      <c r="B81" s="598" t="s">
        <v>710</v>
      </c>
      <c r="C81" s="881"/>
      <c r="D81" s="478"/>
      <c r="E81" s="906"/>
      <c r="F81" s="906"/>
      <c r="G81" s="906"/>
      <c r="H81" s="544"/>
      <c r="AA81" s="1089" t="s">
        <v>601</v>
      </c>
    </row>
    <row r="82" spans="1:27" ht="31" x14ac:dyDescent="0.35">
      <c r="A82" s="544"/>
      <c r="B82" s="598" t="s">
        <v>705</v>
      </c>
      <c r="C82" s="881"/>
      <c r="D82" s="478"/>
      <c r="E82" s="906"/>
      <c r="F82" s="906"/>
      <c r="G82" s="906"/>
      <c r="H82" s="544"/>
      <c r="AA82" s="1089" t="s">
        <v>601</v>
      </c>
    </row>
    <row r="83" spans="1:27" ht="31" x14ac:dyDescent="0.35">
      <c r="A83" s="544"/>
      <c r="B83" s="598" t="s">
        <v>706</v>
      </c>
      <c r="C83" s="881"/>
      <c r="D83" s="478"/>
      <c r="E83" s="906"/>
      <c r="F83" s="906"/>
      <c r="G83" s="906"/>
      <c r="H83" s="544"/>
      <c r="AA83" s="1089" t="s">
        <v>601</v>
      </c>
    </row>
    <row r="84" spans="1:27" ht="31" x14ac:dyDescent="0.35">
      <c r="A84" s="544"/>
      <c r="B84" s="598" t="s">
        <v>683</v>
      </c>
      <c r="C84" s="881"/>
      <c r="D84" s="478"/>
      <c r="E84" s="906"/>
      <c r="F84" s="906"/>
      <c r="G84" s="906"/>
      <c r="H84" s="544"/>
      <c r="AA84" s="1089" t="s">
        <v>601</v>
      </c>
    </row>
    <row r="85" spans="1:27" ht="17.149999999999999" customHeight="1" x14ac:dyDescent="0.35">
      <c r="A85" s="544"/>
      <c r="B85" s="544"/>
      <c r="C85" s="572"/>
      <c r="E85" s="544"/>
      <c r="F85" s="544"/>
      <c r="G85" s="544"/>
      <c r="H85" s="544"/>
    </row>
    <row r="86" spans="1:27" ht="17.149999999999999" customHeight="1" x14ac:dyDescent="0.35">
      <c r="A86" s="544"/>
      <c r="B86" s="544"/>
      <c r="C86" s="572"/>
      <c r="E86" s="544"/>
      <c r="F86" s="544"/>
      <c r="G86" s="544"/>
      <c r="H86" s="544"/>
    </row>
    <row r="87" spans="1:27" ht="17.149999999999999" customHeight="1" x14ac:dyDescent="0.35">
      <c r="A87" s="544"/>
      <c r="B87" s="592" t="s">
        <v>711</v>
      </c>
      <c r="C87" s="572"/>
      <c r="E87" s="572" t="s">
        <v>521</v>
      </c>
      <c r="F87" s="544"/>
      <c r="G87" s="544"/>
      <c r="H87" s="544"/>
    </row>
    <row r="88" spans="1:27" ht="28" customHeight="1" x14ac:dyDescent="0.35">
      <c r="A88" s="544"/>
      <c r="B88" s="1484" t="s">
        <v>594</v>
      </c>
      <c r="C88" s="597" t="s">
        <v>374</v>
      </c>
      <c r="D88" s="572"/>
      <c r="E88" s="594" t="s">
        <v>685</v>
      </c>
      <c r="F88" s="594" t="s">
        <v>712</v>
      </c>
      <c r="G88" s="553" t="s">
        <v>599</v>
      </c>
      <c r="H88" s="544"/>
    </row>
    <row r="89" spans="1:27" ht="31" x14ac:dyDescent="0.35">
      <c r="A89" s="544"/>
      <c r="B89" s="598" t="s">
        <v>713</v>
      </c>
      <c r="C89" s="881"/>
      <c r="D89" s="478"/>
      <c r="E89" s="906"/>
      <c r="F89" s="906"/>
      <c r="G89" s="906"/>
      <c r="H89" s="544"/>
      <c r="AA89" s="1089" t="s">
        <v>601</v>
      </c>
    </row>
    <row r="90" spans="1:27" ht="31" x14ac:dyDescent="0.35">
      <c r="A90" s="544"/>
      <c r="B90" s="598" t="s">
        <v>687</v>
      </c>
      <c r="C90" s="881">
        <v>1</v>
      </c>
      <c r="D90" s="478"/>
      <c r="E90" s="906"/>
      <c r="F90" s="906"/>
      <c r="G90" s="906"/>
      <c r="H90" s="544"/>
      <c r="AA90" s="1089" t="s">
        <v>601</v>
      </c>
    </row>
    <row r="91" spans="1:27" ht="31" x14ac:dyDescent="0.35">
      <c r="A91" s="544"/>
      <c r="B91" s="598" t="s">
        <v>688</v>
      </c>
      <c r="C91" s="881">
        <v>1</v>
      </c>
      <c r="D91" s="478"/>
      <c r="E91" s="906"/>
      <c r="F91" s="906"/>
      <c r="G91" s="906"/>
      <c r="H91" s="544"/>
      <c r="AA91" s="1089" t="s">
        <v>601</v>
      </c>
    </row>
    <row r="92" spans="1:27" ht="31" x14ac:dyDescent="0.35">
      <c r="A92" s="544"/>
      <c r="B92" s="598" t="s">
        <v>689</v>
      </c>
      <c r="C92" s="881"/>
      <c r="D92" s="478"/>
      <c r="E92" s="906"/>
      <c r="F92" s="906"/>
      <c r="G92" s="906"/>
      <c r="H92" s="544"/>
      <c r="AA92" s="1089" t="s">
        <v>601</v>
      </c>
    </row>
    <row r="93" spans="1:27" ht="17.149999999999999" customHeight="1" x14ac:dyDescent="0.35">
      <c r="A93" s="544"/>
      <c r="B93" s="544"/>
      <c r="C93" s="572"/>
      <c r="E93" s="544"/>
      <c r="F93" s="544"/>
      <c r="G93" s="544"/>
      <c r="H93" s="544"/>
    </row>
    <row r="94" spans="1:27" ht="17.149999999999999" customHeight="1" x14ac:dyDescent="0.35">
      <c r="A94" s="544"/>
      <c r="B94" s="544"/>
      <c r="C94" s="572"/>
      <c r="E94" s="544"/>
      <c r="F94" s="544"/>
      <c r="G94" s="544"/>
      <c r="H94" s="544"/>
    </row>
    <row r="95" spans="1:27" ht="17.149999999999999" customHeight="1" x14ac:dyDescent="0.35">
      <c r="A95" s="544"/>
      <c r="B95" s="695" t="s">
        <v>714</v>
      </c>
      <c r="C95" s="696"/>
      <c r="D95" s="697"/>
      <c r="E95" s="697"/>
      <c r="F95" s="697"/>
      <c r="G95" s="697"/>
      <c r="H95" s="544"/>
    </row>
    <row r="96" spans="1:27" ht="17.149999999999999" customHeight="1" x14ac:dyDescent="0.35">
      <c r="A96" s="544"/>
      <c r="B96" s="544"/>
      <c r="C96" s="572"/>
      <c r="E96" s="544"/>
      <c r="F96" s="544"/>
      <c r="G96" s="544"/>
      <c r="H96" s="544"/>
    </row>
    <row r="97" spans="1:27" ht="17.149999999999999" customHeight="1" x14ac:dyDescent="0.35">
      <c r="A97" s="544"/>
      <c r="B97" s="592" t="s">
        <v>715</v>
      </c>
      <c r="C97" s="601"/>
      <c r="D97" s="478"/>
      <c r="E97" s="572" t="s">
        <v>521</v>
      </c>
      <c r="F97" s="478"/>
      <c r="G97" s="478"/>
      <c r="H97" s="544"/>
    </row>
    <row r="98" spans="1:27" ht="28" customHeight="1" x14ac:dyDescent="0.35">
      <c r="A98" s="544"/>
      <c r="B98" s="1484" t="s">
        <v>594</v>
      </c>
      <c r="C98" s="597" t="s">
        <v>374</v>
      </c>
      <c r="D98" s="572"/>
      <c r="E98" s="594" t="s">
        <v>677</v>
      </c>
      <c r="F98" s="594" t="s">
        <v>678</v>
      </c>
      <c r="G98" s="553" t="s">
        <v>599</v>
      </c>
      <c r="H98" s="544"/>
    </row>
    <row r="99" spans="1:27" ht="31" x14ac:dyDescent="0.35">
      <c r="A99" s="544"/>
      <c r="B99" s="598" t="s">
        <v>716</v>
      </c>
      <c r="C99" s="881"/>
      <c r="D99" s="478"/>
      <c r="E99" s="906"/>
      <c r="F99" s="906"/>
      <c r="G99" s="906"/>
      <c r="H99" s="655" t="s">
        <v>717</v>
      </c>
      <c r="AA99" s="1089" t="s">
        <v>601</v>
      </c>
    </row>
    <row r="100" spans="1:27" ht="31" x14ac:dyDescent="0.35">
      <c r="A100" s="544"/>
      <c r="B100" s="598" t="s">
        <v>718</v>
      </c>
      <c r="C100" s="881"/>
      <c r="D100" s="478"/>
      <c r="E100" s="906"/>
      <c r="F100" s="906"/>
      <c r="G100" s="906"/>
      <c r="H100" s="544"/>
      <c r="AA100" s="1089" t="s">
        <v>601</v>
      </c>
    </row>
    <row r="101" spans="1:27" ht="31" x14ac:dyDescent="0.35">
      <c r="A101" s="544"/>
      <c r="B101" s="598" t="s">
        <v>719</v>
      </c>
      <c r="C101" s="881"/>
      <c r="D101" s="478"/>
      <c r="E101" s="906"/>
      <c r="F101" s="906"/>
      <c r="G101" s="906"/>
      <c r="H101" s="544"/>
      <c r="AA101" s="1089" t="s">
        <v>601</v>
      </c>
    </row>
    <row r="102" spans="1:27" ht="31" x14ac:dyDescent="0.35">
      <c r="A102" s="544"/>
      <c r="B102" s="598" t="s">
        <v>706</v>
      </c>
      <c r="C102" s="881">
        <v>1</v>
      </c>
      <c r="D102" s="478"/>
      <c r="E102" s="906"/>
      <c r="F102" s="906"/>
      <c r="G102" s="906"/>
      <c r="H102" s="544"/>
      <c r="AA102" s="1089" t="s">
        <v>601</v>
      </c>
    </row>
    <row r="103" spans="1:27" ht="31" x14ac:dyDescent="0.35">
      <c r="A103" s="544"/>
      <c r="B103" s="598" t="s">
        <v>683</v>
      </c>
      <c r="C103" s="881"/>
      <c r="D103" s="478"/>
      <c r="E103" s="906"/>
      <c r="F103" s="906"/>
      <c r="G103" s="906"/>
      <c r="H103" s="544"/>
      <c r="AA103" s="1089" t="s">
        <v>601</v>
      </c>
    </row>
    <row r="104" spans="1:27" ht="17.149999999999999" customHeight="1" x14ac:dyDescent="0.35">
      <c r="A104" s="544"/>
      <c r="B104" s="544"/>
      <c r="C104" s="572"/>
      <c r="E104" s="544"/>
      <c r="F104" s="544"/>
      <c r="G104" s="544"/>
      <c r="H104" s="544"/>
    </row>
    <row r="105" spans="1:27" ht="17.149999999999999" customHeight="1" x14ac:dyDescent="0.35">
      <c r="A105" s="544"/>
      <c r="B105" s="544"/>
      <c r="C105" s="572"/>
      <c r="E105" s="544"/>
      <c r="F105" s="544"/>
      <c r="G105" s="544"/>
      <c r="H105" s="544"/>
    </row>
    <row r="106" spans="1:27" ht="17.149999999999999" customHeight="1" x14ac:dyDescent="0.35">
      <c r="A106" s="544"/>
      <c r="B106" s="592" t="s">
        <v>720</v>
      </c>
      <c r="C106" s="601"/>
      <c r="D106" s="478"/>
      <c r="E106" s="572" t="s">
        <v>521</v>
      </c>
      <c r="F106" s="478"/>
      <c r="G106" s="478"/>
      <c r="H106" s="544"/>
    </row>
    <row r="107" spans="1:27" ht="28" customHeight="1" x14ac:dyDescent="0.35">
      <c r="A107" s="544"/>
      <c r="B107" s="1484" t="s">
        <v>594</v>
      </c>
      <c r="C107" s="597" t="s">
        <v>374</v>
      </c>
      <c r="D107" s="572"/>
      <c r="E107" s="594" t="s">
        <v>677</v>
      </c>
      <c r="F107" s="594" t="s">
        <v>678</v>
      </c>
      <c r="G107" s="553" t="s">
        <v>599</v>
      </c>
      <c r="H107" s="553" t="s">
        <v>721</v>
      </c>
    </row>
    <row r="108" spans="1:27" ht="31" x14ac:dyDescent="0.35">
      <c r="A108" s="544"/>
      <c r="B108" s="598" t="s">
        <v>722</v>
      </c>
      <c r="C108" s="881"/>
      <c r="D108" s="478"/>
      <c r="E108" s="906"/>
      <c r="F108" s="906"/>
      <c r="G108" s="906"/>
      <c r="H108" s="906"/>
      <c r="AA108" s="1089" t="s">
        <v>601</v>
      </c>
    </row>
    <row r="109" spans="1:27" ht="31" x14ac:dyDescent="0.35">
      <c r="A109" s="544"/>
      <c r="B109" s="598" t="s">
        <v>723</v>
      </c>
      <c r="C109" s="881"/>
      <c r="D109" s="478"/>
      <c r="E109" s="906"/>
      <c r="F109" s="906"/>
      <c r="G109" s="906"/>
      <c r="H109" s="906"/>
      <c r="AA109" s="1089" t="s">
        <v>601</v>
      </c>
    </row>
    <row r="110" spans="1:27" ht="31" x14ac:dyDescent="0.35">
      <c r="A110" s="544"/>
      <c r="B110" s="598" t="s">
        <v>705</v>
      </c>
      <c r="C110" s="881"/>
      <c r="D110" s="478"/>
      <c r="E110" s="906"/>
      <c r="F110" s="906"/>
      <c r="G110" s="906"/>
      <c r="H110" s="906"/>
      <c r="AA110" s="1089" t="s">
        <v>601</v>
      </c>
    </row>
    <row r="111" spans="1:27" ht="31" x14ac:dyDescent="0.35">
      <c r="A111" s="544"/>
      <c r="B111" s="598" t="s">
        <v>706</v>
      </c>
      <c r="C111" s="881">
        <v>1</v>
      </c>
      <c r="D111" s="478"/>
      <c r="E111" s="906"/>
      <c r="F111" s="906"/>
      <c r="G111" s="906"/>
      <c r="H111" s="906"/>
      <c r="AA111" s="1089" t="s">
        <v>601</v>
      </c>
    </row>
    <row r="112" spans="1:27" ht="31" x14ac:dyDescent="0.35">
      <c r="A112" s="544"/>
      <c r="B112" s="598" t="s">
        <v>683</v>
      </c>
      <c r="C112" s="881"/>
      <c r="D112" s="478"/>
      <c r="E112" s="906"/>
      <c r="F112" s="906"/>
      <c r="G112" s="906"/>
      <c r="H112" s="906"/>
      <c r="AA112" s="1089" t="s">
        <v>601</v>
      </c>
    </row>
    <row r="113" spans="1:27" ht="17.149999999999999" customHeight="1" x14ac:dyDescent="0.35">
      <c r="A113" s="544"/>
      <c r="B113" s="544"/>
      <c r="C113" s="572"/>
      <c r="E113" s="544"/>
      <c r="F113" s="544"/>
      <c r="G113" s="544"/>
      <c r="H113" s="544"/>
    </row>
    <row r="114" spans="1:27" ht="17.149999999999999" customHeight="1" x14ac:dyDescent="0.35">
      <c r="A114" s="544"/>
      <c r="B114" s="544"/>
      <c r="C114" s="572"/>
      <c r="E114" s="544"/>
      <c r="F114" s="544"/>
      <c r="G114" s="544"/>
      <c r="H114" s="544"/>
    </row>
    <row r="115" spans="1:27" ht="17.149999999999999" customHeight="1" x14ac:dyDescent="0.35">
      <c r="A115" s="544"/>
      <c r="B115" s="687" t="s">
        <v>724</v>
      </c>
      <c r="C115" s="688"/>
      <c r="D115" s="478"/>
      <c r="E115" s="688" t="s">
        <v>521</v>
      </c>
      <c r="F115" s="689"/>
      <c r="G115" s="689"/>
      <c r="H115" s="544"/>
    </row>
    <row r="116" spans="1:27" ht="28" customHeight="1" x14ac:dyDescent="0.35">
      <c r="A116" s="544"/>
      <c r="B116" s="1484" t="s">
        <v>594</v>
      </c>
      <c r="C116" s="597" t="s">
        <v>374</v>
      </c>
      <c r="D116" s="572"/>
      <c r="E116" s="594" t="s">
        <v>685</v>
      </c>
      <c r="F116" s="594" t="s">
        <v>712</v>
      </c>
      <c r="G116" s="553" t="s">
        <v>599</v>
      </c>
      <c r="H116" s="544"/>
    </row>
    <row r="117" spans="1:27" ht="31" x14ac:dyDescent="0.35">
      <c r="A117" s="544"/>
      <c r="B117" s="598" t="s">
        <v>713</v>
      </c>
      <c r="C117" s="881"/>
      <c r="D117" s="478"/>
      <c r="E117" s="906"/>
      <c r="F117" s="906"/>
      <c r="G117" s="906"/>
      <c r="H117" s="544"/>
      <c r="AA117" s="1089" t="s">
        <v>601</v>
      </c>
    </row>
    <row r="118" spans="1:27" ht="31" x14ac:dyDescent="0.35">
      <c r="A118" s="544"/>
      <c r="B118" s="598" t="s">
        <v>687</v>
      </c>
      <c r="C118" s="881">
        <v>1</v>
      </c>
      <c r="D118" s="478"/>
      <c r="E118" s="906"/>
      <c r="F118" s="906"/>
      <c r="G118" s="906"/>
      <c r="H118" s="544"/>
      <c r="AA118" s="1089" t="s">
        <v>601</v>
      </c>
    </row>
    <row r="119" spans="1:27" ht="31" x14ac:dyDescent="0.35">
      <c r="A119" s="544"/>
      <c r="B119" s="598" t="s">
        <v>688</v>
      </c>
      <c r="C119" s="881">
        <v>1</v>
      </c>
      <c r="D119" s="478"/>
      <c r="E119" s="906"/>
      <c r="F119" s="906"/>
      <c r="G119" s="906"/>
      <c r="H119" s="544"/>
      <c r="AA119" s="1089" t="s">
        <v>601</v>
      </c>
    </row>
    <row r="120" spans="1:27" ht="31" x14ac:dyDescent="0.35">
      <c r="A120" s="544"/>
      <c r="B120" s="598" t="s">
        <v>689</v>
      </c>
      <c r="C120" s="881"/>
      <c r="D120" s="478"/>
      <c r="E120" s="906"/>
      <c r="F120" s="906"/>
      <c r="G120" s="906"/>
      <c r="H120" s="544"/>
      <c r="AA120" s="1089" t="s">
        <v>601</v>
      </c>
    </row>
    <row r="121" spans="1:27" ht="17.149999999999999" customHeight="1" x14ac:dyDescent="0.35">
      <c r="A121" s="544"/>
      <c r="B121" s="544"/>
      <c r="C121" s="572"/>
      <c r="E121" s="544"/>
      <c r="F121" s="544"/>
      <c r="G121" s="544"/>
      <c r="H121" s="544"/>
    </row>
    <row r="122" spans="1:27" ht="17.149999999999999" customHeight="1" x14ac:dyDescent="0.35">
      <c r="A122" s="544"/>
      <c r="B122" s="544"/>
      <c r="C122" s="572"/>
      <c r="E122" s="544"/>
      <c r="F122" s="544"/>
      <c r="G122" s="544"/>
      <c r="H122" s="544"/>
    </row>
    <row r="123" spans="1:27" ht="17.149999999999999" customHeight="1" x14ac:dyDescent="0.35">
      <c r="A123" s="544"/>
      <c r="B123" s="687" t="s">
        <v>725</v>
      </c>
      <c r="C123" s="688"/>
      <c r="D123" s="478"/>
      <c r="E123" s="688" t="s">
        <v>521</v>
      </c>
      <c r="F123" s="689"/>
      <c r="G123" s="689"/>
      <c r="H123" s="544"/>
    </row>
    <row r="124" spans="1:27" ht="28" customHeight="1" x14ac:dyDescent="0.35">
      <c r="A124" s="544"/>
      <c r="B124" s="1484" t="s">
        <v>594</v>
      </c>
      <c r="C124" s="597" t="s">
        <v>374</v>
      </c>
      <c r="D124" s="572"/>
      <c r="E124" s="594" t="s">
        <v>685</v>
      </c>
      <c r="F124" s="594" t="s">
        <v>712</v>
      </c>
      <c r="G124" s="553" t="s">
        <v>599</v>
      </c>
      <c r="H124" s="544"/>
    </row>
    <row r="125" spans="1:27" ht="31" x14ac:dyDescent="0.35">
      <c r="A125" s="544"/>
      <c r="B125" s="598" t="s">
        <v>713</v>
      </c>
      <c r="C125" s="881"/>
      <c r="D125" s="478"/>
      <c r="E125" s="906"/>
      <c r="F125" s="906"/>
      <c r="G125" s="906"/>
      <c r="H125" s="544"/>
      <c r="AA125" s="1089" t="s">
        <v>601</v>
      </c>
    </row>
    <row r="126" spans="1:27" ht="31" x14ac:dyDescent="0.35">
      <c r="A126" s="544"/>
      <c r="B126" s="598" t="s">
        <v>687</v>
      </c>
      <c r="C126" s="881">
        <v>1</v>
      </c>
      <c r="D126" s="478"/>
      <c r="E126" s="906"/>
      <c r="F126" s="906"/>
      <c r="G126" s="906"/>
      <c r="H126" s="544"/>
      <c r="AA126" s="1089" t="s">
        <v>601</v>
      </c>
    </row>
    <row r="127" spans="1:27" ht="31" x14ac:dyDescent="0.35">
      <c r="A127" s="544"/>
      <c r="B127" s="598" t="s">
        <v>688</v>
      </c>
      <c r="C127" s="881">
        <v>1</v>
      </c>
      <c r="D127" s="478"/>
      <c r="E127" s="906"/>
      <c r="F127" s="906"/>
      <c r="G127" s="906"/>
      <c r="H127" s="544"/>
      <c r="AA127" s="1089" t="s">
        <v>601</v>
      </c>
    </row>
    <row r="128" spans="1:27" ht="31" x14ac:dyDescent="0.35">
      <c r="A128" s="544"/>
      <c r="B128" s="598" t="s">
        <v>689</v>
      </c>
      <c r="C128" s="881"/>
      <c r="D128" s="478"/>
      <c r="E128" s="906"/>
      <c r="F128" s="906"/>
      <c r="G128" s="906"/>
      <c r="H128" s="544"/>
      <c r="AA128" s="1089" t="s">
        <v>601</v>
      </c>
    </row>
    <row r="129" spans="1:8" x14ac:dyDescent="0.35">
      <c r="A129" s="544"/>
      <c r="B129" s="544"/>
      <c r="C129" s="572"/>
      <c r="E129" s="544"/>
      <c r="F129" s="544"/>
      <c r="G129" s="544"/>
      <c r="H129" s="544"/>
    </row>
    <row r="130" spans="1:8" x14ac:dyDescent="0.35">
      <c r="A130" s="544"/>
      <c r="B130" s="544"/>
      <c r="C130" s="572"/>
      <c r="E130" s="544"/>
      <c r="F130" s="544"/>
      <c r="G130" s="544"/>
      <c r="H130" s="544"/>
    </row>
    <row r="131" spans="1:8" x14ac:dyDescent="0.35">
      <c r="A131" s="544"/>
      <c r="B131" s="544"/>
      <c r="C131" s="572"/>
      <c r="E131" s="544"/>
      <c r="F131" s="544"/>
      <c r="G131" s="544"/>
      <c r="H131" s="544"/>
    </row>
    <row r="132" spans="1:8" x14ac:dyDescent="0.35">
      <c r="A132" s="544"/>
      <c r="B132" s="544"/>
      <c r="C132" s="572"/>
      <c r="E132" s="544"/>
      <c r="F132" s="544"/>
      <c r="G132" s="544"/>
      <c r="H132" s="544"/>
    </row>
    <row r="133" spans="1:8" x14ac:dyDescent="0.35">
      <c r="A133" s="544"/>
      <c r="B133" s="544"/>
      <c r="C133" s="572"/>
      <c r="E133" s="544"/>
      <c r="F133" s="544"/>
      <c r="G133" s="544"/>
      <c r="H133" s="544"/>
    </row>
    <row r="134" spans="1:8" x14ac:dyDescent="0.35">
      <c r="A134" s="544"/>
      <c r="B134" s="544"/>
      <c r="C134" s="572"/>
      <c r="E134" s="544"/>
      <c r="F134" s="544"/>
      <c r="G134" s="544"/>
      <c r="H134" s="544"/>
    </row>
    <row r="135" spans="1:8" x14ac:dyDescent="0.35">
      <c r="A135" s="544"/>
      <c r="B135" s="544"/>
      <c r="C135" s="572"/>
      <c r="E135" s="544"/>
      <c r="F135" s="544"/>
      <c r="G135" s="544"/>
      <c r="H135" s="544"/>
    </row>
    <row r="136" spans="1:8" x14ac:dyDescent="0.35">
      <c r="A136" s="544"/>
      <c r="B136" s="544"/>
      <c r="C136" s="572"/>
      <c r="E136" s="544"/>
      <c r="F136" s="544"/>
      <c r="G136" s="544"/>
      <c r="H136" s="544"/>
    </row>
    <row r="137" spans="1:8" x14ac:dyDescent="0.35">
      <c r="A137" s="544"/>
      <c r="B137" s="544"/>
      <c r="C137" s="572"/>
      <c r="E137" s="544"/>
      <c r="F137" s="544"/>
      <c r="G137" s="544"/>
      <c r="H137" s="544"/>
    </row>
    <row r="138" spans="1:8" x14ac:dyDescent="0.35">
      <c r="A138" s="544"/>
      <c r="B138" s="544"/>
      <c r="C138" s="572"/>
      <c r="E138" s="544"/>
      <c r="F138" s="544"/>
      <c r="G138" s="544"/>
      <c r="H138" s="544"/>
    </row>
    <row r="139" spans="1:8" x14ac:dyDescent="0.35">
      <c r="A139" s="544"/>
      <c r="B139" s="544"/>
      <c r="C139" s="572"/>
      <c r="E139" s="544"/>
      <c r="F139" s="544"/>
      <c r="G139" s="544"/>
      <c r="H139" s="544"/>
    </row>
    <row r="140" spans="1:8" x14ac:dyDescent="0.35">
      <c r="A140" s="544"/>
      <c r="B140" s="544"/>
      <c r="C140" s="572"/>
      <c r="E140" s="544"/>
      <c r="F140" s="544"/>
      <c r="G140" s="544"/>
      <c r="H140" s="544"/>
    </row>
    <row r="141" spans="1:8" x14ac:dyDescent="0.35">
      <c r="A141" s="544"/>
      <c r="B141" s="544"/>
      <c r="C141" s="572"/>
      <c r="E141" s="544"/>
      <c r="F141" s="544"/>
      <c r="G141" s="544"/>
      <c r="H141" s="544"/>
    </row>
    <row r="142" spans="1:8" x14ac:dyDescent="0.35">
      <c r="A142" s="544"/>
      <c r="B142" s="544"/>
      <c r="C142" s="572"/>
      <c r="E142" s="544"/>
      <c r="F142" s="544"/>
      <c r="G142" s="544"/>
      <c r="H142" s="544"/>
    </row>
    <row r="143" spans="1:8" x14ac:dyDescent="0.35">
      <c r="A143" s="544"/>
      <c r="B143" s="544"/>
      <c r="C143" s="572"/>
      <c r="E143" s="544"/>
      <c r="F143" s="544"/>
      <c r="G143" s="544"/>
      <c r="H143" s="544"/>
    </row>
    <row r="144" spans="1:8" x14ac:dyDescent="0.35">
      <c r="A144" s="544"/>
      <c r="B144" s="544"/>
      <c r="C144" s="572"/>
      <c r="E144" s="544"/>
      <c r="F144" s="544"/>
      <c r="G144" s="544"/>
      <c r="H144" s="544"/>
    </row>
    <row r="145" spans="1:8" x14ac:dyDescent="0.35">
      <c r="A145" s="544"/>
      <c r="B145" s="544"/>
      <c r="C145" s="572"/>
      <c r="E145" s="544"/>
      <c r="F145" s="544"/>
      <c r="G145" s="544"/>
      <c r="H145" s="544"/>
    </row>
    <row r="146" spans="1:8" x14ac:dyDescent="0.35">
      <c r="A146" s="544"/>
      <c r="B146" s="544"/>
      <c r="C146" s="572"/>
      <c r="E146" s="544"/>
      <c r="F146" s="544"/>
      <c r="G146" s="544"/>
      <c r="H146" s="544"/>
    </row>
    <row r="147" spans="1:8" x14ac:dyDescent="0.35">
      <c r="A147" s="544"/>
      <c r="B147" s="544"/>
      <c r="C147" s="572"/>
      <c r="E147" s="544"/>
      <c r="F147" s="544"/>
      <c r="G147" s="544"/>
      <c r="H147" s="544"/>
    </row>
    <row r="148" spans="1:8" x14ac:dyDescent="0.35">
      <c r="A148" s="544"/>
      <c r="B148" s="544"/>
      <c r="C148" s="572"/>
      <c r="E148" s="544"/>
      <c r="F148" s="544"/>
      <c r="G148" s="544"/>
      <c r="H148" s="544"/>
    </row>
    <row r="149" spans="1:8" x14ac:dyDescent="0.35">
      <c r="A149" s="544"/>
      <c r="B149" s="544"/>
      <c r="C149" s="572"/>
      <c r="E149" s="544"/>
      <c r="F149" s="544"/>
      <c r="G149" s="544"/>
      <c r="H149" s="544"/>
    </row>
    <row r="150" spans="1:8" x14ac:dyDescent="0.35">
      <c r="A150" s="544"/>
      <c r="B150" s="544"/>
      <c r="C150" s="572"/>
      <c r="E150" s="544"/>
      <c r="F150" s="544"/>
      <c r="G150" s="544"/>
      <c r="H150" s="544"/>
    </row>
    <row r="151" spans="1:8" x14ac:dyDescent="0.35">
      <c r="A151" s="544"/>
      <c r="B151" s="544"/>
      <c r="C151" s="572"/>
      <c r="E151" s="544"/>
      <c r="F151" s="544"/>
      <c r="G151" s="544"/>
      <c r="H151" s="544"/>
    </row>
    <row r="152" spans="1:8" x14ac:dyDescent="0.35">
      <c r="A152" s="544"/>
      <c r="B152" s="544"/>
      <c r="C152" s="572"/>
      <c r="E152" s="544"/>
      <c r="F152" s="544"/>
      <c r="G152" s="544"/>
      <c r="H152" s="544"/>
    </row>
    <row r="153" spans="1:8" x14ac:dyDescent="0.35">
      <c r="A153" s="544"/>
      <c r="B153" s="544"/>
      <c r="C153" s="572"/>
      <c r="E153" s="544"/>
      <c r="F153" s="544"/>
      <c r="G153" s="544"/>
      <c r="H153" s="544"/>
    </row>
    <row r="154" spans="1:8" x14ac:dyDescent="0.35">
      <c r="A154" s="544"/>
      <c r="B154" s="544"/>
      <c r="C154" s="572"/>
      <c r="E154" s="544"/>
      <c r="F154" s="544"/>
      <c r="G154" s="544"/>
      <c r="H154" s="544"/>
    </row>
    <row r="155" spans="1:8" x14ac:dyDescent="0.35">
      <c r="A155" s="544"/>
      <c r="B155" s="544"/>
      <c r="C155" s="572"/>
      <c r="E155" s="544"/>
      <c r="F155" s="544"/>
      <c r="G155" s="544"/>
      <c r="H155" s="544"/>
    </row>
    <row r="156" spans="1:8" x14ac:dyDescent="0.35">
      <c r="A156" s="544"/>
      <c r="B156" s="544"/>
      <c r="C156" s="572"/>
      <c r="E156" s="544"/>
      <c r="F156" s="544"/>
      <c r="G156" s="544"/>
      <c r="H156" s="544"/>
    </row>
    <row r="157" spans="1:8" x14ac:dyDescent="0.35">
      <c r="A157" s="544"/>
      <c r="B157" s="544"/>
      <c r="C157" s="572"/>
      <c r="E157" s="544"/>
      <c r="F157" s="544"/>
      <c r="G157" s="544"/>
      <c r="H157" s="544"/>
    </row>
    <row r="158" spans="1:8" x14ac:dyDescent="0.35">
      <c r="A158" s="544"/>
      <c r="B158" s="544"/>
      <c r="C158" s="572"/>
      <c r="E158" s="544"/>
      <c r="F158" s="544"/>
      <c r="G158" s="544"/>
      <c r="H158" s="544"/>
    </row>
    <row r="159" spans="1:8" x14ac:dyDescent="0.35">
      <c r="A159" s="544"/>
      <c r="B159" s="544"/>
      <c r="C159" s="572"/>
      <c r="E159" s="544"/>
      <c r="F159" s="544"/>
      <c r="G159" s="544"/>
      <c r="H159" s="544"/>
    </row>
    <row r="160" spans="1:8" x14ac:dyDescent="0.35">
      <c r="A160" s="544"/>
      <c r="B160" s="544"/>
      <c r="C160" s="572"/>
      <c r="E160" s="544"/>
      <c r="F160" s="544"/>
      <c r="G160" s="544"/>
      <c r="H160" s="544"/>
    </row>
    <row r="161" spans="1:8" x14ac:dyDescent="0.35">
      <c r="A161" s="544"/>
      <c r="B161" s="544"/>
      <c r="C161" s="572"/>
      <c r="E161" s="544"/>
      <c r="F161" s="544"/>
      <c r="G161" s="544"/>
      <c r="H161" s="544"/>
    </row>
    <row r="162" spans="1:8" x14ac:dyDescent="0.35">
      <c r="A162" s="544"/>
      <c r="B162" s="544"/>
      <c r="C162" s="572"/>
      <c r="E162" s="544"/>
      <c r="F162" s="544"/>
      <c r="G162" s="544"/>
      <c r="H162" s="544"/>
    </row>
    <row r="163" spans="1:8" x14ac:dyDescent="0.35">
      <c r="A163" s="544"/>
      <c r="B163" s="544"/>
      <c r="C163" s="572"/>
      <c r="E163" s="544"/>
      <c r="F163" s="544"/>
      <c r="G163" s="544"/>
      <c r="H163" s="544"/>
    </row>
    <row r="164" spans="1:8" x14ac:dyDescent="0.35">
      <c r="A164" s="544"/>
      <c r="B164" s="544"/>
      <c r="C164" s="572"/>
      <c r="E164" s="544"/>
      <c r="F164" s="544"/>
      <c r="G164" s="544"/>
      <c r="H164" s="544"/>
    </row>
    <row r="165" spans="1:8" x14ac:dyDescent="0.35">
      <c r="A165" s="544"/>
      <c r="B165" s="544"/>
      <c r="C165" s="572"/>
      <c r="E165" s="544"/>
      <c r="F165" s="544"/>
      <c r="G165" s="544"/>
      <c r="H165" s="544"/>
    </row>
    <row r="166" spans="1:8" x14ac:dyDescent="0.35">
      <c r="A166" s="544"/>
      <c r="B166" s="544"/>
      <c r="C166" s="572"/>
      <c r="E166" s="544"/>
      <c r="F166" s="544"/>
      <c r="G166" s="544"/>
      <c r="H166" s="544"/>
    </row>
    <row r="167" spans="1:8" x14ac:dyDescent="0.35">
      <c r="A167" s="544"/>
      <c r="B167" s="544"/>
      <c r="C167" s="572"/>
      <c r="E167" s="544"/>
      <c r="F167" s="544"/>
      <c r="G167" s="544"/>
      <c r="H167" s="544"/>
    </row>
    <row r="168" spans="1:8" x14ac:dyDescent="0.35">
      <c r="A168" s="544"/>
      <c r="B168" s="544"/>
      <c r="C168" s="572"/>
      <c r="E168" s="544"/>
      <c r="F168" s="544"/>
      <c r="G168" s="544"/>
      <c r="H168" s="544"/>
    </row>
    <row r="169" spans="1:8" x14ac:dyDescent="0.35">
      <c r="A169" s="544"/>
      <c r="B169" s="544"/>
      <c r="C169" s="572"/>
      <c r="E169" s="544"/>
      <c r="F169" s="544"/>
      <c r="G169" s="544"/>
      <c r="H169" s="544"/>
    </row>
    <row r="170" spans="1:8" x14ac:dyDescent="0.35">
      <c r="A170" s="544"/>
      <c r="B170" s="544"/>
      <c r="C170" s="572"/>
      <c r="E170" s="544"/>
      <c r="F170" s="544"/>
      <c r="G170" s="544"/>
      <c r="H170" s="544"/>
    </row>
    <row r="171" spans="1:8" x14ac:dyDescent="0.35">
      <c r="A171" s="544"/>
      <c r="B171" s="544"/>
      <c r="C171" s="572"/>
      <c r="E171" s="544"/>
      <c r="F171" s="544"/>
      <c r="G171" s="544"/>
      <c r="H171" s="544"/>
    </row>
    <row r="172" spans="1:8" x14ac:dyDescent="0.35">
      <c r="A172" s="544"/>
      <c r="B172" s="544"/>
      <c r="C172" s="572"/>
      <c r="E172" s="544"/>
      <c r="F172" s="544"/>
      <c r="G172" s="544"/>
      <c r="H172" s="544"/>
    </row>
    <row r="173" spans="1:8" x14ac:dyDescent="0.35">
      <c r="A173" s="544"/>
      <c r="B173" s="544"/>
      <c r="C173" s="572"/>
      <c r="E173" s="544"/>
      <c r="F173" s="544"/>
      <c r="G173" s="544"/>
      <c r="H173" s="544"/>
    </row>
    <row r="174" spans="1:8" x14ac:dyDescent="0.35">
      <c r="A174" s="544"/>
      <c r="B174" s="544"/>
      <c r="C174" s="572"/>
      <c r="E174" s="544"/>
      <c r="F174" s="544"/>
      <c r="G174" s="544"/>
      <c r="H174" s="544"/>
    </row>
    <row r="175" spans="1:8" x14ac:dyDescent="0.35">
      <c r="A175" s="544"/>
      <c r="B175" s="544"/>
      <c r="C175" s="572"/>
      <c r="E175" s="544"/>
      <c r="F175" s="544"/>
      <c r="G175" s="544"/>
      <c r="H175" s="544"/>
    </row>
    <row r="176" spans="1:8" x14ac:dyDescent="0.35">
      <c r="A176" s="544"/>
      <c r="B176" s="544"/>
      <c r="C176" s="572"/>
      <c r="E176" s="544"/>
      <c r="F176" s="544"/>
      <c r="G176" s="544"/>
      <c r="H176" s="544"/>
    </row>
    <row r="177" spans="1:8" x14ac:dyDescent="0.35">
      <c r="A177" s="544"/>
      <c r="B177" s="544"/>
      <c r="C177" s="572"/>
      <c r="E177" s="544"/>
      <c r="F177" s="544"/>
      <c r="G177" s="544"/>
      <c r="H177" s="544"/>
    </row>
    <row r="178" spans="1:8" x14ac:dyDescent="0.35">
      <c r="A178" s="544"/>
      <c r="B178" s="544"/>
      <c r="C178" s="572"/>
      <c r="E178" s="544"/>
      <c r="F178" s="544"/>
      <c r="G178" s="544"/>
      <c r="H178" s="544"/>
    </row>
    <row r="179" spans="1:8" x14ac:dyDescent="0.35">
      <c r="A179" s="544"/>
      <c r="B179" s="544"/>
      <c r="C179" s="572"/>
      <c r="E179" s="544"/>
      <c r="F179" s="544"/>
      <c r="G179" s="544"/>
      <c r="H179" s="544"/>
    </row>
    <row r="180" spans="1:8" x14ac:dyDescent="0.35">
      <c r="A180" s="544"/>
      <c r="B180" s="544"/>
      <c r="C180" s="572"/>
      <c r="E180" s="544"/>
      <c r="F180" s="544"/>
      <c r="G180" s="544"/>
      <c r="H180" s="544"/>
    </row>
    <row r="181" spans="1:8" x14ac:dyDescent="0.35">
      <c r="A181" s="544"/>
      <c r="B181" s="544"/>
      <c r="C181" s="572"/>
      <c r="E181" s="544"/>
      <c r="F181" s="544"/>
      <c r="G181" s="544"/>
      <c r="H181" s="544"/>
    </row>
    <row r="182" spans="1:8" x14ac:dyDescent="0.35">
      <c r="A182" s="544"/>
      <c r="B182" s="544"/>
      <c r="C182" s="572"/>
      <c r="E182" s="544"/>
      <c r="F182" s="544"/>
      <c r="G182" s="544"/>
      <c r="H182" s="544"/>
    </row>
    <row r="183" spans="1:8" x14ac:dyDescent="0.35">
      <c r="A183" s="544"/>
      <c r="B183" s="544"/>
      <c r="C183" s="572"/>
      <c r="E183" s="544"/>
      <c r="F183" s="544"/>
      <c r="G183" s="544"/>
      <c r="H183" s="544"/>
    </row>
    <row r="184" spans="1:8" x14ac:dyDescent="0.35">
      <c r="A184" s="544"/>
      <c r="B184" s="544"/>
      <c r="C184" s="572"/>
      <c r="E184" s="544"/>
      <c r="F184" s="544"/>
      <c r="G184" s="544"/>
      <c r="H184" s="544"/>
    </row>
    <row r="185" spans="1:8" x14ac:dyDescent="0.35">
      <c r="A185" s="544"/>
      <c r="B185" s="544"/>
      <c r="C185" s="572"/>
      <c r="E185" s="544"/>
      <c r="F185" s="544"/>
      <c r="G185" s="544"/>
      <c r="H185" s="544"/>
    </row>
    <row r="186" spans="1:8" x14ac:dyDescent="0.35">
      <c r="A186" s="544"/>
      <c r="B186" s="544"/>
      <c r="C186" s="572"/>
      <c r="E186" s="544"/>
      <c r="F186" s="544"/>
      <c r="G186" s="544"/>
      <c r="H186" s="544"/>
    </row>
    <row r="187" spans="1:8" x14ac:dyDescent="0.35">
      <c r="A187" s="544"/>
      <c r="B187" s="544"/>
      <c r="C187" s="572"/>
      <c r="E187" s="544"/>
      <c r="F187" s="544"/>
      <c r="G187" s="544"/>
      <c r="H187" s="544"/>
    </row>
    <row r="188" spans="1:8" x14ac:dyDescent="0.35">
      <c r="A188" s="544"/>
      <c r="B188" s="544"/>
      <c r="C188" s="572"/>
      <c r="E188" s="544"/>
      <c r="F188" s="544"/>
      <c r="G188" s="544"/>
      <c r="H188" s="544"/>
    </row>
    <row r="189" spans="1:8" x14ac:dyDescent="0.35">
      <c r="A189" s="544"/>
      <c r="B189" s="544"/>
      <c r="C189" s="572"/>
      <c r="E189" s="544"/>
      <c r="F189" s="544"/>
      <c r="G189" s="544"/>
      <c r="H189" s="544"/>
    </row>
    <row r="190" spans="1:8" x14ac:dyDescent="0.35">
      <c r="A190" s="544"/>
      <c r="B190" s="544"/>
      <c r="C190" s="572"/>
      <c r="E190" s="544"/>
      <c r="F190" s="544"/>
      <c r="G190" s="544"/>
      <c r="H190" s="544"/>
    </row>
    <row r="191" spans="1:8" x14ac:dyDescent="0.35">
      <c r="A191" s="544"/>
      <c r="B191" s="544"/>
      <c r="C191" s="572"/>
      <c r="E191" s="544"/>
      <c r="F191" s="544"/>
      <c r="G191" s="544"/>
      <c r="H191" s="544"/>
    </row>
    <row r="192" spans="1:8" x14ac:dyDescent="0.35">
      <c r="A192" s="544"/>
      <c r="B192" s="544"/>
      <c r="C192" s="572"/>
      <c r="E192" s="544"/>
      <c r="F192" s="544"/>
      <c r="G192" s="544"/>
      <c r="H192" s="544"/>
    </row>
    <row r="193" spans="1:8" x14ac:dyDescent="0.35">
      <c r="A193" s="544"/>
      <c r="B193" s="544"/>
      <c r="C193" s="572"/>
      <c r="E193" s="544"/>
      <c r="F193" s="544"/>
      <c r="G193" s="544"/>
      <c r="H193" s="544"/>
    </row>
    <row r="194" spans="1:8" x14ac:dyDescent="0.35">
      <c r="A194" s="544"/>
      <c r="B194" s="544"/>
      <c r="C194" s="572"/>
      <c r="E194" s="544"/>
      <c r="F194" s="544"/>
      <c r="G194" s="544"/>
      <c r="H194" s="544"/>
    </row>
    <row r="195" spans="1:8" x14ac:dyDescent="0.35">
      <c r="A195" s="544"/>
      <c r="B195" s="544"/>
      <c r="C195" s="572"/>
      <c r="E195" s="544"/>
      <c r="F195" s="544"/>
      <c r="G195" s="544"/>
      <c r="H195" s="544"/>
    </row>
    <row r="196" spans="1:8" x14ac:dyDescent="0.35">
      <c r="A196" s="544"/>
      <c r="B196" s="544"/>
      <c r="C196" s="572"/>
      <c r="E196" s="544"/>
      <c r="F196" s="544"/>
      <c r="G196" s="544"/>
      <c r="H196" s="544"/>
    </row>
    <row r="197" spans="1:8" x14ac:dyDescent="0.35">
      <c r="A197" s="544"/>
      <c r="B197" s="544"/>
      <c r="C197" s="572"/>
      <c r="E197" s="544"/>
      <c r="F197" s="544"/>
      <c r="G197" s="544"/>
      <c r="H197" s="544"/>
    </row>
    <row r="198" spans="1:8" x14ac:dyDescent="0.35">
      <c r="A198" s="544"/>
      <c r="B198" s="544"/>
      <c r="C198" s="572"/>
      <c r="E198" s="544"/>
      <c r="F198" s="544"/>
      <c r="G198" s="544"/>
      <c r="H198" s="544"/>
    </row>
    <row r="199" spans="1:8" x14ac:dyDescent="0.35">
      <c r="A199" s="544"/>
      <c r="B199" s="544"/>
      <c r="C199" s="572"/>
      <c r="E199" s="544"/>
      <c r="F199" s="544"/>
      <c r="G199" s="544"/>
      <c r="H199" s="544"/>
    </row>
    <row r="200" spans="1:8" x14ac:dyDescent="0.35">
      <c r="A200" s="544"/>
      <c r="B200" s="544"/>
      <c r="C200" s="572"/>
      <c r="E200" s="544"/>
      <c r="F200" s="544"/>
      <c r="G200" s="544"/>
      <c r="H200" s="544"/>
    </row>
    <row r="201" spans="1:8" x14ac:dyDescent="0.35">
      <c r="A201" s="544"/>
      <c r="B201" s="544"/>
      <c r="C201" s="572"/>
      <c r="E201" s="544"/>
      <c r="F201" s="544"/>
      <c r="G201" s="544"/>
      <c r="H201" s="544"/>
    </row>
    <row r="202" spans="1:8" x14ac:dyDescent="0.35">
      <c r="A202" s="544"/>
      <c r="B202" s="544"/>
      <c r="C202" s="572"/>
      <c r="E202" s="544"/>
      <c r="F202" s="544"/>
      <c r="G202" s="544"/>
      <c r="H202" s="544"/>
    </row>
    <row r="203" spans="1:8" x14ac:dyDescent="0.35">
      <c r="A203" s="544"/>
      <c r="B203" s="544"/>
      <c r="C203" s="572"/>
      <c r="E203" s="544"/>
      <c r="F203" s="544"/>
      <c r="G203" s="544"/>
      <c r="H203" s="544"/>
    </row>
    <row r="204" spans="1:8" x14ac:dyDescent="0.35">
      <c r="A204" s="544"/>
      <c r="B204" s="544"/>
      <c r="C204" s="572"/>
      <c r="E204" s="544"/>
      <c r="F204" s="544"/>
      <c r="G204" s="544"/>
      <c r="H204" s="544"/>
    </row>
    <row r="205" spans="1:8" x14ac:dyDescent="0.35">
      <c r="A205" s="544"/>
      <c r="B205" s="544"/>
      <c r="C205" s="572"/>
      <c r="E205" s="544"/>
      <c r="F205" s="544"/>
      <c r="G205" s="544"/>
      <c r="H205" s="544"/>
    </row>
    <row r="206" spans="1:8" x14ac:dyDescent="0.35">
      <c r="A206" s="544"/>
      <c r="B206" s="544"/>
      <c r="C206" s="572"/>
      <c r="E206" s="544"/>
      <c r="F206" s="544"/>
      <c r="G206" s="544"/>
      <c r="H206" s="544"/>
    </row>
    <row r="207" spans="1:8" x14ac:dyDescent="0.35">
      <c r="A207" s="544"/>
      <c r="B207" s="544"/>
      <c r="C207" s="572"/>
      <c r="E207" s="544"/>
      <c r="F207" s="544"/>
      <c r="G207" s="544"/>
      <c r="H207" s="544"/>
    </row>
    <row r="208" spans="1:8" x14ac:dyDescent="0.35">
      <c r="A208" s="544"/>
      <c r="B208" s="544"/>
      <c r="C208" s="572"/>
      <c r="E208" s="544"/>
      <c r="F208" s="544"/>
      <c r="G208" s="544"/>
      <c r="H208" s="544"/>
    </row>
    <row r="209" spans="1:8" x14ac:dyDescent="0.35">
      <c r="A209" s="544"/>
      <c r="B209" s="544"/>
      <c r="C209" s="572"/>
      <c r="E209" s="544"/>
      <c r="F209" s="544"/>
      <c r="G209" s="544"/>
      <c r="H209" s="544"/>
    </row>
    <row r="210" spans="1:8" x14ac:dyDescent="0.35">
      <c r="A210" s="544"/>
      <c r="B210" s="544"/>
      <c r="C210" s="572"/>
      <c r="E210" s="544"/>
      <c r="F210" s="544"/>
      <c r="G210" s="544"/>
      <c r="H210" s="544"/>
    </row>
    <row r="211" spans="1:8" x14ac:dyDescent="0.35">
      <c r="A211" s="544"/>
      <c r="B211" s="544"/>
      <c r="C211" s="572"/>
      <c r="E211" s="544"/>
      <c r="F211" s="544"/>
      <c r="G211" s="544"/>
      <c r="H211" s="544"/>
    </row>
    <row r="212" spans="1:8" x14ac:dyDescent="0.35">
      <c r="A212" s="544"/>
      <c r="B212" s="544"/>
      <c r="C212" s="572"/>
      <c r="E212" s="544"/>
      <c r="F212" s="544"/>
      <c r="G212" s="544"/>
      <c r="H212" s="544"/>
    </row>
    <row r="213" spans="1:8" x14ac:dyDescent="0.35">
      <c r="A213" s="544"/>
      <c r="B213" s="544"/>
      <c r="C213" s="572"/>
      <c r="E213" s="544"/>
      <c r="F213" s="544"/>
      <c r="G213" s="544"/>
      <c r="H213" s="544"/>
    </row>
    <row r="214" spans="1:8" x14ac:dyDescent="0.35">
      <c r="A214" s="544"/>
      <c r="B214" s="544"/>
      <c r="C214" s="572"/>
      <c r="E214" s="544"/>
      <c r="F214" s="544"/>
      <c r="G214" s="544"/>
      <c r="H214" s="544"/>
    </row>
    <row r="215" spans="1:8" x14ac:dyDescent="0.35">
      <c r="A215" s="544"/>
      <c r="B215" s="544"/>
      <c r="C215" s="572"/>
      <c r="E215" s="544"/>
      <c r="F215" s="544"/>
      <c r="G215" s="544"/>
      <c r="H215" s="544"/>
    </row>
    <row r="216" spans="1:8" x14ac:dyDescent="0.35">
      <c r="A216" s="544"/>
      <c r="B216" s="544"/>
      <c r="C216" s="572"/>
      <c r="E216" s="544"/>
      <c r="F216" s="544"/>
      <c r="G216" s="544"/>
      <c r="H216" s="544"/>
    </row>
    <row r="217" spans="1:8" x14ac:dyDescent="0.35">
      <c r="A217" s="544"/>
      <c r="B217" s="544"/>
      <c r="C217" s="572"/>
      <c r="E217" s="544"/>
      <c r="F217" s="544"/>
      <c r="G217" s="544"/>
      <c r="H217" s="544"/>
    </row>
    <row r="218" spans="1:8" x14ac:dyDescent="0.35">
      <c r="A218" s="544"/>
      <c r="B218" s="544"/>
      <c r="C218" s="572"/>
      <c r="E218" s="544"/>
      <c r="F218" s="544"/>
      <c r="G218" s="544"/>
      <c r="H218" s="544"/>
    </row>
    <row r="219" spans="1:8" x14ac:dyDescent="0.35">
      <c r="A219" s="544"/>
      <c r="B219" s="544"/>
      <c r="C219" s="572"/>
      <c r="E219" s="544"/>
      <c r="F219" s="544"/>
      <c r="G219" s="544"/>
      <c r="H219" s="544"/>
    </row>
    <row r="220" spans="1:8" x14ac:dyDescent="0.35">
      <c r="A220" s="544"/>
      <c r="B220" s="544"/>
      <c r="C220" s="572"/>
      <c r="E220" s="544"/>
      <c r="F220" s="544"/>
      <c r="G220" s="544"/>
      <c r="H220" s="544"/>
    </row>
    <row r="221" spans="1:8" x14ac:dyDescent="0.35">
      <c r="A221" s="544"/>
      <c r="B221" s="544"/>
      <c r="C221" s="572"/>
      <c r="E221" s="544"/>
      <c r="F221" s="544"/>
      <c r="G221" s="544"/>
      <c r="H221" s="544"/>
    </row>
    <row r="222" spans="1:8" x14ac:dyDescent="0.35">
      <c r="A222" s="544"/>
      <c r="B222" s="544"/>
      <c r="C222" s="572"/>
      <c r="E222" s="544"/>
      <c r="F222" s="544"/>
      <c r="G222" s="544"/>
      <c r="H222" s="544"/>
    </row>
    <row r="223" spans="1:8" x14ac:dyDescent="0.35">
      <c r="A223" s="544"/>
      <c r="B223" s="544"/>
      <c r="C223" s="572"/>
      <c r="E223" s="544"/>
      <c r="F223" s="544"/>
      <c r="G223" s="544"/>
      <c r="H223" s="544"/>
    </row>
    <row r="224" spans="1:8" x14ac:dyDescent="0.35">
      <c r="A224" s="544"/>
      <c r="B224" s="544"/>
      <c r="C224" s="572"/>
      <c r="E224" s="544"/>
      <c r="F224" s="544"/>
      <c r="G224" s="544"/>
      <c r="H224" s="544"/>
    </row>
    <row r="225" spans="1:8" x14ac:dyDescent="0.35">
      <c r="A225" s="544"/>
      <c r="B225" s="544"/>
      <c r="C225" s="572"/>
      <c r="E225" s="544"/>
      <c r="F225" s="544"/>
      <c r="G225" s="544"/>
      <c r="H225" s="544"/>
    </row>
    <row r="226" spans="1:8" x14ac:dyDescent="0.35">
      <c r="A226" s="544"/>
      <c r="B226" s="544"/>
      <c r="C226" s="572"/>
      <c r="E226" s="544"/>
      <c r="F226" s="544"/>
      <c r="G226" s="544"/>
      <c r="H226" s="544"/>
    </row>
    <row r="227" spans="1:8" x14ac:dyDescent="0.35">
      <c r="A227" s="544"/>
      <c r="B227" s="544"/>
      <c r="C227" s="572"/>
      <c r="E227" s="544"/>
      <c r="F227" s="544"/>
      <c r="G227" s="544"/>
      <c r="H227" s="544"/>
    </row>
    <row r="228" spans="1:8" x14ac:dyDescent="0.35">
      <c r="A228" s="544"/>
      <c r="B228" s="544"/>
      <c r="C228" s="572"/>
      <c r="E228" s="544"/>
      <c r="F228" s="544"/>
      <c r="G228" s="544"/>
      <c r="H228" s="544"/>
    </row>
    <row r="229" spans="1:8" x14ac:dyDescent="0.35">
      <c r="A229" s="544"/>
      <c r="B229" s="544"/>
      <c r="C229" s="572"/>
      <c r="E229" s="544"/>
      <c r="F229" s="544"/>
      <c r="G229" s="544"/>
      <c r="H229" s="544"/>
    </row>
    <row r="230" spans="1:8" x14ac:dyDescent="0.35">
      <c r="A230" s="544"/>
      <c r="B230" s="544"/>
      <c r="C230" s="572"/>
      <c r="E230" s="544"/>
      <c r="F230" s="544"/>
      <c r="G230" s="544"/>
      <c r="H230" s="544"/>
    </row>
    <row r="231" spans="1:8" x14ac:dyDescent="0.35">
      <c r="A231" s="544"/>
      <c r="B231" s="544"/>
      <c r="C231" s="572"/>
      <c r="E231" s="544"/>
      <c r="F231" s="544"/>
      <c r="G231" s="544"/>
      <c r="H231" s="544"/>
    </row>
    <row r="232" spans="1:8" x14ac:dyDescent="0.35">
      <c r="A232" s="544"/>
      <c r="B232" s="544"/>
      <c r="C232" s="572"/>
      <c r="E232" s="544"/>
      <c r="F232" s="544"/>
      <c r="G232" s="544"/>
      <c r="H232" s="544"/>
    </row>
    <row r="233" spans="1:8" x14ac:dyDescent="0.35">
      <c r="A233" s="544"/>
      <c r="B233" s="544"/>
      <c r="C233" s="572"/>
      <c r="E233" s="544"/>
      <c r="F233" s="544"/>
      <c r="G233" s="544"/>
      <c r="H233" s="544"/>
    </row>
    <row r="234" spans="1:8" x14ac:dyDescent="0.35">
      <c r="A234" s="544"/>
      <c r="B234" s="544"/>
      <c r="C234" s="572"/>
      <c r="E234" s="544"/>
      <c r="F234" s="544"/>
      <c r="G234" s="544"/>
      <c r="H234" s="544"/>
    </row>
    <row r="235" spans="1:8" x14ac:dyDescent="0.35">
      <c r="A235" s="544"/>
      <c r="B235" s="544"/>
      <c r="C235" s="572"/>
      <c r="E235" s="544"/>
      <c r="F235" s="544"/>
      <c r="G235" s="544"/>
      <c r="H235" s="544"/>
    </row>
    <row r="236" spans="1:8" x14ac:dyDescent="0.35">
      <c r="A236" s="544"/>
      <c r="B236" s="544"/>
      <c r="C236" s="572"/>
      <c r="E236" s="544"/>
      <c r="F236" s="544"/>
      <c r="G236" s="544"/>
      <c r="H236" s="544"/>
    </row>
    <row r="237" spans="1:8" x14ac:dyDescent="0.35">
      <c r="A237" s="544"/>
      <c r="B237" s="544"/>
      <c r="C237" s="572"/>
      <c r="E237" s="544"/>
      <c r="F237" s="544"/>
      <c r="G237" s="544"/>
      <c r="H237" s="544"/>
    </row>
    <row r="238" spans="1:8" x14ac:dyDescent="0.35">
      <c r="A238" s="544"/>
      <c r="B238" s="544"/>
      <c r="C238" s="572"/>
      <c r="E238" s="544"/>
      <c r="F238" s="544"/>
      <c r="G238" s="544"/>
      <c r="H238" s="544"/>
    </row>
    <row r="239" spans="1:8" x14ac:dyDescent="0.35">
      <c r="A239" s="544"/>
      <c r="B239" s="544"/>
      <c r="C239" s="572"/>
      <c r="E239" s="544"/>
      <c r="F239" s="544"/>
      <c r="G239" s="544"/>
      <c r="H239" s="544"/>
    </row>
    <row r="240" spans="1:8" x14ac:dyDescent="0.35">
      <c r="A240" s="544"/>
      <c r="B240" s="544"/>
      <c r="C240" s="572"/>
      <c r="E240" s="544"/>
      <c r="F240" s="544"/>
      <c r="G240" s="544"/>
      <c r="H240" s="544"/>
    </row>
    <row r="241" spans="1:8" x14ac:dyDescent="0.35">
      <c r="A241" s="544"/>
      <c r="B241" s="544"/>
      <c r="C241" s="572"/>
      <c r="E241" s="544"/>
      <c r="F241" s="544"/>
      <c r="G241" s="544"/>
      <c r="H241" s="544"/>
    </row>
    <row r="242" spans="1:8" x14ac:dyDescent="0.35">
      <c r="A242" s="544"/>
      <c r="B242" s="544"/>
      <c r="C242" s="572"/>
      <c r="E242" s="544"/>
      <c r="F242" s="544"/>
      <c r="G242" s="544"/>
      <c r="H242" s="544"/>
    </row>
    <row r="243" spans="1:8" x14ac:dyDescent="0.35">
      <c r="A243" s="544"/>
      <c r="B243" s="544"/>
      <c r="C243" s="572"/>
      <c r="E243" s="544"/>
      <c r="F243" s="544"/>
      <c r="G243" s="544"/>
      <c r="H243" s="544"/>
    </row>
    <row r="244" spans="1:8" x14ac:dyDescent="0.35">
      <c r="A244" s="544"/>
      <c r="B244" s="544"/>
      <c r="C244" s="572"/>
      <c r="E244" s="544"/>
      <c r="F244" s="544"/>
      <c r="G244" s="544"/>
      <c r="H244" s="544"/>
    </row>
    <row r="245" spans="1:8" x14ac:dyDescent="0.35">
      <c r="A245" s="544"/>
      <c r="B245" s="544"/>
      <c r="C245" s="572"/>
      <c r="E245" s="544"/>
      <c r="F245" s="544"/>
      <c r="G245" s="544"/>
      <c r="H245" s="544"/>
    </row>
    <row r="246" spans="1:8" x14ac:dyDescent="0.35">
      <c r="A246" s="544"/>
      <c r="B246" s="544"/>
      <c r="C246" s="572"/>
      <c r="E246" s="544"/>
      <c r="F246" s="544"/>
      <c r="G246" s="544"/>
      <c r="H246" s="544"/>
    </row>
    <row r="247" spans="1:8" x14ac:dyDescent="0.35">
      <c r="A247" s="544"/>
      <c r="B247" s="544"/>
      <c r="C247" s="572"/>
      <c r="E247" s="544"/>
      <c r="F247" s="544"/>
      <c r="G247" s="544"/>
      <c r="H247" s="544"/>
    </row>
    <row r="248" spans="1:8" x14ac:dyDescent="0.35">
      <c r="A248" s="544"/>
      <c r="B248" s="544"/>
      <c r="C248" s="572"/>
      <c r="E248" s="544"/>
      <c r="F248" s="544"/>
      <c r="G248" s="544"/>
      <c r="H248" s="544"/>
    </row>
    <row r="249" spans="1:8" x14ac:dyDescent="0.35">
      <c r="A249" s="544"/>
      <c r="B249" s="544"/>
      <c r="C249" s="572"/>
      <c r="E249" s="544"/>
      <c r="F249" s="544"/>
      <c r="G249" s="544"/>
      <c r="H249" s="544"/>
    </row>
    <row r="250" spans="1:8" x14ac:dyDescent="0.35">
      <c r="A250" s="544"/>
      <c r="B250" s="544"/>
      <c r="C250" s="572"/>
      <c r="E250" s="544"/>
      <c r="F250" s="544"/>
      <c r="G250" s="544"/>
      <c r="H250" s="544"/>
    </row>
    <row r="251" spans="1:8" x14ac:dyDescent="0.35">
      <c r="A251" s="544"/>
      <c r="B251" s="544"/>
      <c r="C251" s="572"/>
      <c r="E251" s="544"/>
      <c r="F251" s="544"/>
      <c r="G251" s="544"/>
      <c r="H251" s="544"/>
    </row>
    <row r="252" spans="1:8" x14ac:dyDescent="0.35">
      <c r="A252" s="544"/>
      <c r="B252" s="544"/>
      <c r="C252" s="572"/>
      <c r="E252" s="544"/>
      <c r="F252" s="544"/>
      <c r="G252" s="544"/>
      <c r="H252" s="544"/>
    </row>
    <row r="253" spans="1:8" x14ac:dyDescent="0.35">
      <c r="A253" s="544"/>
      <c r="B253" s="544"/>
      <c r="C253" s="572"/>
      <c r="E253" s="544"/>
      <c r="F253" s="544"/>
      <c r="G253" s="544"/>
      <c r="H253" s="544"/>
    </row>
    <row r="254" spans="1:8" x14ac:dyDescent="0.35">
      <c r="A254" s="544"/>
      <c r="B254" s="544"/>
      <c r="C254" s="572"/>
      <c r="E254" s="544"/>
      <c r="F254" s="544"/>
      <c r="G254" s="544"/>
      <c r="H254" s="544"/>
    </row>
    <row r="255" spans="1:8" x14ac:dyDescent="0.35">
      <c r="A255" s="544"/>
      <c r="B255" s="544"/>
      <c r="C255" s="572"/>
      <c r="E255" s="544"/>
      <c r="F255" s="544"/>
      <c r="G255" s="544"/>
      <c r="H255" s="544"/>
    </row>
    <row r="256" spans="1:8" x14ac:dyDescent="0.35">
      <c r="A256" s="544"/>
      <c r="B256" s="544"/>
      <c r="C256" s="572"/>
      <c r="E256" s="544"/>
      <c r="F256" s="544"/>
      <c r="G256" s="544"/>
      <c r="H256" s="544"/>
    </row>
    <row r="257" spans="1:8" x14ac:dyDescent="0.35">
      <c r="A257" s="544"/>
      <c r="B257" s="544"/>
      <c r="C257" s="572"/>
      <c r="E257" s="544"/>
      <c r="F257" s="544"/>
      <c r="G257" s="544"/>
      <c r="H257" s="544"/>
    </row>
    <row r="258" spans="1:8" x14ac:dyDescent="0.35">
      <c r="A258" s="544"/>
      <c r="B258" s="544"/>
      <c r="C258" s="572"/>
      <c r="E258" s="544"/>
      <c r="F258" s="544"/>
      <c r="G258" s="544"/>
      <c r="H258" s="544"/>
    </row>
    <row r="259" spans="1:8" x14ac:dyDescent="0.35">
      <c r="A259" s="544"/>
      <c r="B259" s="544"/>
      <c r="C259" s="572"/>
      <c r="E259" s="544"/>
      <c r="F259" s="544"/>
      <c r="G259" s="544"/>
      <c r="H259" s="544"/>
    </row>
    <row r="260" spans="1:8" x14ac:dyDescent="0.35">
      <c r="A260" s="544"/>
      <c r="B260" s="544"/>
      <c r="C260" s="572"/>
      <c r="E260" s="544"/>
      <c r="F260" s="544"/>
      <c r="G260" s="544"/>
      <c r="H260" s="544"/>
    </row>
    <row r="261" spans="1:8" x14ac:dyDescent="0.35">
      <c r="A261" s="544"/>
      <c r="B261" s="544"/>
      <c r="C261" s="572"/>
      <c r="E261" s="544"/>
      <c r="F261" s="544"/>
      <c r="G261" s="544"/>
      <c r="H261" s="544"/>
    </row>
    <row r="262" spans="1:8" x14ac:dyDescent="0.35">
      <c r="A262" s="544"/>
      <c r="B262" s="544"/>
      <c r="C262" s="572"/>
      <c r="E262" s="544"/>
      <c r="F262" s="544"/>
      <c r="G262" s="544"/>
      <c r="H262" s="544"/>
    </row>
    <row r="263" spans="1:8" x14ac:dyDescent="0.35">
      <c r="A263" s="544"/>
      <c r="B263" s="544"/>
      <c r="C263" s="572"/>
      <c r="E263" s="544"/>
      <c r="F263" s="544"/>
      <c r="G263" s="544"/>
      <c r="H263" s="544"/>
    </row>
    <row r="264" spans="1:8" x14ac:dyDescent="0.35">
      <c r="A264" s="544"/>
      <c r="B264" s="544"/>
      <c r="C264" s="572"/>
      <c r="E264" s="544"/>
      <c r="F264" s="544"/>
      <c r="G264" s="544"/>
      <c r="H264" s="544"/>
    </row>
    <row r="265" spans="1:8" x14ac:dyDescent="0.35">
      <c r="A265" s="544"/>
      <c r="B265" s="544"/>
      <c r="C265" s="572"/>
      <c r="E265" s="544"/>
      <c r="F265" s="544"/>
      <c r="G265" s="544"/>
      <c r="H265" s="544"/>
    </row>
    <row r="266" spans="1:8" x14ac:dyDescent="0.35">
      <c r="A266" s="544"/>
      <c r="B266" s="544"/>
      <c r="C266" s="572"/>
      <c r="E266" s="544"/>
      <c r="F266" s="544"/>
      <c r="G266" s="544"/>
      <c r="H266" s="544"/>
    </row>
    <row r="267" spans="1:8" x14ac:dyDescent="0.35">
      <c r="A267" s="544"/>
      <c r="B267" s="544"/>
      <c r="C267" s="572"/>
      <c r="E267" s="544"/>
      <c r="F267" s="544"/>
      <c r="G267" s="544"/>
      <c r="H267" s="544"/>
    </row>
    <row r="268" spans="1:8" x14ac:dyDescent="0.35">
      <c r="A268" s="544"/>
      <c r="B268" s="544"/>
      <c r="C268" s="572"/>
      <c r="E268" s="544"/>
      <c r="F268" s="544"/>
      <c r="G268" s="544"/>
      <c r="H268" s="544"/>
    </row>
    <row r="269" spans="1:8" x14ac:dyDescent="0.35">
      <c r="A269" s="544"/>
      <c r="B269" s="544"/>
      <c r="C269" s="572"/>
      <c r="E269" s="544"/>
      <c r="F269" s="544"/>
      <c r="G269" s="544"/>
      <c r="H269" s="544"/>
    </row>
    <row r="270" spans="1:8" x14ac:dyDescent="0.35">
      <c r="A270" s="544"/>
      <c r="B270" s="544"/>
      <c r="C270" s="572"/>
      <c r="E270" s="544"/>
      <c r="F270" s="544"/>
      <c r="G270" s="544"/>
      <c r="H270" s="544"/>
    </row>
    <row r="271" spans="1:8" x14ac:dyDescent="0.35">
      <c r="A271" s="544"/>
      <c r="B271" s="544"/>
      <c r="C271" s="572"/>
      <c r="E271" s="544"/>
      <c r="F271" s="544"/>
      <c r="G271" s="544"/>
      <c r="H271" s="544"/>
    </row>
    <row r="272" spans="1:8" x14ac:dyDescent="0.35">
      <c r="A272" s="544"/>
      <c r="B272" s="544"/>
      <c r="C272" s="572"/>
      <c r="E272" s="544"/>
      <c r="F272" s="544"/>
      <c r="G272" s="544"/>
      <c r="H272" s="544"/>
    </row>
    <row r="273" spans="1:8" x14ac:dyDescent="0.35">
      <c r="A273" s="544"/>
      <c r="B273" s="544"/>
      <c r="C273" s="572"/>
      <c r="E273" s="544"/>
      <c r="F273" s="544"/>
      <c r="G273" s="544"/>
      <c r="H273" s="544"/>
    </row>
    <row r="274" spans="1:8" x14ac:dyDescent="0.35">
      <c r="A274" s="544"/>
      <c r="B274" s="544"/>
      <c r="C274" s="572"/>
      <c r="E274" s="544"/>
      <c r="F274" s="544"/>
      <c r="G274" s="544"/>
      <c r="H274" s="544"/>
    </row>
    <row r="275" spans="1:8" x14ac:dyDescent="0.35">
      <c r="A275" s="544"/>
      <c r="B275" s="544"/>
      <c r="C275" s="572"/>
      <c r="E275" s="544"/>
      <c r="F275" s="544"/>
      <c r="G275" s="544"/>
      <c r="H275" s="544"/>
    </row>
    <row r="276" spans="1:8" x14ac:dyDescent="0.35">
      <c r="A276" s="544"/>
      <c r="B276" s="544"/>
      <c r="C276" s="572"/>
      <c r="E276" s="544"/>
      <c r="F276" s="544"/>
      <c r="G276" s="544"/>
      <c r="H276" s="544"/>
    </row>
    <row r="277" spans="1:8" x14ac:dyDescent="0.35">
      <c r="A277" s="544"/>
      <c r="B277" s="544"/>
      <c r="C277" s="572"/>
      <c r="E277" s="544"/>
      <c r="F277" s="544"/>
      <c r="G277" s="544"/>
      <c r="H277" s="544"/>
    </row>
    <row r="278" spans="1:8" x14ac:dyDescent="0.35">
      <c r="A278" s="544"/>
      <c r="B278" s="544"/>
      <c r="C278" s="572"/>
      <c r="E278" s="544"/>
      <c r="F278" s="544"/>
      <c r="G278" s="544"/>
      <c r="H278" s="544"/>
    </row>
    <row r="279" spans="1:8" x14ac:dyDescent="0.35">
      <c r="A279" s="544"/>
      <c r="B279" s="544"/>
      <c r="C279" s="572"/>
      <c r="E279" s="544"/>
      <c r="F279" s="544"/>
      <c r="G279" s="544"/>
      <c r="H279" s="544"/>
    </row>
    <row r="280" spans="1:8" x14ac:dyDescent="0.35">
      <c r="A280" s="544"/>
      <c r="B280" s="544"/>
      <c r="C280" s="572"/>
      <c r="E280" s="544"/>
      <c r="F280" s="544"/>
      <c r="G280" s="544"/>
      <c r="H280" s="544"/>
    </row>
    <row r="281" spans="1:8" x14ac:dyDescent="0.35">
      <c r="A281" s="544"/>
      <c r="B281" s="544"/>
      <c r="C281" s="572"/>
      <c r="E281" s="544"/>
      <c r="F281" s="544"/>
      <c r="G281" s="544"/>
      <c r="H281" s="544"/>
    </row>
    <row r="282" spans="1:8" x14ac:dyDescent="0.35">
      <c r="A282" s="544"/>
      <c r="B282" s="544"/>
      <c r="C282" s="572"/>
      <c r="E282" s="544"/>
      <c r="F282" s="544"/>
      <c r="G282" s="544"/>
      <c r="H282" s="544"/>
    </row>
    <row r="283" spans="1:8" x14ac:dyDescent="0.35">
      <c r="A283" s="544"/>
      <c r="B283" s="544"/>
      <c r="C283" s="572"/>
      <c r="E283" s="544"/>
      <c r="F283" s="544"/>
      <c r="G283" s="544"/>
      <c r="H283" s="544"/>
    </row>
    <row r="284" spans="1:8" x14ac:dyDescent="0.35">
      <c r="A284" s="544"/>
      <c r="B284" s="544"/>
      <c r="C284" s="572"/>
      <c r="E284" s="544"/>
      <c r="F284" s="544"/>
      <c r="G284" s="544"/>
      <c r="H284" s="544"/>
    </row>
    <row r="285" spans="1:8" x14ac:dyDescent="0.35">
      <c r="A285" s="544"/>
      <c r="B285" s="544"/>
      <c r="C285" s="572"/>
      <c r="E285" s="544"/>
      <c r="F285" s="544"/>
      <c r="G285" s="544"/>
      <c r="H285" s="544"/>
    </row>
    <row r="286" spans="1:8" x14ac:dyDescent="0.35">
      <c r="A286" s="544"/>
      <c r="B286" s="544"/>
      <c r="C286" s="572"/>
      <c r="E286" s="544"/>
      <c r="F286" s="544"/>
      <c r="G286" s="544"/>
      <c r="H286" s="544"/>
    </row>
    <row r="287" spans="1:8" x14ac:dyDescent="0.35">
      <c r="A287" s="544"/>
      <c r="B287" s="544"/>
      <c r="C287" s="572"/>
      <c r="E287" s="544"/>
      <c r="F287" s="544"/>
      <c r="G287" s="544"/>
      <c r="H287" s="544"/>
    </row>
    <row r="288" spans="1:8" x14ac:dyDescent="0.35">
      <c r="A288" s="544"/>
      <c r="B288" s="544"/>
      <c r="C288" s="572"/>
      <c r="E288" s="544"/>
      <c r="F288" s="544"/>
      <c r="G288" s="544"/>
      <c r="H288" s="544"/>
    </row>
    <row r="289" spans="1:8" x14ac:dyDescent="0.35">
      <c r="A289" s="544"/>
      <c r="B289" s="544"/>
      <c r="C289" s="572"/>
      <c r="E289" s="544"/>
      <c r="F289" s="544"/>
      <c r="G289" s="544"/>
      <c r="H289" s="544"/>
    </row>
    <row r="290" spans="1:8" x14ac:dyDescent="0.35">
      <c r="A290" s="544"/>
      <c r="B290" s="544"/>
      <c r="C290" s="572"/>
      <c r="E290" s="544"/>
      <c r="F290" s="544"/>
      <c r="G290" s="544"/>
      <c r="H290" s="544"/>
    </row>
    <row r="291" spans="1:8" x14ac:dyDescent="0.35">
      <c r="A291" s="544"/>
      <c r="B291" s="544"/>
      <c r="C291" s="572"/>
      <c r="E291" s="544"/>
      <c r="F291" s="544"/>
      <c r="G291" s="544"/>
      <c r="H291" s="544"/>
    </row>
    <row r="292" spans="1:8" x14ac:dyDescent="0.35">
      <c r="A292" s="544"/>
      <c r="B292" s="544"/>
      <c r="C292" s="572"/>
      <c r="E292" s="544"/>
      <c r="F292" s="544"/>
      <c r="G292" s="544"/>
      <c r="H292" s="544"/>
    </row>
    <row r="293" spans="1:8" x14ac:dyDescent="0.35">
      <c r="A293" s="544"/>
      <c r="B293" s="544"/>
      <c r="C293" s="572"/>
      <c r="E293" s="544"/>
      <c r="F293" s="544"/>
      <c r="G293" s="544"/>
      <c r="H293" s="544"/>
    </row>
    <row r="294" spans="1:8" x14ac:dyDescent="0.35">
      <c r="A294" s="544"/>
      <c r="B294" s="544"/>
      <c r="C294" s="572"/>
      <c r="E294" s="544"/>
      <c r="F294" s="544"/>
      <c r="G294" s="544"/>
      <c r="H294" s="544"/>
    </row>
    <row r="295" spans="1:8" x14ac:dyDescent="0.35">
      <c r="A295" s="544"/>
      <c r="B295" s="544"/>
      <c r="C295" s="572"/>
      <c r="E295" s="544"/>
      <c r="F295" s="544"/>
      <c r="G295" s="544"/>
      <c r="H295" s="544"/>
    </row>
    <row r="296" spans="1:8" x14ac:dyDescent="0.35">
      <c r="A296" s="544"/>
      <c r="B296" s="544"/>
      <c r="C296" s="572"/>
      <c r="E296" s="544"/>
      <c r="F296" s="544"/>
      <c r="G296" s="544"/>
      <c r="H296" s="544"/>
    </row>
    <row r="297" spans="1:8" x14ac:dyDescent="0.35">
      <c r="A297" s="544"/>
      <c r="B297" s="544"/>
      <c r="C297" s="572"/>
      <c r="E297" s="544"/>
      <c r="F297" s="544"/>
      <c r="G297" s="544"/>
      <c r="H297" s="544"/>
    </row>
    <row r="298" spans="1:8" x14ac:dyDescent="0.35">
      <c r="A298" s="544"/>
      <c r="B298" s="544"/>
      <c r="C298" s="572"/>
      <c r="E298" s="544"/>
      <c r="F298" s="544"/>
      <c r="G298" s="544"/>
      <c r="H298" s="544"/>
    </row>
    <row r="299" spans="1:8" x14ac:dyDescent="0.35">
      <c r="A299" s="544"/>
      <c r="B299" s="544"/>
      <c r="C299" s="572"/>
      <c r="E299" s="544"/>
      <c r="F299" s="544"/>
      <c r="G299" s="544"/>
      <c r="H299" s="544"/>
    </row>
    <row r="300" spans="1:8" x14ac:dyDescent="0.35">
      <c r="A300" s="544"/>
      <c r="B300" s="544"/>
      <c r="C300" s="572"/>
      <c r="E300" s="544"/>
      <c r="F300" s="544"/>
      <c r="G300" s="544"/>
      <c r="H300" s="544"/>
    </row>
    <row r="301" spans="1:8" x14ac:dyDescent="0.35">
      <c r="A301" s="544"/>
      <c r="B301" s="544"/>
      <c r="C301" s="572"/>
      <c r="E301" s="544"/>
      <c r="F301" s="544"/>
      <c r="G301" s="544"/>
      <c r="H301" s="544"/>
    </row>
    <row r="302" spans="1:8" x14ac:dyDescent="0.35">
      <c r="A302" s="544"/>
      <c r="B302" s="544"/>
      <c r="C302" s="572"/>
      <c r="E302" s="544"/>
      <c r="F302" s="544"/>
      <c r="G302" s="544"/>
      <c r="H302" s="544"/>
    </row>
    <row r="303" spans="1:8" x14ac:dyDescent="0.35">
      <c r="A303" s="544"/>
      <c r="B303" s="544"/>
      <c r="C303" s="572"/>
      <c r="E303" s="544"/>
      <c r="F303" s="544"/>
      <c r="G303" s="544"/>
      <c r="H303" s="544"/>
    </row>
    <row r="304" spans="1:8" x14ac:dyDescent="0.35">
      <c r="A304" s="544"/>
      <c r="B304" s="544"/>
      <c r="C304" s="572"/>
      <c r="E304" s="544"/>
      <c r="F304" s="544"/>
      <c r="G304" s="544"/>
      <c r="H304" s="544"/>
    </row>
    <row r="305" spans="1:8" x14ac:dyDescent="0.35">
      <c r="A305" s="544"/>
      <c r="B305" s="544"/>
      <c r="C305" s="572"/>
      <c r="E305" s="544"/>
      <c r="F305" s="544"/>
      <c r="G305" s="544"/>
      <c r="H305" s="544"/>
    </row>
    <row r="306" spans="1:8" x14ac:dyDescent="0.35">
      <c r="A306" s="544"/>
      <c r="B306" s="544"/>
      <c r="C306" s="572"/>
      <c r="E306" s="544"/>
      <c r="F306" s="544"/>
      <c r="G306" s="544"/>
      <c r="H306" s="544"/>
    </row>
    <row r="307" spans="1:8" x14ac:dyDescent="0.35">
      <c r="A307" s="544"/>
      <c r="B307" s="544"/>
      <c r="C307" s="572"/>
      <c r="E307" s="544"/>
      <c r="F307" s="544"/>
      <c r="G307" s="544"/>
      <c r="H307" s="544"/>
    </row>
    <row r="308" spans="1:8" x14ac:dyDescent="0.35">
      <c r="A308" s="544"/>
      <c r="B308" s="544"/>
      <c r="C308" s="572"/>
      <c r="E308" s="544"/>
      <c r="F308" s="544"/>
      <c r="G308" s="544"/>
      <c r="H308" s="544"/>
    </row>
    <row r="309" spans="1:8" x14ac:dyDescent="0.35">
      <c r="A309" s="544"/>
      <c r="B309" s="544"/>
      <c r="C309" s="572"/>
      <c r="E309" s="544"/>
      <c r="F309" s="544"/>
      <c r="G309" s="544"/>
      <c r="H309" s="544"/>
    </row>
    <row r="310" spans="1:8" x14ac:dyDescent="0.35">
      <c r="A310" s="544"/>
      <c r="B310" s="544"/>
      <c r="C310" s="572"/>
      <c r="E310" s="544"/>
      <c r="F310" s="544"/>
      <c r="G310" s="544"/>
      <c r="H310" s="544"/>
    </row>
    <row r="311" spans="1:8" x14ac:dyDescent="0.35">
      <c r="A311" s="544"/>
      <c r="B311" s="544"/>
      <c r="C311" s="572"/>
      <c r="E311" s="544"/>
      <c r="F311" s="544"/>
      <c r="G311" s="544"/>
      <c r="H311" s="544"/>
    </row>
    <row r="312" spans="1:8" x14ac:dyDescent="0.35">
      <c r="A312" s="544"/>
      <c r="B312" s="544"/>
      <c r="C312" s="572"/>
      <c r="E312" s="544"/>
      <c r="F312" s="544"/>
      <c r="G312" s="544"/>
      <c r="H312" s="544"/>
    </row>
    <row r="313" spans="1:8" x14ac:dyDescent="0.35">
      <c r="A313" s="544"/>
      <c r="B313" s="544"/>
      <c r="C313" s="572"/>
      <c r="E313" s="544"/>
      <c r="F313" s="544"/>
      <c r="G313" s="544"/>
      <c r="H313" s="544"/>
    </row>
    <row r="314" spans="1:8" x14ac:dyDescent="0.35">
      <c r="A314" s="544"/>
      <c r="B314" s="544"/>
      <c r="C314" s="572"/>
      <c r="E314" s="544"/>
      <c r="F314" s="544"/>
      <c r="G314" s="544"/>
      <c r="H314" s="544"/>
    </row>
    <row r="315" spans="1:8" x14ac:dyDescent="0.35">
      <c r="A315" s="544"/>
      <c r="B315" s="544"/>
      <c r="C315" s="572"/>
      <c r="E315" s="544"/>
      <c r="F315" s="544"/>
      <c r="G315" s="544"/>
      <c r="H315" s="544"/>
    </row>
    <row r="316" spans="1:8" x14ac:dyDescent="0.35">
      <c r="A316" s="544"/>
      <c r="B316" s="544"/>
      <c r="C316" s="572"/>
      <c r="E316" s="544"/>
      <c r="F316" s="544"/>
      <c r="G316" s="544"/>
      <c r="H316" s="544"/>
    </row>
    <row r="317" spans="1:8" x14ac:dyDescent="0.35">
      <c r="A317" s="544"/>
      <c r="B317" s="544"/>
      <c r="C317" s="572"/>
      <c r="E317" s="544"/>
      <c r="F317" s="544"/>
      <c r="G317" s="544"/>
      <c r="H317" s="544"/>
    </row>
    <row r="318" spans="1:8" x14ac:dyDescent="0.35">
      <c r="A318" s="544"/>
      <c r="B318" s="544"/>
      <c r="C318" s="572"/>
      <c r="E318" s="544"/>
      <c r="F318" s="544"/>
      <c r="G318" s="544"/>
      <c r="H318" s="544"/>
    </row>
    <row r="319" spans="1:8" x14ac:dyDescent="0.35">
      <c r="A319" s="544"/>
      <c r="B319" s="544"/>
      <c r="C319" s="572"/>
      <c r="E319" s="544"/>
      <c r="F319" s="544"/>
      <c r="G319" s="544"/>
      <c r="H319" s="544"/>
    </row>
    <row r="320" spans="1:8" x14ac:dyDescent="0.35">
      <c r="A320" s="544"/>
      <c r="B320" s="544"/>
      <c r="C320" s="572"/>
      <c r="E320" s="544"/>
      <c r="F320" s="544"/>
      <c r="G320" s="544"/>
      <c r="H320" s="544"/>
    </row>
    <row r="321" spans="1:8" x14ac:dyDescent="0.35">
      <c r="A321" s="544"/>
      <c r="B321" s="544"/>
      <c r="C321" s="572"/>
      <c r="E321" s="544"/>
      <c r="F321" s="544"/>
      <c r="G321" s="544"/>
      <c r="H321" s="544"/>
    </row>
    <row r="322" spans="1:8" x14ac:dyDescent="0.35">
      <c r="A322" s="544"/>
      <c r="B322" s="544"/>
      <c r="C322" s="572"/>
      <c r="E322" s="544"/>
      <c r="F322" s="544"/>
      <c r="G322" s="544"/>
      <c r="H322" s="544"/>
    </row>
    <row r="323" spans="1:8" x14ac:dyDescent="0.35">
      <c r="A323" s="544"/>
      <c r="B323" s="544"/>
      <c r="C323" s="572"/>
      <c r="E323" s="544"/>
      <c r="F323" s="544"/>
      <c r="G323" s="544"/>
      <c r="H323" s="544"/>
    </row>
    <row r="324" spans="1:8" x14ac:dyDescent="0.35">
      <c r="A324" s="544"/>
      <c r="B324" s="544"/>
      <c r="C324" s="572"/>
      <c r="E324" s="544"/>
      <c r="F324" s="544"/>
      <c r="G324" s="544"/>
      <c r="H324" s="544"/>
    </row>
    <row r="325" spans="1:8" x14ac:dyDescent="0.35">
      <c r="A325" s="544"/>
      <c r="B325" s="544"/>
      <c r="C325" s="572"/>
      <c r="E325" s="544"/>
      <c r="F325" s="544"/>
      <c r="G325" s="544"/>
      <c r="H325" s="544"/>
    </row>
    <row r="326" spans="1:8" x14ac:dyDescent="0.35">
      <c r="A326" s="544"/>
      <c r="B326" s="544"/>
      <c r="C326" s="572"/>
      <c r="E326" s="544"/>
      <c r="F326" s="544"/>
      <c r="G326" s="544"/>
      <c r="H326" s="544"/>
    </row>
    <row r="327" spans="1:8" x14ac:dyDescent="0.35">
      <c r="A327" s="544"/>
      <c r="B327" s="544"/>
      <c r="C327" s="572"/>
      <c r="E327" s="544"/>
      <c r="F327" s="544"/>
      <c r="G327" s="544"/>
      <c r="H327" s="544"/>
    </row>
    <row r="328" spans="1:8" x14ac:dyDescent="0.35">
      <c r="A328" s="544"/>
      <c r="B328" s="544"/>
      <c r="C328" s="572"/>
      <c r="E328" s="544"/>
      <c r="F328" s="544"/>
      <c r="G328" s="544"/>
      <c r="H328" s="544"/>
    </row>
    <row r="329" spans="1:8" x14ac:dyDescent="0.35">
      <c r="A329" s="544"/>
      <c r="B329" s="544"/>
      <c r="C329" s="572"/>
      <c r="E329" s="544"/>
      <c r="F329" s="544"/>
      <c r="G329" s="544"/>
      <c r="H329" s="544"/>
    </row>
    <row r="330" spans="1:8" x14ac:dyDescent="0.35">
      <c r="A330" s="544"/>
      <c r="B330" s="544"/>
      <c r="C330" s="572"/>
      <c r="E330" s="544"/>
      <c r="F330" s="544"/>
      <c r="G330" s="544"/>
      <c r="H330" s="544"/>
    </row>
    <row r="331" spans="1:8" x14ac:dyDescent="0.35">
      <c r="A331" s="544"/>
      <c r="B331" s="544"/>
      <c r="C331" s="572"/>
      <c r="E331" s="544"/>
      <c r="F331" s="544"/>
      <c r="G331" s="544"/>
      <c r="H331" s="544"/>
    </row>
    <row r="332" spans="1:8" x14ac:dyDescent="0.35">
      <c r="A332" s="544"/>
      <c r="B332" s="544"/>
      <c r="C332" s="572"/>
      <c r="E332" s="544"/>
      <c r="F332" s="544"/>
      <c r="G332" s="544"/>
      <c r="H332" s="544"/>
    </row>
    <row r="333" spans="1:8" x14ac:dyDescent="0.35">
      <c r="A333" s="544"/>
      <c r="B333" s="544"/>
      <c r="C333" s="572"/>
      <c r="E333" s="544"/>
      <c r="F333" s="544"/>
      <c r="G333" s="544"/>
      <c r="H333" s="544"/>
    </row>
    <row r="334" spans="1:8" x14ac:dyDescent="0.35">
      <c r="A334" s="544"/>
      <c r="B334" s="544"/>
      <c r="C334" s="572"/>
      <c r="E334" s="544"/>
      <c r="F334" s="544"/>
      <c r="G334" s="544"/>
      <c r="H334" s="544"/>
    </row>
    <row r="335" spans="1:8" x14ac:dyDescent="0.35">
      <c r="A335" s="544"/>
      <c r="B335" s="544"/>
      <c r="C335" s="572"/>
      <c r="E335" s="544"/>
      <c r="F335" s="544"/>
      <c r="G335" s="544"/>
      <c r="H335" s="544"/>
    </row>
    <row r="336" spans="1:8" x14ac:dyDescent="0.35">
      <c r="A336" s="544"/>
      <c r="B336" s="544"/>
      <c r="C336" s="572"/>
      <c r="E336" s="544"/>
      <c r="F336" s="544"/>
      <c r="G336" s="544"/>
      <c r="H336" s="544"/>
    </row>
    <row r="337" spans="1:8" x14ac:dyDescent="0.35">
      <c r="A337" s="544"/>
      <c r="B337" s="544"/>
      <c r="C337" s="572"/>
      <c r="E337" s="544"/>
      <c r="F337" s="544"/>
      <c r="G337" s="544"/>
      <c r="H337" s="544"/>
    </row>
    <row r="338" spans="1:8" x14ac:dyDescent="0.35">
      <c r="A338" s="544"/>
      <c r="B338" s="544"/>
      <c r="C338" s="572"/>
      <c r="E338" s="544"/>
      <c r="F338" s="544"/>
      <c r="G338" s="544"/>
      <c r="H338" s="544"/>
    </row>
    <row r="339" spans="1:8" x14ac:dyDescent="0.35">
      <c r="A339" s="544"/>
      <c r="B339" s="544"/>
      <c r="C339" s="572"/>
      <c r="E339" s="544"/>
      <c r="F339" s="544"/>
      <c r="G339" s="544"/>
      <c r="H339" s="544"/>
    </row>
    <row r="340" spans="1:8" x14ac:dyDescent="0.35">
      <c r="A340" s="544"/>
      <c r="B340" s="544"/>
      <c r="C340" s="572"/>
      <c r="E340" s="544"/>
      <c r="F340" s="544"/>
      <c r="G340" s="544"/>
      <c r="H340" s="544"/>
    </row>
    <row r="341" spans="1:8" x14ac:dyDescent="0.35">
      <c r="A341" s="544"/>
      <c r="B341" s="544"/>
      <c r="C341" s="572"/>
      <c r="E341" s="544"/>
      <c r="F341" s="544"/>
      <c r="G341" s="544"/>
      <c r="H341" s="544"/>
    </row>
    <row r="342" spans="1:8" x14ac:dyDescent="0.35">
      <c r="A342" s="544"/>
      <c r="B342" s="544"/>
      <c r="C342" s="572"/>
      <c r="E342" s="544"/>
      <c r="F342" s="544"/>
      <c r="G342" s="544"/>
      <c r="H342" s="544"/>
    </row>
    <row r="343" spans="1:8" x14ac:dyDescent="0.35">
      <c r="A343" s="544"/>
      <c r="B343" s="544"/>
      <c r="C343" s="572"/>
      <c r="E343" s="544"/>
      <c r="F343" s="544"/>
      <c r="G343" s="544"/>
      <c r="H343" s="544"/>
    </row>
    <row r="344" spans="1:8" x14ac:dyDescent="0.35">
      <c r="A344" s="544"/>
      <c r="B344" s="544"/>
      <c r="C344" s="572"/>
      <c r="E344" s="544"/>
      <c r="F344" s="544"/>
      <c r="G344" s="544"/>
      <c r="H344" s="544"/>
    </row>
    <row r="345" spans="1:8" x14ac:dyDescent="0.35">
      <c r="A345" s="544"/>
      <c r="B345" s="544"/>
      <c r="C345" s="572"/>
      <c r="E345" s="544"/>
      <c r="F345" s="544"/>
      <c r="G345" s="544"/>
      <c r="H345" s="544"/>
    </row>
    <row r="346" spans="1:8" x14ac:dyDescent="0.35">
      <c r="A346" s="544"/>
      <c r="B346" s="544"/>
      <c r="C346" s="572"/>
      <c r="E346" s="544"/>
      <c r="F346" s="544"/>
      <c r="G346" s="544"/>
      <c r="H346" s="544"/>
    </row>
    <row r="347" spans="1:8" x14ac:dyDescent="0.35">
      <c r="A347" s="544"/>
      <c r="B347" s="544"/>
      <c r="C347" s="572"/>
      <c r="E347" s="544"/>
      <c r="F347" s="544"/>
      <c r="G347" s="544"/>
      <c r="H347" s="544"/>
    </row>
    <row r="348" spans="1:8" x14ac:dyDescent="0.35">
      <c r="A348" s="544"/>
      <c r="B348" s="544"/>
      <c r="C348" s="572"/>
      <c r="E348" s="544"/>
      <c r="F348" s="544"/>
      <c r="G348" s="544"/>
      <c r="H348" s="544"/>
    </row>
    <row r="349" spans="1:8" x14ac:dyDescent="0.35">
      <c r="A349" s="544"/>
      <c r="B349" s="544"/>
      <c r="C349" s="572"/>
      <c r="E349" s="544"/>
      <c r="F349" s="544"/>
      <c r="G349" s="544"/>
      <c r="H349" s="544"/>
    </row>
    <row r="350" spans="1:8" x14ac:dyDescent="0.35">
      <c r="A350" s="544"/>
      <c r="B350" s="544"/>
      <c r="C350" s="572"/>
      <c r="E350" s="544"/>
      <c r="F350" s="544"/>
      <c r="G350" s="544"/>
      <c r="H350" s="544"/>
    </row>
    <row r="351" spans="1:8" x14ac:dyDescent="0.35">
      <c r="A351" s="544"/>
      <c r="B351" s="544"/>
      <c r="C351" s="572"/>
      <c r="E351" s="544"/>
      <c r="F351" s="544"/>
      <c r="G351" s="544"/>
      <c r="H351" s="544"/>
    </row>
    <row r="352" spans="1:8" x14ac:dyDescent="0.35">
      <c r="A352" s="544"/>
      <c r="B352" s="544"/>
      <c r="C352" s="572"/>
      <c r="E352" s="544"/>
      <c r="F352" s="544"/>
      <c r="G352" s="544"/>
      <c r="H352" s="544"/>
    </row>
    <row r="353" spans="1:8" x14ac:dyDescent="0.35">
      <c r="A353" s="544"/>
      <c r="B353" s="544"/>
      <c r="C353" s="572"/>
      <c r="E353" s="544"/>
      <c r="F353" s="544"/>
      <c r="G353" s="544"/>
      <c r="H353" s="544"/>
    </row>
    <row r="354" spans="1:8" x14ac:dyDescent="0.35">
      <c r="A354" s="544"/>
      <c r="B354" s="544"/>
      <c r="C354" s="572"/>
      <c r="E354" s="544"/>
      <c r="F354" s="544"/>
      <c r="G354" s="544"/>
      <c r="H354" s="544"/>
    </row>
    <row r="355" spans="1:8" x14ac:dyDescent="0.35">
      <c r="A355" s="544"/>
      <c r="B355" s="544"/>
      <c r="C355" s="572"/>
      <c r="E355" s="544"/>
      <c r="F355" s="544"/>
      <c r="G355" s="544"/>
      <c r="H355" s="544"/>
    </row>
    <row r="356" spans="1:8" x14ac:dyDescent="0.35">
      <c r="A356" s="544"/>
      <c r="B356" s="544"/>
      <c r="C356" s="572"/>
      <c r="E356" s="544"/>
      <c r="F356" s="544"/>
      <c r="G356" s="544"/>
      <c r="H356" s="544"/>
    </row>
    <row r="357" spans="1:8" x14ac:dyDescent="0.35">
      <c r="A357" s="544"/>
      <c r="B357" s="544"/>
      <c r="C357" s="572"/>
      <c r="E357" s="544"/>
      <c r="F357" s="544"/>
      <c r="G357" s="544"/>
      <c r="H357" s="544"/>
    </row>
    <row r="358" spans="1:8" x14ac:dyDescent="0.35">
      <c r="A358" s="544"/>
      <c r="B358" s="544"/>
      <c r="C358" s="572"/>
      <c r="E358" s="544"/>
      <c r="F358" s="544"/>
      <c r="G358" s="544"/>
      <c r="H358" s="544"/>
    </row>
    <row r="359" spans="1:8" x14ac:dyDescent="0.35">
      <c r="A359" s="544"/>
      <c r="B359" s="544"/>
      <c r="C359" s="572"/>
      <c r="E359" s="544"/>
      <c r="F359" s="544"/>
      <c r="G359" s="544"/>
      <c r="H359" s="544"/>
    </row>
    <row r="360" spans="1:8" x14ac:dyDescent="0.35">
      <c r="A360" s="544"/>
      <c r="B360" s="544"/>
      <c r="C360" s="572"/>
      <c r="E360" s="544"/>
      <c r="F360" s="544"/>
      <c r="G360" s="544"/>
      <c r="H360" s="544"/>
    </row>
    <row r="361" spans="1:8" x14ac:dyDescent="0.35">
      <c r="A361" s="544"/>
      <c r="B361" s="544"/>
      <c r="C361" s="572"/>
      <c r="E361" s="544"/>
      <c r="F361" s="544"/>
      <c r="G361" s="544"/>
      <c r="H361" s="544"/>
    </row>
    <row r="362" spans="1:8" x14ac:dyDescent="0.35">
      <c r="B362" s="544"/>
      <c r="C362" s="572"/>
      <c r="E362" s="544"/>
      <c r="F362" s="544"/>
      <c r="G362" s="544"/>
      <c r="H362" s="544"/>
    </row>
    <row r="363" spans="1:8" x14ac:dyDescent="0.35">
      <c r="B363" s="544"/>
      <c r="C363" s="572"/>
      <c r="E363" s="544"/>
      <c r="F363" s="544"/>
      <c r="G363" s="544"/>
      <c r="H363" s="544"/>
    </row>
    <row r="364" spans="1:8" x14ac:dyDescent="0.35">
      <c r="B364" s="544"/>
      <c r="C364" s="572"/>
      <c r="E364" s="544"/>
      <c r="F364" s="544"/>
      <c r="G364" s="544"/>
      <c r="H364" s="544"/>
    </row>
    <row r="365" spans="1:8" x14ac:dyDescent="0.35">
      <c r="B365" s="544"/>
      <c r="C365" s="572"/>
      <c r="E365" s="544"/>
      <c r="F365" s="544"/>
      <c r="G365" s="544"/>
      <c r="H365" s="544"/>
    </row>
    <row r="366" spans="1:8" x14ac:dyDescent="0.35">
      <c r="B366" s="544"/>
      <c r="C366" s="572"/>
      <c r="E366" s="544"/>
      <c r="F366" s="544"/>
      <c r="G366" s="544"/>
      <c r="H366" s="544"/>
    </row>
    <row r="367" spans="1:8" x14ac:dyDescent="0.35">
      <c r="B367" s="544"/>
      <c r="C367" s="572"/>
      <c r="E367" s="544"/>
      <c r="F367" s="544"/>
      <c r="G367" s="544"/>
      <c r="H367" s="544"/>
    </row>
    <row r="368" spans="1:8" x14ac:dyDescent="0.35">
      <c r="B368" s="544"/>
      <c r="C368" s="572"/>
      <c r="E368" s="544"/>
      <c r="F368" s="544"/>
      <c r="G368" s="544"/>
      <c r="H368" s="544"/>
    </row>
    <row r="369" spans="2:8" x14ac:dyDescent="0.35">
      <c r="B369" s="544"/>
      <c r="C369" s="572"/>
      <c r="E369" s="544"/>
      <c r="F369" s="544"/>
      <c r="G369" s="544"/>
      <c r="H369" s="544"/>
    </row>
    <row r="370" spans="2:8" x14ac:dyDescent="0.35">
      <c r="B370" s="544"/>
      <c r="C370" s="572"/>
      <c r="E370" s="544"/>
      <c r="F370" s="544"/>
      <c r="G370" s="544"/>
      <c r="H370" s="544"/>
    </row>
    <row r="371" spans="2:8" x14ac:dyDescent="0.35">
      <c r="B371" s="544"/>
      <c r="C371" s="572"/>
      <c r="E371" s="544"/>
      <c r="F371" s="544"/>
      <c r="G371" s="544"/>
      <c r="H371" s="544"/>
    </row>
    <row r="372" spans="2:8" x14ac:dyDescent="0.35">
      <c r="B372" s="544"/>
      <c r="C372" s="572"/>
      <c r="E372" s="544"/>
      <c r="F372" s="544"/>
      <c r="G372" s="544"/>
      <c r="H372" s="544"/>
    </row>
    <row r="373" spans="2:8" x14ac:dyDescent="0.35">
      <c r="B373" s="544"/>
      <c r="C373" s="572"/>
      <c r="E373" s="544"/>
      <c r="F373" s="544"/>
      <c r="G373" s="544"/>
      <c r="H373" s="544"/>
    </row>
    <row r="374" spans="2:8" x14ac:dyDescent="0.35">
      <c r="B374" s="544"/>
      <c r="C374" s="572"/>
      <c r="E374" s="544"/>
      <c r="F374" s="544"/>
      <c r="G374" s="544"/>
      <c r="H374" s="544"/>
    </row>
    <row r="375" spans="2:8" x14ac:dyDescent="0.35">
      <c r="B375" s="544"/>
      <c r="C375" s="572"/>
      <c r="E375" s="544"/>
      <c r="F375" s="544"/>
      <c r="G375" s="544"/>
      <c r="H375" s="544"/>
    </row>
    <row r="376" spans="2:8" x14ac:dyDescent="0.35">
      <c r="B376" s="544"/>
      <c r="C376" s="572"/>
      <c r="E376" s="544"/>
      <c r="F376" s="544"/>
      <c r="G376" s="544"/>
      <c r="H376" s="544"/>
    </row>
    <row r="377" spans="2:8" x14ac:dyDescent="0.35">
      <c r="B377" s="544"/>
      <c r="C377" s="572"/>
      <c r="E377" s="544"/>
      <c r="F377" s="544"/>
      <c r="G377" s="544"/>
      <c r="H377" s="544"/>
    </row>
    <row r="378" spans="2:8" x14ac:dyDescent="0.35">
      <c r="B378" s="544"/>
      <c r="C378" s="572"/>
      <c r="E378" s="544"/>
      <c r="F378" s="544"/>
      <c r="G378" s="544"/>
      <c r="H378" s="544"/>
    </row>
    <row r="379" spans="2:8" x14ac:dyDescent="0.35">
      <c r="B379" s="544"/>
      <c r="C379" s="572"/>
      <c r="E379" s="544"/>
      <c r="F379" s="544"/>
      <c r="G379" s="544"/>
      <c r="H379" s="544"/>
    </row>
    <row r="380" spans="2:8" x14ac:dyDescent="0.35">
      <c r="B380" s="544"/>
      <c r="C380" s="572"/>
      <c r="E380" s="544"/>
      <c r="F380" s="544"/>
      <c r="G380" s="544"/>
      <c r="H380" s="544"/>
    </row>
    <row r="381" spans="2:8" x14ac:dyDescent="0.35">
      <c r="B381" s="544"/>
      <c r="C381" s="572"/>
      <c r="E381" s="544"/>
      <c r="F381" s="544"/>
      <c r="G381" s="544"/>
      <c r="H381" s="544"/>
    </row>
    <row r="382" spans="2:8" x14ac:dyDescent="0.35">
      <c r="B382" s="544"/>
      <c r="C382" s="572"/>
      <c r="E382" s="544"/>
      <c r="F382" s="544"/>
      <c r="G382" s="544"/>
      <c r="H382" s="544"/>
    </row>
    <row r="383" spans="2:8" x14ac:dyDescent="0.35">
      <c r="B383" s="544"/>
      <c r="C383" s="572"/>
      <c r="E383" s="544"/>
      <c r="F383" s="544"/>
      <c r="G383" s="544"/>
      <c r="H383" s="544"/>
    </row>
    <row r="384" spans="2:8" x14ac:dyDescent="0.35">
      <c r="B384" s="544"/>
      <c r="C384" s="572"/>
      <c r="E384" s="544"/>
      <c r="F384" s="544"/>
      <c r="G384" s="544"/>
      <c r="H384" s="544"/>
    </row>
    <row r="385" spans="2:8" x14ac:dyDescent="0.35">
      <c r="B385" s="544"/>
      <c r="C385" s="572"/>
      <c r="E385" s="544"/>
      <c r="F385" s="544"/>
      <c r="G385" s="544"/>
      <c r="H385" s="544"/>
    </row>
    <row r="386" spans="2:8" x14ac:dyDescent="0.35">
      <c r="B386" s="544"/>
      <c r="C386" s="572"/>
      <c r="E386" s="544"/>
      <c r="F386" s="544"/>
      <c r="G386" s="544"/>
      <c r="H386" s="544"/>
    </row>
    <row r="387" spans="2:8" x14ac:dyDescent="0.35">
      <c r="B387" s="544"/>
      <c r="C387" s="572"/>
      <c r="E387" s="544"/>
      <c r="F387" s="544"/>
      <c r="G387" s="544"/>
      <c r="H387" s="544"/>
    </row>
    <row r="388" spans="2:8" x14ac:dyDescent="0.35">
      <c r="B388" s="544"/>
      <c r="C388" s="572"/>
      <c r="E388" s="544"/>
      <c r="F388" s="544"/>
      <c r="G388" s="544"/>
      <c r="H388" s="544"/>
    </row>
    <row r="389" spans="2:8" x14ac:dyDescent="0.35">
      <c r="B389" s="544"/>
      <c r="C389" s="572"/>
      <c r="E389" s="544"/>
      <c r="F389" s="544"/>
      <c r="G389" s="544"/>
      <c r="H389" s="544"/>
    </row>
    <row r="390" spans="2:8" x14ac:dyDescent="0.35">
      <c r="B390" s="544"/>
      <c r="C390" s="572"/>
      <c r="E390" s="544"/>
      <c r="F390" s="544"/>
      <c r="G390" s="544"/>
      <c r="H390" s="544"/>
    </row>
    <row r="391" spans="2:8" x14ac:dyDescent="0.35">
      <c r="B391" s="544"/>
      <c r="C391" s="572"/>
      <c r="E391" s="544"/>
      <c r="F391" s="544"/>
      <c r="G391" s="544"/>
      <c r="H391" s="544"/>
    </row>
    <row r="392" spans="2:8" x14ac:dyDescent="0.35">
      <c r="B392" s="544"/>
      <c r="C392" s="572"/>
      <c r="E392" s="544"/>
      <c r="F392" s="544"/>
      <c r="G392" s="544"/>
      <c r="H392" s="544"/>
    </row>
    <row r="393" spans="2:8" x14ac:dyDescent="0.35">
      <c r="B393" s="544"/>
      <c r="C393" s="572"/>
      <c r="E393" s="544"/>
      <c r="F393" s="544"/>
      <c r="G393" s="544"/>
      <c r="H393" s="544"/>
    </row>
    <row r="394" spans="2:8" x14ac:dyDescent="0.35">
      <c r="B394" s="544"/>
      <c r="C394" s="572"/>
      <c r="E394" s="544"/>
      <c r="F394" s="544"/>
      <c r="G394" s="544"/>
      <c r="H394" s="544"/>
    </row>
    <row r="395" spans="2:8" x14ac:dyDescent="0.35">
      <c r="B395" s="544"/>
      <c r="C395" s="572"/>
      <c r="E395" s="544"/>
      <c r="F395" s="544"/>
      <c r="G395" s="544"/>
      <c r="H395" s="544"/>
    </row>
    <row r="396" spans="2:8" x14ac:dyDescent="0.35">
      <c r="B396" s="544"/>
      <c r="C396" s="572"/>
      <c r="E396" s="544"/>
      <c r="F396" s="544"/>
      <c r="G396" s="544"/>
      <c r="H396" s="544"/>
    </row>
    <row r="397" spans="2:8" x14ac:dyDescent="0.35">
      <c r="B397" s="544"/>
      <c r="C397" s="572"/>
      <c r="E397" s="544"/>
      <c r="F397" s="544"/>
      <c r="G397" s="544"/>
      <c r="H397" s="544"/>
    </row>
    <row r="398" spans="2:8" x14ac:dyDescent="0.35">
      <c r="B398" s="544"/>
      <c r="C398" s="572"/>
      <c r="E398" s="544"/>
      <c r="F398" s="544"/>
      <c r="G398" s="544"/>
      <c r="H398" s="544"/>
    </row>
    <row r="399" spans="2:8" x14ac:dyDescent="0.35">
      <c r="B399" s="544"/>
      <c r="C399" s="572"/>
      <c r="E399" s="544"/>
      <c r="F399" s="544"/>
      <c r="G399" s="544"/>
      <c r="H399" s="544"/>
    </row>
    <row r="400" spans="2:8" x14ac:dyDescent="0.35">
      <c r="B400" s="544"/>
      <c r="C400" s="572"/>
      <c r="E400" s="544"/>
      <c r="F400" s="544"/>
      <c r="G400" s="544"/>
      <c r="H400" s="544"/>
    </row>
    <row r="401" spans="2:8" x14ac:dyDescent="0.35">
      <c r="B401" s="544"/>
      <c r="C401" s="572"/>
      <c r="E401" s="544"/>
      <c r="F401" s="544"/>
      <c r="G401" s="544"/>
      <c r="H401" s="544"/>
    </row>
    <row r="402" spans="2:8" x14ac:dyDescent="0.35">
      <c r="B402" s="544"/>
      <c r="C402" s="572"/>
      <c r="E402" s="544"/>
      <c r="F402" s="544"/>
      <c r="G402" s="544"/>
      <c r="H402" s="544"/>
    </row>
    <row r="403" spans="2:8" x14ac:dyDescent="0.35">
      <c r="B403" s="544"/>
      <c r="C403" s="572"/>
      <c r="E403" s="544"/>
      <c r="F403" s="544"/>
      <c r="G403" s="544"/>
      <c r="H403" s="544"/>
    </row>
    <row r="404" spans="2:8" x14ac:dyDescent="0.35">
      <c r="B404" s="544"/>
      <c r="C404" s="572"/>
      <c r="E404" s="544"/>
      <c r="F404" s="544"/>
      <c r="G404" s="544"/>
      <c r="H404" s="544"/>
    </row>
    <row r="405" spans="2:8" x14ac:dyDescent="0.35">
      <c r="B405" s="544"/>
      <c r="C405" s="572"/>
      <c r="E405" s="544"/>
      <c r="F405" s="544"/>
      <c r="G405" s="544"/>
      <c r="H405" s="544"/>
    </row>
    <row r="406" spans="2:8" x14ac:dyDescent="0.35">
      <c r="B406" s="544"/>
      <c r="C406" s="572"/>
      <c r="E406" s="544"/>
      <c r="F406" s="544"/>
      <c r="G406" s="544"/>
      <c r="H406" s="544"/>
    </row>
    <row r="407" spans="2:8" x14ac:dyDescent="0.35">
      <c r="B407" s="544"/>
      <c r="C407" s="572"/>
      <c r="E407" s="544"/>
      <c r="F407" s="544"/>
      <c r="G407" s="544"/>
      <c r="H407" s="544"/>
    </row>
    <row r="408" spans="2:8" x14ac:dyDescent="0.35">
      <c r="B408" s="544"/>
      <c r="C408" s="572"/>
      <c r="E408" s="544"/>
      <c r="F408" s="544"/>
      <c r="G408" s="544"/>
      <c r="H408" s="544"/>
    </row>
    <row r="409" spans="2:8" x14ac:dyDescent="0.35">
      <c r="B409" s="544"/>
      <c r="C409" s="572"/>
      <c r="E409" s="544"/>
      <c r="F409" s="544"/>
      <c r="G409" s="544"/>
      <c r="H409" s="544"/>
    </row>
    <row r="410" spans="2:8" x14ac:dyDescent="0.35">
      <c r="B410" s="544"/>
      <c r="C410" s="572"/>
      <c r="E410" s="544"/>
      <c r="F410" s="544"/>
      <c r="G410" s="544"/>
      <c r="H410" s="544"/>
    </row>
    <row r="411" spans="2:8" x14ac:dyDescent="0.35">
      <c r="B411" s="544"/>
      <c r="C411" s="572"/>
      <c r="E411" s="544"/>
      <c r="F411" s="544"/>
      <c r="G411" s="544"/>
      <c r="H411" s="544"/>
    </row>
    <row r="412" spans="2:8" x14ac:dyDescent="0.35">
      <c r="B412" s="544"/>
      <c r="C412" s="572"/>
      <c r="E412" s="544"/>
      <c r="F412" s="544"/>
      <c r="G412" s="544"/>
      <c r="H412" s="544"/>
    </row>
    <row r="413" spans="2:8" x14ac:dyDescent="0.35">
      <c r="B413" s="544"/>
      <c r="C413" s="572"/>
      <c r="E413" s="544"/>
      <c r="F413" s="544"/>
      <c r="G413" s="544"/>
      <c r="H413" s="544"/>
    </row>
    <row r="414" spans="2:8" x14ac:dyDescent="0.35">
      <c r="B414" s="544"/>
      <c r="C414" s="572"/>
      <c r="E414" s="544"/>
      <c r="F414" s="544"/>
      <c r="G414" s="544"/>
      <c r="H414" s="544"/>
    </row>
    <row r="415" spans="2:8" x14ac:dyDescent="0.35">
      <c r="B415" s="544"/>
      <c r="C415" s="572"/>
      <c r="E415" s="544"/>
      <c r="F415" s="544"/>
      <c r="G415" s="544"/>
      <c r="H415" s="544"/>
    </row>
    <row r="416" spans="2:8" x14ac:dyDescent="0.35">
      <c r="B416" s="544"/>
      <c r="C416" s="572"/>
      <c r="E416" s="544"/>
      <c r="F416" s="544"/>
      <c r="G416" s="544"/>
      <c r="H416" s="544"/>
    </row>
    <row r="417" spans="2:8" x14ac:dyDescent="0.35">
      <c r="B417" s="544"/>
      <c r="C417" s="572"/>
      <c r="E417" s="544"/>
      <c r="F417" s="544"/>
      <c r="G417" s="544"/>
      <c r="H417" s="544"/>
    </row>
    <row r="418" spans="2:8" x14ac:dyDescent="0.35">
      <c r="B418" s="544"/>
      <c r="C418" s="572"/>
      <c r="E418" s="544"/>
      <c r="F418" s="544"/>
      <c r="G418" s="544"/>
      <c r="H418" s="544"/>
    </row>
    <row r="419" spans="2:8" x14ac:dyDescent="0.35">
      <c r="B419" s="544"/>
      <c r="C419" s="572"/>
      <c r="E419" s="544"/>
      <c r="F419" s="544"/>
      <c r="G419" s="544"/>
      <c r="H419" s="544"/>
    </row>
    <row r="420" spans="2:8" x14ac:dyDescent="0.35">
      <c r="B420" s="544"/>
      <c r="C420" s="572"/>
      <c r="E420" s="544"/>
      <c r="F420" s="544"/>
      <c r="G420" s="544"/>
      <c r="H420" s="544"/>
    </row>
    <row r="421" spans="2:8" x14ac:dyDescent="0.35">
      <c r="B421" s="544"/>
      <c r="C421" s="572"/>
      <c r="E421" s="544"/>
      <c r="F421" s="544"/>
      <c r="G421" s="544"/>
      <c r="H421" s="544"/>
    </row>
    <row r="422" spans="2:8" x14ac:dyDescent="0.35">
      <c r="B422" s="544"/>
      <c r="C422" s="572"/>
      <c r="E422" s="544"/>
      <c r="F422" s="544"/>
      <c r="G422" s="544"/>
      <c r="H422" s="544"/>
    </row>
    <row r="423" spans="2:8" x14ac:dyDescent="0.35">
      <c r="B423" s="544"/>
      <c r="C423" s="572"/>
      <c r="E423" s="544"/>
      <c r="F423" s="544"/>
      <c r="G423" s="544"/>
      <c r="H423" s="544"/>
    </row>
    <row r="424" spans="2:8" x14ac:dyDescent="0.35">
      <c r="B424" s="544"/>
      <c r="C424" s="572"/>
      <c r="E424" s="544"/>
      <c r="F424" s="544"/>
      <c r="G424" s="544"/>
      <c r="H424" s="544"/>
    </row>
    <row r="425" spans="2:8" x14ac:dyDescent="0.35">
      <c r="B425" s="544"/>
      <c r="C425" s="572"/>
      <c r="E425" s="544"/>
      <c r="F425" s="544"/>
      <c r="G425" s="544"/>
      <c r="H425" s="544"/>
    </row>
    <row r="426" spans="2:8" x14ac:dyDescent="0.35">
      <c r="B426" s="544"/>
      <c r="C426" s="572"/>
      <c r="E426" s="544"/>
      <c r="F426" s="544"/>
      <c r="G426" s="544"/>
      <c r="H426" s="544"/>
    </row>
    <row r="427" spans="2:8" x14ac:dyDescent="0.35">
      <c r="B427" s="544"/>
      <c r="C427" s="572"/>
      <c r="E427" s="544"/>
      <c r="F427" s="544"/>
      <c r="G427" s="544"/>
      <c r="H427" s="544"/>
    </row>
    <row r="428" spans="2:8" x14ac:dyDescent="0.35">
      <c r="B428" s="544"/>
      <c r="C428" s="572"/>
      <c r="E428" s="544"/>
      <c r="F428" s="544"/>
      <c r="G428" s="544"/>
      <c r="H428" s="544"/>
    </row>
    <row r="429" spans="2:8" x14ac:dyDescent="0.35">
      <c r="B429" s="544"/>
      <c r="C429" s="572"/>
      <c r="E429" s="544"/>
      <c r="F429" s="544"/>
      <c r="G429" s="544"/>
      <c r="H429" s="544"/>
    </row>
    <row r="430" spans="2:8" x14ac:dyDescent="0.35">
      <c r="B430" s="544"/>
      <c r="C430" s="572"/>
      <c r="E430" s="544"/>
      <c r="F430" s="544"/>
      <c r="G430" s="544"/>
      <c r="H430" s="544"/>
    </row>
    <row r="431" spans="2:8" x14ac:dyDescent="0.35">
      <c r="B431" s="544"/>
      <c r="C431" s="572"/>
      <c r="E431" s="544"/>
      <c r="F431" s="544"/>
      <c r="G431" s="544"/>
      <c r="H431" s="544"/>
    </row>
    <row r="432" spans="2:8" x14ac:dyDescent="0.35">
      <c r="B432" s="544"/>
      <c r="C432" s="572"/>
      <c r="E432" s="544"/>
      <c r="F432" s="544"/>
      <c r="G432" s="544"/>
      <c r="H432" s="544"/>
    </row>
    <row r="433" spans="2:8" x14ac:dyDescent="0.35">
      <c r="B433" s="544"/>
      <c r="C433" s="572"/>
      <c r="E433" s="544"/>
      <c r="F433" s="544"/>
      <c r="G433" s="544"/>
      <c r="H433" s="544"/>
    </row>
    <row r="434" spans="2:8" x14ac:dyDescent="0.35">
      <c r="B434" s="544"/>
      <c r="C434" s="572"/>
      <c r="E434" s="544"/>
      <c r="F434" s="544"/>
      <c r="G434" s="544"/>
      <c r="H434" s="544"/>
    </row>
    <row r="435" spans="2:8" x14ac:dyDescent="0.35">
      <c r="B435" s="544"/>
      <c r="C435" s="572"/>
      <c r="E435" s="544"/>
      <c r="F435" s="544"/>
      <c r="G435" s="544"/>
      <c r="H435" s="544"/>
    </row>
    <row r="436" spans="2:8" x14ac:dyDescent="0.35">
      <c r="B436" s="544"/>
      <c r="C436" s="572"/>
      <c r="E436" s="544"/>
      <c r="F436" s="544"/>
      <c r="G436" s="544"/>
      <c r="H436" s="544"/>
    </row>
    <row r="437" spans="2:8" x14ac:dyDescent="0.35">
      <c r="B437" s="544"/>
      <c r="C437" s="572"/>
      <c r="E437" s="544"/>
      <c r="F437" s="544"/>
      <c r="G437" s="544"/>
      <c r="H437" s="544"/>
    </row>
    <row r="438" spans="2:8" x14ac:dyDescent="0.35">
      <c r="B438" s="544"/>
      <c r="C438" s="572"/>
      <c r="E438" s="544"/>
      <c r="F438" s="544"/>
      <c r="G438" s="544"/>
      <c r="H438" s="544"/>
    </row>
    <row r="439" spans="2:8" x14ac:dyDescent="0.35">
      <c r="B439" s="544"/>
      <c r="C439" s="572"/>
      <c r="E439" s="544"/>
      <c r="F439" s="544"/>
      <c r="G439" s="544"/>
      <c r="H439" s="544"/>
    </row>
    <row r="440" spans="2:8" x14ac:dyDescent="0.35">
      <c r="B440" s="544"/>
      <c r="C440" s="572"/>
      <c r="E440" s="544"/>
      <c r="F440" s="544"/>
      <c r="G440" s="544"/>
      <c r="H440" s="544"/>
    </row>
    <row r="441" spans="2:8" x14ac:dyDescent="0.35">
      <c r="B441" s="544"/>
      <c r="C441" s="572"/>
      <c r="E441" s="544"/>
      <c r="F441" s="544"/>
      <c r="G441" s="544"/>
      <c r="H441" s="544"/>
    </row>
    <row r="442" spans="2:8" x14ac:dyDescent="0.35">
      <c r="B442" s="544"/>
      <c r="C442" s="572"/>
      <c r="E442" s="544"/>
      <c r="F442" s="544"/>
      <c r="G442" s="544"/>
      <c r="H442" s="544"/>
    </row>
    <row r="443" spans="2:8" x14ac:dyDescent="0.35">
      <c r="B443" s="544"/>
      <c r="C443" s="572"/>
      <c r="E443" s="544"/>
      <c r="F443" s="544"/>
      <c r="G443" s="544"/>
      <c r="H443" s="544"/>
    </row>
    <row r="444" spans="2:8" x14ac:dyDescent="0.35">
      <c r="B444" s="544"/>
      <c r="C444" s="572"/>
      <c r="E444" s="544"/>
      <c r="F444" s="544"/>
      <c r="G444" s="544"/>
      <c r="H444" s="544"/>
    </row>
    <row r="445" spans="2:8" x14ac:dyDescent="0.35">
      <c r="B445" s="544"/>
      <c r="C445" s="572"/>
      <c r="E445" s="544"/>
      <c r="F445" s="544"/>
      <c r="G445" s="544"/>
      <c r="H445" s="544"/>
    </row>
    <row r="446" spans="2:8" x14ac:dyDescent="0.35">
      <c r="B446" s="544"/>
      <c r="C446" s="572"/>
      <c r="E446" s="544"/>
      <c r="F446" s="544"/>
      <c r="G446" s="544"/>
      <c r="H446" s="544"/>
    </row>
    <row r="447" spans="2:8" x14ac:dyDescent="0.35">
      <c r="B447" s="544"/>
      <c r="C447" s="572"/>
      <c r="E447" s="544"/>
      <c r="F447" s="544"/>
      <c r="G447" s="544"/>
      <c r="H447" s="544"/>
    </row>
    <row r="448" spans="2:8" x14ac:dyDescent="0.35">
      <c r="B448" s="544"/>
      <c r="C448" s="572"/>
      <c r="E448" s="544"/>
      <c r="F448" s="544"/>
      <c r="G448" s="544"/>
      <c r="H448" s="544"/>
    </row>
    <row r="449" spans="2:8" x14ac:dyDescent="0.35">
      <c r="B449" s="544"/>
      <c r="C449" s="572"/>
      <c r="E449" s="544"/>
      <c r="F449" s="544"/>
      <c r="G449" s="544"/>
      <c r="H449" s="544"/>
    </row>
    <row r="450" spans="2:8" x14ac:dyDescent="0.35">
      <c r="B450" s="544"/>
      <c r="C450" s="572"/>
      <c r="E450" s="544"/>
      <c r="F450" s="544"/>
      <c r="G450" s="544"/>
      <c r="H450" s="544"/>
    </row>
    <row r="451" spans="2:8" x14ac:dyDescent="0.35">
      <c r="B451" s="544"/>
      <c r="C451" s="572"/>
      <c r="E451" s="544"/>
      <c r="F451" s="544"/>
      <c r="G451" s="544"/>
      <c r="H451" s="544"/>
    </row>
    <row r="452" spans="2:8" x14ac:dyDescent="0.35">
      <c r="B452" s="544"/>
      <c r="C452" s="572"/>
      <c r="E452" s="544"/>
      <c r="F452" s="544"/>
      <c r="G452" s="544"/>
      <c r="H452" s="544"/>
    </row>
    <row r="453" spans="2:8" x14ac:dyDescent="0.35">
      <c r="B453" s="544"/>
      <c r="C453" s="572"/>
      <c r="E453" s="544"/>
      <c r="F453" s="544"/>
      <c r="G453" s="544"/>
      <c r="H453" s="544"/>
    </row>
    <row r="454" spans="2:8" x14ac:dyDescent="0.35">
      <c r="B454" s="544"/>
      <c r="C454" s="572"/>
      <c r="E454" s="544"/>
      <c r="F454" s="544"/>
      <c r="G454" s="544"/>
      <c r="H454" s="544"/>
    </row>
    <row r="455" spans="2:8" x14ac:dyDescent="0.35">
      <c r="B455" s="544"/>
      <c r="C455" s="572"/>
      <c r="E455" s="544"/>
      <c r="F455" s="544"/>
      <c r="G455" s="544"/>
      <c r="H455" s="544"/>
    </row>
    <row r="456" spans="2:8" x14ac:dyDescent="0.35">
      <c r="B456" s="544"/>
      <c r="C456" s="572"/>
      <c r="E456" s="544"/>
      <c r="F456" s="544"/>
      <c r="G456" s="544"/>
      <c r="H456" s="544"/>
    </row>
    <row r="457" spans="2:8" x14ac:dyDescent="0.35">
      <c r="B457" s="544"/>
      <c r="C457" s="572"/>
      <c r="E457" s="544"/>
      <c r="F457" s="544"/>
      <c r="G457" s="544"/>
      <c r="H457" s="544"/>
    </row>
    <row r="458" spans="2:8" x14ac:dyDescent="0.35">
      <c r="B458" s="544"/>
      <c r="C458" s="572"/>
      <c r="E458" s="544"/>
      <c r="F458" s="544"/>
      <c r="G458" s="544"/>
      <c r="H458" s="544"/>
    </row>
    <row r="459" spans="2:8" x14ac:dyDescent="0.35">
      <c r="B459" s="544"/>
      <c r="C459" s="572"/>
      <c r="E459" s="544"/>
      <c r="F459" s="544"/>
      <c r="G459" s="544"/>
      <c r="H459" s="544"/>
    </row>
    <row r="460" spans="2:8" x14ac:dyDescent="0.35">
      <c r="B460" s="544"/>
      <c r="C460" s="572"/>
      <c r="E460" s="544"/>
      <c r="F460" s="544"/>
      <c r="G460" s="544"/>
      <c r="H460" s="544"/>
    </row>
    <row r="461" spans="2:8" x14ac:dyDescent="0.35">
      <c r="B461" s="544"/>
      <c r="C461" s="572"/>
      <c r="E461" s="544"/>
      <c r="F461" s="544"/>
      <c r="G461" s="544"/>
      <c r="H461" s="544"/>
    </row>
    <row r="462" spans="2:8" x14ac:dyDescent="0.35">
      <c r="B462" s="544"/>
      <c r="C462" s="572"/>
      <c r="E462" s="544"/>
      <c r="F462" s="544"/>
      <c r="G462" s="544"/>
      <c r="H462" s="544"/>
    </row>
    <row r="463" spans="2:8" x14ac:dyDescent="0.35">
      <c r="B463" s="544"/>
      <c r="C463" s="572"/>
      <c r="E463" s="544"/>
      <c r="F463" s="544"/>
      <c r="G463" s="544"/>
      <c r="H463" s="544"/>
    </row>
    <row r="464" spans="2:8" x14ac:dyDescent="0.35">
      <c r="B464" s="544"/>
      <c r="C464" s="572"/>
      <c r="E464" s="544"/>
      <c r="F464" s="544"/>
      <c r="G464" s="544"/>
      <c r="H464" s="544"/>
    </row>
    <row r="465" spans="2:8" x14ac:dyDescent="0.35">
      <c r="B465" s="544"/>
      <c r="C465" s="572"/>
      <c r="E465" s="544"/>
      <c r="F465" s="544"/>
      <c r="G465" s="544"/>
      <c r="H465" s="544"/>
    </row>
    <row r="466" spans="2:8" x14ac:dyDescent="0.35">
      <c r="B466" s="544"/>
      <c r="C466" s="572"/>
      <c r="E466" s="544"/>
      <c r="F466" s="544"/>
      <c r="G466" s="544"/>
      <c r="H466" s="544"/>
    </row>
    <row r="467" spans="2:8" x14ac:dyDescent="0.35">
      <c r="B467" s="544"/>
      <c r="C467" s="572"/>
      <c r="E467" s="544"/>
      <c r="F467" s="544"/>
      <c r="G467" s="544"/>
      <c r="H467" s="544"/>
    </row>
    <row r="468" spans="2:8" x14ac:dyDescent="0.35">
      <c r="B468" s="544"/>
      <c r="C468" s="572"/>
      <c r="E468" s="544"/>
      <c r="F468" s="544"/>
      <c r="G468" s="544"/>
      <c r="H468" s="544"/>
    </row>
    <row r="469" spans="2:8" x14ac:dyDescent="0.35">
      <c r="B469" s="544"/>
      <c r="C469" s="572"/>
      <c r="E469" s="544"/>
      <c r="F469" s="544"/>
      <c r="G469" s="544"/>
      <c r="H469" s="544"/>
    </row>
    <row r="470" spans="2:8" x14ac:dyDescent="0.35">
      <c r="B470" s="544"/>
      <c r="C470" s="572"/>
      <c r="E470" s="544"/>
      <c r="F470" s="544"/>
      <c r="G470" s="544"/>
      <c r="H470" s="544"/>
    </row>
    <row r="471" spans="2:8" x14ac:dyDescent="0.35">
      <c r="B471" s="544"/>
      <c r="C471" s="572"/>
      <c r="E471" s="544"/>
      <c r="F471" s="544"/>
      <c r="G471" s="544"/>
      <c r="H471" s="544"/>
    </row>
    <row r="472" spans="2:8" x14ac:dyDescent="0.35">
      <c r="B472" s="544"/>
      <c r="C472" s="572"/>
      <c r="E472" s="544"/>
      <c r="F472" s="544"/>
      <c r="G472" s="544"/>
      <c r="H472" s="544"/>
    </row>
    <row r="473" spans="2:8" x14ac:dyDescent="0.35">
      <c r="B473" s="544"/>
      <c r="C473" s="572"/>
      <c r="E473" s="544"/>
      <c r="F473" s="544"/>
      <c r="G473" s="544"/>
      <c r="H473" s="544"/>
    </row>
    <row r="474" spans="2:8" x14ac:dyDescent="0.35">
      <c r="B474" s="544"/>
      <c r="C474" s="572"/>
      <c r="E474" s="544"/>
      <c r="F474" s="544"/>
      <c r="G474" s="544"/>
      <c r="H474" s="544"/>
    </row>
    <row r="475" spans="2:8" x14ac:dyDescent="0.35">
      <c r="B475" s="544"/>
      <c r="C475" s="572"/>
      <c r="E475" s="544"/>
      <c r="F475" s="544"/>
      <c r="G475" s="544"/>
      <c r="H475" s="544"/>
    </row>
    <row r="476" spans="2:8" x14ac:dyDescent="0.35">
      <c r="B476" s="544"/>
      <c r="C476" s="572"/>
      <c r="E476" s="544"/>
      <c r="F476" s="544"/>
      <c r="G476" s="544"/>
      <c r="H476" s="544"/>
    </row>
    <row r="477" spans="2:8" x14ac:dyDescent="0.35">
      <c r="B477" s="544"/>
      <c r="C477" s="572"/>
      <c r="E477" s="544"/>
      <c r="F477" s="544"/>
      <c r="G477" s="544"/>
      <c r="H477" s="544"/>
    </row>
    <row r="478" spans="2:8" x14ac:dyDescent="0.35">
      <c r="B478" s="544"/>
      <c r="C478" s="572"/>
      <c r="E478" s="544"/>
      <c r="F478" s="544"/>
      <c r="G478" s="544"/>
      <c r="H478" s="544"/>
    </row>
    <row r="479" spans="2:8" x14ac:dyDescent="0.35">
      <c r="B479" s="544"/>
      <c r="C479" s="572"/>
      <c r="E479" s="544"/>
      <c r="F479" s="544"/>
      <c r="G479" s="544"/>
      <c r="H479" s="544"/>
    </row>
    <row r="480" spans="2:8" x14ac:dyDescent="0.35">
      <c r="B480" s="544"/>
      <c r="C480" s="572"/>
      <c r="E480" s="544"/>
      <c r="F480" s="544"/>
      <c r="G480" s="544"/>
      <c r="H480" s="544"/>
    </row>
    <row r="481" spans="2:8" x14ac:dyDescent="0.35">
      <c r="B481" s="544"/>
      <c r="C481" s="572"/>
      <c r="E481" s="544"/>
      <c r="F481" s="544"/>
      <c r="G481" s="544"/>
      <c r="H481" s="544"/>
    </row>
    <row r="482" spans="2:8" x14ac:dyDescent="0.35">
      <c r="B482" s="544"/>
      <c r="C482" s="572"/>
      <c r="E482" s="544"/>
      <c r="F482" s="544"/>
      <c r="G482" s="544"/>
      <c r="H482" s="544"/>
    </row>
    <row r="483" spans="2:8" x14ac:dyDescent="0.35">
      <c r="B483" s="544"/>
      <c r="C483" s="572"/>
      <c r="E483" s="544"/>
      <c r="F483" s="544"/>
      <c r="G483" s="544"/>
      <c r="H483" s="544"/>
    </row>
    <row r="484" spans="2:8" x14ac:dyDescent="0.35">
      <c r="B484" s="544"/>
      <c r="C484" s="572"/>
      <c r="E484" s="544"/>
      <c r="F484" s="544"/>
      <c r="G484" s="544"/>
      <c r="H484" s="544"/>
    </row>
    <row r="485" spans="2:8" x14ac:dyDescent="0.35">
      <c r="B485" s="544"/>
      <c r="C485" s="572"/>
      <c r="E485" s="544"/>
      <c r="F485" s="544"/>
      <c r="G485" s="544"/>
      <c r="H485" s="544"/>
    </row>
    <row r="486" spans="2:8" x14ac:dyDescent="0.35">
      <c r="B486" s="544"/>
      <c r="C486" s="572"/>
      <c r="E486" s="544"/>
      <c r="F486" s="544"/>
      <c r="G486" s="544"/>
      <c r="H486" s="544"/>
    </row>
    <row r="487" spans="2:8" x14ac:dyDescent="0.35">
      <c r="B487" s="544"/>
      <c r="C487" s="572"/>
      <c r="E487" s="544"/>
      <c r="F487" s="544"/>
      <c r="G487" s="544"/>
      <c r="H487" s="544"/>
    </row>
    <row r="488" spans="2:8" x14ac:dyDescent="0.35">
      <c r="B488" s="544"/>
      <c r="C488" s="572"/>
      <c r="E488" s="544"/>
      <c r="F488" s="544"/>
      <c r="G488" s="544"/>
      <c r="H488" s="544"/>
    </row>
    <row r="489" spans="2:8" x14ac:dyDescent="0.35">
      <c r="B489" s="544"/>
      <c r="C489" s="572"/>
      <c r="E489" s="544"/>
      <c r="F489" s="544"/>
      <c r="G489" s="544"/>
      <c r="H489" s="544"/>
    </row>
    <row r="490" spans="2:8" x14ac:dyDescent="0.35">
      <c r="B490" s="544"/>
      <c r="C490" s="572"/>
      <c r="E490" s="544"/>
      <c r="F490" s="544"/>
      <c r="G490" s="544"/>
      <c r="H490" s="544"/>
    </row>
    <row r="491" spans="2:8" x14ac:dyDescent="0.35">
      <c r="B491" s="544"/>
      <c r="C491" s="572"/>
      <c r="E491" s="544"/>
      <c r="F491" s="544"/>
      <c r="G491" s="544"/>
      <c r="H491" s="544"/>
    </row>
    <row r="492" spans="2:8" x14ac:dyDescent="0.35">
      <c r="B492" s="544"/>
      <c r="C492" s="572"/>
      <c r="E492" s="544"/>
      <c r="F492" s="544"/>
      <c r="G492" s="544"/>
      <c r="H492" s="544"/>
    </row>
    <row r="493" spans="2:8" x14ac:dyDescent="0.35">
      <c r="B493" s="544"/>
      <c r="C493" s="572"/>
      <c r="E493" s="544"/>
      <c r="F493" s="544"/>
      <c r="G493" s="544"/>
      <c r="H493" s="544"/>
    </row>
    <row r="494" spans="2:8" x14ac:dyDescent="0.35">
      <c r="B494" s="544"/>
      <c r="C494" s="572"/>
      <c r="E494" s="544"/>
      <c r="F494" s="544"/>
      <c r="G494" s="544"/>
      <c r="H494" s="544"/>
    </row>
    <row r="495" spans="2:8" x14ac:dyDescent="0.35">
      <c r="B495" s="544"/>
      <c r="C495" s="572"/>
      <c r="E495" s="544"/>
      <c r="F495" s="544"/>
      <c r="G495" s="544"/>
      <c r="H495" s="544"/>
    </row>
    <row r="496" spans="2:8" x14ac:dyDescent="0.35">
      <c r="B496" s="544"/>
      <c r="C496" s="572"/>
      <c r="E496" s="544"/>
      <c r="F496" s="544"/>
      <c r="G496" s="544"/>
      <c r="H496" s="544"/>
    </row>
    <row r="497" spans="2:8" x14ac:dyDescent="0.35">
      <c r="B497" s="544"/>
      <c r="C497" s="572"/>
      <c r="E497" s="544"/>
      <c r="F497" s="544"/>
      <c r="G497" s="544"/>
      <c r="H497" s="544"/>
    </row>
    <row r="498" spans="2:8" x14ac:dyDescent="0.35">
      <c r="B498" s="544"/>
      <c r="C498" s="572"/>
      <c r="E498" s="544"/>
      <c r="F498" s="544"/>
      <c r="G498" s="544"/>
      <c r="H498" s="544"/>
    </row>
    <row r="499" spans="2:8" x14ac:dyDescent="0.35">
      <c r="B499" s="544"/>
      <c r="C499" s="572"/>
      <c r="E499" s="544"/>
      <c r="F499" s="544"/>
      <c r="G499" s="544"/>
      <c r="H499" s="544"/>
    </row>
    <row r="500" spans="2:8" x14ac:dyDescent="0.35">
      <c r="B500" s="544"/>
      <c r="C500" s="572"/>
      <c r="E500" s="544"/>
      <c r="F500" s="544"/>
      <c r="G500" s="544"/>
      <c r="H500" s="544"/>
    </row>
    <row r="501" spans="2:8" x14ac:dyDescent="0.35">
      <c r="B501" s="544"/>
      <c r="C501" s="572"/>
      <c r="E501" s="544"/>
      <c r="F501" s="544"/>
      <c r="G501" s="544"/>
      <c r="H501" s="544"/>
    </row>
    <row r="502" spans="2:8" x14ac:dyDescent="0.35">
      <c r="B502" s="544"/>
      <c r="C502" s="572"/>
      <c r="E502" s="544"/>
      <c r="F502" s="544"/>
      <c r="G502" s="544"/>
      <c r="H502" s="544"/>
    </row>
    <row r="503" spans="2:8" x14ac:dyDescent="0.35">
      <c r="B503" s="544"/>
      <c r="C503" s="572"/>
      <c r="E503" s="544"/>
      <c r="F503" s="544"/>
      <c r="G503" s="544"/>
      <c r="H503" s="544"/>
    </row>
    <row r="504" spans="2:8" x14ac:dyDescent="0.35">
      <c r="B504" s="544"/>
      <c r="C504" s="572"/>
      <c r="E504" s="544"/>
      <c r="F504" s="544"/>
      <c r="G504" s="544"/>
      <c r="H504" s="544"/>
    </row>
    <row r="505" spans="2:8" x14ac:dyDescent="0.35">
      <c r="B505" s="544"/>
      <c r="C505" s="572"/>
      <c r="E505" s="544"/>
      <c r="F505" s="544"/>
      <c r="G505" s="544"/>
      <c r="H505" s="544"/>
    </row>
    <row r="506" spans="2:8" x14ac:dyDescent="0.35">
      <c r="B506" s="544"/>
      <c r="C506" s="572"/>
      <c r="E506" s="544"/>
      <c r="F506" s="544"/>
      <c r="G506" s="544"/>
      <c r="H506" s="544"/>
    </row>
    <row r="507" spans="2:8" x14ac:dyDescent="0.35">
      <c r="B507" s="544"/>
      <c r="C507" s="572"/>
      <c r="E507" s="544"/>
      <c r="F507" s="544"/>
      <c r="G507" s="544"/>
      <c r="H507" s="544"/>
    </row>
    <row r="508" spans="2:8" x14ac:dyDescent="0.35">
      <c r="B508" s="544"/>
      <c r="C508" s="572"/>
      <c r="E508" s="544"/>
      <c r="F508" s="544"/>
      <c r="G508" s="544"/>
      <c r="H508" s="544"/>
    </row>
    <row r="509" spans="2:8" x14ac:dyDescent="0.35">
      <c r="B509" s="544"/>
      <c r="C509" s="572"/>
      <c r="E509" s="544"/>
      <c r="F509" s="544"/>
      <c r="G509" s="544"/>
      <c r="H509" s="544"/>
    </row>
    <row r="510" spans="2:8" x14ac:dyDescent="0.35">
      <c r="B510" s="544"/>
      <c r="C510" s="572"/>
      <c r="E510" s="544"/>
      <c r="F510" s="544"/>
      <c r="G510" s="544"/>
      <c r="H510" s="544"/>
    </row>
    <row r="511" spans="2:8" x14ac:dyDescent="0.35">
      <c r="B511" s="544"/>
      <c r="C511" s="572"/>
      <c r="E511" s="544"/>
      <c r="F511" s="544"/>
      <c r="G511" s="544"/>
      <c r="H511" s="544"/>
    </row>
    <row r="512" spans="2:8" x14ac:dyDescent="0.35">
      <c r="B512" s="544"/>
      <c r="C512" s="572"/>
      <c r="E512" s="544"/>
      <c r="F512" s="544"/>
      <c r="G512" s="544"/>
      <c r="H512" s="544"/>
    </row>
    <row r="513" spans="2:8" x14ac:dyDescent="0.35">
      <c r="B513" s="544"/>
      <c r="C513" s="572"/>
      <c r="E513" s="544"/>
      <c r="F513" s="544"/>
      <c r="G513" s="544"/>
      <c r="H513" s="544"/>
    </row>
    <row r="514" spans="2:8" x14ac:dyDescent="0.35">
      <c r="B514" s="544"/>
      <c r="C514" s="572"/>
      <c r="E514" s="544"/>
      <c r="F514" s="544"/>
      <c r="G514" s="544"/>
      <c r="H514" s="544"/>
    </row>
    <row r="515" spans="2:8" x14ac:dyDescent="0.35">
      <c r="B515" s="544"/>
      <c r="C515" s="572"/>
      <c r="E515" s="544"/>
      <c r="F515" s="544"/>
      <c r="G515" s="544"/>
      <c r="H515" s="544"/>
    </row>
    <row r="516" spans="2:8" x14ac:dyDescent="0.35">
      <c r="B516" s="544"/>
      <c r="C516" s="572"/>
      <c r="E516" s="544"/>
      <c r="F516" s="544"/>
      <c r="G516" s="544"/>
      <c r="H516" s="544"/>
    </row>
    <row r="517" spans="2:8" x14ac:dyDescent="0.35">
      <c r="B517" s="544"/>
      <c r="C517" s="572"/>
      <c r="E517" s="544"/>
      <c r="F517" s="544"/>
      <c r="G517" s="544"/>
      <c r="H517" s="544"/>
    </row>
    <row r="518" spans="2:8" x14ac:dyDescent="0.35">
      <c r="B518" s="544"/>
      <c r="C518" s="572"/>
      <c r="E518" s="544"/>
      <c r="F518" s="544"/>
      <c r="G518" s="544"/>
      <c r="H518" s="544"/>
    </row>
    <row r="519" spans="2:8" x14ac:dyDescent="0.35">
      <c r="B519" s="544"/>
      <c r="C519" s="572"/>
      <c r="E519" s="544"/>
      <c r="F519" s="544"/>
      <c r="G519" s="544"/>
      <c r="H519" s="544"/>
    </row>
    <row r="520" spans="2:8" x14ac:dyDescent="0.35">
      <c r="B520" s="544"/>
      <c r="C520" s="572"/>
      <c r="E520" s="544"/>
      <c r="F520" s="544"/>
      <c r="G520" s="544"/>
      <c r="H520" s="544"/>
    </row>
    <row r="521" spans="2:8" x14ac:dyDescent="0.35">
      <c r="B521" s="544"/>
      <c r="C521" s="572"/>
      <c r="E521" s="544"/>
      <c r="F521" s="544"/>
      <c r="G521" s="544"/>
      <c r="H521" s="544"/>
    </row>
    <row r="522" spans="2:8" x14ac:dyDescent="0.35">
      <c r="B522" s="544"/>
      <c r="C522" s="572"/>
      <c r="E522" s="544"/>
      <c r="F522" s="544"/>
      <c r="G522" s="544"/>
      <c r="H522" s="544"/>
    </row>
    <row r="523" spans="2:8" x14ac:dyDescent="0.35">
      <c r="B523" s="544"/>
      <c r="C523" s="572"/>
      <c r="E523" s="544"/>
      <c r="F523" s="544"/>
      <c r="G523" s="544"/>
      <c r="H523" s="544"/>
    </row>
    <row r="524" spans="2:8" x14ac:dyDescent="0.35">
      <c r="B524" s="544"/>
      <c r="C524" s="572"/>
      <c r="E524" s="544"/>
      <c r="F524" s="544"/>
      <c r="G524" s="544"/>
      <c r="H524" s="544"/>
    </row>
    <row r="525" spans="2:8" x14ac:dyDescent="0.35">
      <c r="B525" s="544"/>
      <c r="C525" s="572"/>
      <c r="E525" s="544"/>
      <c r="F525" s="544"/>
      <c r="G525" s="544"/>
      <c r="H525" s="544"/>
    </row>
    <row r="526" spans="2:8" x14ac:dyDescent="0.35">
      <c r="B526" s="544"/>
      <c r="C526" s="572"/>
      <c r="E526" s="544"/>
      <c r="F526" s="544"/>
      <c r="G526" s="544"/>
      <c r="H526" s="544"/>
    </row>
    <row r="527" spans="2:8" x14ac:dyDescent="0.35">
      <c r="B527" s="544"/>
      <c r="C527" s="572"/>
      <c r="E527" s="544"/>
      <c r="F527" s="544"/>
      <c r="G527" s="544"/>
      <c r="H527" s="544"/>
    </row>
  </sheetData>
  <sheetProtection password="C8C1" sheet="1" objects="1" scenarios="1" selectLockedCells="1"/>
  <dataValidations count="1">
    <dataValidation type="whole" operator="equal" allowBlank="1" showInputMessage="1" showErrorMessage="1" sqref="C11:C15 C20:C23 C30:C34 C39:C42 C50:C54 C59:C62 C69:C74 C79:C84 C89:C92 C99:C103 C108:C112 C117:C120 C125:C128">
      <formula1>1</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50"/>
  </sheetPr>
  <dimension ref="A1:E33"/>
  <sheetViews>
    <sheetView showGridLines="0" showRowColHeaders="0" topLeftCell="A2" zoomScale="80" zoomScaleNormal="80" workbookViewId="0">
      <pane ySplit="3" topLeftCell="A5" activePane="bottomLeft" state="frozen"/>
      <selection activeCell="A2" sqref="A2"/>
      <selection pane="bottomLeft" activeCell="C10" sqref="C10"/>
    </sheetView>
  </sheetViews>
  <sheetFormatPr defaultColWidth="9.1796875" defaultRowHeight="14.5" x14ac:dyDescent="0.35"/>
  <cols>
    <col min="1" max="1" width="3.26953125" style="544" customWidth="1"/>
    <col min="2" max="2" width="20.1796875" style="544" customWidth="1"/>
    <col min="3" max="16" width="16.7265625" style="544" customWidth="1"/>
    <col min="17" max="16384" width="9.1796875" style="544"/>
  </cols>
  <sheetData>
    <row r="1" spans="1:4" ht="18.5" hidden="1" x14ac:dyDescent="0.35">
      <c r="B1" s="564" t="e">
        <f>Overview_SLUDGE!#REF!</f>
        <v>#REF!</v>
      </c>
    </row>
    <row r="2" spans="1:4" s="520" customFormat="1" ht="36.75" customHeight="1" x14ac:dyDescent="0.45">
      <c r="B2" s="824" t="str">
        <f>'User interface_RES'!AJ11</f>
        <v>Any city in , the world</v>
      </c>
    </row>
    <row r="3" spans="1:4" s="520" customFormat="1" hidden="1" x14ac:dyDescent="0.35">
      <c r="B3" s="521"/>
    </row>
    <row r="4" spans="1:4" s="658" customFormat="1" ht="57" customHeight="1" thickBot="1" x14ac:dyDescent="0.4">
      <c r="B4" s="1527" t="s">
        <v>726</v>
      </c>
      <c r="C4" s="1753"/>
      <c r="D4" s="1753"/>
    </row>
    <row r="5" spans="1:4" x14ac:dyDescent="0.35">
      <c r="A5" s="903"/>
    </row>
    <row r="7" spans="1:4" ht="15.5" x14ac:dyDescent="0.35">
      <c r="B7" s="592" t="s">
        <v>727</v>
      </c>
    </row>
    <row r="8" spans="1:4" ht="14.5" customHeight="1" x14ac:dyDescent="0.35">
      <c r="B8" s="1669"/>
      <c r="C8" s="1733" t="s">
        <v>728</v>
      </c>
      <c r="D8" s="1733" t="s">
        <v>729</v>
      </c>
    </row>
    <row r="9" spans="1:4" x14ac:dyDescent="0.35">
      <c r="B9" s="1754"/>
      <c r="C9" s="1734"/>
      <c r="D9" s="1734"/>
    </row>
    <row r="10" spans="1:4" ht="17.149999999999999" customHeight="1" x14ac:dyDescent="0.35">
      <c r="B10" s="482" t="s">
        <v>730</v>
      </c>
      <c r="C10" s="893"/>
      <c r="D10" s="900"/>
    </row>
    <row r="11" spans="1:4" ht="17.149999999999999" customHeight="1" x14ac:dyDescent="0.35">
      <c r="B11" s="482" t="s">
        <v>731</v>
      </c>
      <c r="C11" s="893"/>
      <c r="D11" s="900"/>
    </row>
    <row r="12" spans="1:4" ht="17.149999999999999" customHeight="1" x14ac:dyDescent="0.35">
      <c r="B12" s="482" t="s">
        <v>732</v>
      </c>
      <c r="C12" s="893"/>
      <c r="D12" s="900"/>
    </row>
    <row r="13" spans="1:4" ht="17.149999999999999" customHeight="1" x14ac:dyDescent="0.35">
      <c r="B13" s="482" t="s">
        <v>733</v>
      </c>
      <c r="C13" s="893"/>
      <c r="D13" s="900"/>
    </row>
    <row r="14" spans="1:4" ht="17.149999999999999" customHeight="1" x14ac:dyDescent="0.35">
      <c r="B14" s="482" t="s">
        <v>734</v>
      </c>
      <c r="C14" s="893"/>
      <c r="D14" s="900"/>
    </row>
    <row r="15" spans="1:4" ht="17.149999999999999" customHeight="1" x14ac:dyDescent="0.35">
      <c r="B15" s="482" t="s">
        <v>735</v>
      </c>
      <c r="C15" s="893"/>
      <c r="D15" s="900"/>
    </row>
    <row r="16" spans="1:4" ht="17.149999999999999" customHeight="1" x14ac:dyDescent="0.35">
      <c r="B16" s="482" t="s">
        <v>736</v>
      </c>
      <c r="C16" s="893"/>
      <c r="D16" s="900"/>
    </row>
    <row r="17" spans="2:5" ht="17.149999999999999" customHeight="1" x14ac:dyDescent="0.35">
      <c r="B17" s="482" t="s">
        <v>737</v>
      </c>
      <c r="C17" s="893"/>
      <c r="D17" s="900"/>
    </row>
    <row r="18" spans="2:5" ht="17.149999999999999" customHeight="1" x14ac:dyDescent="0.35">
      <c r="B18" s="482" t="s">
        <v>738</v>
      </c>
      <c r="C18" s="893"/>
      <c r="D18" s="900"/>
    </row>
    <row r="19" spans="2:5" ht="17.149999999999999" customHeight="1" x14ac:dyDescent="0.35"/>
    <row r="20" spans="2:5" ht="17.149999999999999" customHeight="1" x14ac:dyDescent="0.35">
      <c r="B20" s="592" t="s">
        <v>739</v>
      </c>
    </row>
    <row r="21" spans="2:5" x14ac:dyDescent="0.35">
      <c r="B21" s="1669"/>
      <c r="C21" s="1733" t="s">
        <v>740</v>
      </c>
      <c r="D21" s="1733" t="s">
        <v>741</v>
      </c>
      <c r="E21" s="1733" t="s">
        <v>729</v>
      </c>
    </row>
    <row r="22" spans="2:5" x14ac:dyDescent="0.35">
      <c r="B22" s="1754"/>
      <c r="C22" s="1734"/>
      <c r="D22" s="1734"/>
      <c r="E22" s="1734"/>
    </row>
    <row r="23" spans="2:5" ht="17.149999999999999" customHeight="1" x14ac:dyDescent="0.35">
      <c r="B23" s="482" t="s">
        <v>730</v>
      </c>
      <c r="C23" s="893"/>
      <c r="D23" s="893"/>
      <c r="E23" s="893"/>
    </row>
    <row r="24" spans="2:5" ht="17.149999999999999" customHeight="1" x14ac:dyDescent="0.35">
      <c r="B24" s="482" t="s">
        <v>731</v>
      </c>
      <c r="C24" s="893"/>
      <c r="D24" s="893"/>
      <c r="E24" s="893"/>
    </row>
    <row r="25" spans="2:5" ht="17.149999999999999" customHeight="1" x14ac:dyDescent="0.35">
      <c r="B25" s="482" t="s">
        <v>732</v>
      </c>
      <c r="C25" s="893"/>
      <c r="D25" s="893"/>
      <c r="E25" s="893"/>
    </row>
    <row r="26" spans="2:5" ht="17.149999999999999" customHeight="1" x14ac:dyDescent="0.35">
      <c r="B26" s="482" t="s">
        <v>733</v>
      </c>
      <c r="C26" s="893"/>
      <c r="D26" s="893"/>
      <c r="E26" s="893"/>
    </row>
    <row r="27" spans="2:5" ht="17.149999999999999" customHeight="1" x14ac:dyDescent="0.35">
      <c r="B27" s="482" t="s">
        <v>734</v>
      </c>
      <c r="C27" s="893"/>
      <c r="D27" s="893"/>
      <c r="E27" s="893"/>
    </row>
    <row r="28" spans="2:5" ht="17.149999999999999" customHeight="1" x14ac:dyDescent="0.35">
      <c r="B28" s="482" t="s">
        <v>735</v>
      </c>
      <c r="C28" s="893"/>
      <c r="D28" s="893"/>
      <c r="E28" s="893"/>
    </row>
    <row r="29" spans="2:5" ht="17.149999999999999" customHeight="1" x14ac:dyDescent="0.35">
      <c r="B29" s="482" t="s">
        <v>736</v>
      </c>
      <c r="C29" s="893"/>
      <c r="D29" s="893"/>
      <c r="E29" s="893"/>
    </row>
    <row r="30" spans="2:5" ht="17.149999999999999" customHeight="1" x14ac:dyDescent="0.35">
      <c r="B30" s="482" t="s">
        <v>737</v>
      </c>
      <c r="C30" s="893"/>
      <c r="D30" s="893"/>
      <c r="E30" s="893"/>
    </row>
    <row r="31" spans="2:5" ht="17.149999999999999" customHeight="1" x14ac:dyDescent="0.35"/>
    <row r="32" spans="2:5" ht="17.149999999999999" customHeight="1" x14ac:dyDescent="0.35"/>
    <row r="33" ht="17.149999999999999" customHeight="1" x14ac:dyDescent="0.35"/>
  </sheetData>
  <sheetProtection password="C8C1" sheet="1" objects="1" scenarios="1" selectLockedCells="1"/>
  <mergeCells count="8">
    <mergeCell ref="B4:D4"/>
    <mergeCell ref="E21:E22"/>
    <mergeCell ref="B8:B9"/>
    <mergeCell ref="C8:C9"/>
    <mergeCell ref="D8:D9"/>
    <mergeCell ref="B21:B22"/>
    <mergeCell ref="C21:C22"/>
    <mergeCell ref="D21:D22"/>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theme="6"/>
  </sheetPr>
  <dimension ref="A1:AA116"/>
  <sheetViews>
    <sheetView workbookViewId="0">
      <selection activeCell="A3" sqref="A3"/>
    </sheetView>
  </sheetViews>
  <sheetFormatPr defaultColWidth="9.1796875" defaultRowHeight="13" x14ac:dyDescent="0.35"/>
  <cols>
    <col min="1" max="1" width="7.7265625" style="3" customWidth="1"/>
    <col min="2" max="2" width="45.7265625" style="3" customWidth="1"/>
    <col min="3" max="3" width="10.7265625" style="4" customWidth="1"/>
    <col min="4" max="7" width="10.7265625" style="3" customWidth="1"/>
    <col min="8" max="8" width="10.7265625" style="47" customWidth="1"/>
    <col min="9" max="9" width="10.7265625" style="3" customWidth="1"/>
    <col min="10" max="18" width="35.7265625" style="3" customWidth="1"/>
    <col min="19" max="26" width="9.1796875" style="3"/>
    <col min="27" max="27" width="3.7265625" style="3" customWidth="1"/>
    <col min="28" max="16384" width="9.1796875" style="3"/>
  </cols>
  <sheetData>
    <row r="1" spans="1:27" ht="18.5" x14ac:dyDescent="0.35">
      <c r="A1" s="13" t="str">
        <f>'User interface_RES'!AJ11</f>
        <v>Any city in , the world</v>
      </c>
    </row>
    <row r="2" spans="1:27" s="185" customFormat="1" ht="10.5" x14ac:dyDescent="0.35">
      <c r="A2" s="237"/>
      <c r="C2" s="247"/>
      <c r="H2" s="237"/>
    </row>
    <row r="3" spans="1:27" ht="26" x14ac:dyDescent="0.35">
      <c r="A3" s="182" t="s">
        <v>742</v>
      </c>
    </row>
    <row r="4" spans="1:27" ht="17.149999999999999" customHeight="1" x14ac:dyDescent="0.35">
      <c r="C4" s="126"/>
    </row>
    <row r="5" spans="1:27" ht="17.149999999999999" customHeight="1" x14ac:dyDescent="0.35"/>
    <row r="6" spans="1:27" ht="17.149999999999999" customHeight="1" x14ac:dyDescent="0.35">
      <c r="A6" s="2" t="s">
        <v>593</v>
      </c>
      <c r="J6" s="11" t="s">
        <v>521</v>
      </c>
    </row>
    <row r="7" spans="1:27" s="12" customFormat="1" ht="28" customHeight="1" x14ac:dyDescent="0.35">
      <c r="A7" s="1093" t="s">
        <v>743</v>
      </c>
      <c r="B7" s="1503" t="s">
        <v>594</v>
      </c>
      <c r="C7" s="1094" t="s">
        <v>744</v>
      </c>
      <c r="D7" s="1503" t="s">
        <v>745</v>
      </c>
      <c r="E7" s="1503" t="s">
        <v>746</v>
      </c>
      <c r="F7" s="1511" t="s">
        <v>747</v>
      </c>
      <c r="G7" s="1511" t="s">
        <v>746</v>
      </c>
      <c r="H7" s="1511" t="s">
        <v>748</v>
      </c>
      <c r="J7" s="991" t="s">
        <v>595</v>
      </c>
      <c r="K7" s="1036" t="s">
        <v>596</v>
      </c>
      <c r="L7" s="991" t="s">
        <v>597</v>
      </c>
      <c r="M7" s="991" t="s">
        <v>598</v>
      </c>
    </row>
    <row r="8" spans="1:27" s="60" customFormat="1" ht="31" x14ac:dyDescent="0.35">
      <c r="A8" s="1510">
        <v>0</v>
      </c>
      <c r="B8" s="1100" t="s">
        <v>600</v>
      </c>
      <c r="C8" s="417">
        <f>'Interface_City issues'!C9</f>
        <v>1</v>
      </c>
      <c r="D8" s="417">
        <v>1</v>
      </c>
      <c r="E8" s="418">
        <f>IF(C8=1,(C8*D8)*0,"")</f>
        <v>0</v>
      </c>
      <c r="F8" s="417">
        <v>1</v>
      </c>
      <c r="G8" s="418">
        <f>IF(C8=1,(C8*F8)*0,"")</f>
        <v>0</v>
      </c>
      <c r="H8" s="419">
        <f>G8</f>
        <v>0</v>
      </c>
      <c r="J8" s="1100">
        <f>'Interface_City issues'!E9</f>
        <v>0</v>
      </c>
      <c r="K8" s="1100">
        <f>'Interface_City issues'!F9</f>
        <v>0</v>
      </c>
      <c r="L8" s="1100">
        <f>'Interface_City issues'!G9</f>
        <v>0</v>
      </c>
      <c r="M8" s="1100">
        <f>'Interface_City issues'!H9</f>
        <v>0</v>
      </c>
      <c r="AA8" s="1101" t="s">
        <v>601</v>
      </c>
    </row>
    <row r="9" spans="1:27" s="60" customFormat="1" ht="31" x14ac:dyDescent="0.35">
      <c r="A9" s="1510">
        <v>1</v>
      </c>
      <c r="B9" s="1100" t="s">
        <v>602</v>
      </c>
      <c r="C9" s="417">
        <f>'Interface_City issues'!C10</f>
        <v>1</v>
      </c>
      <c r="D9" s="417">
        <v>0.5</v>
      </c>
      <c r="E9" s="418">
        <f>IF(C9=1,(C9*D9)*1,"")</f>
        <v>0.5</v>
      </c>
      <c r="F9" s="417">
        <v>0.5</v>
      </c>
      <c r="G9" s="418">
        <f>IF(C9=1,(C9*F9)*1,"")</f>
        <v>0.5</v>
      </c>
      <c r="H9" s="419">
        <f>G9</f>
        <v>0.5</v>
      </c>
      <c r="J9" s="1100">
        <f>'Interface_City issues'!E10</f>
        <v>0</v>
      </c>
      <c r="K9" s="1100">
        <f>'Interface_City issues'!F10</f>
        <v>0</v>
      </c>
      <c r="L9" s="1100">
        <f>'Interface_City issues'!G10</f>
        <v>0</v>
      </c>
      <c r="M9" s="1100">
        <f>'Interface_City issues'!H10</f>
        <v>0</v>
      </c>
      <c r="AA9" s="1101" t="s">
        <v>601</v>
      </c>
    </row>
    <row r="10" spans="1:27" s="60" customFormat="1" ht="39" x14ac:dyDescent="0.35">
      <c r="A10" s="1510">
        <v>2</v>
      </c>
      <c r="B10" s="1100" t="s">
        <v>603</v>
      </c>
      <c r="C10" s="417">
        <f>'Interface_City issues'!C11</f>
        <v>1</v>
      </c>
      <c r="D10" s="417">
        <v>0.5</v>
      </c>
      <c r="E10" s="418">
        <f>IF(C10=1,(C10*D10)*1,"")</f>
        <v>0.5</v>
      </c>
      <c r="F10" s="417">
        <v>0.5</v>
      </c>
      <c r="G10" s="418">
        <f>IF(C10=1,(C10*F10)*1,"")</f>
        <v>0.5</v>
      </c>
      <c r="H10" s="419">
        <f>G10</f>
        <v>0.5</v>
      </c>
      <c r="J10" s="1100">
        <f>'Interface_City issues'!E11</f>
        <v>0</v>
      </c>
      <c r="K10" s="1100">
        <f>'Interface_City issues'!F11</f>
        <v>0</v>
      </c>
      <c r="L10" s="1100">
        <f>'Interface_City issues'!G11</f>
        <v>0</v>
      </c>
      <c r="M10" s="1100">
        <f>'Interface_City issues'!H11</f>
        <v>0</v>
      </c>
      <c r="AA10" s="1101" t="s">
        <v>601</v>
      </c>
    </row>
    <row r="11" spans="1:27" s="60" customFormat="1" ht="31" x14ac:dyDescent="0.35">
      <c r="A11" s="1510">
        <v>3</v>
      </c>
      <c r="B11" s="1100" t="s">
        <v>604</v>
      </c>
      <c r="C11" s="417">
        <f>'Interface_City issues'!C12</f>
        <v>1</v>
      </c>
      <c r="D11" s="417">
        <v>1</v>
      </c>
      <c r="E11" s="418">
        <f>IF(C11=1,(C11*D11)*1,"")</f>
        <v>1</v>
      </c>
      <c r="F11" s="417">
        <v>1</v>
      </c>
      <c r="G11" s="418">
        <f>IF(C11=1,(C11*F11)*1,"")</f>
        <v>1</v>
      </c>
      <c r="H11" s="419">
        <f>G11</f>
        <v>1</v>
      </c>
      <c r="J11" s="1100">
        <f>'Interface_City issues'!E12</f>
        <v>0</v>
      </c>
      <c r="K11" s="1100">
        <f>'Interface_City issues'!F12</f>
        <v>0</v>
      </c>
      <c r="L11" s="1100">
        <f>'Interface_City issues'!G12</f>
        <v>0</v>
      </c>
      <c r="M11" s="1100">
        <f>'Interface_City issues'!H12</f>
        <v>0</v>
      </c>
      <c r="AA11" s="1101" t="s">
        <v>601</v>
      </c>
    </row>
    <row r="12" spans="1:27" s="60" customFormat="1" ht="31" x14ac:dyDescent="0.35">
      <c r="A12" s="1510">
        <v>4</v>
      </c>
      <c r="B12" s="1103" t="s">
        <v>605</v>
      </c>
      <c r="C12" s="417">
        <f>'Interface_City issues'!C13</f>
        <v>0</v>
      </c>
      <c r="D12" s="417">
        <v>1</v>
      </c>
      <c r="E12" s="418" t="str">
        <f>IF(C12=1,(C12*D12)*1,"")</f>
        <v/>
      </c>
      <c r="F12" s="417">
        <v>1</v>
      </c>
      <c r="G12" s="418" t="str">
        <f>IF(C12=1,(C12*F12)*1,"")</f>
        <v/>
      </c>
      <c r="H12" s="419" t="str">
        <f>IF(C8=0,E12,G12)</f>
        <v/>
      </c>
      <c r="J12" s="1100">
        <f>'Interface_City issues'!E13</f>
        <v>0</v>
      </c>
      <c r="K12" s="1100">
        <f>'Interface_City issues'!F13</f>
        <v>0</v>
      </c>
      <c r="L12" s="1100">
        <f>'Interface_City issues'!G13</f>
        <v>0</v>
      </c>
      <c r="M12" s="1100">
        <f>'Interface_City issues'!H13</f>
        <v>0</v>
      </c>
      <c r="AA12" s="1101" t="s">
        <v>601</v>
      </c>
    </row>
    <row r="13" spans="1:27" ht="17.149999999999999" customHeight="1" x14ac:dyDescent="0.35">
      <c r="C13" s="58"/>
      <c r="D13" s="4"/>
      <c r="E13" s="4"/>
      <c r="F13" s="4"/>
      <c r="G13" s="4"/>
    </row>
    <row r="14" spans="1:27" ht="17.149999999999999" customHeight="1" x14ac:dyDescent="0.35">
      <c r="B14" s="48" t="s">
        <v>749</v>
      </c>
      <c r="C14" s="1102"/>
      <c r="D14" s="1102"/>
      <c r="E14" s="1104">
        <f>SUM(E8:E12)</f>
        <v>2</v>
      </c>
      <c r="F14" s="1102"/>
      <c r="G14" s="1104">
        <f>SUM(G8:G12)</f>
        <v>2</v>
      </c>
      <c r="H14" s="1105">
        <f>SUM(H8:H12)</f>
        <v>2</v>
      </c>
    </row>
    <row r="15" spans="1:27" ht="17.149999999999999" customHeight="1" x14ac:dyDescent="0.35">
      <c r="B15" s="47"/>
      <c r="D15" s="4"/>
      <c r="E15" s="4"/>
      <c r="F15" s="4"/>
      <c r="G15" s="4"/>
    </row>
    <row r="16" spans="1:27" ht="17.149999999999999" customHeight="1" x14ac:dyDescent="0.35">
      <c r="B16" s="48" t="s">
        <v>750</v>
      </c>
      <c r="C16" s="1102"/>
      <c r="D16" s="1102"/>
      <c r="E16" s="1102"/>
      <c r="F16" s="1102"/>
      <c r="G16" s="1104"/>
      <c r="H16" s="1105">
        <f>SUM(F8:F12)</f>
        <v>4</v>
      </c>
    </row>
    <row r="17" spans="1:27" ht="17.149999999999999" customHeight="1" x14ac:dyDescent="0.35">
      <c r="B17" s="47"/>
      <c r="D17" s="4"/>
      <c r="E17" s="4"/>
      <c r="F17" s="4"/>
      <c r="G17" s="4"/>
    </row>
    <row r="18" spans="1:27" s="12" customFormat="1" ht="17.149999999999999" customHeight="1" x14ac:dyDescent="0.35">
      <c r="B18" s="23" t="s">
        <v>751</v>
      </c>
      <c r="C18" s="963">
        <f>SUM(C8:C12)</f>
        <v>4</v>
      </c>
      <c r="D18" s="963"/>
      <c r="E18" s="963"/>
      <c r="F18" s="963"/>
      <c r="G18" s="963"/>
      <c r="H18" s="352">
        <f>IF(C8=1,H14/H16,0)</f>
        <v>0.5</v>
      </c>
    </row>
    <row r="19" spans="1:27" ht="17.149999999999999" customHeight="1" x14ac:dyDescent="0.35"/>
    <row r="20" spans="1:27" ht="17.149999999999999" customHeight="1" x14ac:dyDescent="0.35"/>
    <row r="21" spans="1:27" ht="17.149999999999999" customHeight="1" x14ac:dyDescent="0.35">
      <c r="A21" s="2" t="s">
        <v>606</v>
      </c>
      <c r="J21" s="11" t="s">
        <v>521</v>
      </c>
    </row>
    <row r="22" spans="1:27" s="47" customFormat="1" ht="28" customHeight="1" x14ac:dyDescent="0.35">
      <c r="A22" s="1097" t="s">
        <v>743</v>
      </c>
      <c r="B22" s="1503" t="s">
        <v>594</v>
      </c>
      <c r="C22" s="1098" t="s">
        <v>752</v>
      </c>
      <c r="D22" s="1095" t="s">
        <v>745</v>
      </c>
      <c r="E22" s="1095" t="s">
        <v>746</v>
      </c>
      <c r="F22" s="1525" t="s">
        <v>747</v>
      </c>
      <c r="G22" s="1525" t="s">
        <v>746</v>
      </c>
      <c r="H22" s="1525" t="s">
        <v>748</v>
      </c>
      <c r="J22" s="1095" t="s">
        <v>595</v>
      </c>
      <c r="K22" s="1525" t="s">
        <v>596</v>
      </c>
      <c r="L22" s="1095" t="s">
        <v>597</v>
      </c>
      <c r="M22" s="1095" t="s">
        <v>598</v>
      </c>
      <c r="N22" s="1095" t="s">
        <v>521</v>
      </c>
    </row>
    <row r="23" spans="1:27" ht="31" x14ac:dyDescent="0.35">
      <c r="A23" s="1510">
        <v>0</v>
      </c>
      <c r="B23" s="1100" t="s">
        <v>608</v>
      </c>
      <c r="C23" s="417">
        <f>'Interface_City issues'!C18</f>
        <v>1</v>
      </c>
      <c r="D23" s="417">
        <v>1</v>
      </c>
      <c r="E23" s="418">
        <f>IF(C23=1,(C23*D23)*0,"")</f>
        <v>0</v>
      </c>
      <c r="F23" s="417">
        <v>1</v>
      </c>
      <c r="G23" s="418">
        <f>IF(C23=1,(C23*F23)*0,"")</f>
        <v>0</v>
      </c>
      <c r="H23" s="419">
        <f>G23</f>
        <v>0</v>
      </c>
      <c r="I23" s="60"/>
      <c r="J23" s="1100">
        <f>'Interface_City issues'!E18</f>
        <v>0</v>
      </c>
      <c r="K23" s="1100">
        <f>'Interface_City issues'!F18</f>
        <v>0</v>
      </c>
      <c r="L23" s="1100">
        <f>'Interface_City issues'!G18</f>
        <v>0</v>
      </c>
      <c r="M23" s="1100">
        <f>'Interface_City issues'!H18</f>
        <v>0</v>
      </c>
      <c r="N23" s="953">
        <f>'Interface_City issues'!I9</f>
        <v>0</v>
      </c>
      <c r="AA23" s="1099" t="s">
        <v>601</v>
      </c>
    </row>
    <row r="24" spans="1:27" ht="31" x14ac:dyDescent="0.35">
      <c r="A24" s="1510">
        <v>1</v>
      </c>
      <c r="B24" s="1100" t="s">
        <v>602</v>
      </c>
      <c r="C24" s="417">
        <f>'Interface_City issues'!C19</f>
        <v>1</v>
      </c>
      <c r="D24" s="417">
        <v>0.5</v>
      </c>
      <c r="E24" s="418">
        <f>IF(C24=1,(C24*D24)*1,"")</f>
        <v>0.5</v>
      </c>
      <c r="F24" s="417">
        <v>0.5</v>
      </c>
      <c r="G24" s="418">
        <f>IF(C24=1,(C24*F24)*1,"")</f>
        <v>0.5</v>
      </c>
      <c r="H24" s="419">
        <f>G24</f>
        <v>0.5</v>
      </c>
      <c r="I24" s="60"/>
      <c r="J24" s="1100">
        <f>'Interface_City issues'!E19</f>
        <v>0</v>
      </c>
      <c r="K24" s="1100">
        <f>'Interface_City issues'!F19</f>
        <v>0</v>
      </c>
      <c r="L24" s="1100">
        <f>'Interface_City issues'!G19</f>
        <v>0</v>
      </c>
      <c r="M24" s="1100">
        <f>'Interface_City issues'!H19</f>
        <v>0</v>
      </c>
      <c r="N24" s="953">
        <f>'Interface_City issues'!I10</f>
        <v>0</v>
      </c>
      <c r="AA24" s="1099" t="s">
        <v>601</v>
      </c>
    </row>
    <row r="25" spans="1:27" ht="31" x14ac:dyDescent="0.35">
      <c r="A25" s="1510">
        <v>2</v>
      </c>
      <c r="B25" s="1100" t="s">
        <v>603</v>
      </c>
      <c r="C25" s="417">
        <f>'Interface_City issues'!C20</f>
        <v>1</v>
      </c>
      <c r="D25" s="417">
        <v>0.5</v>
      </c>
      <c r="E25" s="418">
        <f>IF(C25=1,(C25*D25)*1,"")</f>
        <v>0.5</v>
      </c>
      <c r="F25" s="417">
        <v>0.5</v>
      </c>
      <c r="G25" s="418">
        <f>IF(C25=1,(C25*F25)*1,"")</f>
        <v>0.5</v>
      </c>
      <c r="H25" s="419">
        <f>G25</f>
        <v>0.5</v>
      </c>
      <c r="I25" s="60"/>
      <c r="J25" s="1100">
        <f>'Interface_City issues'!E20</f>
        <v>0</v>
      </c>
      <c r="K25" s="1100">
        <f>'Interface_City issues'!F20</f>
        <v>0</v>
      </c>
      <c r="L25" s="1100">
        <f>'Interface_City issues'!G20</f>
        <v>0</v>
      </c>
      <c r="M25" s="1100">
        <f>'Interface_City issues'!H20</f>
        <v>0</v>
      </c>
      <c r="N25" s="953">
        <f>'Interface_City issues'!I11</f>
        <v>0</v>
      </c>
      <c r="AA25" s="1099" t="s">
        <v>601</v>
      </c>
    </row>
    <row r="26" spans="1:27" ht="31" x14ac:dyDescent="0.35">
      <c r="A26" s="1510">
        <v>3</v>
      </c>
      <c r="B26" s="1100" t="s">
        <v>604</v>
      </c>
      <c r="C26" s="417">
        <f>'Interface_City issues'!C21</f>
        <v>1</v>
      </c>
      <c r="D26" s="417">
        <v>1</v>
      </c>
      <c r="E26" s="418">
        <f>IF(C26=1,(C26*D26)*1,"")</f>
        <v>1</v>
      </c>
      <c r="F26" s="417">
        <v>1</v>
      </c>
      <c r="G26" s="418">
        <f>IF(C26=1,(C26*F26)*1,"")</f>
        <v>1</v>
      </c>
      <c r="H26" s="419">
        <f>G26</f>
        <v>1</v>
      </c>
      <c r="I26" s="60"/>
      <c r="J26" s="1100">
        <f>'Interface_City issues'!E21</f>
        <v>0</v>
      </c>
      <c r="K26" s="1100">
        <f>'Interface_City issues'!F21</f>
        <v>0</v>
      </c>
      <c r="L26" s="1100">
        <f>'Interface_City issues'!G21</f>
        <v>0</v>
      </c>
      <c r="M26" s="1100">
        <f>'Interface_City issues'!H21</f>
        <v>0</v>
      </c>
      <c r="N26" s="953">
        <f>'Interface_City issues'!I12</f>
        <v>0</v>
      </c>
      <c r="AA26" s="1099" t="s">
        <v>601</v>
      </c>
    </row>
    <row r="27" spans="1:27" ht="31" x14ac:dyDescent="0.35">
      <c r="A27" s="1510">
        <v>4</v>
      </c>
      <c r="B27" s="1103" t="s">
        <v>605</v>
      </c>
      <c r="C27" s="417">
        <f>'Interface_City issues'!C22</f>
        <v>0</v>
      </c>
      <c r="D27" s="417">
        <v>1</v>
      </c>
      <c r="E27" s="418" t="str">
        <f>IF(C27=1,(C27*D27)*1,"")</f>
        <v/>
      </c>
      <c r="F27" s="417">
        <v>1</v>
      </c>
      <c r="G27" s="418" t="str">
        <f>IF(C27=1,(C27*F27)*1,"")</f>
        <v/>
      </c>
      <c r="H27" s="419" t="str">
        <f>IF(C23=0,E27,G27)</f>
        <v/>
      </c>
      <c r="I27" s="60"/>
      <c r="J27" s="1100">
        <f>'Interface_City issues'!E22</f>
        <v>0</v>
      </c>
      <c r="K27" s="1100">
        <f>'Interface_City issues'!F22</f>
        <v>0</v>
      </c>
      <c r="L27" s="1100">
        <f>'Interface_City issues'!G22</f>
        <v>0</v>
      </c>
      <c r="M27" s="1100">
        <f>'Interface_City issues'!H22</f>
        <v>0</v>
      </c>
      <c r="N27" s="953">
        <f>'Interface_City issues'!I13</f>
        <v>0</v>
      </c>
      <c r="AA27" s="1099" t="s">
        <v>601</v>
      </c>
    </row>
    <row r="28" spans="1:27" ht="17.149999999999999" customHeight="1" x14ac:dyDescent="0.35">
      <c r="D28" s="4"/>
      <c r="E28" s="4"/>
      <c r="F28" s="4"/>
      <c r="G28" s="4"/>
    </row>
    <row r="29" spans="1:27" ht="17.149999999999999" customHeight="1" x14ac:dyDescent="0.35">
      <c r="B29" s="48" t="s">
        <v>749</v>
      </c>
      <c r="C29" s="1102"/>
      <c r="D29" s="1102"/>
      <c r="E29" s="1104">
        <f>SUM(E23:E27)</f>
        <v>2</v>
      </c>
      <c r="F29" s="1102"/>
      <c r="G29" s="1104">
        <f>SUM(G23:G27)</f>
        <v>2</v>
      </c>
      <c r="H29" s="1105">
        <f>SUM(H23:H27)</f>
        <v>2</v>
      </c>
    </row>
    <row r="30" spans="1:27" ht="17.149999999999999" customHeight="1" x14ac:dyDescent="0.35">
      <c r="B30" s="47"/>
      <c r="D30" s="4"/>
      <c r="E30" s="4"/>
      <c r="F30" s="4"/>
      <c r="G30" s="4"/>
    </row>
    <row r="31" spans="1:27" ht="17.149999999999999" customHeight="1" x14ac:dyDescent="0.35">
      <c r="B31" s="48" t="s">
        <v>750</v>
      </c>
      <c r="C31" s="1102"/>
      <c r="D31" s="1102"/>
      <c r="E31" s="1102"/>
      <c r="F31" s="1102"/>
      <c r="G31" s="1104"/>
      <c r="H31" s="1105">
        <f>SUM(F23:F27)</f>
        <v>4</v>
      </c>
    </row>
    <row r="32" spans="1:27" ht="17.149999999999999" customHeight="1" x14ac:dyDescent="0.35">
      <c r="B32" s="47"/>
      <c r="D32" s="4"/>
      <c r="E32" s="4"/>
      <c r="F32" s="4"/>
      <c r="G32" s="4"/>
    </row>
    <row r="33" spans="1:27" s="12" customFormat="1" ht="17.149999999999999" customHeight="1" x14ac:dyDescent="0.35">
      <c r="B33" s="23" t="s">
        <v>751</v>
      </c>
      <c r="C33" s="963">
        <f>SUM(C23:C27)</f>
        <v>4</v>
      </c>
      <c r="D33" s="963"/>
      <c r="E33" s="963"/>
      <c r="F33" s="963"/>
      <c r="G33" s="963"/>
      <c r="H33" s="352">
        <f>IF(C23=1,H29/H31,0)</f>
        <v>0.5</v>
      </c>
      <c r="I33" s="40"/>
    </row>
    <row r="34" spans="1:27" ht="17.149999999999999" customHeight="1" x14ac:dyDescent="0.35">
      <c r="B34" s="8"/>
      <c r="C34" s="5"/>
      <c r="D34" s="5"/>
      <c r="E34" s="5"/>
      <c r="F34" s="5"/>
      <c r="G34" s="5"/>
      <c r="H34" s="46"/>
    </row>
    <row r="35" spans="1:27" ht="17.149999999999999" customHeight="1" x14ac:dyDescent="0.35">
      <c r="B35" s="8"/>
      <c r="C35" s="5"/>
      <c r="D35" s="5"/>
      <c r="E35" s="5"/>
      <c r="G35" s="5"/>
      <c r="H35" s="46"/>
      <c r="J35" s="7"/>
      <c r="K35" s="7"/>
      <c r="L35" s="7"/>
      <c r="M35" s="7"/>
    </row>
    <row r="36" spans="1:27" ht="17.149999999999999" customHeight="1" x14ac:dyDescent="0.35">
      <c r="A36" s="2" t="s">
        <v>609</v>
      </c>
      <c r="B36" s="65"/>
      <c r="C36" s="5"/>
      <c r="D36" s="5"/>
      <c r="E36" s="62"/>
      <c r="F36" s="5"/>
      <c r="G36" s="5"/>
      <c r="H36" s="46"/>
      <c r="J36" s="47"/>
      <c r="K36" s="7"/>
      <c r="L36" s="7"/>
      <c r="M36" s="7"/>
    </row>
    <row r="37" spans="1:27" s="11" customFormat="1" ht="29.25" customHeight="1" x14ac:dyDescent="0.35">
      <c r="A37" s="1093" t="s">
        <v>743</v>
      </c>
      <c r="B37" s="1503" t="s">
        <v>594</v>
      </c>
      <c r="C37" s="1094" t="s">
        <v>744</v>
      </c>
      <c r="D37" s="349"/>
      <c r="I37" s="1466"/>
      <c r="J37" s="1758" t="s">
        <v>521</v>
      </c>
      <c r="K37" s="1759"/>
      <c r="L37" s="1759"/>
      <c r="M37" s="1759"/>
      <c r="N37" s="1760"/>
    </row>
    <row r="38" spans="1:27" s="60" customFormat="1" ht="31" x14ac:dyDescent="0.35">
      <c r="A38" s="1510">
        <v>0</v>
      </c>
      <c r="B38" s="1100" t="s">
        <v>610</v>
      </c>
      <c r="C38" s="417">
        <f>'Interface_City issues'!C27</f>
        <v>1</v>
      </c>
      <c r="D38" s="45"/>
      <c r="H38" s="117"/>
      <c r="I38" s="73"/>
      <c r="J38" s="1755">
        <f>'Interface_City issues'!E27</f>
        <v>0</v>
      </c>
      <c r="K38" s="1756"/>
      <c r="L38" s="1756"/>
      <c r="M38" s="1756"/>
      <c r="N38" s="1757"/>
      <c r="AA38" s="1101" t="s">
        <v>601</v>
      </c>
    </row>
    <row r="39" spans="1:27" s="60" customFormat="1" ht="31" x14ac:dyDescent="0.35">
      <c r="A39" s="1510">
        <v>1</v>
      </c>
      <c r="B39" s="1100" t="s">
        <v>611</v>
      </c>
      <c r="C39" s="417">
        <f>'Interface_City issues'!C28</f>
        <v>1</v>
      </c>
      <c r="D39" s="45"/>
      <c r="H39" s="117"/>
      <c r="I39" s="73"/>
      <c r="J39" s="1755">
        <f>'Interface_City issues'!E28</f>
        <v>0</v>
      </c>
      <c r="K39" s="1756"/>
      <c r="L39" s="1756"/>
      <c r="M39" s="1756"/>
      <c r="N39" s="1757"/>
      <c r="AA39" s="1101" t="s">
        <v>601</v>
      </c>
    </row>
    <row r="40" spans="1:27" s="60" customFormat="1" ht="31" x14ac:dyDescent="0.35">
      <c r="A40" s="1510">
        <v>2</v>
      </c>
      <c r="B40" s="1100" t="s">
        <v>612</v>
      </c>
      <c r="C40" s="417">
        <f>'Interface_City issues'!C29</f>
        <v>0</v>
      </c>
      <c r="D40" s="45"/>
      <c r="H40" s="117"/>
      <c r="I40" s="73"/>
      <c r="J40" s="1755">
        <f>'Interface_City issues'!E29</f>
        <v>0</v>
      </c>
      <c r="K40" s="1756"/>
      <c r="L40" s="1756"/>
      <c r="M40" s="1756"/>
      <c r="N40" s="1757"/>
      <c r="AA40" s="1101" t="s">
        <v>601</v>
      </c>
    </row>
    <row r="41" spans="1:27" s="60" customFormat="1" ht="31" x14ac:dyDescent="0.35">
      <c r="A41" s="1510">
        <v>3</v>
      </c>
      <c r="B41" s="1100" t="s">
        <v>613</v>
      </c>
      <c r="C41" s="417">
        <f>'Interface_City issues'!C30</f>
        <v>0</v>
      </c>
      <c r="D41" s="45"/>
      <c r="H41" s="117"/>
      <c r="I41" s="73"/>
      <c r="J41" s="1755">
        <f>'Interface_City issues'!E30</f>
        <v>0</v>
      </c>
      <c r="K41" s="1756"/>
      <c r="L41" s="1756"/>
      <c r="M41" s="1756"/>
      <c r="N41" s="1757"/>
      <c r="AA41" s="1101" t="s">
        <v>601</v>
      </c>
    </row>
    <row r="42" spans="1:27" s="60" customFormat="1" ht="31" x14ac:dyDescent="0.35">
      <c r="A42" s="1510">
        <v>4</v>
      </c>
      <c r="B42" s="1100" t="s">
        <v>614</v>
      </c>
      <c r="C42" s="417">
        <f>'Interface_City issues'!C31</f>
        <v>0</v>
      </c>
      <c r="D42" s="45"/>
      <c r="H42" s="117"/>
      <c r="I42" s="73"/>
      <c r="J42" s="1755">
        <f>'Interface_City issues'!E31</f>
        <v>0</v>
      </c>
      <c r="K42" s="1756"/>
      <c r="L42" s="1756"/>
      <c r="M42" s="1756"/>
      <c r="N42" s="1757"/>
      <c r="AA42" s="1101" t="s">
        <v>601</v>
      </c>
    </row>
    <row r="43" spans="1:27" ht="17.149999999999999" customHeight="1" x14ac:dyDescent="0.35">
      <c r="A43" s="41"/>
      <c r="B43" s="60"/>
      <c r="C43" s="45"/>
      <c r="D43" s="45"/>
      <c r="E43" s="45"/>
      <c r="F43" s="73"/>
      <c r="G43" s="41"/>
      <c r="H43" s="131"/>
      <c r="I43" s="42"/>
      <c r="J43" s="7"/>
      <c r="K43" s="7"/>
      <c r="L43" s="7"/>
      <c r="M43" s="7"/>
    </row>
    <row r="44" spans="1:27" ht="17.149999999999999" customHeight="1" x14ac:dyDescent="0.35">
      <c r="A44" s="41"/>
      <c r="B44" s="60"/>
      <c r="C44" s="45"/>
      <c r="D44" s="45"/>
      <c r="E44" s="45"/>
      <c r="F44" s="73"/>
      <c r="G44" s="41"/>
      <c r="H44" s="131"/>
      <c r="I44" s="42"/>
      <c r="J44" s="7"/>
      <c r="K44" s="7"/>
      <c r="L44" s="7"/>
      <c r="M44" s="7"/>
    </row>
    <row r="45" spans="1:27" ht="17.149999999999999" customHeight="1" x14ac:dyDescent="0.35">
      <c r="A45" s="2" t="s">
        <v>753</v>
      </c>
      <c r="B45" s="8"/>
      <c r="C45" s="5"/>
      <c r="D45" s="5"/>
      <c r="E45" s="5"/>
      <c r="F45" s="46"/>
      <c r="I45" s="42"/>
      <c r="J45" s="47"/>
      <c r="K45" s="7"/>
      <c r="L45" s="7"/>
      <c r="M45" s="7"/>
    </row>
    <row r="46" spans="1:27" s="11" customFormat="1" ht="28" customHeight="1" x14ac:dyDescent="0.35">
      <c r="A46" s="1503" t="s">
        <v>743</v>
      </c>
      <c r="B46" s="1503" t="s">
        <v>594</v>
      </c>
      <c r="C46" s="1096" t="s">
        <v>744</v>
      </c>
      <c r="D46" s="1511" t="s">
        <v>745</v>
      </c>
      <c r="E46" s="1511" t="s">
        <v>746</v>
      </c>
      <c r="F46" s="1511" t="s">
        <v>747</v>
      </c>
      <c r="G46" s="1511" t="s">
        <v>746</v>
      </c>
      <c r="H46" s="1511" t="s">
        <v>748</v>
      </c>
      <c r="I46" s="350"/>
      <c r="J46" s="1758" t="s">
        <v>521</v>
      </c>
      <c r="K46" s="1759"/>
      <c r="L46" s="1759"/>
      <c r="M46" s="1759"/>
      <c r="N46" s="1760"/>
    </row>
    <row r="47" spans="1:27" s="11" customFormat="1" ht="28" customHeight="1" x14ac:dyDescent="0.35">
      <c r="A47" s="400"/>
      <c r="B47" s="171" t="s">
        <v>754</v>
      </c>
      <c r="C47" s="417">
        <f>Interface_Budgets!C10</f>
        <v>1</v>
      </c>
      <c r="D47" s="400"/>
      <c r="E47" s="400"/>
      <c r="F47" s="355"/>
      <c r="G47" s="355"/>
      <c r="H47" s="355"/>
      <c r="J47" s="1755">
        <f>Interface_Budgets!E10</f>
        <v>0</v>
      </c>
      <c r="K47" s="1756"/>
      <c r="L47" s="1756"/>
      <c r="M47" s="1756"/>
      <c r="N47" s="1757"/>
    </row>
    <row r="48" spans="1:27" s="60" customFormat="1" ht="31" x14ac:dyDescent="0.35">
      <c r="A48" s="1510">
        <v>0</v>
      </c>
      <c r="B48" s="1100" t="s">
        <v>647</v>
      </c>
      <c r="C48" s="417">
        <f>Interface_Budgets!C11</f>
        <v>0</v>
      </c>
      <c r="D48" s="417">
        <v>1</v>
      </c>
      <c r="E48" s="418" t="str">
        <f t="shared" ref="E48:E54" si="0">IF(C48=1,(C48*D48)*1,"")</f>
        <v/>
      </c>
      <c r="F48" s="417">
        <v>1</v>
      </c>
      <c r="G48" s="418" t="str">
        <f>IF(C48=1,(C48*F48),"")</f>
        <v/>
      </c>
      <c r="H48" s="419" t="str">
        <f t="shared" ref="H48:H53" si="1">G48</f>
        <v/>
      </c>
      <c r="I48" s="73"/>
      <c r="J48" s="1755">
        <f>Interface_Budgets!E11</f>
        <v>0</v>
      </c>
      <c r="K48" s="1756"/>
      <c r="L48" s="1756"/>
      <c r="M48" s="1756"/>
      <c r="N48" s="1757"/>
      <c r="AA48" s="1101" t="s">
        <v>601</v>
      </c>
    </row>
    <row r="49" spans="1:27" s="60" customFormat="1" ht="31" x14ac:dyDescent="0.35">
      <c r="A49" s="1510">
        <v>1</v>
      </c>
      <c r="B49" s="1100" t="s">
        <v>649</v>
      </c>
      <c r="C49" s="417">
        <f>Interface_Budgets!C12</f>
        <v>0</v>
      </c>
      <c r="D49" s="417">
        <v>1</v>
      </c>
      <c r="E49" s="418" t="str">
        <f t="shared" si="0"/>
        <v/>
      </c>
      <c r="F49" s="417">
        <v>1</v>
      </c>
      <c r="G49" s="418" t="str">
        <f t="shared" ref="G49:G54" si="2">IF(C49=1,(C49*F49)*1,"")</f>
        <v/>
      </c>
      <c r="H49" s="419" t="str">
        <f t="shared" si="1"/>
        <v/>
      </c>
      <c r="I49" s="73"/>
      <c r="J49" s="1755">
        <f>Interface_Budgets!E12</f>
        <v>0</v>
      </c>
      <c r="K49" s="1756"/>
      <c r="L49" s="1756"/>
      <c r="M49" s="1756"/>
      <c r="N49" s="1757"/>
      <c r="AA49" s="1101" t="s">
        <v>601</v>
      </c>
    </row>
    <row r="50" spans="1:27" s="60" customFormat="1" ht="31" x14ac:dyDescent="0.35">
      <c r="A50" s="1510">
        <v>2</v>
      </c>
      <c r="B50" s="1100" t="s">
        <v>658</v>
      </c>
      <c r="C50" s="417">
        <f>Interface_Budgets!C13</f>
        <v>0</v>
      </c>
      <c r="D50" s="417">
        <v>1</v>
      </c>
      <c r="E50" s="418" t="str">
        <f t="shared" si="0"/>
        <v/>
      </c>
      <c r="F50" s="417">
        <v>1</v>
      </c>
      <c r="G50" s="418" t="str">
        <f t="shared" si="2"/>
        <v/>
      </c>
      <c r="H50" s="419" t="str">
        <f t="shared" si="1"/>
        <v/>
      </c>
      <c r="I50" s="73"/>
      <c r="J50" s="1755">
        <f>Interface_Budgets!E13</f>
        <v>0</v>
      </c>
      <c r="K50" s="1756"/>
      <c r="L50" s="1756"/>
      <c r="M50" s="1756"/>
      <c r="N50" s="1757"/>
      <c r="AA50" s="1101" t="s">
        <v>601</v>
      </c>
    </row>
    <row r="51" spans="1:27" s="60" customFormat="1" ht="31" x14ac:dyDescent="0.35">
      <c r="A51" s="1510">
        <v>3</v>
      </c>
      <c r="B51" s="1106" t="s">
        <v>651</v>
      </c>
      <c r="C51" s="417">
        <f>Interface_Budgets!C14</f>
        <v>0</v>
      </c>
      <c r="D51" s="417">
        <v>1</v>
      </c>
      <c r="E51" s="418" t="str">
        <f t="shared" si="0"/>
        <v/>
      </c>
      <c r="F51" s="417">
        <v>1</v>
      </c>
      <c r="G51" s="418" t="str">
        <f t="shared" si="2"/>
        <v/>
      </c>
      <c r="H51" s="419" t="str">
        <f t="shared" si="1"/>
        <v/>
      </c>
      <c r="I51" s="73"/>
      <c r="J51" s="1755">
        <f>Interface_Budgets!E14</f>
        <v>0</v>
      </c>
      <c r="K51" s="1756"/>
      <c r="L51" s="1756"/>
      <c r="M51" s="1756"/>
      <c r="N51" s="1757"/>
      <c r="AA51" s="1101" t="s">
        <v>601</v>
      </c>
    </row>
    <row r="52" spans="1:27" s="60" customFormat="1" ht="31" x14ac:dyDescent="0.35">
      <c r="A52" s="1510">
        <v>4</v>
      </c>
      <c r="B52" s="1100" t="s">
        <v>652</v>
      </c>
      <c r="C52" s="417">
        <f>Interface_Budgets!C15</f>
        <v>0</v>
      </c>
      <c r="D52" s="417">
        <v>1</v>
      </c>
      <c r="E52" s="418" t="str">
        <f t="shared" si="0"/>
        <v/>
      </c>
      <c r="F52" s="417">
        <v>1</v>
      </c>
      <c r="G52" s="418" t="str">
        <f t="shared" si="2"/>
        <v/>
      </c>
      <c r="H52" s="419" t="str">
        <f t="shared" si="1"/>
        <v/>
      </c>
      <c r="I52" s="73"/>
      <c r="J52" s="1755">
        <f>Interface_Budgets!E15</f>
        <v>0</v>
      </c>
      <c r="K52" s="1756"/>
      <c r="L52" s="1756"/>
      <c r="M52" s="1756"/>
      <c r="N52" s="1757"/>
      <c r="AA52" s="1101" t="s">
        <v>601</v>
      </c>
    </row>
    <row r="53" spans="1:27" s="60" customFormat="1" ht="31" x14ac:dyDescent="0.35">
      <c r="A53" s="1510">
        <v>5</v>
      </c>
      <c r="B53" s="1100" t="s">
        <v>653</v>
      </c>
      <c r="C53" s="417">
        <f>Interface_Budgets!C16</f>
        <v>0</v>
      </c>
      <c r="D53" s="417">
        <v>1</v>
      </c>
      <c r="E53" s="418" t="str">
        <f t="shared" si="0"/>
        <v/>
      </c>
      <c r="F53" s="417">
        <v>1</v>
      </c>
      <c r="G53" s="418" t="str">
        <f t="shared" si="2"/>
        <v/>
      </c>
      <c r="H53" s="419" t="str">
        <f t="shared" si="1"/>
        <v/>
      </c>
      <c r="I53" s="73"/>
      <c r="J53" s="1755">
        <f>Interface_Budgets!E16</f>
        <v>0</v>
      </c>
      <c r="K53" s="1756"/>
      <c r="L53" s="1756"/>
      <c r="M53" s="1756"/>
      <c r="N53" s="1757"/>
      <c r="AA53" s="1101" t="s">
        <v>601</v>
      </c>
    </row>
    <row r="54" spans="1:27" s="60" customFormat="1" ht="31" x14ac:dyDescent="0.35">
      <c r="A54" s="1510">
        <v>6</v>
      </c>
      <c r="B54" s="1100" t="s">
        <v>654</v>
      </c>
      <c r="C54" s="417">
        <f>Interface_Budgets!C17</f>
        <v>0</v>
      </c>
      <c r="D54" s="417">
        <v>1</v>
      </c>
      <c r="E54" s="1107" t="str">
        <f t="shared" si="0"/>
        <v/>
      </c>
      <c r="F54" s="417">
        <v>1</v>
      </c>
      <c r="G54" s="418" t="str">
        <f t="shared" si="2"/>
        <v/>
      </c>
      <c r="H54" s="419" t="str">
        <f>IF(C48=0,E54,G54)</f>
        <v/>
      </c>
      <c r="I54" s="73"/>
      <c r="J54" s="1755">
        <f>Interface_Budgets!E17</f>
        <v>0</v>
      </c>
      <c r="K54" s="1756"/>
      <c r="L54" s="1756"/>
      <c r="M54" s="1756"/>
      <c r="N54" s="1757"/>
      <c r="AA54" s="1101" t="s">
        <v>601</v>
      </c>
    </row>
    <row r="55" spans="1:27" ht="17.149999999999999" customHeight="1" x14ac:dyDescent="0.35">
      <c r="A55" s="4"/>
      <c r="B55" s="4"/>
      <c r="D55" s="4"/>
      <c r="E55" s="4"/>
      <c r="F55" s="4"/>
      <c r="G55" s="4"/>
      <c r="I55" s="42"/>
      <c r="J55" s="7"/>
      <c r="K55" s="7"/>
      <c r="L55" s="7"/>
      <c r="M55" s="7"/>
    </row>
    <row r="56" spans="1:27" ht="17.149999999999999" customHeight="1" x14ac:dyDescent="0.35">
      <c r="B56" s="48" t="s">
        <v>749</v>
      </c>
      <c r="C56" s="1102"/>
      <c r="D56" s="1102"/>
      <c r="E56" s="1104">
        <f>SUM(E48:E54)</f>
        <v>0</v>
      </c>
      <c r="F56" s="1102"/>
      <c r="G56" s="1104">
        <f>SUM(G48:G54)</f>
        <v>0</v>
      </c>
      <c r="H56" s="1105">
        <f>SUM(H48:H54)</f>
        <v>0</v>
      </c>
      <c r="I56" s="42"/>
      <c r="J56" s="7"/>
      <c r="K56" s="7"/>
      <c r="L56" s="7"/>
      <c r="M56" s="7"/>
    </row>
    <row r="57" spans="1:27" ht="17.149999999999999" customHeight="1" x14ac:dyDescent="0.35">
      <c r="B57" s="47"/>
      <c r="D57" s="4"/>
      <c r="E57" s="4"/>
      <c r="F57" s="4"/>
      <c r="G57" s="4"/>
      <c r="I57" s="42"/>
      <c r="J57" s="7"/>
      <c r="K57" s="7"/>
      <c r="L57" s="7"/>
      <c r="M57" s="7"/>
    </row>
    <row r="58" spans="1:27" ht="17.149999999999999" customHeight="1" x14ac:dyDescent="0.35">
      <c r="B58" s="48" t="s">
        <v>750</v>
      </c>
      <c r="C58" s="1102"/>
      <c r="D58" s="1102"/>
      <c r="E58" s="1102"/>
      <c r="F58" s="1102"/>
      <c r="G58" s="1104"/>
      <c r="H58" s="1105">
        <f>SUM(F48:F54)</f>
        <v>7</v>
      </c>
      <c r="I58" s="42"/>
      <c r="J58" s="7"/>
      <c r="K58" s="7"/>
      <c r="L58" s="7"/>
      <c r="M58" s="7"/>
    </row>
    <row r="59" spans="1:27" ht="17.149999999999999" customHeight="1" x14ac:dyDescent="0.35">
      <c r="B59" s="47"/>
      <c r="D59" s="4"/>
      <c r="E59" s="4"/>
      <c r="F59" s="4"/>
      <c r="G59" s="4"/>
      <c r="I59" s="42"/>
      <c r="J59" s="7"/>
      <c r="K59" s="7"/>
      <c r="L59" s="7"/>
      <c r="M59" s="7"/>
    </row>
    <row r="60" spans="1:27" s="12" customFormat="1" ht="17.149999999999999" customHeight="1" x14ac:dyDescent="0.35">
      <c r="B60" s="23" t="s">
        <v>751</v>
      </c>
      <c r="C60" s="963">
        <f>SUM(C48:C54)</f>
        <v>0</v>
      </c>
      <c r="D60" s="963"/>
      <c r="E60" s="963"/>
      <c r="F60" s="963"/>
      <c r="G60" s="963"/>
      <c r="H60" s="352">
        <f>IF(C48=1,H56/H58,0)</f>
        <v>0</v>
      </c>
      <c r="I60" s="351"/>
      <c r="J60" s="92"/>
      <c r="K60" s="92"/>
      <c r="L60" s="92"/>
      <c r="M60" s="92"/>
    </row>
    <row r="61" spans="1:27" ht="17.149999999999999" customHeight="1" x14ac:dyDescent="0.35">
      <c r="B61" s="8"/>
      <c r="C61" s="44"/>
      <c r="D61" s="44"/>
      <c r="E61" s="44"/>
      <c r="F61" s="44"/>
      <c r="G61" s="44"/>
      <c r="H61" s="46"/>
      <c r="I61" s="42"/>
      <c r="J61" s="7"/>
      <c r="K61" s="7"/>
      <c r="L61" s="7"/>
      <c r="M61" s="7"/>
    </row>
    <row r="62" spans="1:27" ht="17.149999999999999" customHeight="1" x14ac:dyDescent="0.35">
      <c r="B62" s="8"/>
      <c r="C62" s="44"/>
      <c r="D62" s="44"/>
      <c r="E62" s="44"/>
      <c r="F62" s="44"/>
      <c r="G62" s="44"/>
      <c r="H62" s="46"/>
      <c r="I62" s="42"/>
      <c r="J62" s="7"/>
      <c r="K62" s="7"/>
      <c r="L62" s="7"/>
      <c r="M62" s="7"/>
    </row>
    <row r="63" spans="1:27" ht="17.149999999999999" customHeight="1" x14ac:dyDescent="0.35">
      <c r="A63" s="2" t="s">
        <v>755</v>
      </c>
      <c r="B63" s="8"/>
      <c r="C63" s="5"/>
      <c r="D63" s="5"/>
      <c r="E63" s="5"/>
      <c r="F63" s="46"/>
      <c r="I63" s="42"/>
      <c r="J63" s="7"/>
      <c r="K63" s="7"/>
      <c r="L63" s="7"/>
      <c r="M63" s="7"/>
    </row>
    <row r="64" spans="1:27" s="11" customFormat="1" ht="28" customHeight="1" x14ac:dyDescent="0.35">
      <c r="A64" s="1503" t="s">
        <v>743</v>
      </c>
      <c r="B64" s="1503" t="s">
        <v>594</v>
      </c>
      <c r="C64" s="1096" t="s">
        <v>744</v>
      </c>
      <c r="D64" s="1503" t="s">
        <v>745</v>
      </c>
      <c r="E64" s="1503" t="s">
        <v>746</v>
      </c>
      <c r="F64" s="1511" t="s">
        <v>747</v>
      </c>
      <c r="G64" s="1511" t="s">
        <v>746</v>
      </c>
      <c r="H64" s="1511" t="s">
        <v>748</v>
      </c>
      <c r="I64" s="350"/>
      <c r="J64" s="1758" t="s">
        <v>521</v>
      </c>
      <c r="K64" s="1759"/>
      <c r="L64" s="1759"/>
      <c r="M64" s="1759"/>
      <c r="N64" s="1760"/>
    </row>
    <row r="65" spans="1:27" s="11" customFormat="1" ht="28" customHeight="1" x14ac:dyDescent="0.35">
      <c r="A65" s="400"/>
      <c r="B65" s="171" t="s">
        <v>754</v>
      </c>
      <c r="C65" s="417">
        <f>Interface_Budgets!C22</f>
        <v>1</v>
      </c>
      <c r="D65" s="400"/>
      <c r="E65" s="400"/>
      <c r="F65" s="355"/>
      <c r="G65" s="355"/>
      <c r="H65" s="355"/>
      <c r="J65" s="1120">
        <f>Interface_Budgets!E22</f>
        <v>0</v>
      </c>
      <c r="K65" s="1121"/>
      <c r="L65" s="1122"/>
      <c r="M65" s="1498"/>
      <c r="N65" s="1499"/>
    </row>
    <row r="66" spans="1:27" s="60" customFormat="1" ht="31" x14ac:dyDescent="0.35">
      <c r="A66" s="1510">
        <v>0</v>
      </c>
      <c r="B66" s="1100" t="s">
        <v>657</v>
      </c>
      <c r="C66" s="417">
        <f>Interface_Budgets!C23</f>
        <v>0</v>
      </c>
      <c r="D66" s="417">
        <v>1</v>
      </c>
      <c r="E66" s="418" t="str">
        <f t="shared" ref="E66:E72" si="3">IF(C66=1,(C66*D66)*1,"")</f>
        <v/>
      </c>
      <c r="F66" s="417">
        <v>1</v>
      </c>
      <c r="G66" s="418" t="str">
        <f>IF(C66=1,(C66*F66),"")</f>
        <v/>
      </c>
      <c r="H66" s="419" t="str">
        <f t="shared" ref="H66:H71" si="4">G66</f>
        <v/>
      </c>
      <c r="I66" s="73"/>
      <c r="J66" s="1755">
        <f>Interface_Budgets!E23</f>
        <v>0</v>
      </c>
      <c r="K66" s="1756"/>
      <c r="L66" s="1756"/>
      <c r="M66" s="1756"/>
      <c r="N66" s="1757"/>
      <c r="AA66" s="1101" t="s">
        <v>601</v>
      </c>
    </row>
    <row r="67" spans="1:27" s="60" customFormat="1" ht="31" x14ac:dyDescent="0.35">
      <c r="A67" s="1510">
        <v>1</v>
      </c>
      <c r="B67" s="1100" t="s">
        <v>649</v>
      </c>
      <c r="C67" s="417">
        <f>Interface_Budgets!C24</f>
        <v>0</v>
      </c>
      <c r="D67" s="417">
        <v>1</v>
      </c>
      <c r="E67" s="418" t="str">
        <f t="shared" si="3"/>
        <v/>
      </c>
      <c r="F67" s="417">
        <v>1</v>
      </c>
      <c r="G67" s="418" t="str">
        <f t="shared" ref="G67:G72" si="5">IF(C67=1,(C67*F67)*1,"")</f>
        <v/>
      </c>
      <c r="H67" s="419" t="str">
        <f t="shared" si="4"/>
        <v/>
      </c>
      <c r="I67" s="73"/>
      <c r="J67" s="1755">
        <f>Interface_Budgets!E24</f>
        <v>0</v>
      </c>
      <c r="K67" s="1756"/>
      <c r="L67" s="1756"/>
      <c r="M67" s="1756"/>
      <c r="N67" s="1757"/>
      <c r="AA67" s="1101" t="s">
        <v>601</v>
      </c>
    </row>
    <row r="68" spans="1:27" s="60" customFormat="1" ht="31" x14ac:dyDescent="0.35">
      <c r="A68" s="1510">
        <v>2</v>
      </c>
      <c r="B68" s="1100" t="s">
        <v>658</v>
      </c>
      <c r="C68" s="417">
        <f>Interface_Budgets!C25</f>
        <v>0</v>
      </c>
      <c r="D68" s="417">
        <v>1</v>
      </c>
      <c r="E68" s="418" t="str">
        <f t="shared" si="3"/>
        <v/>
      </c>
      <c r="F68" s="417">
        <v>1</v>
      </c>
      <c r="G68" s="418" t="str">
        <f t="shared" si="5"/>
        <v/>
      </c>
      <c r="H68" s="419" t="str">
        <f t="shared" si="4"/>
        <v/>
      </c>
      <c r="I68" s="73"/>
      <c r="J68" s="1755">
        <f>Interface_Budgets!E25</f>
        <v>0</v>
      </c>
      <c r="K68" s="1756"/>
      <c r="L68" s="1756"/>
      <c r="M68" s="1756"/>
      <c r="N68" s="1757"/>
      <c r="AA68" s="1101" t="s">
        <v>601</v>
      </c>
    </row>
    <row r="69" spans="1:27" s="60" customFormat="1" ht="31" x14ac:dyDescent="0.35">
      <c r="A69" s="1510">
        <v>3</v>
      </c>
      <c r="B69" s="1106" t="s">
        <v>651</v>
      </c>
      <c r="C69" s="417">
        <f>Interface_Budgets!C26</f>
        <v>0</v>
      </c>
      <c r="D69" s="417">
        <v>1</v>
      </c>
      <c r="E69" s="418" t="str">
        <f t="shared" si="3"/>
        <v/>
      </c>
      <c r="F69" s="417">
        <v>1</v>
      </c>
      <c r="G69" s="418" t="str">
        <f t="shared" si="5"/>
        <v/>
      </c>
      <c r="H69" s="419" t="str">
        <f t="shared" si="4"/>
        <v/>
      </c>
      <c r="I69" s="73"/>
      <c r="J69" s="1755">
        <f>Interface_Budgets!E26</f>
        <v>0</v>
      </c>
      <c r="K69" s="1756"/>
      <c r="L69" s="1756"/>
      <c r="M69" s="1756"/>
      <c r="N69" s="1757"/>
      <c r="AA69" s="1101" t="s">
        <v>601</v>
      </c>
    </row>
    <row r="70" spans="1:27" s="60" customFormat="1" ht="31" x14ac:dyDescent="0.35">
      <c r="A70" s="1510">
        <v>4</v>
      </c>
      <c r="B70" s="1100" t="s">
        <v>652</v>
      </c>
      <c r="C70" s="417">
        <f>Interface_Budgets!C27</f>
        <v>0</v>
      </c>
      <c r="D70" s="417">
        <v>1</v>
      </c>
      <c r="E70" s="418" t="str">
        <f t="shared" si="3"/>
        <v/>
      </c>
      <c r="F70" s="417">
        <v>1</v>
      </c>
      <c r="G70" s="418" t="str">
        <f t="shared" si="5"/>
        <v/>
      </c>
      <c r="H70" s="419" t="str">
        <f t="shared" si="4"/>
        <v/>
      </c>
      <c r="I70" s="73"/>
      <c r="J70" s="1755">
        <f>Interface_Budgets!E27</f>
        <v>0</v>
      </c>
      <c r="K70" s="1756"/>
      <c r="L70" s="1756"/>
      <c r="M70" s="1756"/>
      <c r="N70" s="1757"/>
      <c r="AA70" s="1101" t="s">
        <v>601</v>
      </c>
    </row>
    <row r="71" spans="1:27" s="60" customFormat="1" ht="31" x14ac:dyDescent="0.35">
      <c r="A71" s="1510">
        <v>5</v>
      </c>
      <c r="B71" s="1100" t="s">
        <v>653</v>
      </c>
      <c r="C71" s="417">
        <f>Interface_Budgets!C28</f>
        <v>0</v>
      </c>
      <c r="D71" s="417">
        <v>1</v>
      </c>
      <c r="E71" s="418" t="str">
        <f t="shared" si="3"/>
        <v/>
      </c>
      <c r="F71" s="417">
        <v>1</v>
      </c>
      <c r="G71" s="418" t="str">
        <f t="shared" si="5"/>
        <v/>
      </c>
      <c r="H71" s="419" t="str">
        <f t="shared" si="4"/>
        <v/>
      </c>
      <c r="I71" s="73"/>
      <c r="J71" s="1755">
        <f>Interface_Budgets!E28</f>
        <v>0</v>
      </c>
      <c r="K71" s="1756"/>
      <c r="L71" s="1756"/>
      <c r="M71" s="1756"/>
      <c r="N71" s="1757"/>
      <c r="AA71" s="1101" t="s">
        <v>601</v>
      </c>
    </row>
    <row r="72" spans="1:27" s="60" customFormat="1" ht="31" x14ac:dyDescent="0.35">
      <c r="A72" s="1510">
        <v>6</v>
      </c>
      <c r="B72" s="1100" t="s">
        <v>654</v>
      </c>
      <c r="C72" s="417">
        <f>Interface_Budgets!C29</f>
        <v>0</v>
      </c>
      <c r="D72" s="417">
        <v>1</v>
      </c>
      <c r="E72" s="1107" t="str">
        <f t="shared" si="3"/>
        <v/>
      </c>
      <c r="F72" s="417">
        <v>1</v>
      </c>
      <c r="G72" s="418" t="str">
        <f t="shared" si="5"/>
        <v/>
      </c>
      <c r="H72" s="419" t="str">
        <f>IF(C67=1,E72,G72)</f>
        <v/>
      </c>
      <c r="I72" s="73"/>
      <c r="J72" s="1755">
        <f>Interface_Budgets!E29</f>
        <v>0</v>
      </c>
      <c r="K72" s="1756"/>
      <c r="L72" s="1756"/>
      <c r="M72" s="1756"/>
      <c r="N72" s="1757"/>
      <c r="AA72" s="1101" t="s">
        <v>601</v>
      </c>
    </row>
    <row r="73" spans="1:27" ht="17.149999999999999" customHeight="1" x14ac:dyDescent="0.35">
      <c r="A73" s="4"/>
      <c r="B73" s="4"/>
      <c r="D73" s="4"/>
      <c r="E73" s="4"/>
      <c r="F73" s="4"/>
      <c r="G73" s="4"/>
      <c r="I73" s="42"/>
      <c r="J73" s="7"/>
      <c r="K73" s="7"/>
      <c r="L73" s="7"/>
      <c r="M73" s="7"/>
    </row>
    <row r="74" spans="1:27" ht="17.149999999999999" customHeight="1" x14ac:dyDescent="0.35">
      <c r="B74" s="48" t="s">
        <v>749</v>
      </c>
      <c r="C74" s="1102"/>
      <c r="D74" s="1102"/>
      <c r="E74" s="1104">
        <f>SUM(E66:E72)</f>
        <v>0</v>
      </c>
      <c r="F74" s="1102"/>
      <c r="G74" s="1104">
        <f>SUM(G66:G72)</f>
        <v>0</v>
      </c>
      <c r="H74" s="1105">
        <f>SUM(H66:H72)</f>
        <v>0</v>
      </c>
      <c r="I74" s="42"/>
      <c r="J74" s="7"/>
      <c r="K74" s="7"/>
      <c r="L74" s="7"/>
      <c r="M74" s="7"/>
    </row>
    <row r="75" spans="1:27" ht="17.149999999999999" customHeight="1" x14ac:dyDescent="0.35">
      <c r="B75" s="47"/>
      <c r="D75" s="4"/>
      <c r="E75" s="4"/>
      <c r="F75" s="4"/>
      <c r="G75" s="4"/>
      <c r="I75" s="42"/>
      <c r="J75" s="7"/>
      <c r="K75" s="7"/>
      <c r="L75" s="7"/>
      <c r="M75" s="7"/>
    </row>
    <row r="76" spans="1:27" ht="17.149999999999999" customHeight="1" x14ac:dyDescent="0.35">
      <c r="B76" s="48" t="s">
        <v>750</v>
      </c>
      <c r="C76" s="1102"/>
      <c r="D76" s="1102"/>
      <c r="E76" s="1102"/>
      <c r="F76" s="1102"/>
      <c r="G76" s="1104"/>
      <c r="H76" s="1105">
        <f>SUM(F66:F72)</f>
        <v>7</v>
      </c>
      <c r="I76" s="42"/>
      <c r="J76" s="7"/>
      <c r="K76" s="7"/>
      <c r="L76" s="7"/>
      <c r="M76" s="7"/>
    </row>
    <row r="77" spans="1:27" ht="17.149999999999999" customHeight="1" x14ac:dyDescent="0.35">
      <c r="B77" s="47"/>
      <c r="D77" s="4"/>
      <c r="E77" s="4"/>
      <c r="F77" s="4"/>
      <c r="G77" s="4"/>
      <c r="I77" s="42"/>
      <c r="J77" s="7"/>
      <c r="K77" s="7"/>
      <c r="L77" s="7"/>
      <c r="M77" s="7"/>
    </row>
    <row r="78" spans="1:27" s="12" customFormat="1" ht="17.149999999999999" customHeight="1" x14ac:dyDescent="0.35">
      <c r="B78" s="23" t="s">
        <v>751</v>
      </c>
      <c r="C78" s="963">
        <f>SUM(C66:C72)</f>
        <v>0</v>
      </c>
      <c r="D78" s="963"/>
      <c r="E78" s="963"/>
      <c r="F78" s="963"/>
      <c r="G78" s="963"/>
      <c r="H78" s="352">
        <f>IF(C66=1,H74/H76,0)</f>
        <v>0</v>
      </c>
      <c r="I78" s="351"/>
      <c r="J78" s="92"/>
      <c r="K78" s="92"/>
      <c r="L78" s="92"/>
      <c r="M78" s="92"/>
    </row>
    <row r="79" spans="1:27" ht="17.149999999999999" customHeight="1" x14ac:dyDescent="0.35">
      <c r="A79" s="41"/>
      <c r="B79" s="66"/>
      <c r="C79" s="45"/>
      <c r="D79" s="45"/>
      <c r="E79" s="45"/>
      <c r="F79" s="73"/>
      <c r="G79" s="41"/>
      <c r="H79" s="131"/>
      <c r="I79" s="42"/>
      <c r="J79" s="7"/>
      <c r="K79" s="7"/>
      <c r="L79" s="7"/>
      <c r="M79" s="7"/>
    </row>
    <row r="80" spans="1:27" ht="17.149999999999999" customHeight="1" x14ac:dyDescent="0.35">
      <c r="D80" s="4"/>
      <c r="E80" s="4"/>
      <c r="F80" s="4"/>
      <c r="G80" s="4"/>
    </row>
    <row r="81" spans="1:27" ht="17.149999999999999" customHeight="1" x14ac:dyDescent="0.35">
      <c r="A81" s="2" t="s">
        <v>615</v>
      </c>
    </row>
    <row r="82" spans="1:27" s="11" customFormat="1" ht="17.149999999999999" customHeight="1" x14ac:dyDescent="0.35">
      <c r="A82" s="1004" t="s">
        <v>616</v>
      </c>
      <c r="B82" s="1011"/>
      <c r="C82" s="1011"/>
      <c r="D82" s="1011"/>
      <c r="E82" s="1011"/>
      <c r="F82" s="1011"/>
      <c r="G82" s="1011"/>
      <c r="H82" s="1011"/>
      <c r="I82" s="1005"/>
      <c r="J82" s="1503" t="s">
        <v>617</v>
      </c>
      <c r="K82" s="1503" t="s">
        <v>618</v>
      </c>
      <c r="L82" s="1503" t="s">
        <v>619</v>
      </c>
      <c r="M82" s="1503" t="s">
        <v>620</v>
      </c>
      <c r="N82" s="1503" t="s">
        <v>621</v>
      </c>
      <c r="O82" s="1503" t="s">
        <v>622</v>
      </c>
      <c r="P82" s="1503" t="s">
        <v>623</v>
      </c>
      <c r="Q82" s="1503" t="s">
        <v>624</v>
      </c>
      <c r="R82" s="1503" t="s">
        <v>625</v>
      </c>
    </row>
    <row r="83" spans="1:27" s="60" customFormat="1" ht="31" x14ac:dyDescent="0.35">
      <c r="A83" s="1512">
        <f>'Interface_City issues'!B36</f>
        <v>0</v>
      </c>
      <c r="B83" s="1108"/>
      <c r="C83" s="1108"/>
      <c r="D83" s="1108"/>
      <c r="E83" s="1108"/>
      <c r="F83" s="1108"/>
      <c r="G83" s="1108"/>
      <c r="H83" s="1109"/>
      <c r="I83" s="1110"/>
      <c r="J83" s="1100">
        <f>'Interface_City issues'!E36</f>
        <v>0</v>
      </c>
      <c r="K83" s="1100">
        <f>'Interface_City issues'!F36</f>
        <v>0</v>
      </c>
      <c r="L83" s="1100">
        <f>'Interface_City issues'!G36</f>
        <v>0</v>
      </c>
      <c r="M83" s="1100">
        <f>'Interface_City issues'!H36</f>
        <v>0</v>
      </c>
      <c r="N83" s="1100">
        <f>'Interface_City issues'!I36</f>
        <v>0</v>
      </c>
      <c r="O83" s="1100">
        <f>'Interface_City issues'!J36</f>
        <v>0</v>
      </c>
      <c r="P83" s="1100">
        <f>'Interface_City issues'!K36</f>
        <v>0</v>
      </c>
      <c r="Q83" s="1100">
        <f>'Interface_City issues'!L36</f>
        <v>0</v>
      </c>
      <c r="R83" s="1100">
        <f>'Interface_City issues'!M36</f>
        <v>0</v>
      </c>
      <c r="AA83" s="1101" t="s">
        <v>601</v>
      </c>
    </row>
    <row r="84" spans="1:27" s="60" customFormat="1" ht="31" x14ac:dyDescent="0.35">
      <c r="A84" s="1512">
        <f>'Interface_City issues'!B37</f>
        <v>0</v>
      </c>
      <c r="B84" s="1108"/>
      <c r="C84" s="1108"/>
      <c r="D84" s="1108"/>
      <c r="E84" s="1108"/>
      <c r="F84" s="1108"/>
      <c r="G84" s="1108"/>
      <c r="H84" s="1109"/>
      <c r="I84" s="1110"/>
      <c r="J84" s="1100">
        <f>'Interface_City issues'!E37</f>
        <v>0</v>
      </c>
      <c r="K84" s="1100">
        <f>'Interface_City issues'!F37</f>
        <v>0</v>
      </c>
      <c r="L84" s="1100">
        <f>'Interface_City issues'!G37</f>
        <v>0</v>
      </c>
      <c r="M84" s="1100">
        <f>'Interface_City issues'!H37</f>
        <v>0</v>
      </c>
      <c r="N84" s="1100">
        <f>'Interface_City issues'!I37</f>
        <v>0</v>
      </c>
      <c r="O84" s="1100">
        <f>'Interface_City issues'!J37</f>
        <v>0</v>
      </c>
      <c r="P84" s="1100">
        <f>'Interface_City issues'!K37</f>
        <v>0</v>
      </c>
      <c r="Q84" s="1100">
        <f>'Interface_City issues'!L37</f>
        <v>0</v>
      </c>
      <c r="R84" s="1100">
        <f>'Interface_City issues'!M37</f>
        <v>0</v>
      </c>
      <c r="AA84" s="1101" t="s">
        <v>601</v>
      </c>
    </row>
    <row r="85" spans="1:27" s="60" customFormat="1" ht="31" x14ac:dyDescent="0.35">
      <c r="A85" s="1512">
        <f>'Interface_City issues'!B38</f>
        <v>0</v>
      </c>
      <c r="B85" s="1108"/>
      <c r="C85" s="1108"/>
      <c r="D85" s="1108"/>
      <c r="E85" s="1108"/>
      <c r="F85" s="1108"/>
      <c r="G85" s="1108"/>
      <c r="H85" s="1109"/>
      <c r="I85" s="1110"/>
      <c r="J85" s="1100">
        <f>'Interface_City issues'!E38</f>
        <v>0</v>
      </c>
      <c r="K85" s="1100">
        <f>'Interface_City issues'!F38</f>
        <v>0</v>
      </c>
      <c r="L85" s="1100">
        <f>'Interface_City issues'!G38</f>
        <v>0</v>
      </c>
      <c r="M85" s="1100">
        <f>'Interface_City issues'!H38</f>
        <v>0</v>
      </c>
      <c r="N85" s="1100">
        <f>'Interface_City issues'!I38</f>
        <v>0</v>
      </c>
      <c r="O85" s="1100">
        <f>'Interface_City issues'!J38</f>
        <v>0</v>
      </c>
      <c r="P85" s="1100">
        <f>'Interface_City issues'!K38</f>
        <v>0</v>
      </c>
      <c r="Q85" s="1100">
        <f>'Interface_City issues'!L38</f>
        <v>0</v>
      </c>
      <c r="R85" s="1100">
        <f>'Interface_City issues'!M38</f>
        <v>0</v>
      </c>
      <c r="AA85" s="1101" t="s">
        <v>601</v>
      </c>
    </row>
    <row r="86" spans="1:27" s="60" customFormat="1" ht="31" x14ac:dyDescent="0.35">
      <c r="A86" s="1512">
        <f>'Interface_City issues'!B39</f>
        <v>0</v>
      </c>
      <c r="B86" s="1108"/>
      <c r="C86" s="1108"/>
      <c r="D86" s="1108"/>
      <c r="E86" s="1108"/>
      <c r="F86" s="1108"/>
      <c r="G86" s="1108"/>
      <c r="H86" s="1109"/>
      <c r="I86" s="1110"/>
      <c r="J86" s="1100">
        <f>'Interface_City issues'!E39</f>
        <v>0</v>
      </c>
      <c r="K86" s="1100">
        <f>'Interface_City issues'!F39</f>
        <v>0</v>
      </c>
      <c r="L86" s="1100">
        <f>'Interface_City issues'!G39</f>
        <v>0</v>
      </c>
      <c r="M86" s="1100">
        <f>'Interface_City issues'!H39</f>
        <v>0</v>
      </c>
      <c r="N86" s="1100">
        <f>'Interface_City issues'!I39</f>
        <v>0</v>
      </c>
      <c r="O86" s="1100">
        <f>'Interface_City issues'!J39</f>
        <v>0</v>
      </c>
      <c r="P86" s="1100">
        <f>'Interface_City issues'!K39</f>
        <v>0</v>
      </c>
      <c r="Q86" s="1100">
        <f>'Interface_City issues'!L39</f>
        <v>0</v>
      </c>
      <c r="R86" s="1100">
        <f>'Interface_City issues'!M39</f>
        <v>0</v>
      </c>
      <c r="AA86" s="1101" t="s">
        <v>601</v>
      </c>
    </row>
    <row r="87" spans="1:27" s="60" customFormat="1" ht="31" x14ac:dyDescent="0.35">
      <c r="A87" s="1512">
        <f>'Interface_City issues'!B40</f>
        <v>0</v>
      </c>
      <c r="B87" s="1108"/>
      <c r="C87" s="1108"/>
      <c r="D87" s="1108"/>
      <c r="E87" s="1108"/>
      <c r="F87" s="1108"/>
      <c r="G87" s="1108"/>
      <c r="H87" s="1109"/>
      <c r="I87" s="1110"/>
      <c r="J87" s="1100">
        <f>'Interface_City issues'!E40</f>
        <v>0</v>
      </c>
      <c r="K87" s="1100">
        <f>'Interface_City issues'!F40</f>
        <v>0</v>
      </c>
      <c r="L87" s="1100">
        <f>'Interface_City issues'!G40</f>
        <v>0</v>
      </c>
      <c r="M87" s="1100">
        <f>'Interface_City issues'!H40</f>
        <v>0</v>
      </c>
      <c r="N87" s="1100">
        <f>'Interface_City issues'!I40</f>
        <v>0</v>
      </c>
      <c r="O87" s="1100">
        <f>'Interface_City issues'!J40</f>
        <v>0</v>
      </c>
      <c r="P87" s="1100">
        <f>'Interface_City issues'!K40</f>
        <v>0</v>
      </c>
      <c r="Q87" s="1100">
        <f>'Interface_City issues'!L40</f>
        <v>0</v>
      </c>
      <c r="R87" s="1100">
        <f>'Interface_City issues'!M40</f>
        <v>0</v>
      </c>
      <c r="AA87" s="1101" t="s">
        <v>601</v>
      </c>
    </row>
    <row r="88" spans="1:27" ht="17.149999999999999" customHeight="1" x14ac:dyDescent="0.35">
      <c r="E88" s="7"/>
      <c r="F88" s="7"/>
      <c r="G88" s="7"/>
      <c r="H88" s="116"/>
      <c r="I88" s="7"/>
      <c r="J88" s="7"/>
      <c r="K88" s="7"/>
      <c r="L88" s="7"/>
      <c r="M88" s="7"/>
    </row>
    <row r="89" spans="1:27" ht="17.149999999999999" customHeight="1" x14ac:dyDescent="0.35">
      <c r="H89" s="116"/>
      <c r="I89" s="7"/>
      <c r="J89" s="7"/>
      <c r="K89" s="7"/>
    </row>
    <row r="90" spans="1:27" ht="17.149999999999999" customHeight="1" x14ac:dyDescent="0.35">
      <c r="A90" s="13" t="s">
        <v>756</v>
      </c>
      <c r="H90" s="116"/>
      <c r="I90" s="7"/>
      <c r="J90" s="7"/>
      <c r="K90" s="7"/>
    </row>
    <row r="91" spans="1:27" ht="17.149999999999999" customHeight="1" x14ac:dyDescent="0.35">
      <c r="H91" s="116"/>
      <c r="I91" s="7"/>
      <c r="J91" s="7"/>
      <c r="K91" s="7"/>
    </row>
    <row r="92" spans="1:27" ht="17.149999999999999" customHeight="1" x14ac:dyDescent="0.35">
      <c r="A92" s="2" t="s">
        <v>627</v>
      </c>
      <c r="B92" s="7"/>
      <c r="C92" s="5"/>
      <c r="D92" s="7"/>
      <c r="J92" s="11" t="s">
        <v>521</v>
      </c>
      <c r="M92" s="7"/>
      <c r="N92" s="7"/>
    </row>
    <row r="93" spans="1:27" s="11" customFormat="1" ht="28" customHeight="1" x14ac:dyDescent="0.35">
      <c r="A93" s="1503" t="s">
        <v>743</v>
      </c>
      <c r="B93" s="1503" t="s">
        <v>594</v>
      </c>
      <c r="C93" s="1094" t="s">
        <v>744</v>
      </c>
      <c r="D93" s="80"/>
      <c r="J93" s="1503" t="s">
        <v>628</v>
      </c>
      <c r="K93" s="1503" t="s">
        <v>629</v>
      </c>
      <c r="L93" s="1503" t="s">
        <v>757</v>
      </c>
    </row>
    <row r="94" spans="1:27" s="60" customFormat="1" ht="31" x14ac:dyDescent="0.35">
      <c r="A94" s="1510">
        <v>0</v>
      </c>
      <c r="B94" s="1100" t="s">
        <v>630</v>
      </c>
      <c r="C94" s="1510">
        <f>'Interface_City issues'!C47</f>
        <v>1</v>
      </c>
      <c r="D94" s="43"/>
      <c r="H94" s="117"/>
      <c r="J94" s="1100">
        <f>'Interface_City issues'!E47</f>
        <v>0</v>
      </c>
      <c r="K94" s="1100">
        <f>'Interface_City issues'!F47</f>
        <v>0</v>
      </c>
      <c r="L94" s="1100">
        <f>'Interface_City issues'!G47</f>
        <v>0</v>
      </c>
      <c r="AA94" s="1101" t="s">
        <v>601</v>
      </c>
    </row>
    <row r="95" spans="1:27" s="60" customFormat="1" ht="31" x14ac:dyDescent="0.35">
      <c r="A95" s="1510">
        <v>1</v>
      </c>
      <c r="B95" s="1100" t="s">
        <v>631</v>
      </c>
      <c r="C95" s="1510">
        <f>'Interface_City issues'!C48</f>
        <v>1</v>
      </c>
      <c r="D95" s="43"/>
      <c r="H95" s="117"/>
      <c r="J95" s="1100">
        <f>'Interface_City issues'!E48</f>
        <v>0</v>
      </c>
      <c r="K95" s="1100">
        <f>'Interface_City issues'!F48</f>
        <v>0</v>
      </c>
      <c r="L95" s="1100">
        <f>'Interface_City issues'!G48</f>
        <v>0</v>
      </c>
      <c r="AA95" s="1101" t="s">
        <v>601</v>
      </c>
    </row>
    <row r="96" spans="1:27" s="60" customFormat="1" ht="31" x14ac:dyDescent="0.35">
      <c r="A96" s="1510">
        <v>2</v>
      </c>
      <c r="B96" s="1100" t="s">
        <v>632</v>
      </c>
      <c r="C96" s="1510">
        <f>'Interface_City issues'!C49</f>
        <v>0</v>
      </c>
      <c r="D96" s="43"/>
      <c r="H96" s="117"/>
      <c r="J96" s="1100">
        <f>'Interface_City issues'!E49</f>
        <v>0</v>
      </c>
      <c r="K96" s="1100">
        <f>'Interface_City issues'!F49</f>
        <v>0</v>
      </c>
      <c r="L96" s="1100">
        <f>'Interface_City issues'!G49</f>
        <v>0</v>
      </c>
      <c r="AA96" s="1101" t="s">
        <v>601</v>
      </c>
    </row>
    <row r="97" spans="1:27" s="60" customFormat="1" ht="31" x14ac:dyDescent="0.35">
      <c r="A97" s="1510">
        <v>3</v>
      </c>
      <c r="B97" s="1100" t="s">
        <v>758</v>
      </c>
      <c r="C97" s="1510">
        <f>'Interface_City issues'!C50</f>
        <v>0</v>
      </c>
      <c r="D97" s="43"/>
      <c r="H97" s="117"/>
      <c r="J97" s="1100">
        <f>'Interface_City issues'!E50</f>
        <v>0</v>
      </c>
      <c r="K97" s="1100">
        <f>'Interface_City issues'!F50</f>
        <v>0</v>
      </c>
      <c r="L97" s="1100">
        <f>'Interface_City issues'!G50</f>
        <v>0</v>
      </c>
      <c r="AA97" s="1101" t="s">
        <v>601</v>
      </c>
    </row>
    <row r="98" spans="1:27" s="60" customFormat="1" ht="31" x14ac:dyDescent="0.35">
      <c r="A98" s="1510">
        <v>4</v>
      </c>
      <c r="B98" s="1100" t="s">
        <v>634</v>
      </c>
      <c r="C98" s="1510">
        <f>'Interface_City issues'!C51</f>
        <v>0</v>
      </c>
      <c r="D98" s="43"/>
      <c r="H98" s="117"/>
      <c r="J98" s="1100">
        <f>'Interface_City issues'!E51</f>
        <v>0</v>
      </c>
      <c r="K98" s="1100">
        <f>'Interface_City issues'!F51</f>
        <v>0</v>
      </c>
      <c r="L98" s="1100">
        <f>'Interface_City issues'!G51</f>
        <v>0</v>
      </c>
      <c r="AA98" s="1101" t="s">
        <v>601</v>
      </c>
    </row>
    <row r="99" spans="1:27" ht="17.149999999999999" customHeight="1" x14ac:dyDescent="0.35">
      <c r="B99" s="7"/>
      <c r="D99" s="7"/>
    </row>
    <row r="100" spans="1:27" ht="17.149999999999999" customHeight="1" x14ac:dyDescent="0.35">
      <c r="B100" s="7"/>
      <c r="D100" s="7"/>
    </row>
    <row r="101" spans="1:27" ht="17.149999999999999" customHeight="1" x14ac:dyDescent="0.35">
      <c r="A101" s="2" t="s">
        <v>635</v>
      </c>
      <c r="B101" s="7"/>
      <c r="C101" s="5"/>
      <c r="D101" s="7"/>
      <c r="J101" s="11" t="s">
        <v>521</v>
      </c>
      <c r="K101" s="7"/>
      <c r="L101" s="7"/>
    </row>
    <row r="102" spans="1:27" s="11" customFormat="1" ht="28" customHeight="1" x14ac:dyDescent="0.35">
      <c r="A102" s="1503" t="s">
        <v>743</v>
      </c>
      <c r="B102" s="1503" t="s">
        <v>594</v>
      </c>
      <c r="C102" s="1094" t="s">
        <v>744</v>
      </c>
      <c r="J102" s="1503" t="s">
        <v>628</v>
      </c>
      <c r="K102" s="1503" t="s">
        <v>629</v>
      </c>
      <c r="L102" s="1503" t="s">
        <v>757</v>
      </c>
    </row>
    <row r="103" spans="1:27" s="60" customFormat="1" ht="31" x14ac:dyDescent="0.35">
      <c r="A103" s="1510">
        <v>0</v>
      </c>
      <c r="B103" s="1100" t="s">
        <v>636</v>
      </c>
      <c r="C103" s="1510">
        <f>'Interface_City issues'!C56</f>
        <v>1</v>
      </c>
      <c r="H103" s="117"/>
      <c r="J103" s="1100">
        <f>'Interface_City issues'!E56</f>
        <v>0</v>
      </c>
      <c r="K103" s="1100">
        <f>'Interface_City issues'!F56</f>
        <v>0</v>
      </c>
      <c r="L103" s="1100">
        <f>'Interface_City issues'!G56</f>
        <v>0</v>
      </c>
      <c r="AA103" s="1101" t="s">
        <v>601</v>
      </c>
    </row>
    <row r="104" spans="1:27" s="60" customFormat="1" ht="31" x14ac:dyDescent="0.35">
      <c r="A104" s="1510">
        <v>1</v>
      </c>
      <c r="B104" s="154" t="s">
        <v>637</v>
      </c>
      <c r="C104" s="1510">
        <f>'Interface_City issues'!C57</f>
        <v>1</v>
      </c>
      <c r="H104" s="117"/>
      <c r="J104" s="1100">
        <f>'Interface_City issues'!E57</f>
        <v>0</v>
      </c>
      <c r="K104" s="1100">
        <f>'Interface_City issues'!F57</f>
        <v>0</v>
      </c>
      <c r="L104" s="1100">
        <f>'Interface_City issues'!G57</f>
        <v>0</v>
      </c>
      <c r="AA104" s="1101" t="s">
        <v>601</v>
      </c>
    </row>
    <row r="105" spans="1:27" s="60" customFormat="1" ht="31" x14ac:dyDescent="0.35">
      <c r="A105" s="1510">
        <v>2</v>
      </c>
      <c r="B105" s="1100" t="s">
        <v>638</v>
      </c>
      <c r="C105" s="1510">
        <f>'Interface_City issues'!C58</f>
        <v>1</v>
      </c>
      <c r="H105" s="117"/>
      <c r="J105" s="1100">
        <f>'Interface_City issues'!E58</f>
        <v>0</v>
      </c>
      <c r="K105" s="1100">
        <f>'Interface_City issues'!F58</f>
        <v>0</v>
      </c>
      <c r="L105" s="1100">
        <f>'Interface_City issues'!G58</f>
        <v>0</v>
      </c>
      <c r="AA105" s="1101" t="s">
        <v>601</v>
      </c>
    </row>
    <row r="106" spans="1:27" s="60" customFormat="1" ht="31" x14ac:dyDescent="0.35">
      <c r="A106" s="1510">
        <v>3</v>
      </c>
      <c r="B106" s="154" t="s">
        <v>758</v>
      </c>
      <c r="C106" s="1510">
        <f>'Interface_City issues'!C59</f>
        <v>0</v>
      </c>
      <c r="H106" s="117"/>
      <c r="J106" s="1100">
        <f>'Interface_City issues'!E59</f>
        <v>0</v>
      </c>
      <c r="K106" s="1100">
        <f>'Interface_City issues'!F59</f>
        <v>0</v>
      </c>
      <c r="L106" s="1100">
        <f>'Interface_City issues'!G59</f>
        <v>0</v>
      </c>
      <c r="AA106" s="1101" t="s">
        <v>601</v>
      </c>
    </row>
    <row r="107" spans="1:27" ht="31" x14ac:dyDescent="0.35">
      <c r="A107" s="1510">
        <v>4</v>
      </c>
      <c r="B107" s="154" t="s">
        <v>639</v>
      </c>
      <c r="C107" s="1510">
        <f>'Interface_City issues'!C60</f>
        <v>1</v>
      </c>
      <c r="F107" s="7"/>
      <c r="G107" s="7"/>
      <c r="H107" s="116"/>
      <c r="I107" s="7"/>
      <c r="J107" s="1100">
        <f>'Interface_City issues'!E60</f>
        <v>0</v>
      </c>
      <c r="K107" s="1100">
        <f>'Interface_City issues'!F60</f>
        <v>0</v>
      </c>
      <c r="L107" s="1100">
        <f>'Interface_City issues'!G60</f>
        <v>0</v>
      </c>
      <c r="AA107" s="1101" t="s">
        <v>601</v>
      </c>
    </row>
    <row r="108" spans="1:27" x14ac:dyDescent="0.35">
      <c r="A108" s="60"/>
      <c r="F108" s="7"/>
      <c r="G108" s="7"/>
      <c r="H108" s="116"/>
      <c r="I108" s="7"/>
      <c r="J108" s="7"/>
      <c r="K108" s="7"/>
    </row>
    <row r="109" spans="1:27" x14ac:dyDescent="0.35">
      <c r="A109" s="60"/>
    </row>
    <row r="110" spans="1:27" x14ac:dyDescent="0.35">
      <c r="A110" s="60"/>
    </row>
    <row r="116" spans="10:13" x14ac:dyDescent="0.35">
      <c r="J116" s="132"/>
      <c r="K116" s="132"/>
      <c r="L116" s="133"/>
      <c r="M116" s="132"/>
    </row>
  </sheetData>
  <sheetProtection password="C8C1" sheet="1" objects="1" scenarios="1" selectLockedCells="1"/>
  <mergeCells count="23">
    <mergeCell ref="J37:N37"/>
    <mergeCell ref="J52:N52"/>
    <mergeCell ref="J38:N38"/>
    <mergeCell ref="J39:N39"/>
    <mergeCell ref="J40:N40"/>
    <mergeCell ref="J42:N42"/>
    <mergeCell ref="J41:N41"/>
    <mergeCell ref="J48:N48"/>
    <mergeCell ref="J46:N46"/>
    <mergeCell ref="J49:N49"/>
    <mergeCell ref="J50:N50"/>
    <mergeCell ref="J51:N51"/>
    <mergeCell ref="J47:N47"/>
    <mergeCell ref="J69:N69"/>
    <mergeCell ref="J70:N70"/>
    <mergeCell ref="J71:N71"/>
    <mergeCell ref="J72:N72"/>
    <mergeCell ref="J53:N53"/>
    <mergeCell ref="J54:N54"/>
    <mergeCell ref="J64:N64"/>
    <mergeCell ref="J66:N66"/>
    <mergeCell ref="J67:N67"/>
    <mergeCell ref="J68:N68"/>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6"/>
  </sheetPr>
  <dimension ref="A1:AA69"/>
  <sheetViews>
    <sheetView workbookViewId="0">
      <selection activeCell="A3" sqref="A3"/>
    </sheetView>
  </sheetViews>
  <sheetFormatPr defaultRowHeight="14.5" x14ac:dyDescent="0.35"/>
  <cols>
    <col min="1" max="1" width="7.7265625" customWidth="1"/>
    <col min="2" max="2" width="45.7265625" customWidth="1"/>
    <col min="3" max="3" width="10.7265625" style="1" customWidth="1"/>
    <col min="4" max="7" width="10.7265625" customWidth="1"/>
    <col min="8" max="8" width="10.7265625" style="1" customWidth="1"/>
    <col min="9" max="9" width="10.7265625" customWidth="1"/>
    <col min="10" max="12" width="45.7265625" customWidth="1"/>
    <col min="13" max="14" width="16.7265625" customWidth="1"/>
    <col min="27" max="27" width="3.7265625" customWidth="1"/>
  </cols>
  <sheetData>
    <row r="1" spans="1:27" ht="18.5" x14ac:dyDescent="0.35">
      <c r="A1" s="13" t="str">
        <f>'User interface_RES'!AJ11</f>
        <v>Any city in , the world</v>
      </c>
    </row>
    <row r="2" spans="1:27" s="287" customFormat="1" ht="10.5" x14ac:dyDescent="0.25">
      <c r="A2" s="237"/>
      <c r="C2" s="345"/>
      <c r="H2" s="345"/>
    </row>
    <row r="3" spans="1:27" ht="26" x14ac:dyDescent="0.35">
      <c r="A3" s="182" t="s">
        <v>759</v>
      </c>
      <c r="B3" s="3"/>
      <c r="C3" s="55"/>
      <c r="D3" s="4"/>
      <c r="E3" s="4"/>
      <c r="F3" s="4"/>
      <c r="G3" s="4"/>
      <c r="H3" s="47"/>
      <c r="I3" s="3"/>
      <c r="J3" s="3"/>
      <c r="K3" s="3"/>
    </row>
    <row r="4" spans="1:27" ht="17.149999999999999" customHeight="1" x14ac:dyDescent="0.35">
      <c r="A4" s="3"/>
      <c r="B4" s="3"/>
      <c r="C4" s="55"/>
      <c r="D4" s="4"/>
      <c r="E4" s="4"/>
      <c r="F4" s="4"/>
      <c r="G4" s="4"/>
      <c r="H4" s="47"/>
      <c r="I4" s="3"/>
      <c r="J4" s="3"/>
      <c r="K4" s="3"/>
    </row>
    <row r="5" spans="1:27" ht="17.149999999999999" customHeight="1" x14ac:dyDescent="0.35">
      <c r="A5" s="3"/>
      <c r="B5" s="3"/>
      <c r="C5" s="55"/>
      <c r="D5" s="4"/>
      <c r="E5" s="4"/>
      <c r="F5" s="4"/>
      <c r="G5" s="4"/>
      <c r="H5" s="47"/>
      <c r="I5" s="3"/>
      <c r="J5" s="3"/>
      <c r="K5" s="3"/>
    </row>
    <row r="6" spans="1:27" ht="17.149999999999999" customHeight="1" x14ac:dyDescent="0.35">
      <c r="A6" s="2" t="s">
        <v>676</v>
      </c>
      <c r="B6" s="3"/>
      <c r="C6" s="55"/>
      <c r="D6" s="4"/>
      <c r="E6" s="4"/>
      <c r="F6" s="4"/>
      <c r="G6" s="4"/>
      <c r="H6" s="47"/>
      <c r="I6" s="3"/>
      <c r="J6" s="11" t="s">
        <v>521</v>
      </c>
      <c r="K6" s="3"/>
    </row>
    <row r="7" spans="1:27" s="1" customFormat="1" ht="28" customHeight="1" x14ac:dyDescent="0.35">
      <c r="A7" s="1093" t="s">
        <v>743</v>
      </c>
      <c r="B7" s="1093" t="s">
        <v>373</v>
      </c>
      <c r="C7" s="1094" t="s">
        <v>744</v>
      </c>
      <c r="D7" s="1503" t="s">
        <v>745</v>
      </c>
      <c r="E7" s="1503" t="s">
        <v>746</v>
      </c>
      <c r="F7" s="1511" t="s">
        <v>747</v>
      </c>
      <c r="G7" s="1511" t="s">
        <v>746</v>
      </c>
      <c r="H7" s="1511" t="s">
        <v>748</v>
      </c>
      <c r="I7" s="11"/>
      <c r="J7" s="950" t="s">
        <v>677</v>
      </c>
      <c r="K7" s="959" t="s">
        <v>678</v>
      </c>
      <c r="L7" s="959"/>
    </row>
    <row r="8" spans="1:27" s="1112" customFormat="1" ht="31" x14ac:dyDescent="0.35">
      <c r="A8" s="417">
        <v>0</v>
      </c>
      <c r="B8" s="1103" t="s">
        <v>679</v>
      </c>
      <c r="C8" s="354">
        <f>'Interface_Permits &amp; standards'!C11</f>
        <v>0</v>
      </c>
      <c r="D8" s="417">
        <v>1</v>
      </c>
      <c r="E8" s="418" t="str">
        <f>IF(C8=1,(C8*D8)*1,"")</f>
        <v/>
      </c>
      <c r="F8" s="417">
        <v>1</v>
      </c>
      <c r="G8" s="418" t="str">
        <f>IF(C8=1,(C8*F8),"")</f>
        <v/>
      </c>
      <c r="H8" s="1111" t="str">
        <f>G8</f>
        <v/>
      </c>
      <c r="I8" s="60"/>
      <c r="J8" s="1100">
        <f>'Interface_Permits &amp; standards'!E11</f>
        <v>0</v>
      </c>
      <c r="K8" s="1100">
        <f>'Interface_Permits &amp; standards'!F11</f>
        <v>0</v>
      </c>
      <c r="L8" s="1100">
        <f>'Interface_Permits &amp; standards'!G11</f>
        <v>0</v>
      </c>
      <c r="M8" s="66"/>
      <c r="AA8" s="1101" t="s">
        <v>601</v>
      </c>
    </row>
    <row r="9" spans="1:27" s="1112" customFormat="1" ht="31" x14ac:dyDescent="0.35">
      <c r="A9" s="417">
        <v>1</v>
      </c>
      <c r="B9" s="1100" t="s">
        <v>680</v>
      </c>
      <c r="C9" s="354">
        <f>'Interface_Permits &amp; standards'!C12</f>
        <v>0</v>
      </c>
      <c r="D9" s="417">
        <v>0.25</v>
      </c>
      <c r="E9" s="418" t="str">
        <f>IF(C9=1,(C9*D9)*1,"")</f>
        <v/>
      </c>
      <c r="F9" s="417">
        <v>0.25</v>
      </c>
      <c r="G9" s="418" t="str">
        <f>IF(C9=1,(C9*F9),"")</f>
        <v/>
      </c>
      <c r="H9" s="1111" t="str">
        <f>G9</f>
        <v/>
      </c>
      <c r="I9" s="60"/>
      <c r="J9" s="1100">
        <f>'Interface_Permits &amp; standards'!E12</f>
        <v>0</v>
      </c>
      <c r="K9" s="1100">
        <f>'Interface_Permits &amp; standards'!F12</f>
        <v>0</v>
      </c>
      <c r="L9" s="1100">
        <f>'Interface_Permits &amp; standards'!G12</f>
        <v>0</v>
      </c>
      <c r="M9" s="66"/>
      <c r="AA9" s="1101" t="s">
        <v>601</v>
      </c>
    </row>
    <row r="10" spans="1:27" s="1112" customFormat="1" ht="31" x14ac:dyDescent="0.35">
      <c r="A10" s="417">
        <v>2</v>
      </c>
      <c r="B10" s="1113" t="s">
        <v>681</v>
      </c>
      <c r="C10" s="354">
        <f>'Interface_Permits &amp; standards'!C13</f>
        <v>0</v>
      </c>
      <c r="D10" s="417">
        <v>1</v>
      </c>
      <c r="E10" s="418" t="str">
        <f>IF(C10=1,(C10*D10)*1,"")</f>
        <v/>
      </c>
      <c r="F10" s="417">
        <v>1</v>
      </c>
      <c r="G10" s="418" t="str">
        <f>IF(C10=1,(C10*F10),"")</f>
        <v/>
      </c>
      <c r="H10" s="1111" t="str">
        <f>G10</f>
        <v/>
      </c>
      <c r="I10" s="60"/>
      <c r="J10" s="1100">
        <f>'Interface_Permits &amp; standards'!E13</f>
        <v>0</v>
      </c>
      <c r="K10" s="1100">
        <f>'Interface_Permits &amp; standards'!F13</f>
        <v>0</v>
      </c>
      <c r="L10" s="1100">
        <f>'Interface_Permits &amp; standards'!G13</f>
        <v>0</v>
      </c>
      <c r="M10" s="66"/>
      <c r="AA10" s="1101" t="s">
        <v>601</v>
      </c>
    </row>
    <row r="11" spans="1:27" s="1112" customFormat="1" ht="31" x14ac:dyDescent="0.35">
      <c r="A11" s="417">
        <v>3</v>
      </c>
      <c r="B11" s="1100" t="s">
        <v>760</v>
      </c>
      <c r="C11" s="354">
        <f>'Interface_Permits &amp; standards'!C14</f>
        <v>1</v>
      </c>
      <c r="D11" s="417">
        <v>0.5</v>
      </c>
      <c r="E11" s="418">
        <f>IF(C11=1,(C11*D11)*1,"")</f>
        <v>0.5</v>
      </c>
      <c r="F11" s="417">
        <v>0.5</v>
      </c>
      <c r="G11" s="418">
        <f>IF(C11=1,(C11*F11),"")</f>
        <v>0.5</v>
      </c>
      <c r="H11" s="1111">
        <f>G11</f>
        <v>0.5</v>
      </c>
      <c r="I11" s="60"/>
      <c r="J11" s="1100">
        <f>'Interface_Permits &amp; standards'!E14</f>
        <v>0</v>
      </c>
      <c r="K11" s="1100">
        <f>'Interface_Permits &amp; standards'!F14</f>
        <v>1</v>
      </c>
      <c r="L11" s="1100">
        <f>'Interface_Permits &amp; standards'!G14</f>
        <v>0</v>
      </c>
      <c r="M11" s="66"/>
      <c r="AA11" s="1101" t="s">
        <v>601</v>
      </c>
    </row>
    <row r="12" spans="1:27" s="1112" customFormat="1" ht="31" x14ac:dyDescent="0.35">
      <c r="A12" s="417">
        <v>4</v>
      </c>
      <c r="B12" s="1103" t="s">
        <v>683</v>
      </c>
      <c r="C12" s="354">
        <f>'Interface_Permits &amp; standards'!C15</f>
        <v>0</v>
      </c>
      <c r="D12" s="417">
        <v>0.25</v>
      </c>
      <c r="E12" s="418" t="str">
        <f>IF(C12=1,(C12*D12)*1,"")</f>
        <v/>
      </c>
      <c r="F12" s="417">
        <v>1</v>
      </c>
      <c r="G12" s="418" t="str">
        <f>IF(C12=1,(C12*F12),"")</f>
        <v/>
      </c>
      <c r="H12" s="1111" t="str">
        <f>IF(C9=1,E12,G12)</f>
        <v/>
      </c>
      <c r="I12" s="60"/>
      <c r="J12" s="1100">
        <f>'Interface_Permits &amp; standards'!E15</f>
        <v>0</v>
      </c>
      <c r="K12" s="1100">
        <f>'Interface_Permits &amp; standards'!F15</f>
        <v>0</v>
      </c>
      <c r="L12" s="1100">
        <f>'Interface_Permits &amp; standards'!G15</f>
        <v>0</v>
      </c>
      <c r="M12" s="1114"/>
      <c r="AA12" s="1101" t="s">
        <v>601</v>
      </c>
    </row>
    <row r="13" spans="1:27" ht="17.149999999999999" customHeight="1" x14ac:dyDescent="0.35">
      <c r="A13" s="3"/>
      <c r="B13" s="3"/>
      <c r="C13" s="55"/>
      <c r="D13" s="4"/>
      <c r="E13" s="4"/>
      <c r="F13" s="4"/>
      <c r="G13" s="4"/>
      <c r="H13" s="47"/>
      <c r="I13" s="3"/>
      <c r="J13" s="3"/>
      <c r="K13" s="3"/>
    </row>
    <row r="14" spans="1:27" ht="17.149999999999999" customHeight="1" x14ac:dyDescent="0.35">
      <c r="A14" s="3"/>
      <c r="B14" s="48" t="s">
        <v>749</v>
      </c>
      <c r="C14" s="1102"/>
      <c r="D14" s="1102"/>
      <c r="E14" s="1104">
        <f>SUM(E8:E12)</f>
        <v>0.5</v>
      </c>
      <c r="F14" s="1102"/>
      <c r="G14" s="1104">
        <f>SUM(G8:G12)</f>
        <v>0.5</v>
      </c>
      <c r="H14" s="1105">
        <f>SUM(H8:H12)</f>
        <v>0.5</v>
      </c>
      <c r="I14" s="3"/>
      <c r="J14" s="3"/>
      <c r="K14" s="3"/>
    </row>
    <row r="15" spans="1:27" ht="17.149999999999999" customHeight="1" x14ac:dyDescent="0.35">
      <c r="A15" s="3"/>
      <c r="B15" s="47"/>
      <c r="C15" s="4"/>
      <c r="D15" s="4"/>
      <c r="E15" s="4"/>
      <c r="F15" s="4"/>
      <c r="G15" s="4"/>
      <c r="H15" s="47"/>
      <c r="I15" s="3"/>
      <c r="J15" s="3"/>
      <c r="K15" s="3"/>
    </row>
    <row r="16" spans="1:27" ht="17.149999999999999" customHeight="1" x14ac:dyDescent="0.35">
      <c r="A16" s="3"/>
      <c r="B16" s="48" t="s">
        <v>750</v>
      </c>
      <c r="C16" s="1102"/>
      <c r="D16" s="1102"/>
      <c r="E16" s="1102"/>
      <c r="F16" s="1102"/>
      <c r="G16" s="1104"/>
      <c r="H16" s="1105">
        <f>SUM(F10:F12)</f>
        <v>2.5</v>
      </c>
      <c r="I16" s="3"/>
      <c r="J16" s="3"/>
      <c r="K16" s="3"/>
    </row>
    <row r="17" spans="1:27" ht="17.149999999999999" customHeight="1" x14ac:dyDescent="0.35">
      <c r="A17" s="3"/>
      <c r="B17" s="47"/>
      <c r="C17" s="4"/>
      <c r="D17" s="4"/>
      <c r="E17" s="4"/>
      <c r="F17" s="4"/>
      <c r="G17" s="4"/>
      <c r="H17" s="47"/>
      <c r="I17" s="3"/>
      <c r="J17" s="3"/>
      <c r="K17" s="3"/>
    </row>
    <row r="18" spans="1:27" s="353" customFormat="1" ht="17.149999999999999" customHeight="1" x14ac:dyDescent="0.35">
      <c r="A18" s="12"/>
      <c r="B18" s="23" t="s">
        <v>751</v>
      </c>
      <c r="C18" s="963">
        <f>SUM(C8:C12)</f>
        <v>1</v>
      </c>
      <c r="D18" s="963"/>
      <c r="E18" s="963"/>
      <c r="F18" s="963"/>
      <c r="G18" s="963"/>
      <c r="H18" s="352">
        <f>IF(C8=1,0,H14/H16)</f>
        <v>0.2</v>
      </c>
      <c r="I18" s="12"/>
      <c r="J18" s="12"/>
      <c r="K18" s="12"/>
    </row>
    <row r="19" spans="1:27" ht="17.149999999999999" customHeight="1" x14ac:dyDescent="0.35">
      <c r="A19" s="3"/>
      <c r="B19" s="3"/>
      <c r="C19" s="55"/>
      <c r="D19" s="4"/>
      <c r="E19" s="4"/>
      <c r="F19" s="4"/>
      <c r="G19" s="4"/>
      <c r="H19" s="47"/>
      <c r="I19" s="3"/>
      <c r="J19" s="3"/>
      <c r="K19" s="3"/>
    </row>
    <row r="20" spans="1:27" ht="16.5" customHeight="1" x14ac:dyDescent="0.35">
      <c r="A20" s="3"/>
      <c r="B20" s="3"/>
      <c r="C20" s="55"/>
      <c r="D20" s="4"/>
      <c r="E20" s="4"/>
      <c r="F20" s="4"/>
      <c r="G20" s="4"/>
      <c r="H20" s="47"/>
      <c r="I20" s="3"/>
      <c r="J20" s="3"/>
      <c r="K20" s="3"/>
    </row>
    <row r="21" spans="1:27" ht="17.149999999999999" customHeight="1" x14ac:dyDescent="0.35">
      <c r="A21" s="360" t="s">
        <v>761</v>
      </c>
      <c r="J21" s="1" t="s">
        <v>521</v>
      </c>
      <c r="L21" s="91"/>
    </row>
    <row r="22" spans="1:27" s="1" customFormat="1" ht="28" customHeight="1" x14ac:dyDescent="0.35">
      <c r="A22" s="1093" t="s">
        <v>743</v>
      </c>
      <c r="B22" s="1093" t="s">
        <v>373</v>
      </c>
      <c r="C22" s="1094" t="s">
        <v>744</v>
      </c>
      <c r="D22" s="1511"/>
      <c r="E22" s="1511"/>
      <c r="F22" s="1511" t="s">
        <v>747</v>
      </c>
      <c r="G22" s="1511" t="s">
        <v>746</v>
      </c>
      <c r="H22" s="1511" t="s">
        <v>748</v>
      </c>
      <c r="J22" s="950" t="s">
        <v>685</v>
      </c>
      <c r="K22" s="950" t="s">
        <v>712</v>
      </c>
      <c r="L22" s="959"/>
    </row>
    <row r="23" spans="1:27" s="1112" customFormat="1" ht="31" x14ac:dyDescent="0.35">
      <c r="A23" s="417">
        <v>0</v>
      </c>
      <c r="B23" s="1100" t="s">
        <v>713</v>
      </c>
      <c r="C23" s="354">
        <f>'Interface_Permits &amp; standards'!C20</f>
        <v>0</v>
      </c>
      <c r="D23" s="417">
        <v>1</v>
      </c>
      <c r="E23" s="418" t="str">
        <f>IF(C23=1,(C23*D23)*1,"")</f>
        <v/>
      </c>
      <c r="F23" s="417">
        <v>1</v>
      </c>
      <c r="G23" s="418" t="str">
        <f>IF(C23=1,(C23*F23),"")</f>
        <v/>
      </c>
      <c r="H23" s="1111" t="str">
        <f>G23</f>
        <v/>
      </c>
      <c r="J23" s="1100"/>
      <c r="K23" s="1100"/>
      <c r="L23" s="1100"/>
      <c r="AA23" s="1101" t="s">
        <v>601</v>
      </c>
    </row>
    <row r="24" spans="1:27" s="1112" customFormat="1" ht="31" x14ac:dyDescent="0.35">
      <c r="A24" s="417">
        <v>1</v>
      </c>
      <c r="B24" s="953" t="s">
        <v>687</v>
      </c>
      <c r="C24" s="354">
        <f>'Interface_Permits &amp; standards'!C21</f>
        <v>1</v>
      </c>
      <c r="D24" s="417">
        <v>1</v>
      </c>
      <c r="E24" s="418">
        <f>IF(C24=1,(C24*D24)*1,"")</f>
        <v>1</v>
      </c>
      <c r="F24" s="417">
        <v>1</v>
      </c>
      <c r="G24" s="418">
        <f>IF(C24=1,(C24*F24),"")</f>
        <v>1</v>
      </c>
      <c r="H24" s="1111">
        <f>G24</f>
        <v>1</v>
      </c>
      <c r="J24" s="1100">
        <f>'Interface_Permits &amp; standards'!E21</f>
        <v>0</v>
      </c>
      <c r="K24" s="1100">
        <f>'Interface_Permits &amp; standards'!F21</f>
        <v>0</v>
      </c>
      <c r="L24" s="1100">
        <f>'Interface_Permits &amp; standards'!G21</f>
        <v>0</v>
      </c>
      <c r="AA24" s="1101" t="s">
        <v>601</v>
      </c>
    </row>
    <row r="25" spans="1:27" s="1112" customFormat="1" ht="31" x14ac:dyDescent="0.35">
      <c r="A25" s="417">
        <v>2</v>
      </c>
      <c r="B25" s="1100" t="s">
        <v>688</v>
      </c>
      <c r="C25" s="354">
        <f>'Interface_Permits &amp; standards'!C22</f>
        <v>0</v>
      </c>
      <c r="D25" s="417">
        <v>1</v>
      </c>
      <c r="E25" s="418" t="str">
        <f>IF(C25=1,(C25*D25)*1,"")</f>
        <v/>
      </c>
      <c r="F25" s="417">
        <v>1</v>
      </c>
      <c r="G25" s="418" t="str">
        <f>IF(C25=1,(C25*F25),"")</f>
        <v/>
      </c>
      <c r="H25" s="1111" t="str">
        <f>G25</f>
        <v/>
      </c>
      <c r="J25" s="1100">
        <f>'Interface_Permits &amp; standards'!E22</f>
        <v>0</v>
      </c>
      <c r="K25" s="1100">
        <f>'Interface_Permits &amp; standards'!F22</f>
        <v>0</v>
      </c>
      <c r="L25" s="1100">
        <f>'Interface_Permits &amp; standards'!G22</f>
        <v>0</v>
      </c>
      <c r="AA25" s="1101" t="s">
        <v>601</v>
      </c>
    </row>
    <row r="26" spans="1:27" s="1112" customFormat="1" ht="31" x14ac:dyDescent="0.35">
      <c r="A26" s="417">
        <v>3</v>
      </c>
      <c r="B26" s="953" t="s">
        <v>689</v>
      </c>
      <c r="C26" s="354">
        <f>'Interface_Permits &amp; standards'!C23</f>
        <v>0</v>
      </c>
      <c r="D26" s="417">
        <v>1</v>
      </c>
      <c r="E26" s="418" t="str">
        <f>IF(C26=1,(C26*D26)*1,"")</f>
        <v/>
      </c>
      <c r="F26" s="417">
        <v>1</v>
      </c>
      <c r="G26" s="418" t="str">
        <f>IF(C26=1,(C26*F26),"")</f>
        <v/>
      </c>
      <c r="H26" s="1111" t="str">
        <f>G26</f>
        <v/>
      </c>
      <c r="J26" s="1100">
        <f>'Interface_Permits &amp; standards'!E23</f>
        <v>0</v>
      </c>
      <c r="K26" s="1100">
        <f>'Interface_Permits &amp; standards'!F23</f>
        <v>0</v>
      </c>
      <c r="L26" s="1100">
        <f>'Interface_Permits &amp; standards'!G23</f>
        <v>0</v>
      </c>
      <c r="AA26" s="1101" t="s">
        <v>601</v>
      </c>
    </row>
    <row r="27" spans="1:27" ht="17.149999999999999" customHeight="1" x14ac:dyDescent="0.35">
      <c r="A27" s="3"/>
      <c r="B27" s="3"/>
      <c r="C27" s="55"/>
      <c r="D27" s="4"/>
      <c r="E27" s="4"/>
      <c r="F27" s="4"/>
      <c r="G27" s="4"/>
      <c r="H27" s="3"/>
      <c r="I27" s="3"/>
    </row>
    <row r="28" spans="1:27" ht="17.149999999999999" customHeight="1" x14ac:dyDescent="0.35">
      <c r="A28" s="3"/>
      <c r="B28" s="48" t="s">
        <v>749</v>
      </c>
      <c r="C28" s="1102"/>
      <c r="D28" s="1102"/>
      <c r="E28" s="1104"/>
      <c r="F28" s="1102"/>
      <c r="G28" s="1104">
        <f>SUM(G24:G26)</f>
        <v>1</v>
      </c>
      <c r="H28" s="1105">
        <f>SUM(H24:H26)</f>
        <v>1</v>
      </c>
      <c r="I28" s="3"/>
    </row>
    <row r="29" spans="1:27" ht="17.149999999999999" customHeight="1" x14ac:dyDescent="0.35">
      <c r="A29" s="3"/>
      <c r="B29" s="47"/>
      <c r="C29" s="4"/>
      <c r="D29" s="4"/>
      <c r="E29" s="4"/>
      <c r="F29" s="4"/>
      <c r="G29" s="4"/>
      <c r="H29" s="47"/>
      <c r="I29" s="3"/>
    </row>
    <row r="30" spans="1:27" ht="17.149999999999999" customHeight="1" x14ac:dyDescent="0.35">
      <c r="A30" s="3"/>
      <c r="B30" s="48" t="s">
        <v>750</v>
      </c>
      <c r="C30" s="1102"/>
      <c r="D30" s="1102"/>
      <c r="E30" s="1102"/>
      <c r="F30" s="1102"/>
      <c r="G30" s="1104"/>
      <c r="H30" s="1105">
        <f>SUM(F24:F26)</f>
        <v>3</v>
      </c>
      <c r="I30" s="3"/>
    </row>
    <row r="31" spans="1:27" ht="17.149999999999999" customHeight="1" x14ac:dyDescent="0.35">
      <c r="A31" s="3"/>
      <c r="B31" s="47"/>
      <c r="C31" s="4"/>
      <c r="D31" s="4"/>
      <c r="E31" s="4"/>
      <c r="F31" s="4"/>
      <c r="G31" s="4"/>
      <c r="H31" s="47"/>
      <c r="I31" s="3"/>
    </row>
    <row r="32" spans="1:27" s="353" customFormat="1" ht="17.149999999999999" customHeight="1" x14ac:dyDescent="0.35">
      <c r="A32" s="12"/>
      <c r="B32" s="23" t="s">
        <v>751</v>
      </c>
      <c r="C32" s="963">
        <f>SUM(C24:C26)</f>
        <v>1</v>
      </c>
      <c r="D32" s="963"/>
      <c r="E32" s="963"/>
      <c r="F32" s="963"/>
      <c r="G32" s="963"/>
      <c r="H32" s="352">
        <f>IF(C23=1,0,H28/H30)</f>
        <v>0.33333333333333331</v>
      </c>
      <c r="I32" s="12"/>
    </row>
    <row r="33" spans="1:27" ht="17.149999999999999" customHeight="1" x14ac:dyDescent="0.35">
      <c r="A33" s="3"/>
      <c r="B33" s="8"/>
      <c r="C33" s="114"/>
      <c r="D33" s="5"/>
      <c r="E33" s="5"/>
      <c r="F33" s="5"/>
      <c r="G33" s="5"/>
      <c r="H33" s="46"/>
      <c r="I33" s="3"/>
    </row>
    <row r="34" spans="1:27" ht="17.149999999999999" customHeight="1" x14ac:dyDescent="0.35">
      <c r="A34" s="3"/>
      <c r="B34" s="8"/>
      <c r="C34" s="114"/>
      <c r="D34" s="5"/>
      <c r="E34" s="5"/>
      <c r="F34" s="46"/>
      <c r="G34" s="3"/>
      <c r="H34" s="47"/>
      <c r="I34" s="3"/>
    </row>
    <row r="35" spans="1:27" ht="17.149999999999999" customHeight="1" x14ac:dyDescent="0.35">
      <c r="A35" s="2" t="s">
        <v>762</v>
      </c>
      <c r="B35" s="8"/>
      <c r="C35" s="114"/>
      <c r="D35" s="5"/>
      <c r="E35" s="5"/>
      <c r="F35" s="46"/>
      <c r="G35" s="3"/>
      <c r="H35" s="47"/>
      <c r="I35" s="3"/>
    </row>
    <row r="36" spans="1:27" s="1" customFormat="1" ht="28" customHeight="1" x14ac:dyDescent="0.35">
      <c r="A36" s="1503" t="s">
        <v>743</v>
      </c>
      <c r="B36" s="1093" t="s">
        <v>373</v>
      </c>
      <c r="C36" s="1096" t="s">
        <v>744</v>
      </c>
      <c r="D36" s="1503" t="s">
        <v>745</v>
      </c>
      <c r="E36" s="1503" t="s">
        <v>746</v>
      </c>
      <c r="F36" s="1511" t="s">
        <v>747</v>
      </c>
      <c r="G36" s="1511" t="s">
        <v>746</v>
      </c>
      <c r="H36" s="1511" t="s">
        <v>748</v>
      </c>
      <c r="I36" s="11"/>
      <c r="J36" s="1117" t="s">
        <v>521</v>
      </c>
      <c r="K36" s="1118"/>
      <c r="L36" s="1119"/>
      <c r="M36" s="1504" t="s">
        <v>656</v>
      </c>
      <c r="N36" s="1504" t="s">
        <v>645</v>
      </c>
    </row>
    <row r="37" spans="1:27" s="1" customFormat="1" ht="31" x14ac:dyDescent="0.35">
      <c r="A37" s="400"/>
      <c r="B37" s="171" t="s">
        <v>754</v>
      </c>
      <c r="C37" s="354">
        <f>Interface_Budgets!C36</f>
        <v>1</v>
      </c>
      <c r="D37" s="400"/>
      <c r="E37" s="400"/>
      <c r="F37" s="355"/>
      <c r="G37" s="355"/>
      <c r="H37" s="355"/>
      <c r="I37" s="11"/>
      <c r="J37" s="1120">
        <f>Interface_Budgets!E37</f>
        <v>0</v>
      </c>
      <c r="K37" s="1121"/>
      <c r="L37" s="1122"/>
      <c r="M37" s="1520">
        <f>Interface_Budgets!H37</f>
        <v>0</v>
      </c>
      <c r="N37" s="1521">
        <f>Interface_Budgets!I37</f>
        <v>0</v>
      </c>
      <c r="AA37" s="1101" t="s">
        <v>601</v>
      </c>
    </row>
    <row r="38" spans="1:27" ht="31" x14ac:dyDescent="0.35">
      <c r="A38" s="417">
        <v>0</v>
      </c>
      <c r="B38" s="1100" t="s">
        <v>661</v>
      </c>
      <c r="C38" s="354">
        <f>Interface_Budgets!C37</f>
        <v>0</v>
      </c>
      <c r="D38" s="417">
        <v>1</v>
      </c>
      <c r="E38" s="418" t="str">
        <f t="shared" ref="E38:E44" si="0">IF(C38=1,(C38*D38)*1,"")</f>
        <v/>
      </c>
      <c r="F38" s="417">
        <v>1</v>
      </c>
      <c r="G38" s="418" t="str">
        <f>IF(C38=1,(C38*F38),"")</f>
        <v/>
      </c>
      <c r="H38" s="419" t="str">
        <f t="shared" ref="H38:H43" si="1">G38</f>
        <v/>
      </c>
      <c r="I38" s="3"/>
      <c r="J38" s="1120">
        <f>Interface_Budgets!E38</f>
        <v>0</v>
      </c>
      <c r="K38" s="1123"/>
      <c r="L38" s="1124"/>
      <c r="M38" s="1520">
        <f>Interface_Budgets!H38</f>
        <v>0</v>
      </c>
      <c r="N38" s="1521">
        <f>Interface_Budgets!I38</f>
        <v>0</v>
      </c>
      <c r="AA38" s="1101" t="s">
        <v>601</v>
      </c>
    </row>
    <row r="39" spans="1:27" ht="31" x14ac:dyDescent="0.35">
      <c r="A39" s="417">
        <v>1</v>
      </c>
      <c r="B39" s="1100" t="s">
        <v>649</v>
      </c>
      <c r="C39" s="354">
        <f>Interface_Budgets!C38</f>
        <v>0</v>
      </c>
      <c r="D39" s="417">
        <v>1</v>
      </c>
      <c r="E39" s="418" t="str">
        <f t="shared" si="0"/>
        <v/>
      </c>
      <c r="F39" s="417">
        <v>1</v>
      </c>
      <c r="G39" s="418" t="str">
        <f t="shared" ref="G39:G44" si="2">IF(C39=1,(C39*F39)*1,"")</f>
        <v/>
      </c>
      <c r="H39" s="419" t="str">
        <f t="shared" si="1"/>
        <v/>
      </c>
      <c r="I39" s="3"/>
      <c r="J39" s="1120">
        <f>Interface_Budgets!E39</f>
        <v>0</v>
      </c>
      <c r="K39" s="1123"/>
      <c r="L39" s="1124"/>
      <c r="M39" s="1520">
        <f>Interface_Budgets!H39</f>
        <v>0</v>
      </c>
      <c r="N39" s="1521">
        <f>Interface_Budgets!I39</f>
        <v>0</v>
      </c>
      <c r="AA39" s="1101" t="s">
        <v>601</v>
      </c>
    </row>
    <row r="40" spans="1:27" ht="31" x14ac:dyDescent="0.35">
      <c r="A40" s="417">
        <v>2</v>
      </c>
      <c r="B40" s="1100" t="s">
        <v>658</v>
      </c>
      <c r="C40" s="354">
        <f>Interface_Budgets!C39</f>
        <v>0</v>
      </c>
      <c r="D40" s="417">
        <v>1</v>
      </c>
      <c r="E40" s="418" t="str">
        <f t="shared" si="0"/>
        <v/>
      </c>
      <c r="F40" s="417">
        <v>1</v>
      </c>
      <c r="G40" s="418" t="str">
        <f t="shared" si="2"/>
        <v/>
      </c>
      <c r="H40" s="419" t="str">
        <f t="shared" si="1"/>
        <v/>
      </c>
      <c r="I40" s="3"/>
      <c r="J40" s="1120">
        <f>Interface_Budgets!E40</f>
        <v>0</v>
      </c>
      <c r="K40" s="1123"/>
      <c r="L40" s="1124"/>
      <c r="M40" s="1520">
        <f>Interface_Budgets!H40</f>
        <v>0</v>
      </c>
      <c r="N40" s="1521">
        <f>Interface_Budgets!I40</f>
        <v>0</v>
      </c>
      <c r="AA40" s="1101" t="s">
        <v>601</v>
      </c>
    </row>
    <row r="41" spans="1:27" ht="31" x14ac:dyDescent="0.35">
      <c r="A41" s="417">
        <v>3</v>
      </c>
      <c r="B41" s="1106" t="s">
        <v>651</v>
      </c>
      <c r="C41" s="354">
        <f>Interface_Budgets!C40</f>
        <v>0</v>
      </c>
      <c r="D41" s="417">
        <v>1</v>
      </c>
      <c r="E41" s="418" t="str">
        <f t="shared" si="0"/>
        <v/>
      </c>
      <c r="F41" s="417">
        <v>1</v>
      </c>
      <c r="G41" s="418" t="str">
        <f t="shared" si="2"/>
        <v/>
      </c>
      <c r="H41" s="419" t="str">
        <f t="shared" si="1"/>
        <v/>
      </c>
      <c r="I41" s="3"/>
      <c r="J41" s="1120">
        <f>Interface_Budgets!E41</f>
        <v>0</v>
      </c>
      <c r="K41" s="1123"/>
      <c r="L41" s="1124"/>
      <c r="M41" s="1520">
        <f>Interface_Budgets!H41</f>
        <v>0</v>
      </c>
      <c r="N41" s="1521">
        <f>Interface_Budgets!I41</f>
        <v>0</v>
      </c>
      <c r="AA41" s="1101" t="s">
        <v>601</v>
      </c>
    </row>
    <row r="42" spans="1:27" ht="31" x14ac:dyDescent="0.35">
      <c r="A42" s="417">
        <v>4</v>
      </c>
      <c r="B42" s="1100" t="s">
        <v>652</v>
      </c>
      <c r="C42" s="354">
        <f>Interface_Budgets!C41</f>
        <v>0</v>
      </c>
      <c r="D42" s="417">
        <v>1</v>
      </c>
      <c r="E42" s="418" t="str">
        <f t="shared" si="0"/>
        <v/>
      </c>
      <c r="F42" s="417">
        <v>1</v>
      </c>
      <c r="G42" s="418" t="str">
        <f t="shared" si="2"/>
        <v/>
      </c>
      <c r="H42" s="419" t="str">
        <f t="shared" si="1"/>
        <v/>
      </c>
      <c r="I42" s="3"/>
      <c r="J42" s="1120">
        <f>Interface_Budgets!E42</f>
        <v>0</v>
      </c>
      <c r="K42" s="1123"/>
      <c r="L42" s="1124"/>
      <c r="M42" s="1520">
        <f>Interface_Budgets!H42</f>
        <v>0</v>
      </c>
      <c r="N42" s="1521">
        <f>Interface_Budgets!I42</f>
        <v>0</v>
      </c>
      <c r="AA42" s="1101" t="s">
        <v>601</v>
      </c>
    </row>
    <row r="43" spans="1:27" ht="31" x14ac:dyDescent="0.35">
      <c r="A43" s="417">
        <v>5</v>
      </c>
      <c r="B43" s="1100" t="s">
        <v>653</v>
      </c>
      <c r="C43" s="354">
        <f>Interface_Budgets!C42</f>
        <v>0</v>
      </c>
      <c r="D43" s="417">
        <v>1</v>
      </c>
      <c r="E43" s="418" t="str">
        <f t="shared" si="0"/>
        <v/>
      </c>
      <c r="F43" s="417">
        <v>1</v>
      </c>
      <c r="G43" s="418" t="str">
        <f t="shared" si="2"/>
        <v/>
      </c>
      <c r="H43" s="419" t="str">
        <f t="shared" si="1"/>
        <v/>
      </c>
      <c r="I43" s="3"/>
      <c r="J43" s="1120">
        <f>Interface_Budgets!E43</f>
        <v>0</v>
      </c>
      <c r="K43" s="1123"/>
      <c r="L43" s="1124"/>
      <c r="M43" s="1520">
        <f>Interface_Budgets!H43</f>
        <v>0</v>
      </c>
      <c r="N43" s="1521">
        <f>Interface_Budgets!I43</f>
        <v>0</v>
      </c>
      <c r="AA43" s="1101" t="s">
        <v>601</v>
      </c>
    </row>
    <row r="44" spans="1:27" ht="31" x14ac:dyDescent="0.35">
      <c r="A44" s="417">
        <v>6</v>
      </c>
      <c r="B44" s="1100" t="s">
        <v>654</v>
      </c>
      <c r="C44" s="354">
        <f>Interface_Budgets!C43</f>
        <v>0</v>
      </c>
      <c r="D44" s="417">
        <v>1</v>
      </c>
      <c r="E44" s="1107" t="str">
        <f t="shared" si="0"/>
        <v/>
      </c>
      <c r="F44" s="417">
        <v>1</v>
      </c>
      <c r="G44" s="418" t="str">
        <f t="shared" si="2"/>
        <v/>
      </c>
      <c r="H44" s="419" t="str">
        <f>IF(C39=1,E44,G44)</f>
        <v/>
      </c>
      <c r="I44" s="3"/>
      <c r="J44" s="1120">
        <f>Interface_Budgets!E44</f>
        <v>0</v>
      </c>
      <c r="K44" s="1123"/>
      <c r="L44" s="1124"/>
      <c r="M44" s="1520">
        <f>Interface_Budgets!H44</f>
        <v>0</v>
      </c>
      <c r="N44" s="1521">
        <f>Interface_Budgets!I44</f>
        <v>0</v>
      </c>
      <c r="AA44" s="1101" t="s">
        <v>601</v>
      </c>
    </row>
    <row r="45" spans="1:27" ht="17.149999999999999" customHeight="1" x14ac:dyDescent="0.35">
      <c r="A45" s="4"/>
      <c r="B45" s="4"/>
      <c r="C45" s="55"/>
      <c r="D45" s="4"/>
      <c r="E45" s="4"/>
      <c r="F45" s="4"/>
      <c r="G45" s="4"/>
      <c r="H45" s="47"/>
      <c r="I45" s="3"/>
    </row>
    <row r="46" spans="1:27" ht="17.149999999999999" customHeight="1" x14ac:dyDescent="0.35">
      <c r="A46" s="3"/>
      <c r="B46" s="48" t="s">
        <v>749</v>
      </c>
      <c r="C46" s="1102"/>
      <c r="D46" s="1102"/>
      <c r="E46" s="1104">
        <f>SUM(E38:E44)</f>
        <v>0</v>
      </c>
      <c r="F46" s="1102"/>
      <c r="G46" s="1104">
        <f>SUM(G38:G44)</f>
        <v>0</v>
      </c>
      <c r="H46" s="1105">
        <f>SUM(H38:H44)</f>
        <v>0</v>
      </c>
      <c r="I46" s="3"/>
    </row>
    <row r="47" spans="1:27" ht="17.149999999999999" customHeight="1" x14ac:dyDescent="0.35">
      <c r="A47" s="3"/>
      <c r="B47" s="47"/>
      <c r="C47" s="4"/>
      <c r="D47" s="4"/>
      <c r="E47" s="4"/>
      <c r="F47" s="4"/>
      <c r="G47" s="4"/>
      <c r="H47" s="47"/>
      <c r="I47" s="3"/>
    </row>
    <row r="48" spans="1:27" ht="17.149999999999999" customHeight="1" x14ac:dyDescent="0.35">
      <c r="A48" s="3"/>
      <c r="B48" s="48" t="s">
        <v>750</v>
      </c>
      <c r="C48" s="1102"/>
      <c r="D48" s="1102"/>
      <c r="E48" s="1102"/>
      <c r="F48" s="1102"/>
      <c r="G48" s="1104"/>
      <c r="H48" s="1105">
        <f>SUM(F38:F44)</f>
        <v>7</v>
      </c>
    </row>
    <row r="49" spans="1:27" ht="17.149999999999999" customHeight="1" x14ac:dyDescent="0.35">
      <c r="A49" s="3"/>
      <c r="B49" s="47"/>
      <c r="C49" s="4"/>
      <c r="D49" s="4"/>
      <c r="E49" s="4"/>
      <c r="F49" s="4"/>
      <c r="G49" s="4"/>
      <c r="H49" s="47"/>
    </row>
    <row r="50" spans="1:27" s="353" customFormat="1" ht="17.149999999999999" customHeight="1" x14ac:dyDescent="0.35">
      <c r="A50" s="12"/>
      <c r="B50" s="23" t="s">
        <v>751</v>
      </c>
      <c r="C50" s="963">
        <f>SUM(C38:C44)</f>
        <v>0</v>
      </c>
      <c r="D50" s="963"/>
      <c r="E50" s="963"/>
      <c r="F50" s="963"/>
      <c r="G50" s="963"/>
      <c r="H50" s="352" t="str">
        <f>IF(C37=1,"",(H46/H48))</f>
        <v/>
      </c>
    </row>
    <row r="51" spans="1:27" ht="17.149999999999999" customHeight="1" x14ac:dyDescent="0.35">
      <c r="A51" s="3"/>
      <c r="B51" s="8"/>
      <c r="C51" s="114"/>
      <c r="D51" s="5"/>
      <c r="E51" s="5"/>
      <c r="F51" s="5"/>
      <c r="G51" s="5"/>
      <c r="H51" s="46"/>
    </row>
    <row r="52" spans="1:27" ht="17.149999999999999" customHeight="1" x14ac:dyDescent="0.35">
      <c r="A52" s="3"/>
      <c r="B52" s="8"/>
      <c r="C52" s="114"/>
      <c r="D52" s="5"/>
      <c r="E52" s="5"/>
      <c r="F52" s="5"/>
      <c r="G52" s="5"/>
      <c r="H52" s="46"/>
    </row>
    <row r="53" spans="1:27" ht="17.149999999999999" customHeight="1" x14ac:dyDescent="0.35">
      <c r="A53" s="2" t="s">
        <v>763</v>
      </c>
      <c r="B53" s="8"/>
      <c r="C53" s="114"/>
      <c r="D53" s="5"/>
      <c r="E53" s="5"/>
      <c r="F53" s="46"/>
      <c r="G53" s="3"/>
      <c r="H53" s="47"/>
    </row>
    <row r="54" spans="1:27" s="1" customFormat="1" ht="28" customHeight="1" x14ac:dyDescent="0.35">
      <c r="A54" s="1503" t="s">
        <v>743</v>
      </c>
      <c r="B54" s="1093" t="s">
        <v>373</v>
      </c>
      <c r="C54" s="1096" t="s">
        <v>744</v>
      </c>
      <c r="D54" s="1503" t="s">
        <v>745</v>
      </c>
      <c r="E54" s="1503" t="s">
        <v>746</v>
      </c>
      <c r="F54" s="1511" t="s">
        <v>747</v>
      </c>
      <c r="G54" s="1511" t="s">
        <v>746</v>
      </c>
      <c r="H54" s="1511" t="s">
        <v>748</v>
      </c>
      <c r="J54" s="1117" t="s">
        <v>521</v>
      </c>
      <c r="K54" s="1118"/>
      <c r="L54" s="1119"/>
      <c r="M54" s="1504" t="s">
        <v>656</v>
      </c>
      <c r="N54" s="1504" t="s">
        <v>645</v>
      </c>
    </row>
    <row r="55" spans="1:27" s="1" customFormat="1" ht="31" x14ac:dyDescent="0.35">
      <c r="A55" s="400"/>
      <c r="B55" s="171" t="s">
        <v>754</v>
      </c>
      <c r="C55" s="354">
        <f>Interface_Budgets!C48</f>
        <v>1</v>
      </c>
      <c r="D55" s="400"/>
      <c r="E55" s="400"/>
      <c r="F55" s="355"/>
      <c r="G55" s="355"/>
      <c r="H55" s="355"/>
      <c r="J55" s="1120">
        <f>Interface_Budgets!E49</f>
        <v>0</v>
      </c>
      <c r="K55" s="1121"/>
      <c r="L55" s="1122"/>
      <c r="M55" s="1520">
        <f>Interface_Budgets!H49</f>
        <v>0</v>
      </c>
      <c r="N55" s="1521">
        <f>Interface_Budgets!I49</f>
        <v>0</v>
      </c>
      <c r="AA55" s="1101" t="s">
        <v>601</v>
      </c>
    </row>
    <row r="56" spans="1:27" ht="31" x14ac:dyDescent="0.35">
      <c r="A56" s="417">
        <v>0</v>
      </c>
      <c r="B56" s="1100" t="s">
        <v>661</v>
      </c>
      <c r="C56" s="354">
        <f>Interface_Budgets!C49</f>
        <v>0</v>
      </c>
      <c r="D56" s="417">
        <v>1</v>
      </c>
      <c r="E56" s="418" t="str">
        <f t="shared" ref="E56:E62" si="3">IF(C56=1,(C56*D56)*1,"")</f>
        <v/>
      </c>
      <c r="F56" s="417">
        <v>1</v>
      </c>
      <c r="G56" s="418" t="str">
        <f>IF(C56=1,(C56*F56),"")</f>
        <v/>
      </c>
      <c r="H56" s="419" t="str">
        <f t="shared" ref="H56:H61" si="4">G56</f>
        <v/>
      </c>
      <c r="J56" s="1120">
        <f>Interface_Budgets!E50</f>
        <v>0</v>
      </c>
      <c r="K56" s="1121"/>
      <c r="L56" s="1122"/>
      <c r="M56" s="1520">
        <f>Interface_Budgets!H50</f>
        <v>0</v>
      </c>
      <c r="N56" s="1521">
        <f>Interface_Budgets!I50</f>
        <v>0</v>
      </c>
      <c r="AA56" s="1101" t="s">
        <v>601</v>
      </c>
    </row>
    <row r="57" spans="1:27" ht="31" x14ac:dyDescent="0.35">
      <c r="A57" s="417">
        <v>1</v>
      </c>
      <c r="B57" s="1106" t="s">
        <v>649</v>
      </c>
      <c r="C57" s="354">
        <f>Interface_Budgets!C50</f>
        <v>0</v>
      </c>
      <c r="D57" s="1115">
        <v>1</v>
      </c>
      <c r="E57" s="968" t="str">
        <f t="shared" si="3"/>
        <v/>
      </c>
      <c r="F57" s="1115">
        <v>1</v>
      </c>
      <c r="G57" s="968" t="str">
        <f t="shared" ref="G57:G62" si="5">IF(C57=1,(C57*F57)*1,"")</f>
        <v/>
      </c>
      <c r="H57" s="1116" t="str">
        <f t="shared" si="4"/>
        <v/>
      </c>
      <c r="J57" s="1120">
        <f>Interface_Budgets!E51</f>
        <v>0</v>
      </c>
      <c r="K57" s="1121"/>
      <c r="L57" s="1122"/>
      <c r="M57" s="1520">
        <f>Interface_Budgets!H51</f>
        <v>0</v>
      </c>
      <c r="N57" s="1521">
        <f>Interface_Budgets!I51</f>
        <v>0</v>
      </c>
      <c r="AA57" s="1101" t="s">
        <v>601</v>
      </c>
    </row>
    <row r="58" spans="1:27" ht="31" x14ac:dyDescent="0.35">
      <c r="A58" s="417">
        <v>2</v>
      </c>
      <c r="B58" s="1100" t="s">
        <v>658</v>
      </c>
      <c r="C58" s="354">
        <f>Interface_Budgets!C51</f>
        <v>0</v>
      </c>
      <c r="D58" s="417">
        <v>1</v>
      </c>
      <c r="E58" s="418" t="str">
        <f t="shared" si="3"/>
        <v/>
      </c>
      <c r="F58" s="417">
        <v>1</v>
      </c>
      <c r="G58" s="418" t="str">
        <f t="shared" si="5"/>
        <v/>
      </c>
      <c r="H58" s="419" t="str">
        <f t="shared" si="4"/>
        <v/>
      </c>
      <c r="J58" s="1120">
        <f>Interface_Budgets!E52</f>
        <v>0</v>
      </c>
      <c r="K58" s="1121"/>
      <c r="L58" s="1122"/>
      <c r="M58" s="1520">
        <f>Interface_Budgets!H52</f>
        <v>0</v>
      </c>
      <c r="N58" s="1521">
        <f>Interface_Budgets!I52</f>
        <v>0</v>
      </c>
      <c r="AA58" s="1101" t="s">
        <v>601</v>
      </c>
    </row>
    <row r="59" spans="1:27" ht="31" x14ac:dyDescent="0.35">
      <c r="A59" s="417">
        <v>3</v>
      </c>
      <c r="B59" s="1106" t="s">
        <v>651</v>
      </c>
      <c r="C59" s="354">
        <f>Interface_Budgets!C52</f>
        <v>0</v>
      </c>
      <c r="D59" s="1115">
        <v>1</v>
      </c>
      <c r="E59" s="968" t="str">
        <f t="shared" si="3"/>
        <v/>
      </c>
      <c r="F59" s="1115">
        <v>1</v>
      </c>
      <c r="G59" s="968" t="str">
        <f t="shared" si="5"/>
        <v/>
      </c>
      <c r="H59" s="1116" t="str">
        <f t="shared" si="4"/>
        <v/>
      </c>
      <c r="J59" s="1120">
        <f>Interface_Budgets!E53</f>
        <v>0</v>
      </c>
      <c r="K59" s="1121"/>
      <c r="L59" s="1122"/>
      <c r="M59" s="1520">
        <f>Interface_Budgets!H53</f>
        <v>0</v>
      </c>
      <c r="N59" s="1521">
        <f>Interface_Budgets!I53</f>
        <v>0</v>
      </c>
      <c r="AA59" s="1101" t="s">
        <v>601</v>
      </c>
    </row>
    <row r="60" spans="1:27" ht="31" x14ac:dyDescent="0.35">
      <c r="A60" s="417">
        <v>4</v>
      </c>
      <c r="B60" s="1100" t="s">
        <v>652</v>
      </c>
      <c r="C60" s="354">
        <f>Interface_Budgets!C53</f>
        <v>0</v>
      </c>
      <c r="D60" s="417">
        <v>1</v>
      </c>
      <c r="E60" s="418" t="str">
        <f t="shared" si="3"/>
        <v/>
      </c>
      <c r="F60" s="417">
        <v>1</v>
      </c>
      <c r="G60" s="418" t="str">
        <f t="shared" si="5"/>
        <v/>
      </c>
      <c r="H60" s="419" t="str">
        <f t="shared" si="4"/>
        <v/>
      </c>
      <c r="J60" s="1120">
        <f>Interface_Budgets!E54</f>
        <v>0</v>
      </c>
      <c r="K60" s="1121"/>
      <c r="L60" s="1122"/>
      <c r="M60" s="1520">
        <f>Interface_Budgets!H54</f>
        <v>0</v>
      </c>
      <c r="N60" s="1521">
        <f>Interface_Budgets!I54</f>
        <v>0</v>
      </c>
      <c r="AA60" s="1101" t="s">
        <v>601</v>
      </c>
    </row>
    <row r="61" spans="1:27" ht="31" x14ac:dyDescent="0.35">
      <c r="A61" s="417">
        <v>5</v>
      </c>
      <c r="B61" s="1106" t="s">
        <v>653</v>
      </c>
      <c r="C61" s="354">
        <f>Interface_Budgets!C54</f>
        <v>0</v>
      </c>
      <c r="D61" s="1115">
        <v>1</v>
      </c>
      <c r="E61" s="968" t="str">
        <f t="shared" si="3"/>
        <v/>
      </c>
      <c r="F61" s="1115">
        <v>1</v>
      </c>
      <c r="G61" s="968" t="str">
        <f t="shared" si="5"/>
        <v/>
      </c>
      <c r="H61" s="1116" t="str">
        <f t="shared" si="4"/>
        <v/>
      </c>
      <c r="J61" s="1120">
        <f>Interface_Budgets!E55</f>
        <v>0</v>
      </c>
      <c r="K61" s="1121"/>
      <c r="L61" s="1122"/>
      <c r="M61" s="1520">
        <f>Interface_Budgets!H55</f>
        <v>0</v>
      </c>
      <c r="N61" s="1521">
        <f>Interface_Budgets!I55</f>
        <v>0</v>
      </c>
      <c r="AA61" s="1101" t="s">
        <v>601</v>
      </c>
    </row>
    <row r="62" spans="1:27" ht="31" x14ac:dyDescent="0.35">
      <c r="A62" s="417">
        <v>6</v>
      </c>
      <c r="B62" s="1100" t="s">
        <v>654</v>
      </c>
      <c r="C62" s="354">
        <f>Interface_Budgets!C55</f>
        <v>0</v>
      </c>
      <c r="D62" s="417">
        <v>1</v>
      </c>
      <c r="E62" s="418" t="str">
        <f t="shared" si="3"/>
        <v/>
      </c>
      <c r="F62" s="417">
        <v>1</v>
      </c>
      <c r="G62" s="418" t="str">
        <f t="shared" si="5"/>
        <v/>
      </c>
      <c r="H62" s="419" t="str">
        <f>IF(C57=1,E62,G62)</f>
        <v/>
      </c>
      <c r="J62" s="1120">
        <f>Interface_Budgets!E56</f>
        <v>0</v>
      </c>
      <c r="K62" s="1121"/>
      <c r="L62" s="1122"/>
      <c r="M62" s="1520">
        <f>Interface_Budgets!H56</f>
        <v>0</v>
      </c>
      <c r="N62" s="1521">
        <f>Interface_Budgets!I56</f>
        <v>0</v>
      </c>
      <c r="AA62" s="1101" t="s">
        <v>601</v>
      </c>
    </row>
    <row r="63" spans="1:27" ht="17.149999999999999" customHeight="1" x14ac:dyDescent="0.35">
      <c r="A63" s="4"/>
      <c r="B63" s="4"/>
      <c r="C63" s="55"/>
      <c r="D63" s="4"/>
      <c r="E63" s="4"/>
      <c r="F63" s="4"/>
      <c r="G63" s="4"/>
      <c r="H63" s="47"/>
    </row>
    <row r="64" spans="1:27" ht="17.149999999999999" customHeight="1" x14ac:dyDescent="0.35">
      <c r="A64" s="3"/>
      <c r="B64" s="48" t="s">
        <v>749</v>
      </c>
      <c r="C64" s="1102"/>
      <c r="D64" s="1102"/>
      <c r="E64" s="1104">
        <f>SUM(E56:E62)</f>
        <v>0</v>
      </c>
      <c r="F64" s="1102"/>
      <c r="G64" s="1104">
        <f>SUM(G56:G62)</f>
        <v>0</v>
      </c>
      <c r="H64" s="1105">
        <f>SUM(H56:H62)</f>
        <v>0</v>
      </c>
    </row>
    <row r="65" spans="1:8" ht="17.149999999999999" customHeight="1" x14ac:dyDescent="0.35">
      <c r="A65" s="3"/>
      <c r="B65" s="47"/>
      <c r="C65" s="4"/>
      <c r="D65" s="4"/>
      <c r="E65" s="4"/>
      <c r="F65" s="4"/>
      <c r="G65" s="4"/>
      <c r="H65" s="47"/>
    </row>
    <row r="66" spans="1:8" ht="17.149999999999999" customHeight="1" x14ac:dyDescent="0.35">
      <c r="A66" s="3"/>
      <c r="B66" s="48" t="s">
        <v>750</v>
      </c>
      <c r="C66" s="1102"/>
      <c r="D66" s="1102"/>
      <c r="E66" s="1102"/>
      <c r="F66" s="1102"/>
      <c r="G66" s="1104"/>
      <c r="H66" s="1105">
        <f>SUM(F56:F62)</f>
        <v>7</v>
      </c>
    </row>
    <row r="67" spans="1:8" ht="17.149999999999999" customHeight="1" x14ac:dyDescent="0.35">
      <c r="A67" s="3"/>
      <c r="B67" s="47"/>
      <c r="C67" s="4"/>
      <c r="D67" s="4"/>
      <c r="E67" s="4"/>
      <c r="F67" s="4"/>
      <c r="G67" s="4"/>
      <c r="H67" s="47"/>
    </row>
    <row r="68" spans="1:8" s="353" customFormat="1" ht="17.149999999999999" customHeight="1" x14ac:dyDescent="0.35">
      <c r="A68" s="12"/>
      <c r="B68" s="23" t="s">
        <v>751</v>
      </c>
      <c r="C68" s="963">
        <f>SUM(C56:C62)</f>
        <v>0</v>
      </c>
      <c r="D68" s="963"/>
      <c r="E68" s="963"/>
      <c r="F68" s="963"/>
      <c r="G68" s="963"/>
      <c r="H68" s="352" t="str">
        <f>IF(C55=1,"",(H64/H66))</f>
        <v/>
      </c>
    </row>
    <row r="69" spans="1:8" x14ac:dyDescent="0.35">
      <c r="A69" s="3"/>
      <c r="B69" s="8"/>
      <c r="C69" s="114"/>
      <c r="D69" s="5"/>
      <c r="E69" s="5"/>
      <c r="F69" s="5"/>
      <c r="G69" s="5"/>
      <c r="H69" s="46"/>
    </row>
  </sheetData>
  <sheetProtection password="C8C1" sheet="1" objects="1" scenarios="1" selectLockedCells="1"/>
  <pageMargins left="0.7" right="0.7" top="0.75" bottom="0.75" header="0.3" footer="0.3"/>
  <pageSetup paperSize="9" orientation="portrait" horizontalDpi="4294967293" verticalDpi="0" r:id="rId1"/>
  <ignoredErrors>
    <ignoredError sqref="H16 H30" formulaRange="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6"/>
  </sheetPr>
  <dimension ref="A1:AA105"/>
  <sheetViews>
    <sheetView workbookViewId="0">
      <selection activeCell="A3" sqref="A3"/>
    </sheetView>
  </sheetViews>
  <sheetFormatPr defaultColWidth="9.1796875" defaultRowHeight="13" x14ac:dyDescent="0.35"/>
  <cols>
    <col min="1" max="1" width="7.7265625" style="3" customWidth="1"/>
    <col min="2" max="2" width="45.7265625" style="3" customWidth="1"/>
    <col min="3" max="7" width="10.7265625" style="4" customWidth="1"/>
    <col min="8" max="8" width="10.7265625" style="47" customWidth="1"/>
    <col min="9" max="9" width="10.7265625" style="3" customWidth="1"/>
    <col min="10" max="12" width="45.7265625" style="3" customWidth="1"/>
    <col min="13" max="14" width="16.7265625" style="3" customWidth="1"/>
    <col min="15" max="26" width="9.1796875" style="3"/>
    <col min="27" max="27" width="3.7265625" style="3" customWidth="1"/>
    <col min="28" max="16384" width="9.1796875" style="3"/>
  </cols>
  <sheetData>
    <row r="1" spans="1:27" ht="18.5" x14ac:dyDescent="0.35">
      <c r="A1" s="13" t="str">
        <f>'User interface_RES'!AJ11</f>
        <v>Any city in , the world</v>
      </c>
    </row>
    <row r="2" spans="1:27" s="185" customFormat="1" ht="10.5" x14ac:dyDescent="0.35">
      <c r="A2" s="237"/>
      <c r="C2" s="247"/>
      <c r="D2" s="247"/>
      <c r="E2" s="247"/>
      <c r="F2" s="247"/>
      <c r="G2" s="247"/>
      <c r="H2" s="237"/>
    </row>
    <row r="3" spans="1:27" ht="26" x14ac:dyDescent="0.35">
      <c r="A3" s="182" t="s">
        <v>764</v>
      </c>
    </row>
    <row r="4" spans="1:27" ht="17.149999999999999" customHeight="1" x14ac:dyDescent="0.35"/>
    <row r="5" spans="1:27" ht="17.149999999999999" customHeight="1" x14ac:dyDescent="0.35">
      <c r="A5" s="43"/>
      <c r="B5" s="43"/>
      <c r="C5" s="44"/>
      <c r="D5" s="44"/>
      <c r="E5" s="44"/>
      <c r="F5" s="44"/>
      <c r="G5" s="44"/>
      <c r="H5" s="122"/>
      <c r="I5" s="43"/>
      <c r="J5" s="43"/>
      <c r="K5" s="43"/>
    </row>
    <row r="6" spans="1:27" ht="17.149999999999999" customHeight="1" x14ac:dyDescent="0.35">
      <c r="A6" s="2" t="s">
        <v>765</v>
      </c>
      <c r="J6" s="11" t="s">
        <v>521</v>
      </c>
    </row>
    <row r="7" spans="1:27" s="11" customFormat="1" ht="28" customHeight="1" x14ac:dyDescent="0.35">
      <c r="A7" s="1093" t="s">
        <v>743</v>
      </c>
      <c r="B7" s="1093" t="s">
        <v>373</v>
      </c>
      <c r="C7" s="1094" t="s">
        <v>744</v>
      </c>
      <c r="D7" s="1503" t="s">
        <v>745</v>
      </c>
      <c r="E7" s="1503" t="s">
        <v>746</v>
      </c>
      <c r="F7" s="1511" t="s">
        <v>747</v>
      </c>
      <c r="G7" s="1511" t="s">
        <v>746</v>
      </c>
      <c r="H7" s="1511" t="s">
        <v>748</v>
      </c>
      <c r="J7" s="1017" t="s">
        <v>677</v>
      </c>
      <c r="K7" s="1017" t="s">
        <v>678</v>
      </c>
      <c r="L7" s="1125" t="s">
        <v>599</v>
      </c>
    </row>
    <row r="8" spans="1:27" s="60" customFormat="1" ht="31" x14ac:dyDescent="0.35">
      <c r="A8" s="417">
        <v>0</v>
      </c>
      <c r="B8" s="1103" t="s">
        <v>679</v>
      </c>
      <c r="C8" s="417">
        <f>'Interface_Permits &amp; standards'!C30</f>
        <v>1</v>
      </c>
      <c r="D8" s="417">
        <v>1</v>
      </c>
      <c r="E8" s="418">
        <f>IF(C8=1,(C8*D8)*0,"")</f>
        <v>0</v>
      </c>
      <c r="F8" s="417">
        <v>1</v>
      </c>
      <c r="G8" s="418">
        <f>IF(C8=1,(C8*F8)*0,"")</f>
        <v>0</v>
      </c>
      <c r="H8" s="419">
        <f>G8</f>
        <v>0</v>
      </c>
      <c r="J8" s="1100">
        <f>'Interface_Permits &amp; standards'!E30</f>
        <v>0</v>
      </c>
      <c r="K8" s="1100">
        <f>'Interface_Permits &amp; standards'!F30</f>
        <v>0</v>
      </c>
      <c r="L8" s="1100">
        <f>'Interface_Permits &amp; standards'!G30</f>
        <v>0</v>
      </c>
      <c r="AA8" s="1101" t="s">
        <v>601</v>
      </c>
    </row>
    <row r="9" spans="1:27" s="60" customFormat="1" ht="31" x14ac:dyDescent="0.35">
      <c r="A9" s="417">
        <v>1</v>
      </c>
      <c r="B9" s="1100" t="s">
        <v>691</v>
      </c>
      <c r="C9" s="417">
        <f>'Interface_Permits &amp; standards'!C31</f>
        <v>0</v>
      </c>
      <c r="D9" s="417">
        <v>0.25</v>
      </c>
      <c r="E9" s="418" t="str">
        <f>IF(C9=1,(C9*D9)*1,"")</f>
        <v/>
      </c>
      <c r="F9" s="417">
        <v>0.25</v>
      </c>
      <c r="G9" s="418" t="str">
        <f>IF(C9=1,(C9*F9)*1,"")</f>
        <v/>
      </c>
      <c r="H9" s="419" t="str">
        <f>G9</f>
        <v/>
      </c>
      <c r="J9" s="1100">
        <f>'Interface_Permits &amp; standards'!E31</f>
        <v>0</v>
      </c>
      <c r="K9" s="1100">
        <f>'Interface_Permits &amp; standards'!F31</f>
        <v>0</v>
      </c>
      <c r="L9" s="1100">
        <f>'Interface_Permits &amp; standards'!G31</f>
        <v>0</v>
      </c>
      <c r="AA9" s="1101" t="s">
        <v>601</v>
      </c>
    </row>
    <row r="10" spans="1:27" s="60" customFormat="1" ht="31" x14ac:dyDescent="0.35">
      <c r="A10" s="417">
        <v>2</v>
      </c>
      <c r="B10" s="1113" t="s">
        <v>692</v>
      </c>
      <c r="C10" s="417">
        <f>'Interface_Permits &amp; standards'!C32</f>
        <v>0</v>
      </c>
      <c r="D10" s="417">
        <v>1</v>
      </c>
      <c r="E10" s="418" t="str">
        <f>IF(C10=1,(C10*D10)*1,"")</f>
        <v/>
      </c>
      <c r="F10" s="417">
        <v>1</v>
      </c>
      <c r="G10" s="418" t="str">
        <f>IF(C10=1,(C10*F10)*1,"")</f>
        <v/>
      </c>
      <c r="H10" s="419" t="str">
        <f>G10</f>
        <v/>
      </c>
      <c r="J10" s="1100">
        <f>'Interface_Permits &amp; standards'!E32</f>
        <v>0</v>
      </c>
      <c r="K10" s="1100">
        <f>'Interface_Permits &amp; standards'!F32</f>
        <v>0</v>
      </c>
      <c r="L10" s="1100">
        <f>'Interface_Permits &amp; standards'!G32</f>
        <v>0</v>
      </c>
      <c r="AA10" s="1101" t="s">
        <v>601</v>
      </c>
    </row>
    <row r="11" spans="1:27" s="60" customFormat="1" ht="31" x14ac:dyDescent="0.35">
      <c r="A11" s="417">
        <v>3</v>
      </c>
      <c r="B11" s="1100" t="s">
        <v>693</v>
      </c>
      <c r="C11" s="417">
        <f>'Interface_Permits &amp; standards'!C33</f>
        <v>0</v>
      </c>
      <c r="D11" s="417">
        <v>0.5</v>
      </c>
      <c r="E11" s="418" t="str">
        <f>IF(C11=1,(C11*D11)*1,"")</f>
        <v/>
      </c>
      <c r="F11" s="417">
        <v>0.5</v>
      </c>
      <c r="G11" s="418" t="str">
        <f>IF(C11=1,(C11*F11)*1,"")</f>
        <v/>
      </c>
      <c r="H11" s="419" t="str">
        <f>G11</f>
        <v/>
      </c>
      <c r="J11" s="1100">
        <f>'Interface_Permits &amp; standards'!E33</f>
        <v>0</v>
      </c>
      <c r="K11" s="1100">
        <f>'Interface_Permits &amp; standards'!F33</f>
        <v>0</v>
      </c>
      <c r="L11" s="1100">
        <f>'Interface_Permits &amp; standards'!G33</f>
        <v>0</v>
      </c>
      <c r="AA11" s="1101" t="s">
        <v>601</v>
      </c>
    </row>
    <row r="12" spans="1:27" s="60" customFormat="1" ht="31" x14ac:dyDescent="0.35">
      <c r="A12" s="417">
        <v>4</v>
      </c>
      <c r="B12" s="1103" t="s">
        <v>683</v>
      </c>
      <c r="C12" s="417">
        <f>'Interface_Permits &amp; standards'!C34</f>
        <v>0</v>
      </c>
      <c r="D12" s="417">
        <v>0.25</v>
      </c>
      <c r="E12" s="418" t="str">
        <f>IF(C12=1,(C12*D12)*1,"")</f>
        <v/>
      </c>
      <c r="F12" s="417">
        <v>1</v>
      </c>
      <c r="G12" s="418" t="str">
        <f>IF(C12=1,(C12*F12)*1,"")</f>
        <v/>
      </c>
      <c r="H12" s="419" t="str">
        <f>IF(C9=1,E12,G12)</f>
        <v/>
      </c>
      <c r="J12" s="1100">
        <f>'Interface_Permits &amp; standards'!E34</f>
        <v>0</v>
      </c>
      <c r="K12" s="1100">
        <f>'Interface_Permits &amp; standards'!F34</f>
        <v>0</v>
      </c>
      <c r="L12" s="1100">
        <f>'Interface_Permits &amp; standards'!G34</f>
        <v>0</v>
      </c>
      <c r="AA12" s="1101" t="s">
        <v>601</v>
      </c>
    </row>
    <row r="13" spans="1:27" ht="17.149999999999999" customHeight="1" x14ac:dyDescent="0.35">
      <c r="AA13" s="1101"/>
    </row>
    <row r="14" spans="1:27" ht="17.149999999999999" customHeight="1" x14ac:dyDescent="0.35">
      <c r="B14" s="48" t="s">
        <v>749</v>
      </c>
      <c r="C14" s="1102"/>
      <c r="D14" s="1102"/>
      <c r="E14" s="1104">
        <f>SUM(E8:E12)</f>
        <v>0</v>
      </c>
      <c r="F14" s="1102"/>
      <c r="G14" s="1104">
        <f>SUM(G8:G12)</f>
        <v>0</v>
      </c>
      <c r="H14" s="1105">
        <f>SUM(H8:H12)</f>
        <v>0</v>
      </c>
      <c r="AA14" s="1101"/>
    </row>
    <row r="15" spans="1:27" ht="17.149999999999999" customHeight="1" x14ac:dyDescent="0.35">
      <c r="B15" s="47"/>
      <c r="AA15" s="1101"/>
    </row>
    <row r="16" spans="1:27" ht="17.149999999999999" customHeight="1" x14ac:dyDescent="0.35">
      <c r="B16" s="48" t="s">
        <v>750</v>
      </c>
      <c r="C16" s="1102"/>
      <c r="D16" s="1102"/>
      <c r="E16" s="1102"/>
      <c r="F16" s="1102"/>
      <c r="G16" s="1104"/>
      <c r="H16" s="1105">
        <f>SUM(F10:F12)</f>
        <v>2.5</v>
      </c>
    </row>
    <row r="17" spans="1:27" ht="17.149999999999999" customHeight="1" x14ac:dyDescent="0.35">
      <c r="B17" s="47"/>
    </row>
    <row r="18" spans="1:27" s="12" customFormat="1" ht="17.149999999999999" customHeight="1" x14ac:dyDescent="0.35">
      <c r="B18" s="23" t="s">
        <v>751</v>
      </c>
      <c r="C18" s="963">
        <f>SUM(C8:C12)</f>
        <v>1</v>
      </c>
      <c r="D18" s="963"/>
      <c r="E18" s="963"/>
      <c r="F18" s="963"/>
      <c r="G18" s="963"/>
      <c r="H18" s="352">
        <f>IF(C8=1,0,H14/H16)</f>
        <v>0</v>
      </c>
    </row>
    <row r="19" spans="1:27" ht="17.149999999999999" customHeight="1" x14ac:dyDescent="0.35"/>
    <row r="20" spans="1:27" ht="17.149999999999999" customHeight="1" x14ac:dyDescent="0.35"/>
    <row r="21" spans="1:27" ht="17.149999999999999" customHeight="1" x14ac:dyDescent="0.35"/>
    <row r="22" spans="1:27" ht="17.149999999999999" customHeight="1" x14ac:dyDescent="0.35">
      <c r="A22" s="2" t="s">
        <v>766</v>
      </c>
      <c r="J22" s="11"/>
    </row>
    <row r="23" spans="1:27" s="11" customFormat="1" ht="28" customHeight="1" x14ac:dyDescent="0.35">
      <c r="A23" s="1503" t="s">
        <v>743</v>
      </c>
      <c r="B23" s="1093" t="s">
        <v>373</v>
      </c>
      <c r="C23" s="1096" t="s">
        <v>744</v>
      </c>
      <c r="D23" s="1503" t="s">
        <v>745</v>
      </c>
      <c r="E23" s="1503" t="s">
        <v>746</v>
      </c>
      <c r="F23" s="1511" t="s">
        <v>747</v>
      </c>
      <c r="G23" s="1511" t="s">
        <v>746</v>
      </c>
      <c r="H23" s="1511" t="s">
        <v>748</v>
      </c>
      <c r="J23" s="1004" t="s">
        <v>521</v>
      </c>
      <c r="K23" s="1011"/>
      <c r="L23" s="1005"/>
    </row>
    <row r="24" spans="1:27" s="60" customFormat="1" ht="31" x14ac:dyDescent="0.35">
      <c r="A24" s="417"/>
      <c r="B24" s="354" t="s">
        <v>767</v>
      </c>
      <c r="C24" s="417">
        <f>'Interface_Emptying &amp; Transport'!C65</f>
        <v>1</v>
      </c>
      <c r="D24" s="417"/>
      <c r="E24" s="418"/>
      <c r="F24" s="417"/>
      <c r="G24" s="418"/>
      <c r="H24" s="419"/>
      <c r="J24" s="1132" t="s">
        <v>768</v>
      </c>
      <c r="K24" s="1133"/>
      <c r="L24" s="1110"/>
      <c r="AA24" s="1101" t="s">
        <v>601</v>
      </c>
    </row>
    <row r="25" spans="1:27" s="60" customFormat="1" ht="31" x14ac:dyDescent="0.35">
      <c r="A25" s="417">
        <v>1</v>
      </c>
      <c r="B25" s="1100" t="s">
        <v>769</v>
      </c>
      <c r="C25" s="417">
        <f>'Interface_Emptying &amp; Transport'!C66</f>
        <v>0</v>
      </c>
      <c r="D25" s="417">
        <v>1</v>
      </c>
      <c r="E25" s="418" t="str">
        <f t="shared" ref="E25:E30" si="0">IF(C25=1,(C25*D25)*1,"")</f>
        <v/>
      </c>
      <c r="F25" s="417">
        <v>1</v>
      </c>
      <c r="G25" s="418" t="str">
        <f t="shared" ref="G25:G30" si="1">IF(C25=1,(C25*F25)*1,"")</f>
        <v/>
      </c>
      <c r="H25" s="419" t="str">
        <f>G25</f>
        <v/>
      </c>
      <c r="J25" s="1512">
        <f>'Interface_Emptying &amp; Transport'!E66</f>
        <v>0</v>
      </c>
      <c r="K25" s="1134"/>
      <c r="L25" s="1110"/>
      <c r="AA25" s="1101" t="s">
        <v>601</v>
      </c>
    </row>
    <row r="26" spans="1:27" s="60" customFormat="1" ht="31" x14ac:dyDescent="0.35">
      <c r="A26" s="417">
        <v>2</v>
      </c>
      <c r="B26" s="1103" t="s">
        <v>378</v>
      </c>
      <c r="C26" s="417">
        <f>'Interface_Emptying &amp; Transport'!C67</f>
        <v>0</v>
      </c>
      <c r="D26" s="417">
        <v>1</v>
      </c>
      <c r="E26" s="418" t="str">
        <f t="shared" si="0"/>
        <v/>
      </c>
      <c r="F26" s="417">
        <v>1</v>
      </c>
      <c r="G26" s="418" t="str">
        <f t="shared" si="1"/>
        <v/>
      </c>
      <c r="H26" s="419" t="str">
        <f>G26</f>
        <v/>
      </c>
      <c r="J26" s="1512">
        <f>'Interface_Emptying &amp; Transport'!E67</f>
        <v>0</v>
      </c>
      <c r="K26" s="1134"/>
      <c r="L26" s="1110"/>
      <c r="AA26" s="1101" t="s">
        <v>601</v>
      </c>
    </row>
    <row r="27" spans="1:27" s="60" customFormat="1" ht="31" x14ac:dyDescent="0.35">
      <c r="A27" s="417">
        <v>3</v>
      </c>
      <c r="B27" s="1100" t="s">
        <v>379</v>
      </c>
      <c r="C27" s="417">
        <f>'Interface_Emptying &amp; Transport'!C68</f>
        <v>0</v>
      </c>
      <c r="D27" s="417">
        <v>1</v>
      </c>
      <c r="E27" s="418" t="str">
        <f t="shared" si="0"/>
        <v/>
      </c>
      <c r="F27" s="417">
        <v>1</v>
      </c>
      <c r="G27" s="418" t="str">
        <f t="shared" si="1"/>
        <v/>
      </c>
      <c r="H27" s="419" t="str">
        <f>G27</f>
        <v/>
      </c>
      <c r="J27" s="1512">
        <f>'Interface_Emptying &amp; Transport'!E68</f>
        <v>0</v>
      </c>
      <c r="K27" s="1134"/>
      <c r="L27" s="1110"/>
      <c r="AA27" s="1101" t="s">
        <v>601</v>
      </c>
    </row>
    <row r="28" spans="1:27" s="60" customFormat="1" ht="31" x14ac:dyDescent="0.35">
      <c r="A28" s="417">
        <v>4</v>
      </c>
      <c r="B28" s="1103" t="s">
        <v>380</v>
      </c>
      <c r="C28" s="417">
        <f>'Interface_Emptying &amp; Transport'!C69</f>
        <v>0</v>
      </c>
      <c r="D28" s="417">
        <v>1</v>
      </c>
      <c r="E28" s="418" t="str">
        <f t="shared" si="0"/>
        <v/>
      </c>
      <c r="F28" s="417">
        <v>1</v>
      </c>
      <c r="G28" s="418" t="str">
        <f t="shared" si="1"/>
        <v/>
      </c>
      <c r="H28" s="419" t="str">
        <f>G28</f>
        <v/>
      </c>
      <c r="J28" s="1512">
        <f>'Interface_Emptying &amp; Transport'!E69</f>
        <v>0</v>
      </c>
      <c r="K28" s="1134"/>
      <c r="L28" s="1110"/>
      <c r="AA28" s="1101" t="s">
        <v>601</v>
      </c>
    </row>
    <row r="29" spans="1:27" s="60" customFormat="1" ht="31" x14ac:dyDescent="0.35">
      <c r="A29" s="417">
        <v>5</v>
      </c>
      <c r="B29" s="1100" t="s">
        <v>381</v>
      </c>
      <c r="C29" s="417">
        <f>'Interface_Emptying &amp; Transport'!C70</f>
        <v>0</v>
      </c>
      <c r="D29" s="417">
        <v>1</v>
      </c>
      <c r="E29" s="418" t="str">
        <f t="shared" si="0"/>
        <v/>
      </c>
      <c r="F29" s="417">
        <v>1</v>
      </c>
      <c r="G29" s="418" t="str">
        <f t="shared" si="1"/>
        <v/>
      </c>
      <c r="H29" s="419" t="str">
        <f>G29</f>
        <v/>
      </c>
      <c r="J29" s="1512">
        <f>'Interface_Emptying &amp; Transport'!E70</f>
        <v>0</v>
      </c>
      <c r="K29" s="1134"/>
      <c r="L29" s="1110"/>
      <c r="AA29" s="1101" t="s">
        <v>601</v>
      </c>
    </row>
    <row r="30" spans="1:27" s="60" customFormat="1" ht="31" x14ac:dyDescent="0.35">
      <c r="A30" s="417">
        <v>6</v>
      </c>
      <c r="B30" s="1103" t="s">
        <v>382</v>
      </c>
      <c r="C30" s="417">
        <f>'Interface_Emptying &amp; Transport'!C71</f>
        <v>0</v>
      </c>
      <c r="D30" s="417">
        <v>1</v>
      </c>
      <c r="E30" s="418" t="str">
        <f t="shared" si="0"/>
        <v/>
      </c>
      <c r="F30" s="417">
        <v>1</v>
      </c>
      <c r="G30" s="418" t="str">
        <f t="shared" si="1"/>
        <v/>
      </c>
      <c r="H30" s="419" t="str">
        <f>IF(C26=1,E30,G30)</f>
        <v/>
      </c>
      <c r="J30" s="1512">
        <f>'Interface_Emptying &amp; Transport'!E71</f>
        <v>0</v>
      </c>
      <c r="K30" s="1134"/>
      <c r="L30" s="1110"/>
      <c r="AA30" s="1101" t="s">
        <v>601</v>
      </c>
    </row>
    <row r="31" spans="1:27" ht="17.149999999999999" customHeight="1" x14ac:dyDescent="0.35"/>
    <row r="32" spans="1:27" ht="17.149999999999999" customHeight="1" x14ac:dyDescent="0.35">
      <c r="B32" s="48" t="s">
        <v>749</v>
      </c>
      <c r="C32" s="1102"/>
      <c r="D32" s="1102"/>
      <c r="E32" s="1104">
        <f>SUM(E25:E30)</f>
        <v>0</v>
      </c>
      <c r="F32" s="1102"/>
      <c r="G32" s="1104">
        <f>SUM(G25:G30)</f>
        <v>0</v>
      </c>
      <c r="H32" s="1105">
        <f>SUM(H25:H30)</f>
        <v>0</v>
      </c>
    </row>
    <row r="33" spans="1:27" ht="17.149999999999999" customHeight="1" x14ac:dyDescent="0.35">
      <c r="B33" s="47"/>
    </row>
    <row r="34" spans="1:27" ht="17.149999999999999" customHeight="1" x14ac:dyDescent="0.35">
      <c r="B34" s="48" t="s">
        <v>750</v>
      </c>
      <c r="C34" s="1102"/>
      <c r="D34" s="1102"/>
      <c r="E34" s="1102"/>
      <c r="F34" s="1102"/>
      <c r="G34" s="1104"/>
      <c r="H34" s="1105">
        <f>SUM(F25:F30)</f>
        <v>6</v>
      </c>
    </row>
    <row r="35" spans="1:27" ht="17.149999999999999" customHeight="1" x14ac:dyDescent="0.35">
      <c r="B35" s="47"/>
    </row>
    <row r="36" spans="1:27" s="12" customFormat="1" ht="17.149999999999999" customHeight="1" x14ac:dyDescent="0.35">
      <c r="B36" s="23" t="s">
        <v>751</v>
      </c>
      <c r="C36" s="963">
        <f>SUM(C25:C30)</f>
        <v>0</v>
      </c>
      <c r="D36" s="963"/>
      <c r="E36" s="963"/>
      <c r="F36" s="963"/>
      <c r="G36" s="963"/>
      <c r="H36" s="352" t="str">
        <f>IF(C24=1,"",H32/H34)</f>
        <v/>
      </c>
    </row>
    <row r="37" spans="1:27" ht="17.149999999999999" customHeight="1" x14ac:dyDescent="0.35"/>
    <row r="38" spans="1:27" ht="17.149999999999999" customHeight="1" x14ac:dyDescent="0.35"/>
    <row r="39" spans="1:27" ht="17.149999999999999" customHeight="1" x14ac:dyDescent="0.35">
      <c r="A39" s="2" t="s">
        <v>770</v>
      </c>
      <c r="J39" s="11"/>
    </row>
    <row r="40" spans="1:27" s="11" customFormat="1" ht="28" customHeight="1" x14ac:dyDescent="0.35">
      <c r="A40" s="1503" t="s">
        <v>743</v>
      </c>
      <c r="B40" s="1093" t="s">
        <v>373</v>
      </c>
      <c r="C40" s="1096" t="s">
        <v>744</v>
      </c>
      <c r="D40" s="1503" t="s">
        <v>745</v>
      </c>
      <c r="E40" s="1503" t="s">
        <v>746</v>
      </c>
      <c r="F40" s="1511" t="s">
        <v>747</v>
      </c>
      <c r="G40" s="1511" t="s">
        <v>746</v>
      </c>
      <c r="H40" s="1511" t="s">
        <v>748</v>
      </c>
      <c r="J40" s="1004" t="s">
        <v>521</v>
      </c>
      <c r="K40" s="1011"/>
      <c r="L40" s="1005"/>
    </row>
    <row r="41" spans="1:27" s="60" customFormat="1" ht="31" x14ac:dyDescent="0.35">
      <c r="A41" s="417"/>
      <c r="B41" s="354" t="s">
        <v>767</v>
      </c>
      <c r="C41" s="417">
        <f>'Interface_Emptying &amp; Transport'!C76</f>
        <v>0</v>
      </c>
      <c r="D41" s="417"/>
      <c r="E41" s="418"/>
      <c r="F41" s="417"/>
      <c r="G41" s="418"/>
      <c r="H41" s="419"/>
      <c r="J41" s="1132" t="s">
        <v>768</v>
      </c>
      <c r="K41" s="1133"/>
      <c r="L41" s="1110"/>
      <c r="AA41" s="1101" t="s">
        <v>601</v>
      </c>
    </row>
    <row r="42" spans="1:27" s="60" customFormat="1" ht="31" x14ac:dyDescent="0.35">
      <c r="A42" s="417">
        <v>0</v>
      </c>
      <c r="B42" s="1100" t="s">
        <v>769</v>
      </c>
      <c r="C42" s="417">
        <f>'Interface_Emptying &amp; Transport'!C77</f>
        <v>0</v>
      </c>
      <c r="D42" s="417">
        <v>1</v>
      </c>
      <c r="E42" s="418" t="str">
        <f t="shared" ref="E42:E48" si="2">IF(C42=1,(C42*D42)*1,"")</f>
        <v/>
      </c>
      <c r="F42" s="417">
        <v>1</v>
      </c>
      <c r="G42" s="418" t="str">
        <f t="shared" ref="G42:G48" si="3">IF(C42=1,(C42*F42)*1,"")</f>
        <v/>
      </c>
      <c r="H42" s="419" t="str">
        <f t="shared" ref="H42:H48" si="4">G42</f>
        <v/>
      </c>
      <c r="J42" s="1512" t="str">
        <f>'Interface_Emptying &amp; Transport'!E77</f>
        <v>It is avoided, but in some cases the cleaner has to enter the pit for loosening the sludge, etc</v>
      </c>
      <c r="K42" s="1134"/>
      <c r="L42" s="1110"/>
      <c r="AA42" s="1101" t="s">
        <v>601</v>
      </c>
    </row>
    <row r="43" spans="1:27" s="60" customFormat="1" ht="31" x14ac:dyDescent="0.35">
      <c r="A43" s="417">
        <v>1</v>
      </c>
      <c r="B43" s="1103" t="s">
        <v>378</v>
      </c>
      <c r="C43" s="417">
        <f>'Interface_Emptying &amp; Transport'!C78</f>
        <v>0</v>
      </c>
      <c r="D43" s="417">
        <v>1</v>
      </c>
      <c r="E43" s="418" t="str">
        <f t="shared" si="2"/>
        <v/>
      </c>
      <c r="F43" s="417">
        <v>1</v>
      </c>
      <c r="G43" s="418" t="str">
        <f t="shared" si="3"/>
        <v/>
      </c>
      <c r="H43" s="419" t="str">
        <f t="shared" si="4"/>
        <v/>
      </c>
      <c r="J43" s="1512" t="str">
        <f>'Interface_Emptying &amp; Transport'!E78</f>
        <v>Nothing</v>
      </c>
      <c r="K43" s="1134"/>
      <c r="L43" s="1110"/>
      <c r="AA43" s="1101" t="s">
        <v>601</v>
      </c>
    </row>
    <row r="44" spans="1:27" s="60" customFormat="1" ht="31" x14ac:dyDescent="0.35">
      <c r="A44" s="417">
        <v>2</v>
      </c>
      <c r="B44" s="1100" t="s">
        <v>379</v>
      </c>
      <c r="C44" s="417">
        <f>'Interface_Emptying &amp; Transport'!C79</f>
        <v>0</v>
      </c>
      <c r="D44" s="417">
        <v>1</v>
      </c>
      <c r="E44" s="418" t="str">
        <f t="shared" si="2"/>
        <v/>
      </c>
      <c r="F44" s="417">
        <v>1</v>
      </c>
      <c r="G44" s="418" t="str">
        <f t="shared" si="3"/>
        <v/>
      </c>
      <c r="H44" s="419" t="str">
        <f t="shared" si="4"/>
        <v/>
      </c>
      <c r="J44" s="1512" t="str">
        <f>'Interface_Emptying &amp; Transport'!E79</f>
        <v>Nothing</v>
      </c>
      <c r="K44" s="1134"/>
      <c r="L44" s="1110"/>
      <c r="AA44" s="1101" t="s">
        <v>601</v>
      </c>
    </row>
    <row r="45" spans="1:27" s="60" customFormat="1" ht="31" x14ac:dyDescent="0.35">
      <c r="A45" s="417">
        <v>3</v>
      </c>
      <c r="B45" s="1103" t="s">
        <v>380</v>
      </c>
      <c r="C45" s="417">
        <f>'Interface_Emptying &amp; Transport'!C80</f>
        <v>0</v>
      </c>
      <c r="D45" s="417">
        <v>1</v>
      </c>
      <c r="E45" s="418" t="str">
        <f t="shared" si="2"/>
        <v/>
      </c>
      <c r="F45" s="417">
        <v>1</v>
      </c>
      <c r="G45" s="418" t="str">
        <f t="shared" si="3"/>
        <v/>
      </c>
      <c r="H45" s="419" t="str">
        <f t="shared" si="4"/>
        <v/>
      </c>
      <c r="J45" s="1512" t="str">
        <f>'Interface_Emptying &amp; Transport'!E80</f>
        <v>Nothing</v>
      </c>
      <c r="K45" s="1134"/>
      <c r="L45" s="1110"/>
      <c r="AA45" s="1101" t="s">
        <v>601</v>
      </c>
    </row>
    <row r="46" spans="1:27" s="60" customFormat="1" ht="31" x14ac:dyDescent="0.35">
      <c r="A46" s="417">
        <v>4</v>
      </c>
      <c r="B46" s="1100" t="s">
        <v>386</v>
      </c>
      <c r="C46" s="417">
        <f>'Interface_Emptying &amp; Transport'!C81</f>
        <v>0</v>
      </c>
      <c r="D46" s="417">
        <v>1</v>
      </c>
      <c r="E46" s="418" t="str">
        <f t="shared" si="2"/>
        <v/>
      </c>
      <c r="F46" s="417">
        <v>1</v>
      </c>
      <c r="G46" s="418" t="str">
        <f t="shared" si="3"/>
        <v/>
      </c>
      <c r="H46" s="419" t="str">
        <f t="shared" si="4"/>
        <v/>
      </c>
      <c r="J46" s="1512" t="str">
        <f>'Interface_Emptying &amp; Transport'!E81</f>
        <v>It is not required/mandated, but personally they may do so</v>
      </c>
      <c r="K46" s="1134"/>
      <c r="L46" s="1110"/>
      <c r="AA46" s="1101" t="s">
        <v>601</v>
      </c>
    </row>
    <row r="47" spans="1:27" s="60" customFormat="1" ht="31" x14ac:dyDescent="0.35">
      <c r="A47" s="417">
        <v>5</v>
      </c>
      <c r="B47" s="1103" t="s">
        <v>388</v>
      </c>
      <c r="C47" s="417">
        <f>'Interface_Emptying &amp; Transport'!C82</f>
        <v>0</v>
      </c>
      <c r="D47" s="417">
        <v>1</v>
      </c>
      <c r="E47" s="418" t="str">
        <f t="shared" si="2"/>
        <v/>
      </c>
      <c r="F47" s="417">
        <v>1</v>
      </c>
      <c r="G47" s="418" t="str">
        <f t="shared" si="3"/>
        <v/>
      </c>
      <c r="H47" s="419" t="str">
        <f t="shared" si="4"/>
        <v/>
      </c>
      <c r="J47" s="1512" t="str">
        <f>'Interface_Emptying &amp; Transport'!E82</f>
        <v>Nothing</v>
      </c>
      <c r="K47" s="1134"/>
      <c r="L47" s="1110"/>
      <c r="AA47" s="1101" t="s">
        <v>601</v>
      </c>
    </row>
    <row r="48" spans="1:27" s="60" customFormat="1" ht="31" x14ac:dyDescent="0.35">
      <c r="A48" s="417">
        <v>6</v>
      </c>
      <c r="B48" s="1100" t="s">
        <v>389</v>
      </c>
      <c r="C48" s="417">
        <f>'Interface_Emptying &amp; Transport'!C83</f>
        <v>0</v>
      </c>
      <c r="D48" s="417">
        <v>1</v>
      </c>
      <c r="E48" s="418" t="str">
        <f t="shared" si="2"/>
        <v/>
      </c>
      <c r="F48" s="417">
        <v>1</v>
      </c>
      <c r="G48" s="418" t="str">
        <f t="shared" si="3"/>
        <v/>
      </c>
      <c r="H48" s="419" t="str">
        <f t="shared" si="4"/>
        <v/>
      </c>
      <c r="J48" s="1512" t="str">
        <f>'Interface_Emptying &amp; Transport'!E83</f>
        <v>Nothing</v>
      </c>
      <c r="K48" s="1134"/>
      <c r="L48" s="1110"/>
      <c r="AA48" s="1101" t="s">
        <v>601</v>
      </c>
    </row>
    <row r="49" spans="1:27" ht="17.149999999999999" customHeight="1" x14ac:dyDescent="0.35"/>
    <row r="50" spans="1:27" ht="17.149999999999999" customHeight="1" x14ac:dyDescent="0.35">
      <c r="B50" s="48" t="s">
        <v>749</v>
      </c>
      <c r="C50" s="1102"/>
      <c r="D50" s="1102"/>
      <c r="E50" s="1104">
        <f>SUM(E42:E48)</f>
        <v>0</v>
      </c>
      <c r="F50" s="1102"/>
      <c r="G50" s="1104">
        <f>SUM(G42:G48)</f>
        <v>0</v>
      </c>
      <c r="H50" s="1105">
        <f>SUM(H42:H48)</f>
        <v>0</v>
      </c>
    </row>
    <row r="51" spans="1:27" ht="17.149999999999999" customHeight="1" x14ac:dyDescent="0.35">
      <c r="B51" s="47"/>
    </row>
    <row r="52" spans="1:27" ht="17.149999999999999" customHeight="1" x14ac:dyDescent="0.35">
      <c r="B52" s="48" t="s">
        <v>750</v>
      </c>
      <c r="C52" s="1102"/>
      <c r="D52" s="1102"/>
      <c r="E52" s="1102"/>
      <c r="F52" s="1102"/>
      <c r="G52" s="1104"/>
      <c r="H52" s="1105">
        <f>SUM(F42:F48)</f>
        <v>7</v>
      </c>
    </row>
    <row r="53" spans="1:27" ht="17.149999999999999" customHeight="1" x14ac:dyDescent="0.35">
      <c r="B53" s="47"/>
    </row>
    <row r="54" spans="1:27" s="12" customFormat="1" ht="17.149999999999999" customHeight="1" x14ac:dyDescent="0.35">
      <c r="B54" s="23" t="s">
        <v>751</v>
      </c>
      <c r="C54" s="963">
        <f>SUM(C42:C48)</f>
        <v>0</v>
      </c>
      <c r="D54" s="963"/>
      <c r="E54" s="963"/>
      <c r="F54" s="963"/>
      <c r="G54" s="963"/>
      <c r="H54" s="352">
        <f>IF(C41=1,"",H50/H52)</f>
        <v>0</v>
      </c>
    </row>
    <row r="55" spans="1:27" ht="17.149999999999999" customHeight="1" x14ac:dyDescent="0.35"/>
    <row r="56" spans="1:27" ht="17.149999999999999" customHeight="1" x14ac:dyDescent="0.35"/>
    <row r="57" spans="1:27" ht="17.149999999999999" customHeight="1" x14ac:dyDescent="0.35">
      <c r="A57" s="2" t="s">
        <v>771</v>
      </c>
      <c r="J57" s="11" t="s">
        <v>521</v>
      </c>
    </row>
    <row r="58" spans="1:27" s="11" customFormat="1" ht="28" customHeight="1" x14ac:dyDescent="0.35">
      <c r="A58" s="1503" t="s">
        <v>743</v>
      </c>
      <c r="B58" s="1093" t="s">
        <v>373</v>
      </c>
      <c r="C58" s="1096" t="s">
        <v>744</v>
      </c>
      <c r="D58" s="1503"/>
      <c r="E58" s="1503"/>
      <c r="F58" s="1511" t="s">
        <v>747</v>
      </c>
      <c r="G58" s="1511" t="s">
        <v>746</v>
      </c>
      <c r="H58" s="1511" t="s">
        <v>748</v>
      </c>
      <c r="J58" s="1503" t="s">
        <v>685</v>
      </c>
      <c r="K58" s="1503" t="s">
        <v>712</v>
      </c>
      <c r="L58" s="1503" t="s">
        <v>599</v>
      </c>
    </row>
    <row r="59" spans="1:27" s="60" customFormat="1" ht="31" x14ac:dyDescent="0.35">
      <c r="A59" s="417">
        <v>0</v>
      </c>
      <c r="B59" s="1100" t="s">
        <v>695</v>
      </c>
      <c r="C59" s="417">
        <f>'Interface_Permits &amp; standards'!C39</f>
        <v>1</v>
      </c>
      <c r="D59" s="155"/>
      <c r="E59" s="155"/>
      <c r="F59" s="417"/>
      <c r="G59" s="418"/>
      <c r="H59" s="418"/>
      <c r="J59" s="1100">
        <f>'Interface_Permits &amp; standards'!E39</f>
        <v>0</v>
      </c>
      <c r="K59" s="1100">
        <f>'Interface_Permits &amp; standards'!F39</f>
        <v>0</v>
      </c>
      <c r="L59" s="1100">
        <f>'Interface_Permits &amp; standards'!G39</f>
        <v>0</v>
      </c>
      <c r="AA59" s="1101" t="s">
        <v>601</v>
      </c>
    </row>
    <row r="60" spans="1:27" s="60" customFormat="1" ht="31" x14ac:dyDescent="0.35">
      <c r="A60" s="417">
        <v>1</v>
      </c>
      <c r="B60" s="953" t="s">
        <v>696</v>
      </c>
      <c r="C60" s="417">
        <f>'Interface_Permits &amp; standards'!C40</f>
        <v>0</v>
      </c>
      <c r="D60" s="155"/>
      <c r="E60" s="155"/>
      <c r="F60" s="417">
        <v>1</v>
      </c>
      <c r="G60" s="418" t="str">
        <f>IF(C60=1,(C60*F60)*1,"")</f>
        <v/>
      </c>
      <c r="H60" s="418" t="str">
        <f>G60</f>
        <v/>
      </c>
      <c r="J60" s="1100">
        <f>'Interface_Permits &amp; standards'!E40</f>
        <v>0</v>
      </c>
      <c r="K60" s="1100">
        <f>'Interface_Permits &amp; standards'!F40</f>
        <v>0</v>
      </c>
      <c r="L60" s="1100">
        <f>'Interface_Permits &amp; standards'!G40</f>
        <v>0</v>
      </c>
      <c r="AA60" s="1101" t="s">
        <v>601</v>
      </c>
    </row>
    <row r="61" spans="1:27" s="60" customFormat="1" ht="31" x14ac:dyDescent="0.35">
      <c r="A61" s="417">
        <v>2</v>
      </c>
      <c r="B61" s="1100" t="s">
        <v>697</v>
      </c>
      <c r="C61" s="417">
        <f>'Interface_Permits &amp; standards'!C41</f>
        <v>0</v>
      </c>
      <c r="D61" s="155"/>
      <c r="E61" s="155"/>
      <c r="F61" s="417">
        <v>1</v>
      </c>
      <c r="G61" s="418" t="str">
        <f>IF(C61=1,(C61*F61)*1,"")</f>
        <v/>
      </c>
      <c r="H61" s="418" t="str">
        <f>G61</f>
        <v/>
      </c>
      <c r="J61" s="1100">
        <f>'Interface_Permits &amp; standards'!E41</f>
        <v>0</v>
      </c>
      <c r="K61" s="1100">
        <f>'Interface_Permits &amp; standards'!F41</f>
        <v>0</v>
      </c>
      <c r="L61" s="1100">
        <f>'Interface_Permits &amp; standards'!G41</f>
        <v>0</v>
      </c>
      <c r="AA61" s="1101" t="s">
        <v>601</v>
      </c>
    </row>
    <row r="62" spans="1:27" s="60" customFormat="1" ht="31" x14ac:dyDescent="0.35">
      <c r="A62" s="417">
        <v>3</v>
      </c>
      <c r="B62" s="953" t="s">
        <v>698</v>
      </c>
      <c r="C62" s="417">
        <f>'Interface_Permits &amp; standards'!C42</f>
        <v>0</v>
      </c>
      <c r="D62" s="155"/>
      <c r="E62" s="155"/>
      <c r="F62" s="417">
        <v>1</v>
      </c>
      <c r="G62" s="418" t="str">
        <f>IF(C62=1,(C62*F62)*1,"")</f>
        <v/>
      </c>
      <c r="H62" s="418" t="str">
        <f>G62</f>
        <v/>
      </c>
      <c r="J62" s="1100">
        <f>'Interface_Permits &amp; standards'!E42</f>
        <v>0</v>
      </c>
      <c r="K62" s="1100">
        <f>'Interface_Permits &amp; standards'!F42</f>
        <v>0</v>
      </c>
      <c r="L62" s="1100">
        <f>'Interface_Permits &amp; standards'!G42</f>
        <v>0</v>
      </c>
      <c r="AA62" s="1101" t="s">
        <v>601</v>
      </c>
    </row>
    <row r="63" spans="1:27" ht="17.149999999999999" customHeight="1" x14ac:dyDescent="0.35">
      <c r="D63" s="3"/>
      <c r="E63" s="3"/>
      <c r="H63" s="3"/>
    </row>
    <row r="64" spans="1:27" ht="17.149999999999999" customHeight="1" x14ac:dyDescent="0.35">
      <c r="B64" s="48" t="s">
        <v>749</v>
      </c>
      <c r="C64" s="1102"/>
      <c r="D64" s="1102"/>
      <c r="E64" s="1104"/>
      <c r="F64" s="1102"/>
      <c r="G64" s="1104">
        <f>SUM(G60:G62)</f>
        <v>0</v>
      </c>
      <c r="H64" s="1105">
        <f>SUM(H60:H62)</f>
        <v>0</v>
      </c>
    </row>
    <row r="65" spans="1:27" ht="17.149999999999999" customHeight="1" x14ac:dyDescent="0.35">
      <c r="B65" s="47"/>
    </row>
    <row r="66" spans="1:27" ht="17.149999999999999" customHeight="1" x14ac:dyDescent="0.35">
      <c r="B66" s="48" t="s">
        <v>750</v>
      </c>
      <c r="C66" s="1102"/>
      <c r="D66" s="1102"/>
      <c r="E66" s="1102"/>
      <c r="F66" s="1102"/>
      <c r="G66" s="1104"/>
      <c r="H66" s="1105">
        <f>SUM(F60:F62)</f>
        <v>3</v>
      </c>
    </row>
    <row r="67" spans="1:27" ht="17.149999999999999" customHeight="1" x14ac:dyDescent="0.35">
      <c r="B67" s="47"/>
    </row>
    <row r="68" spans="1:27" s="12" customFormat="1" ht="17.149999999999999" customHeight="1" x14ac:dyDescent="0.35">
      <c r="B68" s="23" t="s">
        <v>751</v>
      </c>
      <c r="C68" s="963">
        <f>SUM(C60:C62)</f>
        <v>0</v>
      </c>
      <c r="D68" s="963"/>
      <c r="E68" s="963"/>
      <c r="F68" s="963"/>
      <c r="G68" s="963"/>
      <c r="H68" s="352">
        <f>IF(A59=1,0,H64/H66)</f>
        <v>0</v>
      </c>
    </row>
    <row r="69" spans="1:27" ht="17.149999999999999" customHeight="1" x14ac:dyDescent="0.35"/>
    <row r="70" spans="1:27" ht="17.149999999999999" customHeight="1" x14ac:dyDescent="0.35"/>
    <row r="71" spans="1:27" ht="17.149999999999999" customHeight="1" x14ac:dyDescent="0.35">
      <c r="A71" s="2" t="s">
        <v>762</v>
      </c>
      <c r="B71" s="8"/>
      <c r="C71" s="5"/>
      <c r="D71" s="5"/>
      <c r="E71" s="5"/>
      <c r="F71" s="46"/>
      <c r="G71" s="3"/>
    </row>
    <row r="72" spans="1:27" s="11" customFormat="1" ht="28" customHeight="1" x14ac:dyDescent="0.35">
      <c r="A72" s="1503" t="s">
        <v>743</v>
      </c>
      <c r="B72" s="1093" t="s">
        <v>373</v>
      </c>
      <c r="C72" s="1096" t="s">
        <v>744</v>
      </c>
      <c r="D72" s="1503" t="s">
        <v>745</v>
      </c>
      <c r="E72" s="1503" t="s">
        <v>746</v>
      </c>
      <c r="F72" s="1511" t="s">
        <v>747</v>
      </c>
      <c r="G72" s="1511" t="s">
        <v>746</v>
      </c>
      <c r="H72" s="1511" t="s">
        <v>748</v>
      </c>
      <c r="J72" s="1117" t="s">
        <v>521</v>
      </c>
      <c r="K72" s="1118"/>
      <c r="L72" s="1119"/>
      <c r="M72" s="1504" t="s">
        <v>656</v>
      </c>
      <c r="N72" s="1504" t="s">
        <v>645</v>
      </c>
    </row>
    <row r="73" spans="1:27" s="117" customFormat="1" ht="31" x14ac:dyDescent="0.35">
      <c r="A73" s="171"/>
      <c r="B73" s="171" t="s">
        <v>754</v>
      </c>
      <c r="C73" s="354">
        <f>Interface_Budgets!C62</f>
        <v>1</v>
      </c>
      <c r="D73" s="171"/>
      <c r="E73" s="171"/>
      <c r="F73" s="356"/>
      <c r="G73" s="356"/>
      <c r="H73" s="356"/>
      <c r="J73" s="1120">
        <f>Interface_Budgets!E62</f>
        <v>0</v>
      </c>
      <c r="K73" s="1121"/>
      <c r="L73" s="1122"/>
      <c r="M73" s="1520">
        <f>Interface_Budgets!H62</f>
        <v>0</v>
      </c>
      <c r="N73" s="1521">
        <f>Interface_Budgets!I62</f>
        <v>0</v>
      </c>
      <c r="AA73" s="1101" t="s">
        <v>601</v>
      </c>
    </row>
    <row r="74" spans="1:27" s="60" customFormat="1" ht="31" x14ac:dyDescent="0.35">
      <c r="A74" s="417">
        <v>0</v>
      </c>
      <c r="B74" s="1100" t="s">
        <v>661</v>
      </c>
      <c r="C74" s="354">
        <f>Interface_Budgets!C63</f>
        <v>0</v>
      </c>
      <c r="D74" s="417">
        <v>1</v>
      </c>
      <c r="E74" s="418" t="str">
        <f t="shared" ref="E74:E80" si="5">IF(C74=1,(C74*D74)*1,"")</f>
        <v/>
      </c>
      <c r="F74" s="417">
        <v>1</v>
      </c>
      <c r="G74" s="418" t="str">
        <f>IF(C74=1,(C74*F74),"")</f>
        <v/>
      </c>
      <c r="H74" s="419" t="str">
        <f t="shared" ref="H74:H80" si="6">G74</f>
        <v/>
      </c>
      <c r="J74" s="1120">
        <f>Interface_Budgets!E63</f>
        <v>0</v>
      </c>
      <c r="K74" s="1121"/>
      <c r="L74" s="1122"/>
      <c r="M74" s="1520">
        <f>Interface_Budgets!H63</f>
        <v>0</v>
      </c>
      <c r="N74" s="1521">
        <f>Interface_Budgets!I63</f>
        <v>0</v>
      </c>
      <c r="AA74" s="1101" t="s">
        <v>601</v>
      </c>
    </row>
    <row r="75" spans="1:27" s="60" customFormat="1" ht="31" x14ac:dyDescent="0.35">
      <c r="A75" s="417">
        <v>1</v>
      </c>
      <c r="B75" s="1100" t="s">
        <v>649</v>
      </c>
      <c r="C75" s="354">
        <f>Interface_Budgets!C64</f>
        <v>0</v>
      </c>
      <c r="D75" s="417">
        <v>1</v>
      </c>
      <c r="E75" s="418" t="str">
        <f t="shared" si="5"/>
        <v/>
      </c>
      <c r="F75" s="417">
        <v>1</v>
      </c>
      <c r="G75" s="418" t="str">
        <f t="shared" ref="G75:G80" si="7">IF(C75=1,(C75*F75)*1,"")</f>
        <v/>
      </c>
      <c r="H75" s="419" t="str">
        <f t="shared" si="6"/>
        <v/>
      </c>
      <c r="J75" s="1120">
        <f>Interface_Budgets!E64</f>
        <v>0</v>
      </c>
      <c r="K75" s="1121"/>
      <c r="L75" s="1122"/>
      <c r="M75" s="1520">
        <f>Interface_Budgets!H64</f>
        <v>0</v>
      </c>
      <c r="N75" s="1521">
        <f>Interface_Budgets!I64</f>
        <v>0</v>
      </c>
      <c r="AA75" s="1101" t="s">
        <v>601</v>
      </c>
    </row>
    <row r="76" spans="1:27" s="60" customFormat="1" ht="31" x14ac:dyDescent="0.35">
      <c r="A76" s="417">
        <v>2</v>
      </c>
      <c r="B76" s="1100" t="s">
        <v>658</v>
      </c>
      <c r="C76" s="354">
        <f>Interface_Budgets!C65</f>
        <v>0</v>
      </c>
      <c r="D76" s="417">
        <v>1</v>
      </c>
      <c r="E76" s="418" t="str">
        <f t="shared" si="5"/>
        <v/>
      </c>
      <c r="F76" s="417">
        <v>1</v>
      </c>
      <c r="G76" s="418" t="str">
        <f t="shared" si="7"/>
        <v/>
      </c>
      <c r="H76" s="419" t="str">
        <f t="shared" si="6"/>
        <v/>
      </c>
      <c r="J76" s="1120">
        <f>Interface_Budgets!E65</f>
        <v>0</v>
      </c>
      <c r="K76" s="1121"/>
      <c r="L76" s="1122"/>
      <c r="M76" s="1520">
        <f>Interface_Budgets!H65</f>
        <v>0</v>
      </c>
      <c r="N76" s="1521">
        <f>Interface_Budgets!I65</f>
        <v>0</v>
      </c>
      <c r="AA76" s="1101" t="s">
        <v>601</v>
      </c>
    </row>
    <row r="77" spans="1:27" s="60" customFormat="1" ht="31" x14ac:dyDescent="0.35">
      <c r="A77" s="417">
        <v>3</v>
      </c>
      <c r="B77" s="1106" t="s">
        <v>651</v>
      </c>
      <c r="C77" s="354">
        <f>Interface_Budgets!C66</f>
        <v>0</v>
      </c>
      <c r="D77" s="417">
        <v>1</v>
      </c>
      <c r="E77" s="418" t="str">
        <f t="shared" si="5"/>
        <v/>
      </c>
      <c r="F77" s="417">
        <v>1</v>
      </c>
      <c r="G77" s="418" t="str">
        <f t="shared" si="7"/>
        <v/>
      </c>
      <c r="H77" s="419" t="str">
        <f t="shared" si="6"/>
        <v/>
      </c>
      <c r="J77" s="1120">
        <f>Interface_Budgets!E66</f>
        <v>0</v>
      </c>
      <c r="K77" s="1121"/>
      <c r="L77" s="1122"/>
      <c r="M77" s="1520">
        <f>Interface_Budgets!H66</f>
        <v>0</v>
      </c>
      <c r="N77" s="1521">
        <f>Interface_Budgets!I66</f>
        <v>0</v>
      </c>
      <c r="AA77" s="1101" t="s">
        <v>601</v>
      </c>
    </row>
    <row r="78" spans="1:27" s="60" customFormat="1" ht="31" x14ac:dyDescent="0.35">
      <c r="A78" s="417">
        <v>4</v>
      </c>
      <c r="B78" s="1100" t="s">
        <v>652</v>
      </c>
      <c r="C78" s="354">
        <f>Interface_Budgets!C67</f>
        <v>0</v>
      </c>
      <c r="D78" s="417">
        <v>1</v>
      </c>
      <c r="E78" s="418" t="str">
        <f t="shared" si="5"/>
        <v/>
      </c>
      <c r="F78" s="417">
        <v>1</v>
      </c>
      <c r="G78" s="418" t="str">
        <f t="shared" si="7"/>
        <v/>
      </c>
      <c r="H78" s="419" t="str">
        <f t="shared" si="6"/>
        <v/>
      </c>
      <c r="J78" s="1120">
        <f>Interface_Budgets!E67</f>
        <v>0</v>
      </c>
      <c r="K78" s="1121"/>
      <c r="L78" s="1122"/>
      <c r="M78" s="1520">
        <f>Interface_Budgets!H67</f>
        <v>0</v>
      </c>
      <c r="N78" s="1521">
        <f>Interface_Budgets!I67</f>
        <v>0</v>
      </c>
      <c r="AA78" s="1101" t="s">
        <v>601</v>
      </c>
    </row>
    <row r="79" spans="1:27" s="60" customFormat="1" ht="31" x14ac:dyDescent="0.35">
      <c r="A79" s="417">
        <v>5</v>
      </c>
      <c r="B79" s="1100" t="s">
        <v>653</v>
      </c>
      <c r="C79" s="354">
        <f>Interface_Budgets!C68</f>
        <v>0</v>
      </c>
      <c r="D79" s="417">
        <v>1</v>
      </c>
      <c r="E79" s="418" t="str">
        <f t="shared" si="5"/>
        <v/>
      </c>
      <c r="F79" s="417">
        <v>1</v>
      </c>
      <c r="G79" s="418" t="str">
        <f t="shared" si="7"/>
        <v/>
      </c>
      <c r="H79" s="419" t="str">
        <f t="shared" si="6"/>
        <v/>
      </c>
      <c r="J79" s="1120">
        <f>Interface_Budgets!E68</f>
        <v>0</v>
      </c>
      <c r="K79" s="1121"/>
      <c r="L79" s="1122"/>
      <c r="M79" s="1520">
        <f>Interface_Budgets!H68</f>
        <v>0</v>
      </c>
      <c r="N79" s="1521">
        <f>Interface_Budgets!I68</f>
        <v>0</v>
      </c>
      <c r="AA79" s="1101" t="s">
        <v>601</v>
      </c>
    </row>
    <row r="80" spans="1:27" s="60" customFormat="1" ht="31" x14ac:dyDescent="0.35">
      <c r="A80" s="417">
        <v>6</v>
      </c>
      <c r="B80" s="1100" t="s">
        <v>654</v>
      </c>
      <c r="C80" s="354">
        <f>Interface_Budgets!C69</f>
        <v>0</v>
      </c>
      <c r="D80" s="417">
        <v>1</v>
      </c>
      <c r="E80" s="1107" t="str">
        <f t="shared" si="5"/>
        <v/>
      </c>
      <c r="F80" s="417">
        <v>1</v>
      </c>
      <c r="G80" s="418" t="str">
        <f t="shared" si="7"/>
        <v/>
      </c>
      <c r="H80" s="419" t="str">
        <f t="shared" si="6"/>
        <v/>
      </c>
      <c r="J80" s="1120">
        <f>Interface_Budgets!E69</f>
        <v>0</v>
      </c>
      <c r="K80" s="1121"/>
      <c r="L80" s="1122"/>
      <c r="M80" s="1520">
        <f>Interface_Budgets!H69</f>
        <v>0</v>
      </c>
      <c r="N80" s="1521">
        <f>Interface_Budgets!I69</f>
        <v>0</v>
      </c>
      <c r="AA80" s="1101" t="s">
        <v>601</v>
      </c>
    </row>
    <row r="81" spans="1:27" ht="17.149999999999999" customHeight="1" x14ac:dyDescent="0.35">
      <c r="A81" s="4"/>
      <c r="B81" s="4"/>
    </row>
    <row r="82" spans="1:27" ht="17.149999999999999" customHeight="1" x14ac:dyDescent="0.35">
      <c r="B82" s="48" t="s">
        <v>749</v>
      </c>
      <c r="C82" s="1102"/>
      <c r="D82" s="1102"/>
      <c r="E82" s="1104">
        <f>SUM(E74:E80)</f>
        <v>0</v>
      </c>
      <c r="F82" s="1102"/>
      <c r="G82" s="1104">
        <f>SUM(G74:G80)</f>
        <v>0</v>
      </c>
      <c r="H82" s="1105">
        <f>SUM(H74:H80)</f>
        <v>0</v>
      </c>
    </row>
    <row r="83" spans="1:27" ht="17.149999999999999" customHeight="1" x14ac:dyDescent="0.35">
      <c r="B83" s="47"/>
    </row>
    <row r="84" spans="1:27" ht="17.149999999999999" customHeight="1" x14ac:dyDescent="0.35">
      <c r="B84" s="48" t="s">
        <v>750</v>
      </c>
      <c r="C84" s="1102"/>
      <c r="D84" s="1102"/>
      <c r="E84" s="1102"/>
      <c r="F84" s="1102"/>
      <c r="G84" s="1104"/>
      <c r="H84" s="1105">
        <f>SUM(F74:F80)</f>
        <v>7</v>
      </c>
    </row>
    <row r="85" spans="1:27" ht="17.149999999999999" customHeight="1" x14ac:dyDescent="0.35">
      <c r="B85" s="47"/>
    </row>
    <row r="86" spans="1:27" s="12" customFormat="1" ht="17.149999999999999" customHeight="1" x14ac:dyDescent="0.35">
      <c r="B86" s="23" t="s">
        <v>751</v>
      </c>
      <c r="C86" s="963">
        <f>SUM(C74:C80)</f>
        <v>0</v>
      </c>
      <c r="D86" s="963"/>
      <c r="E86" s="963"/>
      <c r="F86" s="963"/>
      <c r="G86" s="963"/>
      <c r="H86" s="352" t="str">
        <f>IF(C73=1,"",(H82/H84))</f>
        <v/>
      </c>
    </row>
    <row r="87" spans="1:27" ht="17.149999999999999" customHeight="1" x14ac:dyDescent="0.35">
      <c r="B87" s="8"/>
      <c r="C87" s="5"/>
      <c r="D87" s="5"/>
      <c r="E87" s="5"/>
      <c r="F87" s="5"/>
      <c r="G87" s="5"/>
      <c r="H87" s="46"/>
    </row>
    <row r="88" spans="1:27" ht="17.149999999999999" customHeight="1" x14ac:dyDescent="0.35">
      <c r="B88" s="8"/>
      <c r="C88" s="5"/>
      <c r="D88" s="5"/>
      <c r="E88" s="5"/>
      <c r="F88" s="5"/>
      <c r="G88" s="5"/>
      <c r="H88" s="46"/>
    </row>
    <row r="89" spans="1:27" ht="17.149999999999999" customHeight="1" x14ac:dyDescent="0.35">
      <c r="A89" s="2" t="s">
        <v>763</v>
      </c>
      <c r="B89" s="8"/>
      <c r="C89" s="5"/>
      <c r="D89" s="5"/>
      <c r="E89" s="5"/>
      <c r="F89" s="46"/>
      <c r="G89" s="3"/>
    </row>
    <row r="90" spans="1:27" s="11" customFormat="1" ht="28" customHeight="1" x14ac:dyDescent="0.35">
      <c r="A90" s="1503" t="s">
        <v>743</v>
      </c>
      <c r="B90" s="1093" t="s">
        <v>373</v>
      </c>
      <c r="C90" s="1096" t="s">
        <v>744</v>
      </c>
      <c r="D90" s="1503" t="s">
        <v>745</v>
      </c>
      <c r="E90" s="1503" t="s">
        <v>746</v>
      </c>
      <c r="F90" s="1511" t="s">
        <v>747</v>
      </c>
      <c r="G90" s="1511" t="s">
        <v>746</v>
      </c>
      <c r="H90" s="1511" t="s">
        <v>748</v>
      </c>
      <c r="J90" s="1117" t="s">
        <v>521</v>
      </c>
      <c r="K90" s="1118"/>
      <c r="L90" s="1119"/>
      <c r="M90" s="1504" t="s">
        <v>656</v>
      </c>
      <c r="N90" s="1504" t="s">
        <v>645</v>
      </c>
    </row>
    <row r="91" spans="1:27" s="117" customFormat="1" ht="31" x14ac:dyDescent="0.35">
      <c r="A91" s="171"/>
      <c r="B91" s="171" t="s">
        <v>754</v>
      </c>
      <c r="C91" s="354">
        <f>Interface_Budgets!C74</f>
        <v>1</v>
      </c>
      <c r="D91" s="171"/>
      <c r="E91" s="171"/>
      <c r="F91" s="356"/>
      <c r="G91" s="356"/>
      <c r="H91" s="356"/>
      <c r="J91" s="1120">
        <f>Interface_Budgets!E74</f>
        <v>0</v>
      </c>
      <c r="K91" s="1121"/>
      <c r="L91" s="1122"/>
      <c r="M91" s="1520">
        <f>Interface_Budgets!H74</f>
        <v>0</v>
      </c>
      <c r="N91" s="1521">
        <f>Interface_Budgets!I74</f>
        <v>0</v>
      </c>
      <c r="AA91" s="1101" t="s">
        <v>601</v>
      </c>
    </row>
    <row r="92" spans="1:27" s="60" customFormat="1" ht="31" x14ac:dyDescent="0.35">
      <c r="A92" s="417">
        <v>0</v>
      </c>
      <c r="B92" s="1100" t="s">
        <v>661</v>
      </c>
      <c r="C92" s="354">
        <f>Interface_Budgets!C75</f>
        <v>0</v>
      </c>
      <c r="D92" s="417">
        <v>1</v>
      </c>
      <c r="E92" s="418" t="str">
        <f t="shared" ref="E92:E98" si="8">IF(C92=1,(C92*D92)*1,"")</f>
        <v/>
      </c>
      <c r="F92" s="417">
        <v>1</v>
      </c>
      <c r="G92" s="418" t="str">
        <f>IF(C92=1,(C92*F92),"")</f>
        <v/>
      </c>
      <c r="H92" s="419" t="str">
        <f t="shared" ref="H92:H98" si="9">G92</f>
        <v/>
      </c>
      <c r="J92" s="1120">
        <f>Interface_Budgets!E75</f>
        <v>0</v>
      </c>
      <c r="K92" s="1121"/>
      <c r="L92" s="1122"/>
      <c r="M92" s="1520">
        <f>Interface_Budgets!H75</f>
        <v>0</v>
      </c>
      <c r="N92" s="1521">
        <f>Interface_Budgets!I75</f>
        <v>0</v>
      </c>
      <c r="AA92" s="1101" t="s">
        <v>601</v>
      </c>
    </row>
    <row r="93" spans="1:27" s="60" customFormat="1" ht="31" x14ac:dyDescent="0.35">
      <c r="A93" s="417">
        <v>1</v>
      </c>
      <c r="B93" s="1100" t="s">
        <v>649</v>
      </c>
      <c r="C93" s="354">
        <f>Interface_Budgets!C76</f>
        <v>0</v>
      </c>
      <c r="D93" s="417">
        <v>1</v>
      </c>
      <c r="E93" s="418" t="str">
        <f t="shared" si="8"/>
        <v/>
      </c>
      <c r="F93" s="417">
        <v>1</v>
      </c>
      <c r="G93" s="418" t="str">
        <f t="shared" ref="G93:G98" si="10">IF(C93=1,(C93*F93)*1,"")</f>
        <v/>
      </c>
      <c r="H93" s="419" t="str">
        <f t="shared" si="9"/>
        <v/>
      </c>
      <c r="J93" s="1120">
        <f>Interface_Budgets!E76</f>
        <v>0</v>
      </c>
      <c r="K93" s="1121"/>
      <c r="L93" s="1122"/>
      <c r="M93" s="1520">
        <f>Interface_Budgets!H76</f>
        <v>0</v>
      </c>
      <c r="N93" s="1521">
        <f>Interface_Budgets!I76</f>
        <v>0</v>
      </c>
      <c r="AA93" s="1101" t="s">
        <v>601</v>
      </c>
    </row>
    <row r="94" spans="1:27" s="60" customFormat="1" ht="31" x14ac:dyDescent="0.35">
      <c r="A94" s="417">
        <v>2</v>
      </c>
      <c r="B94" s="1100" t="s">
        <v>658</v>
      </c>
      <c r="C94" s="354">
        <f>Interface_Budgets!C77</f>
        <v>0</v>
      </c>
      <c r="D94" s="417">
        <v>1</v>
      </c>
      <c r="E94" s="418" t="str">
        <f t="shared" si="8"/>
        <v/>
      </c>
      <c r="F94" s="417">
        <v>1</v>
      </c>
      <c r="G94" s="418" t="str">
        <f t="shared" si="10"/>
        <v/>
      </c>
      <c r="H94" s="419" t="str">
        <f t="shared" si="9"/>
        <v/>
      </c>
      <c r="J94" s="1120">
        <f>Interface_Budgets!E77</f>
        <v>0</v>
      </c>
      <c r="K94" s="1121"/>
      <c r="L94" s="1122"/>
      <c r="M94" s="1520">
        <f>Interface_Budgets!H77</f>
        <v>0</v>
      </c>
      <c r="N94" s="1521">
        <f>Interface_Budgets!I77</f>
        <v>0</v>
      </c>
      <c r="AA94" s="1101" t="s">
        <v>601</v>
      </c>
    </row>
    <row r="95" spans="1:27" s="60" customFormat="1" ht="31" x14ac:dyDescent="0.35">
      <c r="A95" s="417">
        <v>3</v>
      </c>
      <c r="B95" s="1106" t="s">
        <v>651</v>
      </c>
      <c r="C95" s="354">
        <f>Interface_Budgets!C78</f>
        <v>0</v>
      </c>
      <c r="D95" s="417">
        <v>1</v>
      </c>
      <c r="E95" s="418" t="str">
        <f t="shared" si="8"/>
        <v/>
      </c>
      <c r="F95" s="417">
        <v>1</v>
      </c>
      <c r="G95" s="418" t="str">
        <f t="shared" si="10"/>
        <v/>
      </c>
      <c r="H95" s="419" t="str">
        <f t="shared" si="9"/>
        <v/>
      </c>
      <c r="J95" s="1120">
        <f>Interface_Budgets!E78</f>
        <v>0</v>
      </c>
      <c r="K95" s="1121"/>
      <c r="L95" s="1122"/>
      <c r="M95" s="1520">
        <f>Interface_Budgets!H78</f>
        <v>0</v>
      </c>
      <c r="N95" s="1521">
        <f>Interface_Budgets!I78</f>
        <v>0</v>
      </c>
      <c r="AA95" s="1101" t="s">
        <v>601</v>
      </c>
    </row>
    <row r="96" spans="1:27" s="60" customFormat="1" ht="31" x14ac:dyDescent="0.35">
      <c r="A96" s="417">
        <v>4</v>
      </c>
      <c r="B96" s="1100" t="s">
        <v>652</v>
      </c>
      <c r="C96" s="354">
        <f>Interface_Budgets!C79</f>
        <v>0</v>
      </c>
      <c r="D96" s="417">
        <v>1</v>
      </c>
      <c r="E96" s="418" t="str">
        <f t="shared" si="8"/>
        <v/>
      </c>
      <c r="F96" s="417">
        <v>1</v>
      </c>
      <c r="G96" s="418" t="str">
        <f t="shared" si="10"/>
        <v/>
      </c>
      <c r="H96" s="419" t="str">
        <f t="shared" si="9"/>
        <v/>
      </c>
      <c r="J96" s="1120">
        <f>Interface_Budgets!E79</f>
        <v>0</v>
      </c>
      <c r="K96" s="1121"/>
      <c r="L96" s="1122"/>
      <c r="M96" s="1520">
        <f>Interface_Budgets!H79</f>
        <v>0</v>
      </c>
      <c r="N96" s="1521">
        <f>Interface_Budgets!I79</f>
        <v>0</v>
      </c>
      <c r="AA96" s="1101" t="s">
        <v>601</v>
      </c>
    </row>
    <row r="97" spans="1:27" s="60" customFormat="1" ht="31" x14ac:dyDescent="0.35">
      <c r="A97" s="417">
        <v>5</v>
      </c>
      <c r="B97" s="1100" t="s">
        <v>653</v>
      </c>
      <c r="C97" s="354">
        <f>Interface_Budgets!C80</f>
        <v>0</v>
      </c>
      <c r="D97" s="417">
        <v>1</v>
      </c>
      <c r="E97" s="418" t="str">
        <f t="shared" si="8"/>
        <v/>
      </c>
      <c r="F97" s="417">
        <v>1</v>
      </c>
      <c r="G97" s="418" t="str">
        <f t="shared" si="10"/>
        <v/>
      </c>
      <c r="H97" s="419" t="str">
        <f t="shared" si="9"/>
        <v/>
      </c>
      <c r="J97" s="1120">
        <f>Interface_Budgets!E80</f>
        <v>0</v>
      </c>
      <c r="K97" s="1121"/>
      <c r="L97" s="1122"/>
      <c r="M97" s="1520">
        <f>Interface_Budgets!H80</f>
        <v>0</v>
      </c>
      <c r="N97" s="1521">
        <f>Interface_Budgets!I80</f>
        <v>0</v>
      </c>
      <c r="AA97" s="1101" t="s">
        <v>601</v>
      </c>
    </row>
    <row r="98" spans="1:27" s="60" customFormat="1" ht="31" x14ac:dyDescent="0.35">
      <c r="A98" s="417">
        <v>6</v>
      </c>
      <c r="B98" s="1100" t="s">
        <v>654</v>
      </c>
      <c r="C98" s="354">
        <f>Interface_Budgets!C81</f>
        <v>0</v>
      </c>
      <c r="D98" s="417">
        <v>1</v>
      </c>
      <c r="E98" s="418" t="str">
        <f t="shared" si="8"/>
        <v/>
      </c>
      <c r="F98" s="417">
        <v>1</v>
      </c>
      <c r="G98" s="418" t="str">
        <f t="shared" si="10"/>
        <v/>
      </c>
      <c r="H98" s="419" t="str">
        <f t="shared" si="9"/>
        <v/>
      </c>
      <c r="J98" s="1120">
        <f>Interface_Budgets!E81</f>
        <v>0</v>
      </c>
      <c r="K98" s="1121"/>
      <c r="L98" s="1122"/>
      <c r="M98" s="1520">
        <f>Interface_Budgets!H81</f>
        <v>0</v>
      </c>
      <c r="N98" s="1521">
        <f>Interface_Budgets!I81</f>
        <v>0</v>
      </c>
      <c r="AA98" s="1101" t="s">
        <v>601</v>
      </c>
    </row>
    <row r="99" spans="1:27" ht="17.149999999999999" customHeight="1" x14ac:dyDescent="0.35">
      <c r="A99" s="4"/>
      <c r="B99" s="4"/>
    </row>
    <row r="100" spans="1:27" ht="17.149999999999999" customHeight="1" x14ac:dyDescent="0.35">
      <c r="B100" s="48" t="s">
        <v>749</v>
      </c>
      <c r="C100" s="1102"/>
      <c r="D100" s="1102"/>
      <c r="E100" s="1104">
        <f>SUM(E92:E98)</f>
        <v>0</v>
      </c>
      <c r="F100" s="1102"/>
      <c r="G100" s="1104">
        <f>SUM(G92:G98)</f>
        <v>0</v>
      </c>
      <c r="H100" s="1105">
        <f>SUM(H92:H98)</f>
        <v>0</v>
      </c>
    </row>
    <row r="101" spans="1:27" ht="17.149999999999999" customHeight="1" x14ac:dyDescent="0.35">
      <c r="B101" s="47"/>
    </row>
    <row r="102" spans="1:27" ht="17.149999999999999" customHeight="1" x14ac:dyDescent="0.35">
      <c r="B102" s="48" t="s">
        <v>750</v>
      </c>
      <c r="C102" s="1102"/>
      <c r="D102" s="1102"/>
      <c r="E102" s="1102"/>
      <c r="F102" s="1102"/>
      <c r="G102" s="1104"/>
      <c r="H102" s="1105">
        <f>SUM(F92:F98)</f>
        <v>7</v>
      </c>
    </row>
    <row r="103" spans="1:27" ht="17.149999999999999" customHeight="1" x14ac:dyDescent="0.35">
      <c r="B103" s="47"/>
    </row>
    <row r="104" spans="1:27" s="12" customFormat="1" ht="17.149999999999999" customHeight="1" x14ac:dyDescent="0.35">
      <c r="B104" s="23" t="s">
        <v>751</v>
      </c>
      <c r="C104" s="963">
        <f>SUM(C92:C98)</f>
        <v>0</v>
      </c>
      <c r="D104" s="963"/>
      <c r="E104" s="963"/>
      <c r="F104" s="963"/>
      <c r="G104" s="963"/>
      <c r="H104" s="352" t="str">
        <f>IF(C91=1,"",(H100/H102))</f>
        <v/>
      </c>
    </row>
    <row r="105" spans="1:27" ht="17.149999999999999" customHeight="1" x14ac:dyDescent="0.35">
      <c r="B105" s="8"/>
      <c r="C105" s="5"/>
      <c r="D105" s="5"/>
      <c r="E105" s="5"/>
      <c r="F105" s="5"/>
      <c r="G105" s="5"/>
      <c r="H105" s="46"/>
    </row>
  </sheetData>
  <sheetProtection password="C8C1" sheet="1" objects="1" scenarios="1" selectLockedCells="1"/>
  <pageMargins left="0.7" right="0.7" top="0.75" bottom="0.75" header="0.3" footer="0.3"/>
  <pageSetup paperSize="9" orientation="portrait" r:id="rId1"/>
  <ignoredErrors>
    <ignoredError sqref="H16" formulaRange="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6"/>
  </sheetPr>
  <dimension ref="A1:AA87"/>
  <sheetViews>
    <sheetView workbookViewId="0">
      <selection activeCell="A3" sqref="A3"/>
    </sheetView>
  </sheetViews>
  <sheetFormatPr defaultColWidth="9.1796875" defaultRowHeight="13" x14ac:dyDescent="0.35"/>
  <cols>
    <col min="1" max="1" width="7.7265625" style="3" customWidth="1"/>
    <col min="2" max="2" width="45.7265625" style="3" customWidth="1"/>
    <col min="3" max="3" width="10.7265625" style="55" customWidth="1"/>
    <col min="4" max="7" width="10.7265625" style="4" customWidth="1"/>
    <col min="8" max="9" width="10.7265625" style="3" customWidth="1"/>
    <col min="10" max="12" width="45.7265625" style="3" customWidth="1"/>
    <col min="13" max="14" width="16.7265625" style="3" customWidth="1"/>
    <col min="15" max="26" width="9.1796875" style="3"/>
    <col min="27" max="27" width="3.7265625" style="3" customWidth="1"/>
    <col min="28" max="16384" width="9.1796875" style="3"/>
  </cols>
  <sheetData>
    <row r="1" spans="1:27" ht="18.5" x14ac:dyDescent="0.35">
      <c r="A1" s="13" t="str">
        <f>'User interface_RES'!AJ11</f>
        <v>Any city in , the world</v>
      </c>
    </row>
    <row r="2" spans="1:27" s="185" customFormat="1" ht="10.5" x14ac:dyDescent="0.35">
      <c r="A2" s="237"/>
      <c r="C2" s="344"/>
      <c r="D2" s="247"/>
      <c r="E2" s="247"/>
      <c r="F2" s="247"/>
      <c r="G2" s="247"/>
    </row>
    <row r="3" spans="1:27" ht="26" x14ac:dyDescent="0.35">
      <c r="A3" s="182" t="s">
        <v>772</v>
      </c>
    </row>
    <row r="4" spans="1:27" ht="17.149999999999999" customHeight="1" x14ac:dyDescent="0.35"/>
    <row r="5" spans="1:27" ht="17.149999999999999" customHeight="1" x14ac:dyDescent="0.35"/>
    <row r="6" spans="1:27" ht="17.149999999999999" customHeight="1" x14ac:dyDescent="0.35">
      <c r="A6" s="2" t="s">
        <v>773</v>
      </c>
      <c r="J6" s="11" t="s">
        <v>521</v>
      </c>
    </row>
    <row r="7" spans="1:27" s="11" customFormat="1" ht="28" customHeight="1" x14ac:dyDescent="0.35">
      <c r="A7" s="1093" t="s">
        <v>743</v>
      </c>
      <c r="B7" s="1093" t="s">
        <v>373</v>
      </c>
      <c r="C7" s="1094" t="s">
        <v>744</v>
      </c>
      <c r="D7" s="1503" t="s">
        <v>745</v>
      </c>
      <c r="E7" s="1503" t="s">
        <v>746</v>
      </c>
      <c r="F7" s="1511" t="s">
        <v>747</v>
      </c>
      <c r="G7" s="1511" t="s">
        <v>746</v>
      </c>
      <c r="H7" s="1511" t="s">
        <v>748</v>
      </c>
      <c r="J7" s="950" t="s">
        <v>677</v>
      </c>
      <c r="K7" s="959" t="s">
        <v>678</v>
      </c>
      <c r="L7" s="959" t="s">
        <v>599</v>
      </c>
    </row>
    <row r="8" spans="1:27" s="60" customFormat="1" ht="31" x14ac:dyDescent="0.35">
      <c r="A8" s="417">
        <v>0</v>
      </c>
      <c r="B8" s="1103" t="s">
        <v>679</v>
      </c>
      <c r="C8" s="354">
        <f>'Interface_Permits &amp; standards'!C50</f>
        <v>1</v>
      </c>
      <c r="D8" s="417">
        <v>1</v>
      </c>
      <c r="E8" s="418">
        <f>IF(C8=1,(C8*D8)*0,"")</f>
        <v>0</v>
      </c>
      <c r="F8" s="417">
        <v>1</v>
      </c>
      <c r="G8" s="418">
        <f>IF(C8=1,(C8*F8)*0,"")</f>
        <v>0</v>
      </c>
      <c r="H8" s="418">
        <f>G8</f>
        <v>0</v>
      </c>
      <c r="J8" s="953">
        <f>'Interface_Permits &amp; standards'!E50</f>
        <v>0</v>
      </c>
      <c r="K8" s="953">
        <f>'Interface_Permits &amp; standards'!F50</f>
        <v>0</v>
      </c>
      <c r="L8" s="953">
        <f>'Interface_Permits &amp; standards'!G50</f>
        <v>0</v>
      </c>
      <c r="AA8" s="1101" t="s">
        <v>601</v>
      </c>
    </row>
    <row r="9" spans="1:27" s="60" customFormat="1" ht="31" x14ac:dyDescent="0.35">
      <c r="A9" s="417">
        <v>1</v>
      </c>
      <c r="B9" s="1100" t="s">
        <v>691</v>
      </c>
      <c r="C9" s="354">
        <f>'Interface_Permits &amp; standards'!C51</f>
        <v>0</v>
      </c>
      <c r="D9" s="417">
        <v>0.25</v>
      </c>
      <c r="E9" s="418" t="str">
        <f>IF(C9=1,(C9*D9)*1,"")</f>
        <v/>
      </c>
      <c r="F9" s="417">
        <v>0.25</v>
      </c>
      <c r="G9" s="418" t="str">
        <f>IF(C9=1,(C9*F9)*1,"")</f>
        <v/>
      </c>
      <c r="H9" s="418" t="str">
        <f>G9</f>
        <v/>
      </c>
      <c r="J9" s="953">
        <f>'Interface_Permits &amp; standards'!E51</f>
        <v>0</v>
      </c>
      <c r="K9" s="953">
        <f>'Interface_Permits &amp; standards'!F51</f>
        <v>0</v>
      </c>
      <c r="L9" s="953">
        <f>'Interface_Permits &amp; standards'!G51</f>
        <v>0</v>
      </c>
      <c r="AA9" s="1101" t="s">
        <v>601</v>
      </c>
    </row>
    <row r="10" spans="1:27" s="60" customFormat="1" ht="31" x14ac:dyDescent="0.35">
      <c r="A10" s="417">
        <v>2</v>
      </c>
      <c r="B10" s="1113" t="s">
        <v>692</v>
      </c>
      <c r="C10" s="354">
        <f>'Interface_Permits &amp; standards'!C52</f>
        <v>0</v>
      </c>
      <c r="D10" s="417">
        <v>1</v>
      </c>
      <c r="E10" s="418" t="str">
        <f>IF(C10=1,(C10*D10)*1,"")</f>
        <v/>
      </c>
      <c r="F10" s="417">
        <v>1</v>
      </c>
      <c r="G10" s="418" t="str">
        <f>IF(C10=1,(C10*F10)*1,"")</f>
        <v/>
      </c>
      <c r="H10" s="418" t="str">
        <f>G10</f>
        <v/>
      </c>
      <c r="J10" s="953">
        <f>'Interface_Permits &amp; standards'!E52</f>
        <v>0</v>
      </c>
      <c r="K10" s="953">
        <f>'Interface_Permits &amp; standards'!F52</f>
        <v>0</v>
      </c>
      <c r="L10" s="953">
        <f>'Interface_Permits &amp; standards'!G52</f>
        <v>0</v>
      </c>
      <c r="AA10" s="1101" t="s">
        <v>601</v>
      </c>
    </row>
    <row r="11" spans="1:27" s="60" customFormat="1" ht="31" x14ac:dyDescent="0.35">
      <c r="A11" s="417">
        <v>3</v>
      </c>
      <c r="B11" s="1100" t="s">
        <v>693</v>
      </c>
      <c r="C11" s="354">
        <f>'Interface_Permits &amp; standards'!C53</f>
        <v>0</v>
      </c>
      <c r="D11" s="417">
        <v>0.5</v>
      </c>
      <c r="E11" s="418" t="str">
        <f>IF(C11=1,(C11*D11)*1,"")</f>
        <v/>
      </c>
      <c r="F11" s="417">
        <v>0.5</v>
      </c>
      <c r="G11" s="418" t="str">
        <f>IF(C11=1,(C11*F11)*1,"")</f>
        <v/>
      </c>
      <c r="H11" s="418" t="str">
        <f>G11</f>
        <v/>
      </c>
      <c r="J11" s="953">
        <f>'Interface_Permits &amp; standards'!E53</f>
        <v>0</v>
      </c>
      <c r="K11" s="953">
        <f>'Interface_Permits &amp; standards'!F53</f>
        <v>0</v>
      </c>
      <c r="L11" s="953">
        <f>'Interface_Permits &amp; standards'!G53</f>
        <v>0</v>
      </c>
      <c r="AA11" s="1101" t="s">
        <v>601</v>
      </c>
    </row>
    <row r="12" spans="1:27" s="60" customFormat="1" ht="31" x14ac:dyDescent="0.35">
      <c r="A12" s="417">
        <v>4</v>
      </c>
      <c r="B12" s="1103" t="s">
        <v>683</v>
      </c>
      <c r="C12" s="354">
        <f>'Interface_Permits &amp; standards'!C54</f>
        <v>0</v>
      </c>
      <c r="D12" s="417">
        <v>0.25</v>
      </c>
      <c r="E12" s="418" t="str">
        <f>IF(C12=1,(C12*D12)*1,"")</f>
        <v/>
      </c>
      <c r="F12" s="417">
        <v>1</v>
      </c>
      <c r="G12" s="418" t="str">
        <f>IF(C12=1,(C12*F12)*1,"")</f>
        <v/>
      </c>
      <c r="H12" s="418" t="str">
        <f>IF(C9=1,E12,G12)</f>
        <v/>
      </c>
      <c r="J12" s="953">
        <f>'Interface_Permits &amp; standards'!E54</f>
        <v>0</v>
      </c>
      <c r="K12" s="953">
        <f>'Interface_Permits &amp; standards'!F54</f>
        <v>0</v>
      </c>
      <c r="L12" s="953">
        <f>'Interface_Permits &amp; standards'!G54</f>
        <v>0</v>
      </c>
      <c r="AA12" s="1101" t="s">
        <v>601</v>
      </c>
    </row>
    <row r="13" spans="1:27" ht="17.149999999999999" customHeight="1" x14ac:dyDescent="0.35"/>
    <row r="14" spans="1:27" ht="17.149999999999999" customHeight="1" x14ac:dyDescent="0.35">
      <c r="B14" s="48" t="s">
        <v>749</v>
      </c>
      <c r="C14" s="1102"/>
      <c r="D14" s="1102"/>
      <c r="E14" s="1104">
        <f>SUM(E8:E12)</f>
        <v>0</v>
      </c>
      <c r="F14" s="1102"/>
      <c r="G14" s="1104">
        <f>SUM(G8:G12)</f>
        <v>0</v>
      </c>
      <c r="H14" s="1105">
        <f>SUM(H8:H12)</f>
        <v>0</v>
      </c>
    </row>
    <row r="15" spans="1:27" ht="17.149999999999999" customHeight="1" x14ac:dyDescent="0.35">
      <c r="B15" s="47"/>
      <c r="C15" s="4"/>
      <c r="H15" s="47"/>
    </row>
    <row r="16" spans="1:27" ht="17.149999999999999" customHeight="1" x14ac:dyDescent="0.35">
      <c r="B16" s="48" t="s">
        <v>750</v>
      </c>
      <c r="C16" s="1102"/>
      <c r="D16" s="1102"/>
      <c r="E16" s="1102"/>
      <c r="F16" s="1102"/>
      <c r="G16" s="1104"/>
      <c r="H16" s="1105">
        <f>SUM(F10:F12)</f>
        <v>2.5</v>
      </c>
    </row>
    <row r="17" spans="1:27" ht="17.149999999999999" customHeight="1" x14ac:dyDescent="0.35">
      <c r="B17" s="47"/>
      <c r="C17" s="4"/>
      <c r="H17" s="47"/>
    </row>
    <row r="18" spans="1:27" s="12" customFormat="1" ht="17.149999999999999" customHeight="1" x14ac:dyDescent="0.35">
      <c r="B18" s="23" t="s">
        <v>751</v>
      </c>
      <c r="C18" s="963">
        <f>SUM(C8:C12)</f>
        <v>1</v>
      </c>
      <c r="D18" s="963"/>
      <c r="E18" s="963"/>
      <c r="F18" s="963"/>
      <c r="G18" s="963"/>
      <c r="H18" s="352">
        <f>IF(C8=1,0,H14/H16)</f>
        <v>0</v>
      </c>
    </row>
    <row r="19" spans="1:27" ht="17.149999999999999" customHeight="1" x14ac:dyDescent="0.35"/>
    <row r="20" spans="1:27" ht="17.149999999999999" customHeight="1" x14ac:dyDescent="0.35"/>
    <row r="21" spans="1:27" ht="17.149999999999999" customHeight="1" x14ac:dyDescent="0.35">
      <c r="A21" s="2" t="s">
        <v>774</v>
      </c>
      <c r="J21" s="11" t="s">
        <v>521</v>
      </c>
    </row>
    <row r="22" spans="1:27" s="11" customFormat="1" ht="28" customHeight="1" x14ac:dyDescent="0.35">
      <c r="A22" s="1093" t="s">
        <v>743</v>
      </c>
      <c r="B22" s="1093" t="s">
        <v>373</v>
      </c>
      <c r="C22" s="1094" t="s">
        <v>744</v>
      </c>
      <c r="D22" s="950"/>
      <c r="E22" s="950"/>
      <c r="F22" s="1511" t="s">
        <v>747</v>
      </c>
      <c r="G22" s="1511" t="s">
        <v>746</v>
      </c>
      <c r="H22" s="1511" t="s">
        <v>748</v>
      </c>
      <c r="J22" s="1004" t="s">
        <v>34</v>
      </c>
      <c r="K22" s="1011"/>
      <c r="L22" s="1005"/>
    </row>
    <row r="23" spans="1:27" s="117" customFormat="1" ht="31" x14ac:dyDescent="0.35">
      <c r="A23" s="354"/>
      <c r="B23" s="357" t="s">
        <v>767</v>
      </c>
      <c r="C23" s="354">
        <f>'Interface_Emptying &amp; Transport'!C88</f>
        <v>0</v>
      </c>
      <c r="D23" s="354"/>
      <c r="E23" s="419"/>
      <c r="F23" s="354"/>
      <c r="G23" s="419"/>
      <c r="H23" s="419"/>
      <c r="J23" s="1132" t="s">
        <v>775</v>
      </c>
      <c r="K23" s="1133"/>
      <c r="L23" s="358"/>
      <c r="AA23" s="1101" t="s">
        <v>601</v>
      </c>
    </row>
    <row r="24" spans="1:27" s="60" customFormat="1" ht="31" x14ac:dyDescent="0.35">
      <c r="A24" s="417">
        <v>0</v>
      </c>
      <c r="B24" s="1100" t="s">
        <v>391</v>
      </c>
      <c r="C24" s="354">
        <f>'Interface_Emptying &amp; Transport'!C89</f>
        <v>0</v>
      </c>
      <c r="D24" s="1510"/>
      <c r="E24" s="1510"/>
      <c r="F24" s="417">
        <v>1</v>
      </c>
      <c r="G24" s="418" t="str">
        <f t="shared" ref="G24:G30" si="0">IF(C24=1,(C24*F24)*1,"")</f>
        <v/>
      </c>
      <c r="H24" s="418" t="str">
        <f t="shared" ref="H24:H29" si="1">G24</f>
        <v/>
      </c>
      <c r="J24" s="1512" t="str">
        <f>'Interface_Emptying &amp; Transport'!E89</f>
        <v>No</v>
      </c>
      <c r="K24" s="1134"/>
      <c r="L24" s="1110"/>
      <c r="AA24" s="1101" t="s">
        <v>601</v>
      </c>
    </row>
    <row r="25" spans="1:27" s="60" customFormat="1" ht="31" x14ac:dyDescent="0.35">
      <c r="A25" s="417">
        <v>1</v>
      </c>
      <c r="B25" s="1103" t="s">
        <v>393</v>
      </c>
      <c r="C25" s="417">
        <f>'Interface_Emptying &amp; Transport'!C90</f>
        <v>1</v>
      </c>
      <c r="D25" s="417"/>
      <c r="E25" s="418"/>
      <c r="F25" s="417">
        <v>1</v>
      </c>
      <c r="G25" s="418">
        <f t="shared" si="0"/>
        <v>1</v>
      </c>
      <c r="H25" s="419">
        <f t="shared" si="1"/>
        <v>1</v>
      </c>
      <c r="J25" s="1512" t="str">
        <f>'Interface_Emptying &amp; Transport'!E90</f>
        <v>They may do this themselves before starting for a job</v>
      </c>
      <c r="K25" s="1134"/>
      <c r="L25" s="1110"/>
      <c r="AA25" s="1101" t="s">
        <v>601</v>
      </c>
    </row>
    <row r="26" spans="1:27" s="60" customFormat="1" ht="31" x14ac:dyDescent="0.35">
      <c r="A26" s="417">
        <v>2</v>
      </c>
      <c r="B26" s="1100" t="s">
        <v>379</v>
      </c>
      <c r="C26" s="354">
        <f>'Interface_Emptying &amp; Transport'!C91</f>
        <v>0</v>
      </c>
      <c r="D26" s="1510"/>
      <c r="E26" s="1510"/>
      <c r="F26" s="417">
        <v>1</v>
      </c>
      <c r="G26" s="418" t="str">
        <f t="shared" si="0"/>
        <v/>
      </c>
      <c r="H26" s="418" t="str">
        <f t="shared" si="1"/>
        <v/>
      </c>
      <c r="J26" s="1512">
        <f>'Interface_Emptying &amp; Transport'!E91</f>
        <v>0</v>
      </c>
      <c r="K26" s="1134"/>
      <c r="L26" s="1110"/>
      <c r="AA26" s="1101" t="s">
        <v>601</v>
      </c>
    </row>
    <row r="27" spans="1:27" s="60" customFormat="1" ht="31" x14ac:dyDescent="0.35">
      <c r="A27" s="417">
        <v>3</v>
      </c>
      <c r="B27" s="1103" t="s">
        <v>380</v>
      </c>
      <c r="C27" s="417">
        <f>'Interface_Emptying &amp; Transport'!C92</f>
        <v>0</v>
      </c>
      <c r="D27" s="417"/>
      <c r="E27" s="418"/>
      <c r="F27" s="417">
        <v>1</v>
      </c>
      <c r="G27" s="418" t="str">
        <f t="shared" si="0"/>
        <v/>
      </c>
      <c r="H27" s="419" t="str">
        <f t="shared" si="1"/>
        <v/>
      </c>
      <c r="J27" s="1512">
        <f>'Interface_Emptying &amp; Transport'!E92</f>
        <v>0</v>
      </c>
      <c r="K27" s="1134"/>
      <c r="L27" s="1110"/>
      <c r="AA27" s="1101" t="s">
        <v>601</v>
      </c>
    </row>
    <row r="28" spans="1:27" s="60" customFormat="1" ht="31" x14ac:dyDescent="0.35">
      <c r="A28" s="417">
        <v>4</v>
      </c>
      <c r="B28" s="1100" t="s">
        <v>395</v>
      </c>
      <c r="C28" s="354">
        <f>'Interface_Emptying &amp; Transport'!C93</f>
        <v>1</v>
      </c>
      <c r="D28" s="1510"/>
      <c r="E28" s="1510"/>
      <c r="F28" s="417">
        <v>1</v>
      </c>
      <c r="G28" s="418">
        <f t="shared" si="0"/>
        <v>1</v>
      </c>
      <c r="H28" s="418">
        <f t="shared" si="1"/>
        <v>1</v>
      </c>
      <c r="J28" s="1512">
        <f>'Interface_Emptying &amp; Transport'!E93</f>
        <v>0</v>
      </c>
      <c r="K28" s="1134"/>
      <c r="L28" s="1110"/>
      <c r="AA28" s="1101" t="s">
        <v>601</v>
      </c>
    </row>
    <row r="29" spans="1:27" s="60" customFormat="1" ht="31" x14ac:dyDescent="0.35">
      <c r="A29" s="417">
        <v>5</v>
      </c>
      <c r="B29" s="1103" t="s">
        <v>396</v>
      </c>
      <c r="C29" s="417">
        <f>'Interface_Emptying &amp; Transport'!C94</f>
        <v>0</v>
      </c>
      <c r="D29" s="417"/>
      <c r="E29" s="418"/>
      <c r="F29" s="417">
        <v>1</v>
      </c>
      <c r="G29" s="418" t="str">
        <f t="shared" si="0"/>
        <v/>
      </c>
      <c r="H29" s="419" t="str">
        <f t="shared" si="1"/>
        <v/>
      </c>
      <c r="J29" s="1512">
        <f>'Interface_Emptying &amp; Transport'!E94</f>
        <v>0</v>
      </c>
      <c r="K29" s="1134"/>
      <c r="L29" s="1110"/>
      <c r="AA29" s="1101" t="s">
        <v>601</v>
      </c>
    </row>
    <row r="30" spans="1:27" s="60" customFormat="1" ht="31" x14ac:dyDescent="0.35">
      <c r="A30" s="417">
        <v>6</v>
      </c>
      <c r="B30" s="1100" t="s">
        <v>389</v>
      </c>
      <c r="C30" s="354">
        <f>'Interface_Emptying &amp; Transport'!C95</f>
        <v>0</v>
      </c>
      <c r="D30" s="1510"/>
      <c r="E30" s="1510"/>
      <c r="F30" s="417">
        <v>1</v>
      </c>
      <c r="G30" s="418" t="str">
        <f t="shared" si="0"/>
        <v/>
      </c>
      <c r="H30" s="418" t="str">
        <f>G30</f>
        <v/>
      </c>
      <c r="J30" s="1512">
        <f>'Interface_Emptying &amp; Transport'!E95</f>
        <v>0</v>
      </c>
      <c r="K30" s="1134"/>
      <c r="L30" s="1110"/>
      <c r="AA30" s="1101" t="s">
        <v>601</v>
      </c>
    </row>
    <row r="31" spans="1:27" ht="17.149999999999999" customHeight="1" x14ac:dyDescent="0.35"/>
    <row r="32" spans="1:27" ht="17.149999999999999" customHeight="1" x14ac:dyDescent="0.35">
      <c r="B32" s="48" t="s">
        <v>749</v>
      </c>
      <c r="C32" s="1102"/>
      <c r="D32" s="1102"/>
      <c r="E32" s="1104"/>
      <c r="F32" s="1102"/>
      <c r="G32" s="1104">
        <f>SUM(G24:G30)</f>
        <v>2</v>
      </c>
      <c r="H32" s="1105">
        <f>SUM(H24:H30)</f>
        <v>2</v>
      </c>
    </row>
    <row r="33" spans="1:27" ht="17.149999999999999" customHeight="1" x14ac:dyDescent="0.35">
      <c r="B33" s="47"/>
      <c r="C33" s="4"/>
      <c r="H33" s="47"/>
    </row>
    <row r="34" spans="1:27" ht="17.149999999999999" customHeight="1" x14ac:dyDescent="0.35">
      <c r="B34" s="48" t="s">
        <v>750</v>
      </c>
      <c r="C34" s="1102"/>
      <c r="D34" s="1102"/>
      <c r="E34" s="1102"/>
      <c r="F34" s="1102"/>
      <c r="G34" s="1104"/>
      <c r="H34" s="1105">
        <f>SUM(F24:F30)</f>
        <v>7</v>
      </c>
    </row>
    <row r="35" spans="1:27" ht="17.149999999999999" customHeight="1" x14ac:dyDescent="0.35">
      <c r="B35" s="47"/>
      <c r="C35" s="4"/>
      <c r="H35" s="47"/>
    </row>
    <row r="36" spans="1:27" s="12" customFormat="1" ht="17.149999999999999" customHeight="1" x14ac:dyDescent="0.35">
      <c r="B36" s="23" t="s">
        <v>751</v>
      </c>
      <c r="C36" s="963">
        <f>SUM(C24:C30)</f>
        <v>2</v>
      </c>
      <c r="D36" s="963"/>
      <c r="E36" s="963"/>
      <c r="F36" s="963"/>
      <c r="G36" s="963"/>
      <c r="H36" s="352">
        <f>IF(C23=1,"",H32/H34)</f>
        <v>0.2857142857142857</v>
      </c>
    </row>
    <row r="37" spans="1:27" ht="17.149999999999999" customHeight="1" x14ac:dyDescent="0.35">
      <c r="F37" s="3"/>
      <c r="G37" s="3"/>
    </row>
    <row r="38" spans="1:27" ht="17.149999999999999" customHeight="1" x14ac:dyDescent="0.35"/>
    <row r="39" spans="1:27" ht="17.149999999999999" customHeight="1" x14ac:dyDescent="0.35">
      <c r="A39" s="2" t="s">
        <v>771</v>
      </c>
      <c r="J39" s="11" t="s">
        <v>521</v>
      </c>
    </row>
    <row r="40" spans="1:27" s="11" customFormat="1" ht="28" customHeight="1" x14ac:dyDescent="0.35">
      <c r="A40" s="1093" t="s">
        <v>743</v>
      </c>
      <c r="B40" s="1093" t="s">
        <v>373</v>
      </c>
      <c r="C40" s="1094" t="s">
        <v>744</v>
      </c>
      <c r="D40" s="1130"/>
      <c r="E40" s="1130"/>
      <c r="F40" s="1511" t="s">
        <v>747</v>
      </c>
      <c r="G40" s="1511" t="s">
        <v>746</v>
      </c>
      <c r="H40" s="1511" t="s">
        <v>748</v>
      </c>
      <c r="J40" s="950" t="s">
        <v>685</v>
      </c>
      <c r="K40" s="950" t="s">
        <v>712</v>
      </c>
      <c r="L40" s="959" t="s">
        <v>599</v>
      </c>
    </row>
    <row r="41" spans="1:27" s="61" customFormat="1" ht="31" x14ac:dyDescent="0.35">
      <c r="A41" s="1131">
        <v>0</v>
      </c>
      <c r="B41" s="1100" t="s">
        <v>776</v>
      </c>
      <c r="C41" s="354">
        <f>'Interface_Permits &amp; standards'!C59</f>
        <v>1</v>
      </c>
      <c r="D41" s="142"/>
      <c r="E41" s="142"/>
      <c r="F41" s="355"/>
      <c r="G41" s="355"/>
      <c r="H41" s="355"/>
      <c r="J41" s="1100">
        <f>'Interface_Permits &amp; standards'!E59</f>
        <v>0</v>
      </c>
      <c r="K41" s="1100">
        <f>'Interface_Permits &amp; standards'!F59</f>
        <v>0</v>
      </c>
      <c r="L41" s="1100">
        <f>'Interface_Permits &amp; standards'!G59</f>
        <v>0</v>
      </c>
      <c r="AA41" s="1101" t="s">
        <v>601</v>
      </c>
    </row>
    <row r="42" spans="1:27" s="60" customFormat="1" ht="31" x14ac:dyDescent="0.35">
      <c r="A42" s="417">
        <v>1</v>
      </c>
      <c r="B42" s="1100" t="s">
        <v>696</v>
      </c>
      <c r="C42" s="354">
        <f>'Interface_Permits &amp; standards'!C60</f>
        <v>0</v>
      </c>
      <c r="D42" s="155"/>
      <c r="E42" s="155"/>
      <c r="F42" s="417">
        <v>1</v>
      </c>
      <c r="G42" s="418" t="str">
        <f>IF(C42=1,(C42*F42)*1,"")</f>
        <v/>
      </c>
      <c r="H42" s="418" t="str">
        <f>G42</f>
        <v/>
      </c>
      <c r="J42" s="1100">
        <f>'Interface_Permits &amp; standards'!E60</f>
        <v>0</v>
      </c>
      <c r="K42" s="1100">
        <f>'Interface_Permits &amp; standards'!F60</f>
        <v>0</v>
      </c>
      <c r="L42" s="1100">
        <f>'Interface_Permits &amp; standards'!G60</f>
        <v>0</v>
      </c>
      <c r="AA42" s="1101" t="s">
        <v>601</v>
      </c>
    </row>
    <row r="43" spans="1:27" s="61" customFormat="1" ht="31" x14ac:dyDescent="0.35">
      <c r="A43" s="1131">
        <v>2</v>
      </c>
      <c r="B43" s="1100" t="s">
        <v>697</v>
      </c>
      <c r="C43" s="354">
        <f>'Interface_Permits &amp; standards'!C61</f>
        <v>0</v>
      </c>
      <c r="D43" s="142"/>
      <c r="E43" s="142"/>
      <c r="F43" s="355">
        <v>1</v>
      </c>
      <c r="G43" s="355" t="str">
        <f>IF(C43=1,(C43*F43)*1,"")</f>
        <v/>
      </c>
      <c r="H43" s="355" t="str">
        <f>G43</f>
        <v/>
      </c>
      <c r="J43" s="953">
        <f>'Interface_Permits &amp; standards'!E61</f>
        <v>0</v>
      </c>
      <c r="K43" s="953">
        <f>'Interface_Permits &amp; standards'!F61</f>
        <v>0</v>
      </c>
      <c r="L43" s="953">
        <f>'Interface_Permits &amp; standards'!G61</f>
        <v>0</v>
      </c>
      <c r="AA43" s="1101" t="s">
        <v>601</v>
      </c>
    </row>
    <row r="44" spans="1:27" s="60" customFormat="1" ht="31" x14ac:dyDescent="0.35">
      <c r="A44" s="417">
        <v>3</v>
      </c>
      <c r="B44" s="1100" t="s">
        <v>698</v>
      </c>
      <c r="C44" s="354">
        <f>'Interface_Permits &amp; standards'!C62</f>
        <v>0</v>
      </c>
      <c r="D44" s="155"/>
      <c r="E44" s="155"/>
      <c r="F44" s="417">
        <v>1</v>
      </c>
      <c r="G44" s="418" t="str">
        <f>IF(C44=1,(C44*F44)*1,"")</f>
        <v/>
      </c>
      <c r="H44" s="418" t="str">
        <f>G44</f>
        <v/>
      </c>
      <c r="J44" s="1100">
        <f>'Interface_Permits &amp; standards'!E62</f>
        <v>0</v>
      </c>
      <c r="K44" s="1100">
        <f>'Interface_Permits &amp; standards'!F62</f>
        <v>0</v>
      </c>
      <c r="L44" s="1100">
        <f>'Interface_Permits &amp; standards'!G62</f>
        <v>0</v>
      </c>
      <c r="AA44" s="1101" t="s">
        <v>601</v>
      </c>
    </row>
    <row r="45" spans="1:27" ht="17.149999999999999" customHeight="1" x14ac:dyDescent="0.35">
      <c r="D45" s="3"/>
      <c r="E45" s="3"/>
    </row>
    <row r="46" spans="1:27" ht="17.149999999999999" customHeight="1" x14ac:dyDescent="0.35">
      <c r="B46" s="48" t="s">
        <v>749</v>
      </c>
      <c r="C46" s="1102"/>
      <c r="D46" s="1102"/>
      <c r="E46" s="1104"/>
      <c r="F46" s="1102"/>
      <c r="G46" s="1104">
        <f>SUM(G42:G44)</f>
        <v>0</v>
      </c>
      <c r="H46" s="1105">
        <f>SUM(H42:H44)</f>
        <v>0</v>
      </c>
    </row>
    <row r="47" spans="1:27" ht="17.149999999999999" customHeight="1" x14ac:dyDescent="0.35">
      <c r="B47" s="47"/>
      <c r="C47" s="4"/>
      <c r="H47" s="47"/>
    </row>
    <row r="48" spans="1:27" ht="17.149999999999999" customHeight="1" x14ac:dyDescent="0.35">
      <c r="B48" s="48" t="s">
        <v>750</v>
      </c>
      <c r="C48" s="1102"/>
      <c r="D48" s="1102"/>
      <c r="E48" s="1102"/>
      <c r="F48" s="1102"/>
      <c r="G48" s="1104"/>
      <c r="H48" s="1105">
        <f>SUM(F42:F44)</f>
        <v>3</v>
      </c>
    </row>
    <row r="49" spans="1:27" ht="17.149999999999999" customHeight="1" x14ac:dyDescent="0.35">
      <c r="B49" s="47"/>
      <c r="C49" s="4"/>
      <c r="H49" s="47"/>
    </row>
    <row r="50" spans="1:27" ht="17.149999999999999" customHeight="1" x14ac:dyDescent="0.35">
      <c r="B50" s="23" t="s">
        <v>751</v>
      </c>
      <c r="C50" s="963">
        <f>SUM(C42:C44)</f>
        <v>0</v>
      </c>
      <c r="D50" s="963"/>
      <c r="E50" s="963"/>
      <c r="F50" s="963"/>
      <c r="G50" s="963"/>
      <c r="H50" s="352">
        <f>IF(A41=1,0,H46/H48)</f>
        <v>0</v>
      </c>
    </row>
    <row r="51" spans="1:27" ht="17.149999999999999" customHeight="1" x14ac:dyDescent="0.35"/>
    <row r="52" spans="1:27" ht="17.149999999999999" customHeight="1" x14ac:dyDescent="0.35"/>
    <row r="53" spans="1:27" ht="17.149999999999999" customHeight="1" x14ac:dyDescent="0.35">
      <c r="A53" s="2" t="s">
        <v>777</v>
      </c>
      <c r="B53" s="8"/>
      <c r="C53" s="114"/>
      <c r="D53" s="5"/>
      <c r="E53" s="5"/>
      <c r="F53" s="46"/>
      <c r="G53" s="3"/>
    </row>
    <row r="54" spans="1:27" s="11" customFormat="1" ht="28" customHeight="1" x14ac:dyDescent="0.35">
      <c r="A54" s="1503" t="s">
        <v>743</v>
      </c>
      <c r="B54" s="1093" t="s">
        <v>373</v>
      </c>
      <c r="C54" s="1096" t="s">
        <v>752</v>
      </c>
      <c r="D54" s="1503" t="s">
        <v>745</v>
      </c>
      <c r="E54" s="1503" t="s">
        <v>746</v>
      </c>
      <c r="F54" s="1511" t="s">
        <v>747</v>
      </c>
      <c r="G54" s="1511" t="s">
        <v>746</v>
      </c>
      <c r="H54" s="1511" t="s">
        <v>748</v>
      </c>
      <c r="J54" s="1117" t="s">
        <v>521</v>
      </c>
      <c r="K54" s="1118"/>
      <c r="L54" s="1119"/>
      <c r="M54" s="1504" t="s">
        <v>656</v>
      </c>
      <c r="N54" s="1504" t="s">
        <v>645</v>
      </c>
    </row>
    <row r="55" spans="1:27" s="117" customFormat="1" ht="31" x14ac:dyDescent="0.35">
      <c r="A55" s="171"/>
      <c r="B55" s="171" t="s">
        <v>754</v>
      </c>
      <c r="C55" s="354">
        <f>Interface_Budgets!C88</f>
        <v>1</v>
      </c>
      <c r="D55" s="171"/>
      <c r="E55" s="171"/>
      <c r="F55" s="356"/>
      <c r="G55" s="356"/>
      <c r="H55" s="356"/>
      <c r="J55" s="1120">
        <f>Interface_Budgets!E88</f>
        <v>0</v>
      </c>
      <c r="K55" s="1121"/>
      <c r="L55" s="1122"/>
      <c r="M55" s="1520">
        <f>Interface_Budgets!H88</f>
        <v>0</v>
      </c>
      <c r="N55" s="1521">
        <f>Interface_Budgets!I88</f>
        <v>0</v>
      </c>
      <c r="AA55" s="1101" t="s">
        <v>601</v>
      </c>
    </row>
    <row r="56" spans="1:27" s="60" customFormat="1" ht="31" x14ac:dyDescent="0.35">
      <c r="A56" s="1510">
        <v>0</v>
      </c>
      <c r="B56" s="1100" t="s">
        <v>661</v>
      </c>
      <c r="C56" s="354">
        <f>Interface_Budgets!C89</f>
        <v>0</v>
      </c>
      <c r="D56" s="417">
        <v>1</v>
      </c>
      <c r="E56" s="418" t="str">
        <f t="shared" ref="E56:E62" si="2">IF(C56=1,(C56*D56)*1,"")</f>
        <v/>
      </c>
      <c r="F56" s="417">
        <v>1</v>
      </c>
      <c r="G56" s="418" t="str">
        <f>IF(C56=1,(C56*F56),"")</f>
        <v/>
      </c>
      <c r="H56" s="418" t="str">
        <f t="shared" ref="H56:H62" si="3">G56</f>
        <v/>
      </c>
      <c r="J56" s="1120">
        <f>Interface_Budgets!E89</f>
        <v>0</v>
      </c>
      <c r="K56" s="1121"/>
      <c r="L56" s="1122"/>
      <c r="M56" s="1520">
        <f>Interface_Budgets!H89</f>
        <v>0</v>
      </c>
      <c r="N56" s="1521">
        <f>Interface_Budgets!I89</f>
        <v>0</v>
      </c>
      <c r="AA56" s="1101" t="s">
        <v>601</v>
      </c>
    </row>
    <row r="57" spans="1:27" s="60" customFormat="1" ht="31" x14ac:dyDescent="0.35">
      <c r="A57" s="1510">
        <v>1</v>
      </c>
      <c r="B57" s="1100" t="s">
        <v>649</v>
      </c>
      <c r="C57" s="354">
        <f>Interface_Budgets!C90</f>
        <v>0</v>
      </c>
      <c r="D57" s="417">
        <v>1</v>
      </c>
      <c r="E57" s="418" t="str">
        <f t="shared" si="2"/>
        <v/>
      </c>
      <c r="F57" s="417">
        <v>1</v>
      </c>
      <c r="G57" s="418" t="str">
        <f t="shared" ref="G57:G62" si="4">IF(C57=1,(C57*F57)*1,"")</f>
        <v/>
      </c>
      <c r="H57" s="418" t="str">
        <f t="shared" si="3"/>
        <v/>
      </c>
      <c r="J57" s="1120">
        <f>Interface_Budgets!E90</f>
        <v>0</v>
      </c>
      <c r="K57" s="1121"/>
      <c r="L57" s="1122"/>
      <c r="M57" s="1520">
        <f>Interface_Budgets!H90</f>
        <v>0</v>
      </c>
      <c r="N57" s="1521">
        <f>Interface_Budgets!I90</f>
        <v>0</v>
      </c>
      <c r="AA57" s="1101" t="s">
        <v>601</v>
      </c>
    </row>
    <row r="58" spans="1:27" s="60" customFormat="1" ht="31" x14ac:dyDescent="0.35">
      <c r="A58" s="1510">
        <v>2</v>
      </c>
      <c r="B58" s="1100" t="s">
        <v>658</v>
      </c>
      <c r="C58" s="354">
        <f>Interface_Budgets!C91</f>
        <v>0</v>
      </c>
      <c r="D58" s="417">
        <v>1</v>
      </c>
      <c r="E58" s="418" t="str">
        <f t="shared" si="2"/>
        <v/>
      </c>
      <c r="F58" s="417">
        <v>1</v>
      </c>
      <c r="G58" s="418" t="str">
        <f t="shared" si="4"/>
        <v/>
      </c>
      <c r="H58" s="418" t="str">
        <f t="shared" si="3"/>
        <v/>
      </c>
      <c r="J58" s="1120">
        <f>Interface_Budgets!E91</f>
        <v>0</v>
      </c>
      <c r="K58" s="1121"/>
      <c r="L58" s="1122"/>
      <c r="M58" s="1520">
        <f>Interface_Budgets!H91</f>
        <v>0</v>
      </c>
      <c r="N58" s="1521">
        <f>Interface_Budgets!I91</f>
        <v>0</v>
      </c>
      <c r="AA58" s="1101" t="s">
        <v>601</v>
      </c>
    </row>
    <row r="59" spans="1:27" s="60" customFormat="1" ht="31" x14ac:dyDescent="0.35">
      <c r="A59" s="1510">
        <v>3</v>
      </c>
      <c r="B59" s="1100" t="s">
        <v>651</v>
      </c>
      <c r="C59" s="354">
        <f>Interface_Budgets!C92</f>
        <v>0</v>
      </c>
      <c r="D59" s="417">
        <v>1</v>
      </c>
      <c r="E59" s="418" t="str">
        <f t="shared" si="2"/>
        <v/>
      </c>
      <c r="F59" s="417">
        <v>1</v>
      </c>
      <c r="G59" s="418" t="str">
        <f t="shared" si="4"/>
        <v/>
      </c>
      <c r="H59" s="418" t="str">
        <f t="shared" si="3"/>
        <v/>
      </c>
      <c r="J59" s="1120">
        <f>Interface_Budgets!E92</f>
        <v>0</v>
      </c>
      <c r="K59" s="1121"/>
      <c r="L59" s="1122"/>
      <c r="M59" s="1520">
        <f>Interface_Budgets!H92</f>
        <v>0</v>
      </c>
      <c r="N59" s="1521">
        <f>Interface_Budgets!I92</f>
        <v>0</v>
      </c>
      <c r="AA59" s="1101" t="s">
        <v>601</v>
      </c>
    </row>
    <row r="60" spans="1:27" s="60" customFormat="1" ht="31" x14ac:dyDescent="0.35">
      <c r="A60" s="1510">
        <v>4</v>
      </c>
      <c r="B60" s="1100" t="s">
        <v>652</v>
      </c>
      <c r="C60" s="354">
        <f>Interface_Budgets!C93</f>
        <v>0</v>
      </c>
      <c r="D60" s="417">
        <v>1</v>
      </c>
      <c r="E60" s="418" t="str">
        <f t="shared" si="2"/>
        <v/>
      </c>
      <c r="F60" s="417">
        <v>1</v>
      </c>
      <c r="G60" s="418" t="str">
        <f t="shared" si="4"/>
        <v/>
      </c>
      <c r="H60" s="418" t="str">
        <f t="shared" si="3"/>
        <v/>
      </c>
      <c r="J60" s="1120">
        <f>Interface_Budgets!E93</f>
        <v>0</v>
      </c>
      <c r="K60" s="1121"/>
      <c r="L60" s="1122"/>
      <c r="M60" s="1520">
        <f>Interface_Budgets!H93</f>
        <v>0</v>
      </c>
      <c r="N60" s="1521">
        <f>Interface_Budgets!I93</f>
        <v>0</v>
      </c>
      <c r="AA60" s="1101" t="s">
        <v>601</v>
      </c>
    </row>
    <row r="61" spans="1:27" s="60" customFormat="1" ht="31" x14ac:dyDescent="0.35">
      <c r="A61" s="1510">
        <v>5</v>
      </c>
      <c r="B61" s="1100" t="s">
        <v>653</v>
      </c>
      <c r="C61" s="354">
        <f>Interface_Budgets!C94</f>
        <v>0</v>
      </c>
      <c r="D61" s="417">
        <v>1</v>
      </c>
      <c r="E61" s="418" t="str">
        <f t="shared" si="2"/>
        <v/>
      </c>
      <c r="F61" s="417">
        <v>1</v>
      </c>
      <c r="G61" s="418" t="str">
        <f t="shared" si="4"/>
        <v/>
      </c>
      <c r="H61" s="418" t="str">
        <f t="shared" si="3"/>
        <v/>
      </c>
      <c r="J61" s="1120">
        <f>Interface_Budgets!E94</f>
        <v>0</v>
      </c>
      <c r="K61" s="1121"/>
      <c r="L61" s="1122"/>
      <c r="M61" s="1520">
        <f>Interface_Budgets!H94</f>
        <v>0</v>
      </c>
      <c r="N61" s="1521">
        <f>Interface_Budgets!I94</f>
        <v>0</v>
      </c>
      <c r="AA61" s="1101" t="s">
        <v>601</v>
      </c>
    </row>
    <row r="62" spans="1:27" s="60" customFormat="1" ht="31" x14ac:dyDescent="0.35">
      <c r="A62" s="1510">
        <v>6</v>
      </c>
      <c r="B62" s="1100" t="s">
        <v>654</v>
      </c>
      <c r="C62" s="354">
        <f>Interface_Budgets!C95</f>
        <v>0</v>
      </c>
      <c r="D62" s="417">
        <v>1</v>
      </c>
      <c r="E62" s="418" t="str">
        <f t="shared" si="2"/>
        <v/>
      </c>
      <c r="F62" s="417">
        <v>1</v>
      </c>
      <c r="G62" s="418" t="str">
        <f t="shared" si="4"/>
        <v/>
      </c>
      <c r="H62" s="418" t="str">
        <f t="shared" si="3"/>
        <v/>
      </c>
      <c r="J62" s="1120">
        <f>Interface_Budgets!E95</f>
        <v>0</v>
      </c>
      <c r="K62" s="1121"/>
      <c r="L62" s="1122"/>
      <c r="M62" s="1520">
        <f>Interface_Budgets!H95</f>
        <v>0</v>
      </c>
      <c r="N62" s="1521">
        <f>Interface_Budgets!I95</f>
        <v>0</v>
      </c>
      <c r="AA62" s="1101" t="s">
        <v>601</v>
      </c>
    </row>
    <row r="63" spans="1:27" ht="17.149999999999999" customHeight="1" x14ac:dyDescent="0.35">
      <c r="A63" s="4"/>
      <c r="B63" s="4"/>
    </row>
    <row r="64" spans="1:27" ht="17.149999999999999" customHeight="1" x14ac:dyDescent="0.35">
      <c r="B64" s="48" t="s">
        <v>749</v>
      </c>
      <c r="C64" s="1102"/>
      <c r="D64" s="1102"/>
      <c r="E64" s="1104">
        <f>SUM(E56:E62)</f>
        <v>0</v>
      </c>
      <c r="F64" s="1102"/>
      <c r="G64" s="1104">
        <f>SUM(G56:G62)</f>
        <v>0</v>
      </c>
      <c r="H64" s="1105">
        <f>SUM(H56:H62)</f>
        <v>0</v>
      </c>
    </row>
    <row r="65" spans="1:27" ht="17.149999999999999" customHeight="1" x14ac:dyDescent="0.35">
      <c r="B65" s="47"/>
      <c r="C65" s="4"/>
      <c r="H65" s="47"/>
    </row>
    <row r="66" spans="1:27" ht="17.149999999999999" customHeight="1" x14ac:dyDescent="0.35">
      <c r="B66" s="48" t="s">
        <v>750</v>
      </c>
      <c r="C66" s="1102"/>
      <c r="D66" s="1102"/>
      <c r="E66" s="1102"/>
      <c r="F66" s="1102"/>
      <c r="G66" s="1104"/>
      <c r="H66" s="1105">
        <f>SUM(F56:F62)</f>
        <v>7</v>
      </c>
    </row>
    <row r="67" spans="1:27" ht="17.149999999999999" customHeight="1" x14ac:dyDescent="0.35">
      <c r="B67" s="47"/>
      <c r="C67" s="4"/>
      <c r="H67" s="47"/>
    </row>
    <row r="68" spans="1:27" ht="17.149999999999999" customHeight="1" x14ac:dyDescent="0.35">
      <c r="B68" s="23" t="s">
        <v>751</v>
      </c>
      <c r="C68" s="963">
        <f>SUM(C56:C62)</f>
        <v>0</v>
      </c>
      <c r="D68" s="963"/>
      <c r="E68" s="963"/>
      <c r="F68" s="963"/>
      <c r="G68" s="963"/>
      <c r="H68" s="352" t="str">
        <f>IF(C55=1,"",(H64/H66))</f>
        <v/>
      </c>
    </row>
    <row r="69" spans="1:27" ht="17.149999999999999" customHeight="1" x14ac:dyDescent="0.35">
      <c r="B69" s="8"/>
      <c r="C69" s="114"/>
      <c r="D69" s="5"/>
      <c r="E69" s="5"/>
      <c r="F69" s="5"/>
      <c r="G69" s="5"/>
      <c r="H69" s="46"/>
    </row>
    <row r="70" spans="1:27" ht="17.149999999999999" customHeight="1" x14ac:dyDescent="0.35">
      <c r="B70" s="8"/>
      <c r="C70" s="114"/>
      <c r="D70" s="5"/>
      <c r="E70" s="5"/>
      <c r="F70" s="5"/>
      <c r="G70" s="5"/>
      <c r="H70" s="46"/>
    </row>
    <row r="71" spans="1:27" ht="17.149999999999999" customHeight="1" x14ac:dyDescent="0.35">
      <c r="A71" s="2" t="s">
        <v>778</v>
      </c>
      <c r="B71" s="8"/>
      <c r="C71" s="114"/>
      <c r="D71" s="5"/>
      <c r="E71" s="5"/>
      <c r="F71" s="46"/>
      <c r="G71" s="3"/>
    </row>
    <row r="72" spans="1:27" s="11" customFormat="1" ht="28" customHeight="1" x14ac:dyDescent="0.35">
      <c r="A72" s="1503" t="s">
        <v>743</v>
      </c>
      <c r="B72" s="1093" t="s">
        <v>373</v>
      </c>
      <c r="C72" s="1096" t="s">
        <v>744</v>
      </c>
      <c r="D72" s="1503" t="s">
        <v>745</v>
      </c>
      <c r="E72" s="1503" t="s">
        <v>746</v>
      </c>
      <c r="F72" s="1511" t="s">
        <v>747</v>
      </c>
      <c r="G72" s="1511" t="s">
        <v>746</v>
      </c>
      <c r="H72" s="1511" t="s">
        <v>748</v>
      </c>
      <c r="J72" s="1117" t="s">
        <v>521</v>
      </c>
      <c r="K72" s="1118"/>
      <c r="L72" s="1119"/>
      <c r="M72" s="1504" t="s">
        <v>656</v>
      </c>
      <c r="N72" s="1504" t="s">
        <v>645</v>
      </c>
    </row>
    <row r="73" spans="1:27" s="117" customFormat="1" ht="31" x14ac:dyDescent="0.35">
      <c r="A73" s="171"/>
      <c r="B73" s="171" t="s">
        <v>754</v>
      </c>
      <c r="C73" s="354">
        <f>Interface_Budgets!C99</f>
        <v>1</v>
      </c>
      <c r="D73" s="171"/>
      <c r="E73" s="171"/>
      <c r="F73" s="356"/>
      <c r="G73" s="356"/>
      <c r="H73" s="356"/>
      <c r="J73" s="1120">
        <f>Interface_Budgets!E99</f>
        <v>0</v>
      </c>
      <c r="K73" s="1121"/>
      <c r="L73" s="1122"/>
      <c r="M73" s="1520">
        <f>Interface_Budgets!H99</f>
        <v>0</v>
      </c>
      <c r="N73" s="1521">
        <f>Interface_Budgets!I99</f>
        <v>0</v>
      </c>
      <c r="AA73" s="1101" t="s">
        <v>601</v>
      </c>
    </row>
    <row r="74" spans="1:27" s="60" customFormat="1" ht="31" x14ac:dyDescent="0.35">
      <c r="A74" s="1510">
        <v>0</v>
      </c>
      <c r="B74" s="1100" t="s">
        <v>661</v>
      </c>
      <c r="C74" s="354">
        <f>Interface_Budgets!C100</f>
        <v>0</v>
      </c>
      <c r="D74" s="417">
        <v>1</v>
      </c>
      <c r="E74" s="418" t="str">
        <f t="shared" ref="E74:E80" si="5">IF(C74=1,(C74*D74)*1,"")</f>
        <v/>
      </c>
      <c r="F74" s="417">
        <v>1</v>
      </c>
      <c r="G74" s="418" t="str">
        <f>IF(C74=1,(C74*F74),"")</f>
        <v/>
      </c>
      <c r="H74" s="418" t="str">
        <f t="shared" ref="H74:H80" si="6">G74</f>
        <v/>
      </c>
      <c r="J74" s="1120">
        <f>Interface_Budgets!E100</f>
        <v>0</v>
      </c>
      <c r="K74" s="1121"/>
      <c r="L74" s="1122"/>
      <c r="M74" s="1520">
        <f>Interface_Budgets!H100</f>
        <v>0</v>
      </c>
      <c r="N74" s="1521">
        <f>Interface_Budgets!I100</f>
        <v>0</v>
      </c>
      <c r="AA74" s="1101" t="s">
        <v>601</v>
      </c>
    </row>
    <row r="75" spans="1:27" s="60" customFormat="1" ht="31" x14ac:dyDescent="0.35">
      <c r="A75" s="1510">
        <v>1</v>
      </c>
      <c r="B75" s="1100" t="s">
        <v>649</v>
      </c>
      <c r="C75" s="354">
        <f>Interface_Budgets!C101</f>
        <v>0</v>
      </c>
      <c r="D75" s="417">
        <v>1</v>
      </c>
      <c r="E75" s="418" t="str">
        <f t="shared" si="5"/>
        <v/>
      </c>
      <c r="F75" s="417">
        <v>1</v>
      </c>
      <c r="G75" s="418" t="str">
        <f t="shared" ref="G75:G80" si="7">IF(C75=1,(C75*F75)*1,"")</f>
        <v/>
      </c>
      <c r="H75" s="418" t="str">
        <f t="shared" si="6"/>
        <v/>
      </c>
      <c r="J75" s="1120">
        <f>Interface_Budgets!E101</f>
        <v>0</v>
      </c>
      <c r="K75" s="1121"/>
      <c r="L75" s="1122"/>
      <c r="M75" s="1520">
        <f>Interface_Budgets!H101</f>
        <v>0</v>
      </c>
      <c r="N75" s="1521">
        <f>Interface_Budgets!I101</f>
        <v>0</v>
      </c>
      <c r="AA75" s="1101" t="s">
        <v>601</v>
      </c>
    </row>
    <row r="76" spans="1:27" s="60" customFormat="1" ht="31" x14ac:dyDescent="0.35">
      <c r="A76" s="1510">
        <v>2</v>
      </c>
      <c r="B76" s="1100" t="s">
        <v>658</v>
      </c>
      <c r="C76" s="354">
        <f>Interface_Budgets!C102</f>
        <v>0</v>
      </c>
      <c r="D76" s="417">
        <v>1</v>
      </c>
      <c r="E76" s="418" t="str">
        <f t="shared" si="5"/>
        <v/>
      </c>
      <c r="F76" s="417">
        <v>1</v>
      </c>
      <c r="G76" s="418" t="str">
        <f t="shared" si="7"/>
        <v/>
      </c>
      <c r="H76" s="418" t="str">
        <f t="shared" si="6"/>
        <v/>
      </c>
      <c r="J76" s="1120">
        <f>Interface_Budgets!E102</f>
        <v>0</v>
      </c>
      <c r="K76" s="1121"/>
      <c r="L76" s="1122"/>
      <c r="M76" s="1520">
        <f>Interface_Budgets!H102</f>
        <v>0</v>
      </c>
      <c r="N76" s="1521">
        <f>Interface_Budgets!I102</f>
        <v>0</v>
      </c>
      <c r="AA76" s="1101" t="s">
        <v>601</v>
      </c>
    </row>
    <row r="77" spans="1:27" s="60" customFormat="1" ht="31" x14ac:dyDescent="0.35">
      <c r="A77" s="1510">
        <v>3</v>
      </c>
      <c r="B77" s="1100" t="s">
        <v>651</v>
      </c>
      <c r="C77" s="354">
        <f>Interface_Budgets!C103</f>
        <v>0</v>
      </c>
      <c r="D77" s="417">
        <v>1</v>
      </c>
      <c r="E77" s="418" t="str">
        <f t="shared" si="5"/>
        <v/>
      </c>
      <c r="F77" s="417">
        <v>1</v>
      </c>
      <c r="G77" s="418" t="str">
        <f t="shared" si="7"/>
        <v/>
      </c>
      <c r="H77" s="418" t="str">
        <f t="shared" si="6"/>
        <v/>
      </c>
      <c r="J77" s="1120">
        <f>Interface_Budgets!E103</f>
        <v>0</v>
      </c>
      <c r="K77" s="1121"/>
      <c r="L77" s="1122"/>
      <c r="M77" s="1520">
        <f>Interface_Budgets!H103</f>
        <v>0</v>
      </c>
      <c r="N77" s="1521">
        <f>Interface_Budgets!I103</f>
        <v>0</v>
      </c>
      <c r="AA77" s="1101" t="s">
        <v>601</v>
      </c>
    </row>
    <row r="78" spans="1:27" s="60" customFormat="1" ht="31" x14ac:dyDescent="0.35">
      <c r="A78" s="1510">
        <v>4</v>
      </c>
      <c r="B78" s="1100" t="s">
        <v>652</v>
      </c>
      <c r="C78" s="354">
        <f>Interface_Budgets!C104</f>
        <v>0</v>
      </c>
      <c r="D78" s="417">
        <v>1</v>
      </c>
      <c r="E78" s="418" t="str">
        <f t="shared" si="5"/>
        <v/>
      </c>
      <c r="F78" s="417">
        <v>1</v>
      </c>
      <c r="G78" s="418" t="str">
        <f t="shared" si="7"/>
        <v/>
      </c>
      <c r="H78" s="418" t="str">
        <f t="shared" si="6"/>
        <v/>
      </c>
      <c r="J78" s="1120">
        <f>Interface_Budgets!E104</f>
        <v>0</v>
      </c>
      <c r="K78" s="1121"/>
      <c r="L78" s="1122"/>
      <c r="M78" s="1520">
        <f>Interface_Budgets!H104</f>
        <v>0</v>
      </c>
      <c r="N78" s="1521">
        <f>Interface_Budgets!I104</f>
        <v>0</v>
      </c>
      <c r="AA78" s="1101" t="s">
        <v>601</v>
      </c>
    </row>
    <row r="79" spans="1:27" s="60" customFormat="1" ht="31" x14ac:dyDescent="0.35">
      <c r="A79" s="1510">
        <v>5</v>
      </c>
      <c r="B79" s="1100" t="s">
        <v>653</v>
      </c>
      <c r="C79" s="354">
        <f>Interface_Budgets!C105</f>
        <v>0</v>
      </c>
      <c r="D79" s="417">
        <v>1</v>
      </c>
      <c r="E79" s="418" t="str">
        <f t="shared" si="5"/>
        <v/>
      </c>
      <c r="F79" s="417">
        <v>1</v>
      </c>
      <c r="G79" s="418" t="str">
        <f t="shared" si="7"/>
        <v/>
      </c>
      <c r="H79" s="418" t="str">
        <f t="shared" si="6"/>
        <v/>
      </c>
      <c r="J79" s="1120">
        <f>Interface_Budgets!E105</f>
        <v>0</v>
      </c>
      <c r="K79" s="1121"/>
      <c r="L79" s="1122"/>
      <c r="M79" s="1520">
        <f>Interface_Budgets!H105</f>
        <v>0</v>
      </c>
      <c r="N79" s="1521">
        <f>Interface_Budgets!I105</f>
        <v>0</v>
      </c>
      <c r="AA79" s="1101" t="s">
        <v>601</v>
      </c>
    </row>
    <row r="80" spans="1:27" s="60" customFormat="1" ht="31" x14ac:dyDescent="0.35">
      <c r="A80" s="1510">
        <v>6</v>
      </c>
      <c r="B80" s="1100" t="s">
        <v>654</v>
      </c>
      <c r="C80" s="354">
        <f>Interface_Budgets!C106</f>
        <v>0</v>
      </c>
      <c r="D80" s="417">
        <v>1</v>
      </c>
      <c r="E80" s="418" t="str">
        <f t="shared" si="5"/>
        <v/>
      </c>
      <c r="F80" s="417">
        <v>1</v>
      </c>
      <c r="G80" s="418" t="str">
        <f t="shared" si="7"/>
        <v/>
      </c>
      <c r="H80" s="418" t="str">
        <f t="shared" si="6"/>
        <v/>
      </c>
      <c r="J80" s="1120">
        <f>Interface_Budgets!E106</f>
        <v>0</v>
      </c>
      <c r="K80" s="1121"/>
      <c r="L80" s="1122"/>
      <c r="M80" s="1520">
        <f>Interface_Budgets!H106</f>
        <v>0</v>
      </c>
      <c r="N80" s="1521">
        <f>Interface_Budgets!I106</f>
        <v>0</v>
      </c>
      <c r="AA80" s="1101" t="s">
        <v>601</v>
      </c>
    </row>
    <row r="81" spans="1:8" ht="17.149999999999999" customHeight="1" x14ac:dyDescent="0.35">
      <c r="A81" s="4"/>
      <c r="B81" s="4"/>
    </row>
    <row r="82" spans="1:8" ht="17.149999999999999" customHeight="1" x14ac:dyDescent="0.35">
      <c r="B82" s="48" t="s">
        <v>749</v>
      </c>
      <c r="C82" s="1102"/>
      <c r="D82" s="1102"/>
      <c r="E82" s="1104">
        <f>SUM(E74:E80)</f>
        <v>0</v>
      </c>
      <c r="F82" s="1102"/>
      <c r="G82" s="1104">
        <f>SUM(G74:G80)</f>
        <v>0</v>
      </c>
      <c r="H82" s="1105">
        <f>SUM(H74:H80)</f>
        <v>0</v>
      </c>
    </row>
    <row r="83" spans="1:8" ht="17.149999999999999" customHeight="1" x14ac:dyDescent="0.35">
      <c r="B83" s="47"/>
      <c r="C83" s="4"/>
      <c r="H83" s="47"/>
    </row>
    <row r="84" spans="1:8" ht="17.149999999999999" customHeight="1" x14ac:dyDescent="0.35">
      <c r="B84" s="48" t="s">
        <v>750</v>
      </c>
      <c r="C84" s="1102"/>
      <c r="D84" s="1102"/>
      <c r="E84" s="1102"/>
      <c r="F84" s="1102"/>
      <c r="G84" s="1104"/>
      <c r="H84" s="1105">
        <f>SUM(F74:F80)</f>
        <v>7</v>
      </c>
    </row>
    <row r="85" spans="1:8" ht="17.149999999999999" customHeight="1" x14ac:dyDescent="0.35">
      <c r="B85" s="47"/>
      <c r="C85" s="4"/>
      <c r="H85" s="47"/>
    </row>
    <row r="86" spans="1:8" ht="17.149999999999999" customHeight="1" x14ac:dyDescent="0.35">
      <c r="B86" s="23" t="s">
        <v>751</v>
      </c>
      <c r="C86" s="963">
        <f>SUM(C74:C80)</f>
        <v>0</v>
      </c>
      <c r="D86" s="963"/>
      <c r="E86" s="963"/>
      <c r="F86" s="963"/>
      <c r="G86" s="963"/>
      <c r="H86" s="352" t="str">
        <f>IF(C73=1,"",(H82/H84))</f>
        <v/>
      </c>
    </row>
    <row r="87" spans="1:8" ht="17.149999999999999" customHeight="1" x14ac:dyDescent="0.35">
      <c r="B87" s="8"/>
      <c r="C87" s="114"/>
      <c r="D87" s="5"/>
      <c r="E87" s="5"/>
      <c r="F87" s="5"/>
      <c r="G87" s="5"/>
      <c r="H87" s="46"/>
    </row>
  </sheetData>
  <sheetProtection password="C8C1" sheet="1" objects="1" scenarios="1" selectLockedCells="1"/>
  <pageMargins left="0.7" right="0.7" top="0.75" bottom="0.75" header="0.3" footer="0.3"/>
  <pageSetup paperSize="9" orientation="portrait" r:id="rId1"/>
  <ignoredErrors>
    <ignoredError sqref="H16" formulaRange="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6"/>
  </sheetPr>
  <dimension ref="A1:AA88"/>
  <sheetViews>
    <sheetView workbookViewId="0">
      <selection activeCell="A3" sqref="A3"/>
    </sheetView>
  </sheetViews>
  <sheetFormatPr defaultColWidth="9.1796875" defaultRowHeight="14.5" x14ac:dyDescent="0.35"/>
  <cols>
    <col min="1" max="1" width="7.7265625" style="11" customWidth="1"/>
    <col min="2" max="2" width="45.7265625" style="17" customWidth="1"/>
    <col min="3" max="3" width="10.7265625" style="11" customWidth="1"/>
    <col min="4" max="7" width="10.7265625" style="17" customWidth="1"/>
    <col min="8" max="8" width="10.7265625" style="11" customWidth="1"/>
    <col min="9" max="9" width="10.7265625" style="17" customWidth="1"/>
    <col min="10" max="12" width="45.7265625" style="17" customWidth="1"/>
    <col min="13" max="14" width="16.7265625" style="17" customWidth="1"/>
    <col min="15" max="26" width="9.1796875" style="17"/>
    <col min="27" max="27" width="3.7265625" style="17" customWidth="1"/>
    <col min="28" max="16384" width="9.1796875" style="17"/>
  </cols>
  <sheetData>
    <row r="1" spans="1:27" ht="18.5" x14ac:dyDescent="0.35">
      <c r="A1" s="13" t="str">
        <f>'User interface_RES'!AJ11</f>
        <v>Any city in , the world</v>
      </c>
    </row>
    <row r="2" spans="1:27" s="185" customFormat="1" ht="10.5" x14ac:dyDescent="0.35">
      <c r="A2" s="237"/>
      <c r="C2" s="237"/>
      <c r="H2" s="237"/>
    </row>
    <row r="3" spans="1:27" ht="26" x14ac:dyDescent="0.35">
      <c r="A3" s="182" t="s">
        <v>779</v>
      </c>
    </row>
    <row r="4" spans="1:27" ht="17.149999999999999" customHeight="1" x14ac:dyDescent="0.35">
      <c r="A4" s="47"/>
      <c r="B4" s="3"/>
      <c r="C4" s="47"/>
      <c r="D4" s="3"/>
      <c r="E4" s="3"/>
      <c r="F4" s="3"/>
    </row>
    <row r="5" spans="1:27" ht="17.149999999999999" customHeight="1" x14ac:dyDescent="0.35">
      <c r="A5" s="47"/>
      <c r="B5" s="7"/>
      <c r="C5" s="114"/>
      <c r="D5" s="5"/>
      <c r="E5" s="5"/>
      <c r="F5" s="5"/>
      <c r="G5" s="5"/>
      <c r="H5" s="47"/>
      <c r="I5" s="3"/>
      <c r="J5" s="3"/>
      <c r="K5" s="3"/>
    </row>
    <row r="6" spans="1:27" ht="17.149999999999999" customHeight="1" x14ac:dyDescent="0.35">
      <c r="A6" s="2" t="s">
        <v>780</v>
      </c>
      <c r="B6" s="3"/>
      <c r="C6" s="55"/>
      <c r="D6" s="4"/>
      <c r="E6" s="4"/>
      <c r="F6" s="4"/>
      <c r="G6" s="4"/>
      <c r="H6" s="47"/>
      <c r="I6" s="3"/>
      <c r="J6" s="11" t="s">
        <v>521</v>
      </c>
      <c r="K6" s="3"/>
    </row>
    <row r="7" spans="1:27" s="11" customFormat="1" ht="28" customHeight="1" x14ac:dyDescent="0.35">
      <c r="A7" s="1093" t="s">
        <v>743</v>
      </c>
      <c r="B7" s="1093" t="s">
        <v>373</v>
      </c>
      <c r="C7" s="1094" t="s">
        <v>744</v>
      </c>
      <c r="D7" s="1503" t="s">
        <v>745</v>
      </c>
      <c r="E7" s="1503" t="s">
        <v>746</v>
      </c>
      <c r="F7" s="1511" t="s">
        <v>747</v>
      </c>
      <c r="G7" s="1511" t="s">
        <v>746</v>
      </c>
      <c r="H7" s="1511" t="s">
        <v>748</v>
      </c>
      <c r="J7" s="1503" t="s">
        <v>677</v>
      </c>
      <c r="K7" s="1511" t="s">
        <v>678</v>
      </c>
      <c r="L7" s="1511" t="s">
        <v>599</v>
      </c>
    </row>
    <row r="8" spans="1:27" s="117" customFormat="1" ht="31" x14ac:dyDescent="0.35">
      <c r="A8" s="354"/>
      <c r="B8" s="357" t="s">
        <v>767</v>
      </c>
      <c r="C8" s="354">
        <f>'Interface_Permits &amp; standards'!C69</f>
        <v>0</v>
      </c>
      <c r="D8" s="171"/>
      <c r="E8" s="171"/>
      <c r="F8" s="356"/>
      <c r="G8" s="356"/>
      <c r="H8" s="356"/>
      <c r="J8" s="1135" t="s">
        <v>702</v>
      </c>
      <c r="K8" s="1135"/>
      <c r="L8" s="1135"/>
      <c r="AA8" s="1101" t="s">
        <v>601</v>
      </c>
    </row>
    <row r="9" spans="1:27" s="955" customFormat="1" ht="31" x14ac:dyDescent="0.35">
      <c r="A9" s="354">
        <v>0</v>
      </c>
      <c r="B9" s="1103" t="s">
        <v>703</v>
      </c>
      <c r="C9" s="354">
        <f>'Interface_Permits &amp; standards'!C70</f>
        <v>0</v>
      </c>
      <c r="D9" s="417">
        <v>1</v>
      </c>
      <c r="E9" s="418" t="str">
        <f>IF(C9=1,(C9*D9)*0,"")</f>
        <v/>
      </c>
      <c r="F9" s="417">
        <v>1</v>
      </c>
      <c r="G9" s="418" t="str">
        <f>IF(C9=1,(C9*F9)*0,"")</f>
        <v/>
      </c>
      <c r="H9" s="419" t="str">
        <f>G9</f>
        <v/>
      </c>
      <c r="I9" s="60"/>
      <c r="J9" s="1100">
        <f>'Interface_Permits &amp; standards'!E70</f>
        <v>0</v>
      </c>
      <c r="K9" s="1100">
        <f>'Interface_Permits &amp; standards'!F70</f>
        <v>0</v>
      </c>
      <c r="L9" s="1100">
        <f>'Interface_Permits &amp; standards'!G70</f>
        <v>0</v>
      </c>
      <c r="AA9" s="1101" t="s">
        <v>601</v>
      </c>
    </row>
    <row r="10" spans="1:27" s="955" customFormat="1" ht="31" x14ac:dyDescent="0.35">
      <c r="A10" s="354">
        <v>1</v>
      </c>
      <c r="B10" s="1103" t="s">
        <v>704</v>
      </c>
      <c r="C10" s="354">
        <f>'Interface_Permits &amp; standards'!C71</f>
        <v>0</v>
      </c>
      <c r="D10" s="417">
        <v>0.25</v>
      </c>
      <c r="E10" s="418" t="str">
        <f>IF(C10=1,(C10*D10)*1,"")</f>
        <v/>
      </c>
      <c r="F10" s="417">
        <v>0.25</v>
      </c>
      <c r="G10" s="418" t="str">
        <f>IF(C10=1,(C10*F10)*1,"")</f>
        <v/>
      </c>
      <c r="H10" s="419" t="str">
        <f>G10</f>
        <v/>
      </c>
      <c r="I10" s="60"/>
      <c r="J10" s="1100">
        <f>'Interface_Permits &amp; standards'!E71</f>
        <v>0</v>
      </c>
      <c r="K10" s="1100">
        <f>'Interface_Permits &amp; standards'!F71</f>
        <v>0</v>
      </c>
      <c r="L10" s="1100">
        <f>'Interface_Permits &amp; standards'!G71</f>
        <v>0</v>
      </c>
      <c r="AA10" s="1101" t="s">
        <v>601</v>
      </c>
    </row>
    <row r="11" spans="1:27" s="955" customFormat="1" ht="31" x14ac:dyDescent="0.35">
      <c r="A11" s="354">
        <v>2</v>
      </c>
      <c r="B11" s="1103" t="s">
        <v>705</v>
      </c>
      <c r="C11" s="354">
        <f>'Interface_Permits &amp; standards'!C72</f>
        <v>0</v>
      </c>
      <c r="D11" s="417">
        <v>1</v>
      </c>
      <c r="E11" s="418" t="str">
        <f>IF(C11=1,(C11*D11)*1,"")</f>
        <v/>
      </c>
      <c r="F11" s="417">
        <v>1</v>
      </c>
      <c r="G11" s="418" t="str">
        <f>IF(C11=1,(C11*F11)*1,"")</f>
        <v/>
      </c>
      <c r="H11" s="419" t="str">
        <f>G11</f>
        <v/>
      </c>
      <c r="I11" s="60"/>
      <c r="J11" s="1100">
        <f>'Interface_Permits &amp; standards'!E72</f>
        <v>0</v>
      </c>
      <c r="K11" s="1100">
        <f>'Interface_Permits &amp; standards'!F72</f>
        <v>0</v>
      </c>
      <c r="L11" s="1100">
        <f>'Interface_Permits &amp; standards'!G72</f>
        <v>0</v>
      </c>
      <c r="AA11" s="1101" t="s">
        <v>601</v>
      </c>
    </row>
    <row r="12" spans="1:27" s="955" customFormat="1" ht="31" x14ac:dyDescent="0.35">
      <c r="A12" s="354">
        <v>3</v>
      </c>
      <c r="B12" s="1103" t="s">
        <v>706</v>
      </c>
      <c r="C12" s="354">
        <f>'Interface_Permits &amp; standards'!C73</f>
        <v>1</v>
      </c>
      <c r="D12" s="417">
        <v>0.5</v>
      </c>
      <c r="E12" s="418">
        <f>IF(C12=1,(C12*D12)*1,"")</f>
        <v>0.5</v>
      </c>
      <c r="F12" s="417">
        <v>0.5</v>
      </c>
      <c r="G12" s="418">
        <f>IF(C12=1,(C12*F12)*1,"")</f>
        <v>0.5</v>
      </c>
      <c r="H12" s="419">
        <f>G12</f>
        <v>0.5</v>
      </c>
      <c r="I12" s="60"/>
      <c r="J12" s="1100">
        <f>'Interface_Permits &amp; standards'!E73</f>
        <v>0</v>
      </c>
      <c r="K12" s="1100">
        <f>'Interface_Permits &amp; standards'!F73</f>
        <v>0</v>
      </c>
      <c r="L12" s="1100">
        <f>'Interface_Permits &amp; standards'!G73</f>
        <v>0</v>
      </c>
      <c r="AA12" s="1101" t="s">
        <v>601</v>
      </c>
    </row>
    <row r="13" spans="1:27" s="955" customFormat="1" ht="31" x14ac:dyDescent="0.35">
      <c r="A13" s="354">
        <v>4</v>
      </c>
      <c r="B13" s="1103" t="s">
        <v>683</v>
      </c>
      <c r="C13" s="354">
        <f>'Interface_Permits &amp; standards'!C74</f>
        <v>0</v>
      </c>
      <c r="D13" s="417">
        <v>0.25</v>
      </c>
      <c r="E13" s="418" t="str">
        <f>IF(C13=1,(C13*D13)*1,"")</f>
        <v/>
      </c>
      <c r="F13" s="417">
        <v>1</v>
      </c>
      <c r="G13" s="418" t="str">
        <f>IF(C13=1,(C13*F13)*1,"")</f>
        <v/>
      </c>
      <c r="H13" s="419" t="str">
        <f>IF(C10=1,E13,G13)</f>
        <v/>
      </c>
      <c r="I13" s="60"/>
      <c r="J13" s="1100">
        <f>'Interface_Permits &amp; standards'!E74</f>
        <v>0</v>
      </c>
      <c r="K13" s="1100">
        <f>'Interface_Permits &amp; standards'!F74</f>
        <v>0</v>
      </c>
      <c r="L13" s="1100">
        <f>'Interface_Permits &amp; standards'!G74</f>
        <v>0</v>
      </c>
      <c r="AA13" s="1101" t="s">
        <v>601</v>
      </c>
    </row>
    <row r="14" spans="1:27" ht="17.149999999999999" customHeight="1" x14ac:dyDescent="0.35">
      <c r="A14" s="47"/>
      <c r="B14" s="3"/>
      <c r="C14" s="55"/>
      <c r="D14" s="4"/>
      <c r="E14" s="4"/>
      <c r="F14" s="4"/>
      <c r="G14" s="4"/>
      <c r="H14" s="47"/>
      <c r="I14" s="3"/>
      <c r="J14" s="3"/>
      <c r="K14" s="3"/>
    </row>
    <row r="15" spans="1:27" ht="17.149999999999999" customHeight="1" x14ac:dyDescent="0.35">
      <c r="A15" s="47"/>
      <c r="B15" s="48" t="s">
        <v>749</v>
      </c>
      <c r="C15" s="1102"/>
      <c r="D15" s="1102"/>
      <c r="E15" s="1104">
        <f>SUM(E9:E13)</f>
        <v>0.5</v>
      </c>
      <c r="F15" s="1102"/>
      <c r="G15" s="1104">
        <f>SUM(G9:G13)</f>
        <v>0.5</v>
      </c>
      <c r="H15" s="1105">
        <f>SUM(H9:H13)</f>
        <v>0.5</v>
      </c>
      <c r="I15" s="3"/>
      <c r="J15" s="3"/>
      <c r="K15" s="3"/>
    </row>
    <row r="16" spans="1:27" ht="17.149999999999999" customHeight="1" x14ac:dyDescent="0.35">
      <c r="A16" s="47"/>
      <c r="B16" s="47"/>
      <c r="C16" s="4"/>
      <c r="D16" s="4"/>
      <c r="E16" s="4"/>
      <c r="F16" s="4"/>
      <c r="G16" s="4"/>
      <c r="H16" s="47"/>
      <c r="I16" s="3"/>
      <c r="J16" s="3"/>
      <c r="K16" s="3"/>
    </row>
    <row r="17" spans="1:27" ht="17.149999999999999" customHeight="1" x14ac:dyDescent="0.35">
      <c r="A17" s="47"/>
      <c r="B17" s="48" t="s">
        <v>750</v>
      </c>
      <c r="C17" s="1102"/>
      <c r="D17" s="1102"/>
      <c r="E17" s="1102"/>
      <c r="F17" s="1102"/>
      <c r="G17" s="1104"/>
      <c r="H17" s="1105">
        <f>SUM(F11:F13)</f>
        <v>2.5</v>
      </c>
      <c r="I17" s="3"/>
      <c r="J17" s="3"/>
      <c r="K17" s="3"/>
    </row>
    <row r="18" spans="1:27" ht="17.149999999999999" customHeight="1" x14ac:dyDescent="0.35">
      <c r="A18" s="47"/>
      <c r="B18" s="47"/>
      <c r="C18" s="4"/>
      <c r="D18" s="4"/>
      <c r="E18" s="4"/>
      <c r="F18" s="4"/>
      <c r="G18" s="4"/>
      <c r="H18" s="47"/>
      <c r="I18" s="3"/>
      <c r="J18" s="3"/>
      <c r="K18" s="3"/>
    </row>
    <row r="19" spans="1:27" s="12" customFormat="1" ht="17.149999999999999" customHeight="1" x14ac:dyDescent="0.35">
      <c r="A19" s="11"/>
      <c r="B19" s="23" t="s">
        <v>751</v>
      </c>
      <c r="C19" s="963">
        <f>SUM(C9:C13)</f>
        <v>1</v>
      </c>
      <c r="D19" s="963"/>
      <c r="E19" s="963"/>
      <c r="F19" s="963"/>
      <c r="G19" s="963"/>
      <c r="H19" s="352">
        <f>IF(C8=1,"",IF(C9=1,0,H15/H17))</f>
        <v>0.2</v>
      </c>
    </row>
    <row r="20" spans="1:27" ht="17.149999999999999" customHeight="1" x14ac:dyDescent="0.35">
      <c r="A20" s="47"/>
      <c r="B20" s="8"/>
      <c r="C20" s="114"/>
      <c r="D20" s="5"/>
      <c r="E20" s="5"/>
      <c r="F20" s="5"/>
      <c r="G20" s="5"/>
      <c r="H20" s="9"/>
      <c r="I20" s="3"/>
      <c r="J20" s="3"/>
      <c r="K20" s="3"/>
    </row>
    <row r="21" spans="1:27" ht="17.149999999999999" customHeight="1" x14ac:dyDescent="0.35">
      <c r="A21" s="47"/>
      <c r="B21" s="8"/>
      <c r="C21" s="114"/>
      <c r="D21" s="5"/>
      <c r="E21" s="5"/>
      <c r="F21" s="5"/>
      <c r="G21" s="5"/>
      <c r="H21" s="9"/>
      <c r="I21" s="3"/>
      <c r="J21" s="3"/>
      <c r="K21" s="3"/>
    </row>
    <row r="22" spans="1:27" ht="17.149999999999999" customHeight="1" x14ac:dyDescent="0.35">
      <c r="A22" s="47"/>
      <c r="B22" s="8"/>
      <c r="C22" s="114"/>
      <c r="D22" s="5"/>
      <c r="E22" s="5"/>
      <c r="F22" s="5"/>
      <c r="G22" s="5"/>
      <c r="H22" s="9"/>
      <c r="I22" s="3"/>
      <c r="J22" s="3"/>
      <c r="K22" s="3"/>
    </row>
    <row r="23" spans="1:27" ht="17.149999999999999" customHeight="1" x14ac:dyDescent="0.35">
      <c r="A23" s="2" t="s">
        <v>781</v>
      </c>
      <c r="B23" s="3"/>
      <c r="C23" s="55"/>
      <c r="D23" s="4"/>
      <c r="E23" s="4"/>
      <c r="F23" s="4"/>
      <c r="G23" s="4"/>
      <c r="H23" s="47"/>
      <c r="I23" s="3"/>
      <c r="J23" s="11" t="s">
        <v>521</v>
      </c>
      <c r="K23" s="3"/>
    </row>
    <row r="24" spans="1:27" s="11" customFormat="1" ht="28" customHeight="1" x14ac:dyDescent="0.35">
      <c r="A24" s="1093" t="s">
        <v>743</v>
      </c>
      <c r="B24" s="1093" t="s">
        <v>373</v>
      </c>
      <c r="C24" s="1094" t="s">
        <v>744</v>
      </c>
      <c r="D24" s="1503" t="s">
        <v>745</v>
      </c>
      <c r="E24" s="1503" t="s">
        <v>746</v>
      </c>
      <c r="F24" s="1511" t="s">
        <v>747</v>
      </c>
      <c r="G24" s="1511" t="s">
        <v>746</v>
      </c>
      <c r="H24" s="1511" t="s">
        <v>748</v>
      </c>
      <c r="J24" s="950" t="s">
        <v>677</v>
      </c>
      <c r="K24" s="959" t="s">
        <v>678</v>
      </c>
      <c r="L24" s="1511" t="s">
        <v>599</v>
      </c>
    </row>
    <row r="25" spans="1:27" s="117" customFormat="1" ht="31" x14ac:dyDescent="0.35">
      <c r="A25" s="354"/>
      <c r="B25" s="357" t="s">
        <v>767</v>
      </c>
      <c r="C25" s="354">
        <f>'Interface_Permits &amp; standards'!C79</f>
        <v>0</v>
      </c>
      <c r="D25" s="171"/>
      <c r="E25" s="171"/>
      <c r="F25" s="356"/>
      <c r="G25" s="356"/>
      <c r="H25" s="356"/>
      <c r="J25" s="1135" t="s">
        <v>708</v>
      </c>
      <c r="K25" s="168"/>
      <c r="L25" s="168"/>
      <c r="AA25" s="1101" t="s">
        <v>601</v>
      </c>
    </row>
    <row r="26" spans="1:27" s="955" customFormat="1" ht="31" x14ac:dyDescent="0.35">
      <c r="A26" s="354">
        <v>0</v>
      </c>
      <c r="B26" s="1103" t="s">
        <v>722</v>
      </c>
      <c r="C26" s="354">
        <f>'Interface_Permits &amp; standards'!C80</f>
        <v>0</v>
      </c>
      <c r="D26" s="417">
        <v>1</v>
      </c>
      <c r="E26" s="418" t="str">
        <f>IF(C26=1,(C26*D26)*0,"")</f>
        <v/>
      </c>
      <c r="F26" s="417">
        <v>1</v>
      </c>
      <c r="G26" s="418" t="str">
        <f>IF(C26=1,(C26*F26)*0,"")</f>
        <v/>
      </c>
      <c r="H26" s="419" t="str">
        <f>G26</f>
        <v/>
      </c>
      <c r="I26" s="60"/>
      <c r="J26" s="1100">
        <f>'Interface_Permits &amp; standards'!E80</f>
        <v>0</v>
      </c>
      <c r="K26" s="1100">
        <f>'Interface_Permits &amp; standards'!F80</f>
        <v>0</v>
      </c>
      <c r="L26" s="1100">
        <f>'Interface_Permits &amp; standards'!G80</f>
        <v>0</v>
      </c>
      <c r="AA26" s="1101" t="s">
        <v>601</v>
      </c>
    </row>
    <row r="27" spans="1:27" s="955" customFormat="1" ht="31" x14ac:dyDescent="0.35">
      <c r="A27" s="354">
        <v>1</v>
      </c>
      <c r="B27" s="1103" t="s">
        <v>723</v>
      </c>
      <c r="C27" s="354">
        <f>'Interface_Permits &amp; standards'!C81</f>
        <v>0</v>
      </c>
      <c r="D27" s="417">
        <v>0.25</v>
      </c>
      <c r="E27" s="418" t="str">
        <f>IF(C27=1,(C27*D27)*1,"")</f>
        <v/>
      </c>
      <c r="F27" s="417">
        <v>0.25</v>
      </c>
      <c r="G27" s="418" t="str">
        <f>IF(C27=1,(C27*F27)*1,"")</f>
        <v/>
      </c>
      <c r="H27" s="419" t="str">
        <f>G27</f>
        <v/>
      </c>
      <c r="I27" s="60"/>
      <c r="J27" s="1100">
        <f>'Interface_Permits &amp; standards'!E81</f>
        <v>0</v>
      </c>
      <c r="K27" s="1100">
        <f>'Interface_Permits &amp; standards'!F81</f>
        <v>0</v>
      </c>
      <c r="L27" s="1100">
        <f>'Interface_Permits &amp; standards'!G81</f>
        <v>0</v>
      </c>
      <c r="AA27" s="1101" t="s">
        <v>601</v>
      </c>
    </row>
    <row r="28" spans="1:27" s="955" customFormat="1" ht="31" x14ac:dyDescent="0.35">
      <c r="A28" s="354">
        <v>2</v>
      </c>
      <c r="B28" s="1103" t="s">
        <v>705</v>
      </c>
      <c r="C28" s="354">
        <f>'Interface_Permits &amp; standards'!C82</f>
        <v>0</v>
      </c>
      <c r="D28" s="417">
        <v>1</v>
      </c>
      <c r="E28" s="418" t="str">
        <f>IF(C28=1,(C28*D28)*1,"")</f>
        <v/>
      </c>
      <c r="F28" s="417">
        <v>1</v>
      </c>
      <c r="G28" s="418" t="str">
        <f>IF(C28=1,(C28*F28)*1,"")</f>
        <v/>
      </c>
      <c r="H28" s="419" t="str">
        <f>G28</f>
        <v/>
      </c>
      <c r="I28" s="60"/>
      <c r="J28" s="1100">
        <f>'Interface_Permits &amp; standards'!E82</f>
        <v>0</v>
      </c>
      <c r="K28" s="1100">
        <f>'Interface_Permits &amp; standards'!F82</f>
        <v>0</v>
      </c>
      <c r="L28" s="1100">
        <f>'Interface_Permits &amp; standards'!G82</f>
        <v>0</v>
      </c>
      <c r="AA28" s="1101" t="s">
        <v>601</v>
      </c>
    </row>
    <row r="29" spans="1:27" s="955" customFormat="1" ht="31" x14ac:dyDescent="0.35">
      <c r="A29" s="354">
        <v>3</v>
      </c>
      <c r="B29" s="1103" t="s">
        <v>706</v>
      </c>
      <c r="C29" s="354">
        <f>'Interface_Permits &amp; standards'!C83</f>
        <v>0</v>
      </c>
      <c r="D29" s="417">
        <v>0.5</v>
      </c>
      <c r="E29" s="418" t="str">
        <f>IF(C29=1,(C29*D29)*1,"")</f>
        <v/>
      </c>
      <c r="F29" s="417">
        <v>0.5</v>
      </c>
      <c r="G29" s="418" t="str">
        <f>IF(C29=1,(C29*F29)*1,"")</f>
        <v/>
      </c>
      <c r="H29" s="419" t="str">
        <f>G29</f>
        <v/>
      </c>
      <c r="I29" s="60"/>
      <c r="J29" s="1100">
        <f>'Interface_Permits &amp; standards'!E83</f>
        <v>0</v>
      </c>
      <c r="K29" s="1100">
        <f>'Interface_Permits &amp; standards'!F83</f>
        <v>0</v>
      </c>
      <c r="L29" s="1100">
        <f>'Interface_Permits &amp; standards'!G83</f>
        <v>0</v>
      </c>
      <c r="AA29" s="1101" t="s">
        <v>601</v>
      </c>
    </row>
    <row r="30" spans="1:27" s="955" customFormat="1" ht="31" x14ac:dyDescent="0.35">
      <c r="A30" s="354">
        <v>4</v>
      </c>
      <c r="B30" s="1103" t="s">
        <v>683</v>
      </c>
      <c r="C30" s="354">
        <f>'Interface_Permits &amp; standards'!C84</f>
        <v>0</v>
      </c>
      <c r="D30" s="417">
        <v>0.25</v>
      </c>
      <c r="E30" s="418" t="str">
        <f>IF(C30=1,(C30*D30)*1,"")</f>
        <v/>
      </c>
      <c r="F30" s="417">
        <v>1</v>
      </c>
      <c r="G30" s="418" t="str">
        <f>IF(C30=1,(C30*F30)*1,"")</f>
        <v/>
      </c>
      <c r="H30" s="419" t="str">
        <f>IF(C27=1,E30,G30)</f>
        <v/>
      </c>
      <c r="I30" s="60"/>
      <c r="J30" s="1100">
        <f>'Interface_Permits &amp; standards'!E84</f>
        <v>0</v>
      </c>
      <c r="K30" s="1100">
        <f>'Interface_Permits &amp; standards'!F84</f>
        <v>0</v>
      </c>
      <c r="L30" s="1100">
        <f>'Interface_Permits &amp; standards'!G84</f>
        <v>0</v>
      </c>
      <c r="AA30" s="1101" t="s">
        <v>601</v>
      </c>
    </row>
    <row r="31" spans="1:27" ht="17.149999999999999" customHeight="1" x14ac:dyDescent="0.35">
      <c r="A31" s="47"/>
      <c r="B31" s="3"/>
      <c r="C31" s="55"/>
      <c r="D31" s="4"/>
      <c r="E31" s="4"/>
      <c r="F31" s="4"/>
      <c r="G31" s="4"/>
      <c r="H31" s="47"/>
      <c r="I31" s="3"/>
      <c r="J31" s="3"/>
      <c r="K31" s="3"/>
    </row>
    <row r="32" spans="1:27" ht="17.149999999999999" customHeight="1" x14ac:dyDescent="0.35">
      <c r="A32" s="47"/>
      <c r="B32" s="48" t="s">
        <v>749</v>
      </c>
      <c r="C32" s="1102"/>
      <c r="D32" s="1102"/>
      <c r="E32" s="1104">
        <f>SUM(E26:E30)</f>
        <v>0</v>
      </c>
      <c r="F32" s="1102"/>
      <c r="G32" s="1104">
        <f>SUM(G26:G30)</f>
        <v>0</v>
      </c>
      <c r="H32" s="1105">
        <f>SUM(H26:H30)</f>
        <v>0</v>
      </c>
      <c r="I32" s="3"/>
      <c r="J32" s="3"/>
      <c r="K32" s="3"/>
    </row>
    <row r="33" spans="1:27" ht="17.149999999999999" customHeight="1" x14ac:dyDescent="0.35">
      <c r="A33" s="47"/>
      <c r="B33" s="47"/>
      <c r="C33" s="4"/>
      <c r="D33" s="4"/>
      <c r="E33" s="4"/>
      <c r="F33" s="4"/>
      <c r="G33" s="4"/>
      <c r="H33" s="47"/>
      <c r="I33" s="3"/>
      <c r="J33" s="3"/>
      <c r="K33" s="3"/>
    </row>
    <row r="34" spans="1:27" ht="17.149999999999999" customHeight="1" x14ac:dyDescent="0.35">
      <c r="A34" s="47"/>
      <c r="B34" s="48" t="s">
        <v>750</v>
      </c>
      <c r="C34" s="1102"/>
      <c r="D34" s="1102"/>
      <c r="E34" s="1102"/>
      <c r="F34" s="1102"/>
      <c r="G34" s="1104"/>
      <c r="H34" s="1105">
        <f>SUM(F28:F30)</f>
        <v>2.5</v>
      </c>
      <c r="I34" s="3"/>
      <c r="J34" s="3"/>
      <c r="K34" s="3"/>
    </row>
    <row r="35" spans="1:27" ht="17.149999999999999" customHeight="1" x14ac:dyDescent="0.35">
      <c r="A35" s="47"/>
      <c r="B35" s="47"/>
      <c r="C35" s="4"/>
      <c r="D35" s="4"/>
      <c r="E35" s="4"/>
      <c r="F35" s="4"/>
      <c r="G35" s="4"/>
      <c r="H35" s="47"/>
      <c r="I35" s="3"/>
      <c r="J35" s="3"/>
      <c r="K35" s="3"/>
    </row>
    <row r="36" spans="1:27" s="12" customFormat="1" ht="17.149999999999999" customHeight="1" x14ac:dyDescent="0.35">
      <c r="A36" s="11"/>
      <c r="B36" s="23" t="s">
        <v>751</v>
      </c>
      <c r="C36" s="963">
        <f>SUM(C26:C30)</f>
        <v>0</v>
      </c>
      <c r="D36" s="963"/>
      <c r="E36" s="963"/>
      <c r="F36" s="963"/>
      <c r="G36" s="963"/>
      <c r="H36" s="352">
        <f>IF(C25=1,"",IF(C26=1,0,H32/H34))</f>
        <v>0</v>
      </c>
    </row>
    <row r="37" spans="1:27" ht="17.149999999999999" customHeight="1" x14ac:dyDescent="0.35">
      <c r="A37" s="47"/>
      <c r="B37" s="8"/>
      <c r="C37" s="114"/>
      <c r="D37" s="5"/>
      <c r="E37" s="5"/>
      <c r="F37" s="5"/>
      <c r="G37" s="5"/>
      <c r="H37" s="9"/>
      <c r="I37" s="3"/>
      <c r="J37" s="3"/>
      <c r="K37" s="3"/>
    </row>
    <row r="38" spans="1:27" ht="17.149999999999999" customHeight="1" x14ac:dyDescent="0.35">
      <c r="A38" s="47"/>
      <c r="B38" s="8"/>
      <c r="C38" s="114"/>
      <c r="D38" s="5"/>
      <c r="E38" s="5"/>
      <c r="F38" s="5"/>
      <c r="G38" s="5"/>
      <c r="H38" s="9"/>
      <c r="I38" s="3"/>
      <c r="J38" s="3"/>
      <c r="K38" s="3"/>
    </row>
    <row r="39" spans="1:27" ht="17.149999999999999" customHeight="1" x14ac:dyDescent="0.35">
      <c r="A39" s="11" t="s">
        <v>761</v>
      </c>
      <c r="J39" s="11" t="s">
        <v>521</v>
      </c>
    </row>
    <row r="40" spans="1:27" s="11" customFormat="1" ht="28" customHeight="1" x14ac:dyDescent="0.35">
      <c r="A40" s="1093" t="s">
        <v>743</v>
      </c>
      <c r="B40" s="1093" t="s">
        <v>373</v>
      </c>
      <c r="C40" s="1094" t="s">
        <v>744</v>
      </c>
      <c r="D40" s="1136"/>
      <c r="E40" s="1136"/>
      <c r="F40" s="1511" t="s">
        <v>747</v>
      </c>
      <c r="G40" s="1511" t="s">
        <v>746</v>
      </c>
      <c r="H40" s="1511" t="s">
        <v>748</v>
      </c>
      <c r="J40" s="950" t="s">
        <v>685</v>
      </c>
      <c r="K40" s="950" t="s">
        <v>712</v>
      </c>
      <c r="L40" s="1511" t="s">
        <v>599</v>
      </c>
    </row>
    <row r="41" spans="1:27" s="955" customFormat="1" ht="31" x14ac:dyDescent="0.35">
      <c r="A41" s="354">
        <v>0</v>
      </c>
      <c r="B41" s="1100" t="s">
        <v>713</v>
      </c>
      <c r="C41" s="354">
        <f>'Interface_Permits &amp; standards'!C89</f>
        <v>0</v>
      </c>
      <c r="D41" s="1137"/>
      <c r="E41" s="1137"/>
      <c r="F41" s="417"/>
      <c r="G41" s="418"/>
      <c r="H41" s="418"/>
      <c r="J41" s="1100">
        <f>'Interface_Permits &amp; standards'!E89</f>
        <v>0</v>
      </c>
      <c r="K41" s="1100">
        <f>'Interface_Permits &amp; standards'!F89</f>
        <v>0</v>
      </c>
      <c r="L41" s="1100">
        <f>'Interface_Permits &amp; standards'!G89</f>
        <v>0</v>
      </c>
      <c r="AA41" s="1101" t="s">
        <v>601</v>
      </c>
    </row>
    <row r="42" spans="1:27" s="955" customFormat="1" ht="31" x14ac:dyDescent="0.35">
      <c r="A42" s="354">
        <v>1</v>
      </c>
      <c r="B42" s="953" t="s">
        <v>687</v>
      </c>
      <c r="C42" s="354">
        <f>'Interface_Permits &amp; standards'!C90</f>
        <v>1</v>
      </c>
      <c r="D42" s="1137"/>
      <c r="E42" s="1137"/>
      <c r="F42" s="417">
        <v>1</v>
      </c>
      <c r="G42" s="418">
        <f>IF(C42=1,(C42*F42)*1,"")</f>
        <v>1</v>
      </c>
      <c r="H42" s="418">
        <f>G42</f>
        <v>1</v>
      </c>
      <c r="J42" s="1100">
        <f>'Interface_Permits &amp; standards'!E90</f>
        <v>0</v>
      </c>
      <c r="K42" s="1100">
        <f>'Interface_Permits &amp; standards'!F90</f>
        <v>0</v>
      </c>
      <c r="L42" s="1100">
        <f>'Interface_Permits &amp; standards'!G90</f>
        <v>0</v>
      </c>
      <c r="AA42" s="1101" t="s">
        <v>601</v>
      </c>
    </row>
    <row r="43" spans="1:27" s="955" customFormat="1" ht="31" x14ac:dyDescent="0.35">
      <c r="A43" s="354">
        <v>2</v>
      </c>
      <c r="B43" s="1100" t="s">
        <v>688</v>
      </c>
      <c r="C43" s="354">
        <f>'Interface_Permits &amp; standards'!C91</f>
        <v>1</v>
      </c>
      <c r="D43" s="1137"/>
      <c r="E43" s="1137"/>
      <c r="F43" s="417">
        <v>1</v>
      </c>
      <c r="G43" s="418">
        <f>IF(C43=1,(C43*F43)*1,"")</f>
        <v>1</v>
      </c>
      <c r="H43" s="418">
        <f>G43</f>
        <v>1</v>
      </c>
      <c r="J43" s="1100">
        <f>'Interface_Permits &amp; standards'!E91</f>
        <v>0</v>
      </c>
      <c r="K43" s="1100">
        <f>'Interface_Permits &amp; standards'!F91</f>
        <v>0</v>
      </c>
      <c r="L43" s="1100">
        <f>'Interface_Permits &amp; standards'!G91</f>
        <v>0</v>
      </c>
      <c r="AA43" s="1101" t="s">
        <v>601</v>
      </c>
    </row>
    <row r="44" spans="1:27" s="955" customFormat="1" ht="31" x14ac:dyDescent="0.35">
      <c r="A44" s="354">
        <v>3</v>
      </c>
      <c r="B44" s="953" t="s">
        <v>689</v>
      </c>
      <c r="C44" s="354">
        <f>'Interface_Permits &amp; standards'!C92</f>
        <v>0</v>
      </c>
      <c r="D44" s="1137"/>
      <c r="E44" s="1137"/>
      <c r="F44" s="417">
        <v>1</v>
      </c>
      <c r="G44" s="418" t="str">
        <f>IF(C44=1,(C44*F44)*1,"")</f>
        <v/>
      </c>
      <c r="H44" s="418" t="str">
        <f>G44</f>
        <v/>
      </c>
      <c r="J44" s="1100">
        <f>'Interface_Permits &amp; standards'!E92</f>
        <v>0</v>
      </c>
      <c r="K44" s="1100">
        <f>'Interface_Permits &amp; standards'!F92</f>
        <v>0</v>
      </c>
      <c r="L44" s="1100">
        <f>'Interface_Permits &amp; standards'!G92</f>
        <v>0</v>
      </c>
      <c r="AA44" s="1101" t="s">
        <v>601</v>
      </c>
    </row>
    <row r="45" spans="1:27" ht="17.149999999999999" customHeight="1" x14ac:dyDescent="0.35">
      <c r="A45" s="47"/>
      <c r="B45" s="3"/>
      <c r="C45" s="55"/>
      <c r="F45" s="4"/>
      <c r="G45" s="4"/>
      <c r="H45" s="3"/>
      <c r="I45" s="3"/>
    </row>
    <row r="46" spans="1:27" ht="17.149999999999999" customHeight="1" x14ac:dyDescent="0.35">
      <c r="A46" s="47"/>
      <c r="B46" s="48" t="s">
        <v>749</v>
      </c>
      <c r="C46" s="1102"/>
      <c r="D46" s="1102"/>
      <c r="E46" s="1104"/>
      <c r="F46" s="1102"/>
      <c r="G46" s="1104">
        <f>SUM(G42:G44)</f>
        <v>2</v>
      </c>
      <c r="H46" s="1105">
        <f>SUM(H42:H44)</f>
        <v>2</v>
      </c>
      <c r="I46" s="3"/>
    </row>
    <row r="47" spans="1:27" ht="17.149999999999999" customHeight="1" x14ac:dyDescent="0.35">
      <c r="A47" s="47"/>
      <c r="B47" s="47"/>
      <c r="C47" s="4"/>
      <c r="D47" s="4"/>
      <c r="E47" s="4"/>
      <c r="F47" s="4"/>
      <c r="G47" s="4"/>
      <c r="H47" s="47"/>
      <c r="I47" s="3"/>
    </row>
    <row r="48" spans="1:27" ht="17.149999999999999" customHeight="1" x14ac:dyDescent="0.35">
      <c r="A48" s="47"/>
      <c r="B48" s="48" t="s">
        <v>750</v>
      </c>
      <c r="C48" s="1102"/>
      <c r="D48" s="1102"/>
      <c r="E48" s="1102"/>
      <c r="F48" s="1102"/>
      <c r="G48" s="1104"/>
      <c r="H48" s="1105">
        <f>SUM(F42:F44)</f>
        <v>3</v>
      </c>
      <c r="I48" s="3"/>
    </row>
    <row r="49" spans="1:27" ht="17.149999999999999" customHeight="1" x14ac:dyDescent="0.35">
      <c r="A49" s="47"/>
      <c r="B49" s="47"/>
      <c r="C49" s="4"/>
      <c r="D49" s="4"/>
      <c r="E49" s="4"/>
      <c r="F49" s="4"/>
      <c r="G49" s="4"/>
      <c r="H49" s="47"/>
      <c r="I49" s="3"/>
    </row>
    <row r="50" spans="1:27" s="12" customFormat="1" ht="17.149999999999999" customHeight="1" x14ac:dyDescent="0.35">
      <c r="A50" s="11"/>
      <c r="B50" s="23" t="s">
        <v>751</v>
      </c>
      <c r="C50" s="963">
        <f>SUM(C42:C44)</f>
        <v>2</v>
      </c>
      <c r="D50" s="963"/>
      <c r="E50" s="963"/>
      <c r="F50" s="963"/>
      <c r="G50" s="963"/>
      <c r="H50" s="352">
        <f>IF(A41=1,0,H46/H48)</f>
        <v>0.66666666666666663</v>
      </c>
    </row>
    <row r="51" spans="1:27" ht="17.149999999999999" customHeight="1" x14ac:dyDescent="0.35"/>
    <row r="52" spans="1:27" ht="17.149999999999999" customHeight="1" x14ac:dyDescent="0.35"/>
    <row r="53" spans="1:27" ht="17.149999999999999" customHeight="1" x14ac:dyDescent="0.35">
      <c r="A53" s="47"/>
      <c r="B53" s="3"/>
      <c r="C53" s="55"/>
      <c r="D53" s="4"/>
      <c r="E53" s="4"/>
      <c r="F53" s="4"/>
      <c r="G53" s="4"/>
      <c r="H53" s="47"/>
    </row>
    <row r="54" spans="1:27" ht="17.149999999999999" customHeight="1" x14ac:dyDescent="0.35">
      <c r="A54" s="2" t="s">
        <v>782</v>
      </c>
      <c r="B54" s="8"/>
      <c r="C54" s="114"/>
      <c r="D54" s="5"/>
      <c r="E54" s="5"/>
      <c r="F54" s="46"/>
      <c r="G54" s="3"/>
      <c r="H54" s="47"/>
    </row>
    <row r="55" spans="1:27" s="11" customFormat="1" ht="28" customHeight="1" x14ac:dyDescent="0.35">
      <c r="A55" s="1503" t="s">
        <v>743</v>
      </c>
      <c r="B55" s="1093" t="s">
        <v>373</v>
      </c>
      <c r="C55" s="1096" t="s">
        <v>744</v>
      </c>
      <c r="D55" s="1503" t="s">
        <v>745</v>
      </c>
      <c r="E55" s="1503" t="s">
        <v>746</v>
      </c>
      <c r="F55" s="1511" t="s">
        <v>747</v>
      </c>
      <c r="G55" s="1511" t="s">
        <v>746</v>
      </c>
      <c r="H55" s="1511" t="s">
        <v>748</v>
      </c>
      <c r="J55" s="1117" t="s">
        <v>521</v>
      </c>
      <c r="K55" s="1118"/>
      <c r="L55" s="1119"/>
      <c r="M55" s="1504" t="s">
        <v>656</v>
      </c>
      <c r="N55" s="1504" t="s">
        <v>645</v>
      </c>
    </row>
    <row r="56" spans="1:27" s="61" customFormat="1" ht="31" x14ac:dyDescent="0.35">
      <c r="A56" s="400"/>
      <c r="B56" s="171" t="s">
        <v>754</v>
      </c>
      <c r="C56" s="354">
        <f>Interface_Budgets!C113</f>
        <v>1</v>
      </c>
      <c r="D56" s="400"/>
      <c r="E56" s="400"/>
      <c r="F56" s="355"/>
      <c r="G56" s="355"/>
      <c r="H56" s="355"/>
      <c r="J56" s="1120">
        <f>Interface_Budgets!E113</f>
        <v>0</v>
      </c>
      <c r="K56" s="1121"/>
      <c r="L56" s="1122"/>
      <c r="M56" s="1520">
        <f>Interface_Budgets!H113</f>
        <v>0</v>
      </c>
      <c r="N56" s="1521">
        <f>Interface_Budgets!I113</f>
        <v>0</v>
      </c>
      <c r="AA56" s="1101" t="s">
        <v>601</v>
      </c>
    </row>
    <row r="57" spans="1:27" s="955" customFormat="1" ht="31" x14ac:dyDescent="0.35">
      <c r="A57" s="354">
        <v>0</v>
      </c>
      <c r="B57" s="1100" t="s">
        <v>661</v>
      </c>
      <c r="C57" s="354">
        <f>Interface_Budgets!C114</f>
        <v>0</v>
      </c>
      <c r="D57" s="417">
        <v>1</v>
      </c>
      <c r="E57" s="418" t="str">
        <f t="shared" ref="E57:E63" si="0">IF(C57=1,(C57*D57)*1,"")</f>
        <v/>
      </c>
      <c r="F57" s="417">
        <v>1</v>
      </c>
      <c r="G57" s="418" t="str">
        <f>IF(C57=1,(C57*F57),"")</f>
        <v/>
      </c>
      <c r="H57" s="419" t="str">
        <f t="shared" ref="H57:H63" si="1">G57</f>
        <v/>
      </c>
      <c r="J57" s="1120">
        <f>Interface_Budgets!E114</f>
        <v>0</v>
      </c>
      <c r="K57" s="1121"/>
      <c r="L57" s="1122"/>
      <c r="M57" s="1520">
        <f>Interface_Budgets!H114</f>
        <v>0</v>
      </c>
      <c r="N57" s="1521">
        <f>Interface_Budgets!I114</f>
        <v>0</v>
      </c>
      <c r="AA57" s="1101" t="s">
        <v>601</v>
      </c>
    </row>
    <row r="58" spans="1:27" s="955" customFormat="1" ht="31" x14ac:dyDescent="0.35">
      <c r="A58" s="354">
        <v>1</v>
      </c>
      <c r="B58" s="1100" t="s">
        <v>649</v>
      </c>
      <c r="C58" s="354">
        <f>Interface_Budgets!C115</f>
        <v>0</v>
      </c>
      <c r="D58" s="417">
        <v>1</v>
      </c>
      <c r="E58" s="418" t="str">
        <f t="shared" si="0"/>
        <v/>
      </c>
      <c r="F58" s="417">
        <v>1</v>
      </c>
      <c r="G58" s="418" t="str">
        <f t="shared" ref="G58:G63" si="2">IF(C58=1,(C58*F58)*1,"")</f>
        <v/>
      </c>
      <c r="H58" s="419" t="str">
        <f t="shared" si="1"/>
        <v/>
      </c>
      <c r="J58" s="1120">
        <f>Interface_Budgets!E115</f>
        <v>0</v>
      </c>
      <c r="K58" s="1121"/>
      <c r="L58" s="1122"/>
      <c r="M58" s="1520">
        <f>Interface_Budgets!H115</f>
        <v>0</v>
      </c>
      <c r="N58" s="1521">
        <f>Interface_Budgets!I115</f>
        <v>0</v>
      </c>
      <c r="AA58" s="1101" t="s">
        <v>601</v>
      </c>
    </row>
    <row r="59" spans="1:27" s="955" customFormat="1" ht="31" x14ac:dyDescent="0.35">
      <c r="A59" s="354">
        <v>2</v>
      </c>
      <c r="B59" s="1100" t="s">
        <v>658</v>
      </c>
      <c r="C59" s="354">
        <f>Interface_Budgets!C116</f>
        <v>0</v>
      </c>
      <c r="D59" s="417">
        <v>1</v>
      </c>
      <c r="E59" s="418" t="str">
        <f t="shared" si="0"/>
        <v/>
      </c>
      <c r="F59" s="417">
        <v>1</v>
      </c>
      <c r="G59" s="418" t="str">
        <f t="shared" si="2"/>
        <v/>
      </c>
      <c r="H59" s="419" t="str">
        <f t="shared" si="1"/>
        <v/>
      </c>
      <c r="J59" s="1120">
        <f>Interface_Budgets!E116</f>
        <v>0</v>
      </c>
      <c r="K59" s="1121"/>
      <c r="L59" s="1122"/>
      <c r="M59" s="1520">
        <f>Interface_Budgets!H116</f>
        <v>0</v>
      </c>
      <c r="N59" s="1521">
        <f>Interface_Budgets!I116</f>
        <v>0</v>
      </c>
      <c r="AA59" s="1101" t="s">
        <v>601</v>
      </c>
    </row>
    <row r="60" spans="1:27" s="955" customFormat="1" ht="31" x14ac:dyDescent="0.35">
      <c r="A60" s="354">
        <v>3</v>
      </c>
      <c r="B60" s="1106" t="s">
        <v>651</v>
      </c>
      <c r="C60" s="354">
        <f>Interface_Budgets!C117</f>
        <v>0</v>
      </c>
      <c r="D60" s="417">
        <v>1</v>
      </c>
      <c r="E60" s="418" t="str">
        <f t="shared" si="0"/>
        <v/>
      </c>
      <c r="F60" s="417">
        <v>1</v>
      </c>
      <c r="G60" s="418" t="str">
        <f t="shared" si="2"/>
        <v/>
      </c>
      <c r="H60" s="419" t="str">
        <f t="shared" si="1"/>
        <v/>
      </c>
      <c r="J60" s="1120">
        <f>Interface_Budgets!E117</f>
        <v>0</v>
      </c>
      <c r="K60" s="1121"/>
      <c r="L60" s="1122"/>
      <c r="M60" s="1520">
        <f>Interface_Budgets!H117</f>
        <v>0</v>
      </c>
      <c r="N60" s="1521">
        <f>Interface_Budgets!I117</f>
        <v>0</v>
      </c>
      <c r="AA60" s="1101" t="s">
        <v>601</v>
      </c>
    </row>
    <row r="61" spans="1:27" s="955" customFormat="1" ht="31" x14ac:dyDescent="0.35">
      <c r="A61" s="354">
        <v>4</v>
      </c>
      <c r="B61" s="1100" t="s">
        <v>652</v>
      </c>
      <c r="C61" s="354">
        <f>Interface_Budgets!C118</f>
        <v>0</v>
      </c>
      <c r="D61" s="417">
        <v>1</v>
      </c>
      <c r="E61" s="418" t="str">
        <f t="shared" si="0"/>
        <v/>
      </c>
      <c r="F61" s="417">
        <v>1</v>
      </c>
      <c r="G61" s="418" t="str">
        <f t="shared" si="2"/>
        <v/>
      </c>
      <c r="H61" s="419" t="str">
        <f t="shared" si="1"/>
        <v/>
      </c>
      <c r="J61" s="1120">
        <f>Interface_Budgets!E118</f>
        <v>0</v>
      </c>
      <c r="K61" s="1121"/>
      <c r="L61" s="1122"/>
      <c r="M61" s="1520">
        <f>Interface_Budgets!H118</f>
        <v>0</v>
      </c>
      <c r="N61" s="1521">
        <f>Interface_Budgets!I118</f>
        <v>0</v>
      </c>
      <c r="AA61" s="1101" t="s">
        <v>601</v>
      </c>
    </row>
    <row r="62" spans="1:27" s="955" customFormat="1" ht="31" x14ac:dyDescent="0.35">
      <c r="A62" s="354">
        <v>5</v>
      </c>
      <c r="B62" s="1100" t="s">
        <v>653</v>
      </c>
      <c r="C62" s="354">
        <f>Interface_Budgets!C119</f>
        <v>0</v>
      </c>
      <c r="D62" s="417">
        <v>1</v>
      </c>
      <c r="E62" s="418" t="str">
        <f t="shared" si="0"/>
        <v/>
      </c>
      <c r="F62" s="417">
        <v>1</v>
      </c>
      <c r="G62" s="418" t="str">
        <f t="shared" si="2"/>
        <v/>
      </c>
      <c r="H62" s="419" t="str">
        <f t="shared" si="1"/>
        <v/>
      </c>
      <c r="J62" s="1120">
        <f>Interface_Budgets!E119</f>
        <v>0</v>
      </c>
      <c r="K62" s="1121"/>
      <c r="L62" s="1122"/>
      <c r="M62" s="1520">
        <f>Interface_Budgets!H119</f>
        <v>0</v>
      </c>
      <c r="N62" s="1521">
        <f>Interface_Budgets!I119</f>
        <v>0</v>
      </c>
      <c r="AA62" s="1101" t="s">
        <v>601</v>
      </c>
    </row>
    <row r="63" spans="1:27" s="955" customFormat="1" ht="31" x14ac:dyDescent="0.35">
      <c r="A63" s="354">
        <v>6</v>
      </c>
      <c r="B63" s="1100" t="s">
        <v>654</v>
      </c>
      <c r="C63" s="354">
        <f>Interface_Budgets!C120</f>
        <v>0</v>
      </c>
      <c r="D63" s="417">
        <v>1</v>
      </c>
      <c r="E63" s="1107" t="str">
        <f t="shared" si="0"/>
        <v/>
      </c>
      <c r="F63" s="417">
        <v>1</v>
      </c>
      <c r="G63" s="418" t="str">
        <f t="shared" si="2"/>
        <v/>
      </c>
      <c r="H63" s="419" t="str">
        <f t="shared" si="1"/>
        <v/>
      </c>
      <c r="J63" s="1120">
        <f>Interface_Budgets!E120</f>
        <v>0</v>
      </c>
      <c r="K63" s="1121"/>
      <c r="L63" s="1122"/>
      <c r="M63" s="1520">
        <f>Interface_Budgets!H120</f>
        <v>0</v>
      </c>
      <c r="N63" s="1521">
        <f>Interface_Budgets!I120</f>
        <v>0</v>
      </c>
      <c r="AA63" s="1101" t="s">
        <v>601</v>
      </c>
    </row>
    <row r="64" spans="1:27" ht="17.149999999999999" customHeight="1" x14ac:dyDescent="0.35">
      <c r="A64" s="55"/>
      <c r="B64" s="4"/>
      <c r="C64" s="55"/>
      <c r="D64" s="4"/>
      <c r="E64" s="4"/>
      <c r="F64" s="4"/>
      <c r="G64" s="4"/>
      <c r="H64" s="47"/>
    </row>
    <row r="65" spans="1:27" ht="17.149999999999999" customHeight="1" x14ac:dyDescent="0.35">
      <c r="A65" s="47"/>
      <c r="B65" s="48" t="s">
        <v>749</v>
      </c>
      <c r="C65" s="1102"/>
      <c r="D65" s="1102"/>
      <c r="E65" s="1104">
        <f>SUM(E57:E63)</f>
        <v>0</v>
      </c>
      <c r="F65" s="1102"/>
      <c r="G65" s="1104">
        <f>SUM(G57:G63)</f>
        <v>0</v>
      </c>
      <c r="H65" s="1105">
        <f>SUM(H57:H63)</f>
        <v>0</v>
      </c>
    </row>
    <row r="66" spans="1:27" ht="17.149999999999999" customHeight="1" x14ac:dyDescent="0.35">
      <c r="A66" s="47"/>
      <c r="B66" s="47"/>
      <c r="C66" s="4"/>
      <c r="D66" s="4"/>
      <c r="E66" s="4"/>
      <c r="F66" s="4"/>
      <c r="G66" s="4"/>
      <c r="H66" s="47"/>
    </row>
    <row r="67" spans="1:27" ht="17.149999999999999" customHeight="1" x14ac:dyDescent="0.35">
      <c r="A67" s="47"/>
      <c r="B67" s="48" t="s">
        <v>750</v>
      </c>
      <c r="C67" s="1102"/>
      <c r="D67" s="1102"/>
      <c r="E67" s="1102"/>
      <c r="F67" s="1102"/>
      <c r="G67" s="1104"/>
      <c r="H67" s="1105">
        <f>SUM(F57:F63)</f>
        <v>7</v>
      </c>
    </row>
    <row r="68" spans="1:27" ht="17.149999999999999" customHeight="1" x14ac:dyDescent="0.35">
      <c r="A68" s="47"/>
      <c r="B68" s="47"/>
      <c r="C68" s="4"/>
      <c r="D68" s="4"/>
      <c r="E68" s="4"/>
      <c r="F68" s="4"/>
      <c r="G68" s="4"/>
      <c r="H68" s="47"/>
    </row>
    <row r="69" spans="1:27" s="12" customFormat="1" ht="17.149999999999999" customHeight="1" x14ac:dyDescent="0.35">
      <c r="A69" s="11"/>
      <c r="B69" s="23" t="s">
        <v>751</v>
      </c>
      <c r="C69" s="963">
        <f>SUM(C57:C63)</f>
        <v>0</v>
      </c>
      <c r="D69" s="963"/>
      <c r="E69" s="963"/>
      <c r="F69" s="963"/>
      <c r="G69" s="963"/>
      <c r="H69" s="352" t="str">
        <f>IF(C56=1,"",(H65/H67))</f>
        <v/>
      </c>
    </row>
    <row r="70" spans="1:27" ht="17.149999999999999" customHeight="1" x14ac:dyDescent="0.35">
      <c r="A70" s="47"/>
      <c r="B70" s="8"/>
      <c r="C70" s="114"/>
      <c r="D70" s="5"/>
      <c r="E70" s="5"/>
      <c r="F70" s="5"/>
      <c r="G70" s="5"/>
      <c r="H70" s="46"/>
    </row>
    <row r="71" spans="1:27" ht="17.149999999999999" customHeight="1" x14ac:dyDescent="0.35">
      <c r="A71" s="47"/>
      <c r="B71" s="8"/>
      <c r="C71" s="114"/>
      <c r="D71" s="5"/>
      <c r="E71" s="5"/>
      <c r="F71" s="5"/>
      <c r="G71" s="5"/>
      <c r="H71" s="46"/>
    </row>
    <row r="72" spans="1:27" ht="17.149999999999999" customHeight="1" x14ac:dyDescent="0.35">
      <c r="A72" s="11" t="s">
        <v>783</v>
      </c>
      <c r="B72" s="8"/>
      <c r="C72" s="114"/>
      <c r="D72" s="5"/>
      <c r="E72" s="5"/>
      <c r="F72" s="46"/>
      <c r="G72" s="3"/>
      <c r="H72" s="47"/>
    </row>
    <row r="73" spans="1:27" s="11" customFormat="1" ht="28" customHeight="1" x14ac:dyDescent="0.35">
      <c r="A73" s="1503" t="s">
        <v>743</v>
      </c>
      <c r="B73" s="1093" t="s">
        <v>373</v>
      </c>
      <c r="C73" s="1096" t="s">
        <v>744</v>
      </c>
      <c r="D73" s="1503" t="s">
        <v>745</v>
      </c>
      <c r="E73" s="1503" t="s">
        <v>746</v>
      </c>
      <c r="F73" s="1511" t="s">
        <v>747</v>
      </c>
      <c r="G73" s="1511" t="s">
        <v>746</v>
      </c>
      <c r="H73" s="1511" t="s">
        <v>748</v>
      </c>
      <c r="J73" s="1117" t="s">
        <v>521</v>
      </c>
      <c r="K73" s="1118"/>
      <c r="L73" s="1119"/>
      <c r="M73" s="1504" t="s">
        <v>656</v>
      </c>
      <c r="N73" s="1504" t="s">
        <v>645</v>
      </c>
    </row>
    <row r="74" spans="1:27" s="11" customFormat="1" ht="31" x14ac:dyDescent="0.35">
      <c r="A74" s="400"/>
      <c r="B74" s="171" t="s">
        <v>754</v>
      </c>
      <c r="C74" s="354">
        <f>Interface_Budgets!C125</f>
        <v>1</v>
      </c>
      <c r="D74" s="400"/>
      <c r="E74" s="400"/>
      <c r="F74" s="355"/>
      <c r="G74" s="355"/>
      <c r="H74" s="355"/>
      <c r="J74" s="1120">
        <f>Interface_Budgets!E125</f>
        <v>0</v>
      </c>
      <c r="K74" s="1121"/>
      <c r="L74" s="1122"/>
      <c r="M74" s="1520">
        <f>Interface_Budgets!H125</f>
        <v>0</v>
      </c>
      <c r="N74" s="1521">
        <f>Interface_Budgets!I125</f>
        <v>0</v>
      </c>
      <c r="AA74" s="1101" t="s">
        <v>601</v>
      </c>
    </row>
    <row r="75" spans="1:27" ht="31" x14ac:dyDescent="0.35">
      <c r="A75" s="354">
        <v>0</v>
      </c>
      <c r="B75" s="1100" t="s">
        <v>661</v>
      </c>
      <c r="C75" s="354">
        <f>Interface_Budgets!C126</f>
        <v>0</v>
      </c>
      <c r="D75" s="417">
        <v>1</v>
      </c>
      <c r="E75" s="418" t="str">
        <f t="shared" ref="E75:E81" si="3">IF(C75=1,(C75*D75)*1,"")</f>
        <v/>
      </c>
      <c r="F75" s="417">
        <v>1</v>
      </c>
      <c r="G75" s="418" t="str">
        <f>IF(C75=1,(C75*F75),"")</f>
        <v/>
      </c>
      <c r="H75" s="419" t="str">
        <f t="shared" ref="H75:H81" si="4">G75</f>
        <v/>
      </c>
      <c r="J75" s="1120">
        <f>Interface_Budgets!E126</f>
        <v>0</v>
      </c>
      <c r="K75" s="1121"/>
      <c r="L75" s="1122"/>
      <c r="M75" s="1520">
        <f>Interface_Budgets!H126</f>
        <v>0</v>
      </c>
      <c r="N75" s="1521">
        <f>Interface_Budgets!I126</f>
        <v>0</v>
      </c>
      <c r="AA75" s="1101" t="s">
        <v>601</v>
      </c>
    </row>
    <row r="76" spans="1:27" ht="31" x14ac:dyDescent="0.35">
      <c r="A76" s="354">
        <v>1</v>
      </c>
      <c r="B76" s="1100" t="s">
        <v>649</v>
      </c>
      <c r="C76" s="354">
        <f>Interface_Budgets!C127</f>
        <v>0</v>
      </c>
      <c r="D76" s="417">
        <v>1</v>
      </c>
      <c r="E76" s="418" t="str">
        <f t="shared" si="3"/>
        <v/>
      </c>
      <c r="F76" s="417">
        <v>1</v>
      </c>
      <c r="G76" s="418" t="str">
        <f t="shared" ref="G76:G81" si="5">IF(C76=1,(C76*F76)*1,"")</f>
        <v/>
      </c>
      <c r="H76" s="419" t="str">
        <f t="shared" si="4"/>
        <v/>
      </c>
      <c r="J76" s="1120">
        <f>Interface_Budgets!E127</f>
        <v>0</v>
      </c>
      <c r="K76" s="1121"/>
      <c r="L76" s="1122"/>
      <c r="M76" s="1520">
        <f>Interface_Budgets!H127</f>
        <v>0</v>
      </c>
      <c r="N76" s="1521">
        <f>Interface_Budgets!I127</f>
        <v>0</v>
      </c>
      <c r="AA76" s="1101" t="s">
        <v>601</v>
      </c>
    </row>
    <row r="77" spans="1:27" ht="31" x14ac:dyDescent="0.35">
      <c r="A77" s="354">
        <v>2</v>
      </c>
      <c r="B77" s="1100" t="s">
        <v>658</v>
      </c>
      <c r="C77" s="354">
        <f>Interface_Budgets!C128</f>
        <v>0</v>
      </c>
      <c r="D77" s="417">
        <v>1</v>
      </c>
      <c r="E77" s="418" t="str">
        <f t="shared" si="3"/>
        <v/>
      </c>
      <c r="F77" s="417">
        <v>1</v>
      </c>
      <c r="G77" s="418" t="str">
        <f t="shared" si="5"/>
        <v/>
      </c>
      <c r="H77" s="419" t="str">
        <f t="shared" si="4"/>
        <v/>
      </c>
      <c r="J77" s="1120">
        <f>Interface_Budgets!E128</f>
        <v>0</v>
      </c>
      <c r="K77" s="1121"/>
      <c r="L77" s="1122"/>
      <c r="M77" s="1520">
        <f>Interface_Budgets!H128</f>
        <v>0</v>
      </c>
      <c r="N77" s="1521">
        <f>Interface_Budgets!I128</f>
        <v>0</v>
      </c>
      <c r="AA77" s="1101" t="s">
        <v>601</v>
      </c>
    </row>
    <row r="78" spans="1:27" ht="31" x14ac:dyDescent="0.35">
      <c r="A78" s="354">
        <v>3</v>
      </c>
      <c r="B78" s="1106" t="s">
        <v>651</v>
      </c>
      <c r="C78" s="354">
        <f>Interface_Budgets!C129</f>
        <v>0</v>
      </c>
      <c r="D78" s="417">
        <v>1</v>
      </c>
      <c r="E78" s="418" t="str">
        <f t="shared" si="3"/>
        <v/>
      </c>
      <c r="F78" s="417">
        <v>1</v>
      </c>
      <c r="G78" s="418" t="str">
        <f t="shared" si="5"/>
        <v/>
      </c>
      <c r="H78" s="419" t="str">
        <f t="shared" si="4"/>
        <v/>
      </c>
      <c r="J78" s="1120">
        <f>Interface_Budgets!E129</f>
        <v>0</v>
      </c>
      <c r="K78" s="1121"/>
      <c r="L78" s="1122"/>
      <c r="M78" s="1520">
        <f>Interface_Budgets!H129</f>
        <v>0</v>
      </c>
      <c r="N78" s="1521">
        <f>Interface_Budgets!I129</f>
        <v>0</v>
      </c>
      <c r="AA78" s="1101" t="s">
        <v>601</v>
      </c>
    </row>
    <row r="79" spans="1:27" ht="31" x14ac:dyDescent="0.35">
      <c r="A79" s="354">
        <v>4</v>
      </c>
      <c r="B79" s="1100" t="s">
        <v>652</v>
      </c>
      <c r="C79" s="354">
        <f>Interface_Budgets!C130</f>
        <v>0</v>
      </c>
      <c r="D79" s="417">
        <v>1</v>
      </c>
      <c r="E79" s="418" t="str">
        <f t="shared" si="3"/>
        <v/>
      </c>
      <c r="F79" s="417">
        <v>1</v>
      </c>
      <c r="G79" s="418" t="str">
        <f t="shared" si="5"/>
        <v/>
      </c>
      <c r="H79" s="419" t="str">
        <f t="shared" si="4"/>
        <v/>
      </c>
      <c r="J79" s="1120">
        <f>Interface_Budgets!E130</f>
        <v>0</v>
      </c>
      <c r="K79" s="1121"/>
      <c r="L79" s="1122"/>
      <c r="M79" s="1520">
        <f>Interface_Budgets!H130</f>
        <v>0</v>
      </c>
      <c r="N79" s="1521">
        <f>Interface_Budgets!I130</f>
        <v>0</v>
      </c>
      <c r="AA79" s="1101" t="s">
        <v>601</v>
      </c>
    </row>
    <row r="80" spans="1:27" ht="31" x14ac:dyDescent="0.35">
      <c r="A80" s="354">
        <v>5</v>
      </c>
      <c r="B80" s="1100" t="s">
        <v>653</v>
      </c>
      <c r="C80" s="354">
        <f>Interface_Budgets!C131</f>
        <v>0</v>
      </c>
      <c r="D80" s="417">
        <v>1</v>
      </c>
      <c r="E80" s="418" t="str">
        <f t="shared" si="3"/>
        <v/>
      </c>
      <c r="F80" s="417">
        <v>1</v>
      </c>
      <c r="G80" s="418" t="str">
        <f t="shared" si="5"/>
        <v/>
      </c>
      <c r="H80" s="419" t="str">
        <f t="shared" si="4"/>
        <v/>
      </c>
      <c r="J80" s="1120">
        <f>Interface_Budgets!E131</f>
        <v>0</v>
      </c>
      <c r="K80" s="1121"/>
      <c r="L80" s="1122"/>
      <c r="M80" s="1520">
        <f>Interface_Budgets!H131</f>
        <v>0</v>
      </c>
      <c r="N80" s="1521">
        <f>Interface_Budgets!I131</f>
        <v>0</v>
      </c>
      <c r="AA80" s="1101" t="s">
        <v>601</v>
      </c>
    </row>
    <row r="81" spans="1:27" ht="31" x14ac:dyDescent="0.35">
      <c r="A81" s="354">
        <v>6</v>
      </c>
      <c r="B81" s="1100" t="s">
        <v>654</v>
      </c>
      <c r="C81" s="354">
        <f>Interface_Budgets!C132</f>
        <v>0</v>
      </c>
      <c r="D81" s="417">
        <v>1</v>
      </c>
      <c r="E81" s="1107" t="str">
        <f t="shared" si="3"/>
        <v/>
      </c>
      <c r="F81" s="417">
        <v>1</v>
      </c>
      <c r="G81" s="418" t="str">
        <f t="shared" si="5"/>
        <v/>
      </c>
      <c r="H81" s="419" t="str">
        <f t="shared" si="4"/>
        <v/>
      </c>
      <c r="J81" s="1120">
        <f>Interface_Budgets!E132</f>
        <v>0</v>
      </c>
      <c r="K81" s="1121"/>
      <c r="L81" s="1122"/>
      <c r="M81" s="1520">
        <f>Interface_Budgets!H132</f>
        <v>0</v>
      </c>
      <c r="N81" s="1521">
        <f>Interface_Budgets!I132</f>
        <v>0</v>
      </c>
      <c r="AA81" s="1101" t="s">
        <v>601</v>
      </c>
    </row>
    <row r="82" spans="1:27" ht="17.149999999999999" customHeight="1" x14ac:dyDescent="0.35">
      <c r="A82" s="55"/>
      <c r="B82" s="4"/>
      <c r="C82" s="55"/>
      <c r="D82" s="4"/>
      <c r="E82" s="4"/>
      <c r="F82" s="4"/>
      <c r="G82" s="4"/>
      <c r="H82" s="47"/>
    </row>
    <row r="83" spans="1:27" ht="17.149999999999999" customHeight="1" x14ac:dyDescent="0.35">
      <c r="A83" s="47"/>
      <c r="B83" s="48" t="s">
        <v>749</v>
      </c>
      <c r="C83" s="1102"/>
      <c r="D83" s="1102"/>
      <c r="E83" s="1104">
        <f>SUM(E75:E81)</f>
        <v>0</v>
      </c>
      <c r="F83" s="1102"/>
      <c r="G83" s="1104">
        <f>SUM(G75:G81)</f>
        <v>0</v>
      </c>
      <c r="H83" s="1105">
        <f>SUM(H75:H81)</f>
        <v>0</v>
      </c>
    </row>
    <row r="84" spans="1:27" ht="17.149999999999999" customHeight="1" x14ac:dyDescent="0.35">
      <c r="A84" s="47"/>
      <c r="B84" s="47"/>
      <c r="C84" s="4"/>
      <c r="D84" s="4"/>
      <c r="E84" s="4"/>
      <c r="F84" s="4"/>
      <c r="G84" s="4"/>
      <c r="H84" s="47"/>
    </row>
    <row r="85" spans="1:27" ht="17.149999999999999" customHeight="1" x14ac:dyDescent="0.35">
      <c r="A85" s="47"/>
      <c r="B85" s="48" t="s">
        <v>750</v>
      </c>
      <c r="C85" s="1102"/>
      <c r="D85" s="1102"/>
      <c r="E85" s="1102"/>
      <c r="F85" s="1102"/>
      <c r="G85" s="1104"/>
      <c r="H85" s="1105">
        <f>SUM(F75:F81)</f>
        <v>7</v>
      </c>
    </row>
    <row r="86" spans="1:27" ht="17.149999999999999" customHeight="1" x14ac:dyDescent="0.35">
      <c r="A86" s="47"/>
      <c r="B86" s="47"/>
      <c r="C86" s="4"/>
      <c r="D86" s="4"/>
      <c r="E86" s="4"/>
      <c r="F86" s="4"/>
      <c r="G86" s="4"/>
      <c r="H86" s="47"/>
    </row>
    <row r="87" spans="1:27" s="12" customFormat="1" ht="17.149999999999999" customHeight="1" x14ac:dyDescent="0.35">
      <c r="A87" s="11"/>
      <c r="B87" s="23" t="s">
        <v>751</v>
      </c>
      <c r="C87" s="963">
        <f>SUM(C75:C81)</f>
        <v>0</v>
      </c>
      <c r="D87" s="963"/>
      <c r="E87" s="963"/>
      <c r="F87" s="963"/>
      <c r="G87" s="963"/>
      <c r="H87" s="352" t="str">
        <f>IF(C74=1,"",(H83/H85))</f>
        <v/>
      </c>
    </row>
    <row r="88" spans="1:27" ht="17.149999999999999" customHeight="1" x14ac:dyDescent="0.35">
      <c r="A88" s="47"/>
      <c r="B88" s="8"/>
      <c r="C88" s="114"/>
      <c r="D88" s="5"/>
      <c r="E88" s="5"/>
      <c r="F88" s="5"/>
      <c r="G88" s="5"/>
      <c r="H88" s="46"/>
    </row>
  </sheetData>
  <sheetProtection password="C8C1" sheet="1" objects="1" scenarios="1" selectLockedCells="1"/>
  <pageMargins left="0.7" right="0.7" top="0.75" bottom="0.75" header="0.3" footer="0.3"/>
  <pageSetup paperSize="9" orientation="portrait" horizontalDpi="4294967293" verticalDpi="0" r:id="rId1"/>
  <ignoredErrors>
    <ignoredError sqref="H34 H17 C19" formulaRange="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6"/>
  </sheetPr>
  <dimension ref="A1:N134"/>
  <sheetViews>
    <sheetView workbookViewId="0">
      <selection activeCell="A3" sqref="A3"/>
    </sheetView>
  </sheetViews>
  <sheetFormatPr defaultColWidth="9.1796875" defaultRowHeight="13" x14ac:dyDescent="0.35"/>
  <cols>
    <col min="1" max="1" width="7.7265625" style="47" customWidth="1"/>
    <col min="2" max="2" width="45.7265625" style="3" customWidth="1"/>
    <col min="3" max="7" width="10.7265625" style="4" customWidth="1"/>
    <col min="8" max="8" width="10.7265625" style="47" customWidth="1"/>
    <col min="9" max="9" width="10.7265625" style="3" customWidth="1"/>
    <col min="10" max="12" width="45.7265625" style="3" customWidth="1"/>
    <col min="13" max="13" width="35.7265625" style="3" customWidth="1"/>
    <col min="14" max="14" width="16.7265625" style="3" customWidth="1"/>
    <col min="15" max="16384" width="9.1796875" style="3"/>
  </cols>
  <sheetData>
    <row r="1" spans="1:12" ht="18.5" x14ac:dyDescent="0.35">
      <c r="A1" s="13" t="str">
        <f>'User interface_RES'!AJ11</f>
        <v>Any city in , the world</v>
      </c>
    </row>
    <row r="2" spans="1:12" s="185" customFormat="1" ht="10.5" x14ac:dyDescent="0.35">
      <c r="A2" s="237"/>
      <c r="C2" s="247"/>
      <c r="D2" s="247"/>
      <c r="E2" s="247"/>
      <c r="F2" s="247"/>
      <c r="G2" s="247"/>
      <c r="H2" s="237"/>
    </row>
    <row r="3" spans="1:12" ht="26" x14ac:dyDescent="0.35">
      <c r="A3" s="182" t="s">
        <v>784</v>
      </c>
    </row>
    <row r="4" spans="1:12" ht="17.149999999999999" customHeight="1" x14ac:dyDescent="0.35"/>
    <row r="5" spans="1:12" ht="17.149999999999999" customHeight="1" x14ac:dyDescent="0.35"/>
    <row r="6" spans="1:12" ht="17.149999999999999" customHeight="1" x14ac:dyDescent="0.35">
      <c r="A6" s="2" t="s">
        <v>715</v>
      </c>
      <c r="J6" s="11" t="s">
        <v>521</v>
      </c>
    </row>
    <row r="7" spans="1:12" s="11" customFormat="1" ht="28" customHeight="1" x14ac:dyDescent="0.35">
      <c r="A7" s="1093" t="s">
        <v>743</v>
      </c>
      <c r="B7" s="1093" t="s">
        <v>594</v>
      </c>
      <c r="C7" s="1094" t="s">
        <v>744</v>
      </c>
      <c r="D7" s="1503" t="s">
        <v>745</v>
      </c>
      <c r="E7" s="1503" t="s">
        <v>746</v>
      </c>
      <c r="F7" s="1511" t="s">
        <v>747</v>
      </c>
      <c r="G7" s="1511" t="s">
        <v>746</v>
      </c>
      <c r="H7" s="1511" t="s">
        <v>748</v>
      </c>
      <c r="J7" s="950" t="s">
        <v>677</v>
      </c>
      <c r="K7" s="959" t="s">
        <v>678</v>
      </c>
      <c r="L7" s="959" t="s">
        <v>599</v>
      </c>
    </row>
    <row r="8" spans="1:12" s="60" customFormat="1" ht="28" customHeight="1" x14ac:dyDescent="0.35">
      <c r="A8" s="354">
        <v>0</v>
      </c>
      <c r="B8" s="1103" t="s">
        <v>716</v>
      </c>
      <c r="C8" s="417">
        <f>'Interface_Permits &amp; standards'!C99</f>
        <v>0</v>
      </c>
      <c r="D8" s="417">
        <v>1</v>
      </c>
      <c r="E8" s="418" t="str">
        <f>IF(C8=1,(C8*D8)*0,"")</f>
        <v/>
      </c>
      <c r="F8" s="417">
        <v>1</v>
      </c>
      <c r="G8" s="418" t="str">
        <f>IF(C8=1,(C8*F8)*0,"")</f>
        <v/>
      </c>
      <c r="H8" s="419" t="str">
        <f>G8</f>
        <v/>
      </c>
      <c r="J8" s="1100">
        <f>'Interface_Permits &amp; standards'!E99</f>
        <v>0</v>
      </c>
      <c r="K8" s="1100">
        <f>'Interface_Permits &amp; standards'!F99</f>
        <v>0</v>
      </c>
      <c r="L8" s="1100">
        <f>'Interface_Permits &amp; standards'!G99</f>
        <v>0</v>
      </c>
    </row>
    <row r="9" spans="1:12" s="60" customFormat="1" ht="28" customHeight="1" x14ac:dyDescent="0.35">
      <c r="A9" s="354">
        <v>1</v>
      </c>
      <c r="B9" s="1103" t="s">
        <v>718</v>
      </c>
      <c r="C9" s="417">
        <f>'Interface_Permits &amp; standards'!C100</f>
        <v>0</v>
      </c>
      <c r="D9" s="417">
        <v>0.25</v>
      </c>
      <c r="E9" s="418" t="str">
        <f>IF(C9=1,(C9*D9)*1,"")</f>
        <v/>
      </c>
      <c r="F9" s="417">
        <v>0.25</v>
      </c>
      <c r="G9" s="418" t="str">
        <f>IF(C9=1,(C9*F9)*1,"")</f>
        <v/>
      </c>
      <c r="H9" s="419" t="str">
        <f>G9</f>
        <v/>
      </c>
      <c r="J9" s="1100">
        <f>'Interface_Permits &amp; standards'!E100</f>
        <v>0</v>
      </c>
      <c r="K9" s="1100">
        <f>'Interface_Permits &amp; standards'!F100</f>
        <v>0</v>
      </c>
      <c r="L9" s="1100">
        <f>'Interface_Permits &amp; standards'!G100</f>
        <v>0</v>
      </c>
    </row>
    <row r="10" spans="1:12" s="60" customFormat="1" ht="28" customHeight="1" x14ac:dyDescent="0.35">
      <c r="A10" s="354">
        <v>2</v>
      </c>
      <c r="B10" s="1103" t="s">
        <v>719</v>
      </c>
      <c r="C10" s="417">
        <f>'Interface_Permits &amp; standards'!C101</f>
        <v>0</v>
      </c>
      <c r="D10" s="417">
        <v>1</v>
      </c>
      <c r="E10" s="418" t="str">
        <f>IF(C10=1,(C10*D10)*1,"")</f>
        <v/>
      </c>
      <c r="F10" s="417">
        <v>1</v>
      </c>
      <c r="G10" s="418" t="str">
        <f>IF(C10=1,(C10*F10)*1,"")</f>
        <v/>
      </c>
      <c r="H10" s="419" t="str">
        <f>G10</f>
        <v/>
      </c>
      <c r="J10" s="1100">
        <f>'Interface_Permits &amp; standards'!E101</f>
        <v>0</v>
      </c>
      <c r="K10" s="1100">
        <f>'Interface_Permits &amp; standards'!F101</f>
        <v>0</v>
      </c>
      <c r="L10" s="1100">
        <f>'Interface_Permits &amp; standards'!G101</f>
        <v>0</v>
      </c>
    </row>
    <row r="11" spans="1:12" s="60" customFormat="1" ht="28" customHeight="1" x14ac:dyDescent="0.35">
      <c r="A11" s="354">
        <v>3</v>
      </c>
      <c r="B11" s="1103" t="s">
        <v>706</v>
      </c>
      <c r="C11" s="417">
        <f>'Interface_Permits &amp; standards'!C102</f>
        <v>1</v>
      </c>
      <c r="D11" s="417">
        <v>0.5</v>
      </c>
      <c r="E11" s="418">
        <f>IF(C11=1,(C11*D11)*1,"")</f>
        <v>0.5</v>
      </c>
      <c r="F11" s="417">
        <v>0.5</v>
      </c>
      <c r="G11" s="418">
        <f>IF(C11=1,(C11*F11)*1,"")</f>
        <v>0.5</v>
      </c>
      <c r="H11" s="419">
        <f>G11</f>
        <v>0.5</v>
      </c>
      <c r="J11" s="1100">
        <f>'Interface_Permits &amp; standards'!E102</f>
        <v>0</v>
      </c>
      <c r="K11" s="1100">
        <f>'Interface_Permits &amp; standards'!F102</f>
        <v>0</v>
      </c>
      <c r="L11" s="1100">
        <f>'Interface_Permits &amp; standards'!G102</f>
        <v>0</v>
      </c>
    </row>
    <row r="12" spans="1:12" s="60" customFormat="1" ht="28" customHeight="1" x14ac:dyDescent="0.35">
      <c r="A12" s="354">
        <v>4</v>
      </c>
      <c r="B12" s="1103" t="s">
        <v>683</v>
      </c>
      <c r="C12" s="417">
        <f>'Interface_Permits &amp; standards'!C103</f>
        <v>0</v>
      </c>
      <c r="D12" s="417">
        <v>0.25</v>
      </c>
      <c r="E12" s="418" t="str">
        <f>IF(C12=1,(C12*D12)*1,"")</f>
        <v/>
      </c>
      <c r="F12" s="417">
        <v>1</v>
      </c>
      <c r="G12" s="418" t="str">
        <f>IF(C12=1,(C12*F12)*1,"")</f>
        <v/>
      </c>
      <c r="H12" s="419" t="str">
        <f>IF(C9=1,E12,G12)</f>
        <v/>
      </c>
      <c r="J12" s="1100">
        <f>'Interface_Permits &amp; standards'!E103</f>
        <v>0</v>
      </c>
      <c r="K12" s="1100">
        <f>'Interface_Permits &amp; standards'!F103</f>
        <v>0</v>
      </c>
      <c r="L12" s="1100">
        <f>'Interface_Permits &amp; standards'!G103</f>
        <v>0</v>
      </c>
    </row>
    <row r="13" spans="1:12" ht="17.149999999999999" customHeight="1" x14ac:dyDescent="0.35"/>
    <row r="14" spans="1:12" ht="17.149999999999999" customHeight="1" x14ac:dyDescent="0.35">
      <c r="B14" s="48" t="s">
        <v>749</v>
      </c>
      <c r="C14" s="1102"/>
      <c r="D14" s="1102"/>
      <c r="E14" s="1104">
        <f>SUM(E8:E12)</f>
        <v>0.5</v>
      </c>
      <c r="F14" s="1102"/>
      <c r="G14" s="1104">
        <f>SUM(G8:G12)</f>
        <v>0.5</v>
      </c>
      <c r="H14" s="1105">
        <f>SUM(H8:H12)</f>
        <v>0.5</v>
      </c>
    </row>
    <row r="15" spans="1:12" ht="17.149999999999999" customHeight="1" x14ac:dyDescent="0.35">
      <c r="B15" s="47"/>
    </row>
    <row r="16" spans="1:12" ht="17.149999999999999" customHeight="1" x14ac:dyDescent="0.35">
      <c r="B16" s="48" t="s">
        <v>750</v>
      </c>
      <c r="C16" s="1102"/>
      <c r="D16" s="1102"/>
      <c r="E16" s="1102"/>
      <c r="F16" s="1102"/>
      <c r="G16" s="1104"/>
      <c r="H16" s="1105">
        <f>SUM(F10:F12)</f>
        <v>2.5</v>
      </c>
    </row>
    <row r="17" spans="1:13" ht="17.149999999999999" customHeight="1" x14ac:dyDescent="0.35">
      <c r="B17" s="47"/>
    </row>
    <row r="18" spans="1:13" s="12" customFormat="1" ht="17.149999999999999" customHeight="1" x14ac:dyDescent="0.35">
      <c r="A18" s="11"/>
      <c r="B18" s="23" t="s">
        <v>751</v>
      </c>
      <c r="C18" s="963">
        <f>SUM(C8:C12)</f>
        <v>1</v>
      </c>
      <c r="D18" s="963"/>
      <c r="E18" s="963"/>
      <c r="F18" s="963"/>
      <c r="G18" s="963"/>
      <c r="H18" s="352">
        <f>IF(C8=1,0,H14/H16)</f>
        <v>0.2</v>
      </c>
    </row>
    <row r="19" spans="1:13" ht="17.149999999999999" customHeight="1" x14ac:dyDescent="0.35">
      <c r="B19" s="43"/>
      <c r="C19" s="5"/>
      <c r="D19" s="5"/>
      <c r="E19" s="5"/>
      <c r="F19" s="5"/>
      <c r="G19" s="5"/>
    </row>
    <row r="20" spans="1:13" ht="17.149999999999999" customHeight="1" x14ac:dyDescent="0.35">
      <c r="B20" s="43"/>
      <c r="C20" s="5"/>
      <c r="D20" s="5"/>
      <c r="E20" s="5"/>
      <c r="F20" s="5"/>
      <c r="G20" s="5"/>
    </row>
    <row r="21" spans="1:13" ht="17.149999999999999" customHeight="1" x14ac:dyDescent="0.35">
      <c r="A21" s="2" t="s">
        <v>720</v>
      </c>
      <c r="J21" s="11" t="s">
        <v>521</v>
      </c>
    </row>
    <row r="22" spans="1:13" s="11" customFormat="1" ht="28" customHeight="1" x14ac:dyDescent="0.35">
      <c r="A22" s="1093" t="s">
        <v>743</v>
      </c>
      <c r="B22" s="1093" t="s">
        <v>594</v>
      </c>
      <c r="C22" s="1094" t="s">
        <v>744</v>
      </c>
      <c r="D22" s="1503" t="s">
        <v>745</v>
      </c>
      <c r="E22" s="1503" t="s">
        <v>746</v>
      </c>
      <c r="F22" s="1511" t="s">
        <v>747</v>
      </c>
      <c r="G22" s="1511" t="s">
        <v>746</v>
      </c>
      <c r="H22" s="1511" t="s">
        <v>748</v>
      </c>
      <c r="J22" s="950" t="s">
        <v>677</v>
      </c>
      <c r="K22" s="959" t="s">
        <v>678</v>
      </c>
      <c r="L22" s="959" t="s">
        <v>599</v>
      </c>
      <c r="M22" s="959" t="s">
        <v>785</v>
      </c>
    </row>
    <row r="23" spans="1:13" s="60" customFormat="1" ht="28" customHeight="1" x14ac:dyDescent="0.35">
      <c r="A23" s="354">
        <v>0</v>
      </c>
      <c r="B23" s="1103" t="s">
        <v>722</v>
      </c>
      <c r="C23" s="417">
        <f>'Interface_Permits &amp; standards'!C108</f>
        <v>0</v>
      </c>
      <c r="D23" s="417">
        <v>1</v>
      </c>
      <c r="E23" s="418" t="str">
        <f>IF(C23=1,(C23*D23)*0,"")</f>
        <v/>
      </c>
      <c r="F23" s="417">
        <v>1</v>
      </c>
      <c r="G23" s="418" t="str">
        <f>IF(C23=1,(C23*F23)*0,"")</f>
        <v/>
      </c>
      <c r="H23" s="419" t="str">
        <f>G23</f>
        <v/>
      </c>
      <c r="J23" s="1100">
        <f>'Interface_Permits &amp; standards'!E108</f>
        <v>0</v>
      </c>
      <c r="K23" s="1100">
        <f>'Interface_Permits &amp; standards'!F108</f>
        <v>0</v>
      </c>
      <c r="L23" s="1100">
        <f>'Interface_Permits &amp; standards'!G108</f>
        <v>0</v>
      </c>
      <c r="M23" s="1100">
        <f>'Interface_Permits &amp; standards'!H108</f>
        <v>0</v>
      </c>
    </row>
    <row r="24" spans="1:13" s="60" customFormat="1" ht="28" customHeight="1" x14ac:dyDescent="0.35">
      <c r="A24" s="354">
        <v>1</v>
      </c>
      <c r="B24" s="1103" t="s">
        <v>723</v>
      </c>
      <c r="C24" s="417">
        <f>'Interface_Permits &amp; standards'!C109</f>
        <v>0</v>
      </c>
      <c r="D24" s="417">
        <v>0.25</v>
      </c>
      <c r="E24" s="418" t="str">
        <f>IF(C24=1,(C24*D24)*1,"")</f>
        <v/>
      </c>
      <c r="F24" s="417">
        <v>0.25</v>
      </c>
      <c r="G24" s="418" t="str">
        <f>IF(C24=1,(C24*F24)*1,"")</f>
        <v/>
      </c>
      <c r="H24" s="419" t="str">
        <f>G24</f>
        <v/>
      </c>
      <c r="J24" s="1100">
        <f>'Interface_Permits &amp; standards'!E109</f>
        <v>0</v>
      </c>
      <c r="K24" s="1100">
        <f>'Interface_Permits &amp; standards'!F109</f>
        <v>0</v>
      </c>
      <c r="L24" s="1100">
        <f>'Interface_Permits &amp; standards'!G109</f>
        <v>0</v>
      </c>
      <c r="M24" s="1100">
        <f>'Interface_Permits &amp; standards'!H109</f>
        <v>0</v>
      </c>
    </row>
    <row r="25" spans="1:13" s="60" customFormat="1" ht="28" customHeight="1" x14ac:dyDescent="0.35">
      <c r="A25" s="354">
        <v>2</v>
      </c>
      <c r="B25" s="1103" t="s">
        <v>705</v>
      </c>
      <c r="C25" s="417">
        <f>'Interface_Permits &amp; standards'!C110</f>
        <v>0</v>
      </c>
      <c r="D25" s="417">
        <v>1</v>
      </c>
      <c r="E25" s="418" t="str">
        <f>IF(C25=1,(C25*D25)*1,"")</f>
        <v/>
      </c>
      <c r="F25" s="417">
        <v>1</v>
      </c>
      <c r="G25" s="418" t="str">
        <f>IF(C25=1,(C25*F25)*1,"")</f>
        <v/>
      </c>
      <c r="H25" s="419" t="str">
        <f>G25</f>
        <v/>
      </c>
      <c r="J25" s="1100">
        <f>'Interface_Permits &amp; standards'!E110</f>
        <v>0</v>
      </c>
      <c r="K25" s="1100">
        <f>'Interface_Permits &amp; standards'!F110</f>
        <v>0</v>
      </c>
      <c r="L25" s="1100">
        <f>'Interface_Permits &amp; standards'!G110</f>
        <v>0</v>
      </c>
      <c r="M25" s="1100">
        <f>'Interface_Permits &amp; standards'!H110</f>
        <v>0</v>
      </c>
    </row>
    <row r="26" spans="1:13" s="60" customFormat="1" ht="28" customHeight="1" x14ac:dyDescent="0.35">
      <c r="A26" s="354">
        <v>3</v>
      </c>
      <c r="B26" s="1103" t="s">
        <v>706</v>
      </c>
      <c r="C26" s="417">
        <f>'Interface_Permits &amp; standards'!C111</f>
        <v>1</v>
      </c>
      <c r="D26" s="417">
        <v>0.5</v>
      </c>
      <c r="E26" s="418">
        <f>IF(C26=1,(C26*D26)*1,"")</f>
        <v>0.5</v>
      </c>
      <c r="F26" s="417">
        <v>0.5</v>
      </c>
      <c r="G26" s="418">
        <f>IF(C26=1,(C26*F26)*1,"")</f>
        <v>0.5</v>
      </c>
      <c r="H26" s="419">
        <f>G26</f>
        <v>0.5</v>
      </c>
      <c r="J26" s="1100">
        <f>'Interface_Permits &amp; standards'!E111</f>
        <v>0</v>
      </c>
      <c r="K26" s="1100">
        <f>'Interface_Permits &amp; standards'!F111</f>
        <v>0</v>
      </c>
      <c r="L26" s="1100">
        <f>'Interface_Permits &amp; standards'!G111</f>
        <v>0</v>
      </c>
      <c r="M26" s="1100">
        <f>'Interface_Permits &amp; standards'!H111</f>
        <v>0</v>
      </c>
    </row>
    <row r="27" spans="1:13" s="60" customFormat="1" ht="28" customHeight="1" x14ac:dyDescent="0.35">
      <c r="A27" s="354">
        <v>4</v>
      </c>
      <c r="B27" s="1103" t="s">
        <v>683</v>
      </c>
      <c r="C27" s="417">
        <f>'Interface_Permits &amp; standards'!C112</f>
        <v>0</v>
      </c>
      <c r="D27" s="417">
        <v>0.25</v>
      </c>
      <c r="E27" s="418" t="str">
        <f>IF(C27=1,(C27*D27)*1,"")</f>
        <v/>
      </c>
      <c r="F27" s="417">
        <v>1</v>
      </c>
      <c r="G27" s="418" t="str">
        <f>IF(C27=1,(C27*F27)*1,"")</f>
        <v/>
      </c>
      <c r="H27" s="419" t="str">
        <f>IF(C24=1,E27,G27)</f>
        <v/>
      </c>
      <c r="J27" s="1100">
        <f>'Interface_Permits &amp; standards'!E112</f>
        <v>0</v>
      </c>
      <c r="K27" s="1100">
        <f>'Interface_Permits &amp; standards'!F112</f>
        <v>0</v>
      </c>
      <c r="L27" s="1100">
        <f>'Interface_Permits &amp; standards'!G112</f>
        <v>0</v>
      </c>
      <c r="M27" s="1100">
        <f>'Interface_Permits &amp; standards'!H112</f>
        <v>0</v>
      </c>
    </row>
    <row r="28" spans="1:13" ht="17.149999999999999" customHeight="1" x14ac:dyDescent="0.35"/>
    <row r="29" spans="1:13" ht="17.149999999999999" customHeight="1" x14ac:dyDescent="0.35">
      <c r="B29" s="48" t="s">
        <v>749</v>
      </c>
      <c r="C29" s="1102"/>
      <c r="D29" s="1102"/>
      <c r="E29" s="1104">
        <f>SUM(E23:E27)</f>
        <v>0.5</v>
      </c>
      <c r="F29" s="1102"/>
      <c r="G29" s="1104">
        <f>SUM(G23:G27)</f>
        <v>0.5</v>
      </c>
      <c r="H29" s="1105">
        <f>SUM(H23:H27)</f>
        <v>0.5</v>
      </c>
    </row>
    <row r="30" spans="1:13" ht="17.149999999999999" customHeight="1" x14ac:dyDescent="0.35">
      <c r="B30" s="47"/>
    </row>
    <row r="31" spans="1:13" ht="17.149999999999999" customHeight="1" x14ac:dyDescent="0.35">
      <c r="B31" s="48" t="s">
        <v>750</v>
      </c>
      <c r="C31" s="1102"/>
      <c r="D31" s="1102"/>
      <c r="E31" s="1102"/>
      <c r="F31" s="1102"/>
      <c r="G31" s="1104"/>
      <c r="H31" s="1105">
        <f>SUM(F25:F27)</f>
        <v>2.5</v>
      </c>
    </row>
    <row r="32" spans="1:13" ht="17.149999999999999" customHeight="1" x14ac:dyDescent="0.35">
      <c r="B32" s="47"/>
    </row>
    <row r="33" spans="1:12" s="12" customFormat="1" ht="17.149999999999999" customHeight="1" x14ac:dyDescent="0.35">
      <c r="A33" s="11"/>
      <c r="B33" s="23" t="s">
        <v>751</v>
      </c>
      <c r="C33" s="963">
        <f>SUM(C23:C27)</f>
        <v>1</v>
      </c>
      <c r="D33" s="963"/>
      <c r="E33" s="963"/>
      <c r="F33" s="963"/>
      <c r="G33" s="963"/>
      <c r="H33" s="352">
        <f>IF(C23=1,0,H29/H31)</f>
        <v>0.2</v>
      </c>
    </row>
    <row r="34" spans="1:12" ht="17.149999999999999" customHeight="1" x14ac:dyDescent="0.35">
      <c r="B34" s="8"/>
      <c r="C34" s="5"/>
      <c r="D34" s="5"/>
      <c r="E34" s="5"/>
      <c r="F34" s="5"/>
      <c r="G34" s="5"/>
      <c r="H34" s="9"/>
    </row>
    <row r="35" spans="1:12" ht="17.149999999999999" customHeight="1" x14ac:dyDescent="0.35"/>
    <row r="36" spans="1:12" ht="17.149999999999999" customHeight="1" x14ac:dyDescent="0.35">
      <c r="A36" s="2" t="s">
        <v>724</v>
      </c>
      <c r="B36" s="17"/>
      <c r="C36" s="17"/>
      <c r="D36" s="17"/>
      <c r="E36" s="17"/>
      <c r="F36" s="17"/>
      <c r="G36" s="17"/>
      <c r="J36" s="11" t="s">
        <v>521</v>
      </c>
      <c r="K36" s="17"/>
      <c r="L36" s="17"/>
    </row>
    <row r="37" spans="1:12" s="11" customFormat="1" ht="28" customHeight="1" x14ac:dyDescent="0.35">
      <c r="A37" s="1093" t="s">
        <v>743</v>
      </c>
      <c r="B37" s="1093" t="s">
        <v>594</v>
      </c>
      <c r="C37" s="1094" t="s">
        <v>744</v>
      </c>
      <c r="D37" s="1503"/>
      <c r="E37" s="1503"/>
      <c r="F37" s="1511" t="s">
        <v>747</v>
      </c>
      <c r="G37" s="1511" t="s">
        <v>746</v>
      </c>
      <c r="H37" s="1511" t="s">
        <v>748</v>
      </c>
      <c r="J37" s="950" t="s">
        <v>685</v>
      </c>
      <c r="K37" s="959" t="s">
        <v>712</v>
      </c>
      <c r="L37" s="959" t="s">
        <v>599</v>
      </c>
    </row>
    <row r="38" spans="1:12" s="117" customFormat="1" ht="28" customHeight="1" x14ac:dyDescent="0.35">
      <c r="A38" s="354">
        <v>0</v>
      </c>
      <c r="B38" s="1138" t="s">
        <v>713</v>
      </c>
      <c r="C38" s="417">
        <f>'Interface_Permits &amp; standards'!C117</f>
        <v>0</v>
      </c>
      <c r="D38" s="168"/>
      <c r="E38" s="168"/>
      <c r="F38" s="356"/>
      <c r="G38" s="356"/>
      <c r="H38" s="356"/>
      <c r="J38" s="1100">
        <f>'Interface_Permits &amp; standards'!E117</f>
        <v>0</v>
      </c>
      <c r="K38" s="1100">
        <f>'Interface_Permits &amp; standards'!F117</f>
        <v>0</v>
      </c>
      <c r="L38" s="1100">
        <f>'Interface_Permits &amp; standards'!G117</f>
        <v>0</v>
      </c>
    </row>
    <row r="39" spans="1:12" s="60" customFormat="1" ht="28" customHeight="1" x14ac:dyDescent="0.35">
      <c r="A39" s="354">
        <v>1</v>
      </c>
      <c r="B39" s="1100" t="s">
        <v>687</v>
      </c>
      <c r="C39" s="417">
        <f>'Interface_Permits &amp; standards'!C118</f>
        <v>1</v>
      </c>
      <c r="D39" s="155"/>
      <c r="E39" s="155"/>
      <c r="F39" s="417">
        <v>1</v>
      </c>
      <c r="G39" s="418">
        <f>IF(C39=1,(C39*F39)*1,"")</f>
        <v>1</v>
      </c>
      <c r="H39" s="418">
        <f>G39</f>
        <v>1</v>
      </c>
      <c r="J39" s="1100">
        <f>'Interface_Permits &amp; standards'!E118</f>
        <v>0</v>
      </c>
      <c r="K39" s="1100">
        <f>'Interface_Permits &amp; standards'!F118</f>
        <v>0</v>
      </c>
      <c r="L39" s="1100">
        <f>'Interface_Permits &amp; standards'!G118</f>
        <v>0</v>
      </c>
    </row>
    <row r="40" spans="1:12" s="117" customFormat="1" ht="28" customHeight="1" x14ac:dyDescent="0.35">
      <c r="A40" s="354">
        <v>2</v>
      </c>
      <c r="B40" s="1138" t="s">
        <v>688</v>
      </c>
      <c r="C40" s="417">
        <f>'Interface_Permits &amp; standards'!C119</f>
        <v>1</v>
      </c>
      <c r="D40" s="168"/>
      <c r="E40" s="168"/>
      <c r="F40" s="356">
        <v>1</v>
      </c>
      <c r="G40" s="356">
        <f>IF(C40=1,(C40*F40)*1,"")</f>
        <v>1</v>
      </c>
      <c r="H40" s="356">
        <f>G40</f>
        <v>1</v>
      </c>
      <c r="J40" s="953">
        <f>'Interface_Permits &amp; standards'!E119</f>
        <v>0</v>
      </c>
      <c r="K40" s="953">
        <f>'Interface_Permits &amp; standards'!F119</f>
        <v>0</v>
      </c>
      <c r="L40" s="1100">
        <f>'Interface_Permits &amp; standards'!G119</f>
        <v>0</v>
      </c>
    </row>
    <row r="41" spans="1:12" s="60" customFormat="1" ht="28" customHeight="1" x14ac:dyDescent="0.35">
      <c r="A41" s="354">
        <v>3</v>
      </c>
      <c r="B41" s="1100" t="s">
        <v>689</v>
      </c>
      <c r="C41" s="417">
        <f>'Interface_Permits &amp; standards'!C120</f>
        <v>0</v>
      </c>
      <c r="D41" s="155"/>
      <c r="E41" s="155"/>
      <c r="F41" s="417">
        <v>1</v>
      </c>
      <c r="G41" s="418" t="str">
        <f>IF(C41=1,(C41*F41)*1,"")</f>
        <v/>
      </c>
      <c r="H41" s="418" t="str">
        <f>G41</f>
        <v/>
      </c>
      <c r="J41" s="1100">
        <f>'Interface_Permits &amp; standards'!E120</f>
        <v>0</v>
      </c>
      <c r="K41" s="1100">
        <f>'Interface_Permits &amp; standards'!F120</f>
        <v>0</v>
      </c>
      <c r="L41" s="1100">
        <f>'Interface_Permits &amp; standards'!G120</f>
        <v>0</v>
      </c>
    </row>
    <row r="42" spans="1:12" ht="17.149999999999999" customHeight="1" x14ac:dyDescent="0.35">
      <c r="D42" s="3"/>
      <c r="E42" s="3"/>
      <c r="H42" s="3"/>
    </row>
    <row r="43" spans="1:12" ht="17.149999999999999" customHeight="1" x14ac:dyDescent="0.35">
      <c r="B43" s="48" t="s">
        <v>749</v>
      </c>
      <c r="C43" s="1102"/>
      <c r="D43" s="1102"/>
      <c r="E43" s="1104"/>
      <c r="F43" s="1102"/>
      <c r="G43" s="1104">
        <f>SUM(G39:G41)</f>
        <v>2</v>
      </c>
      <c r="H43" s="1105">
        <f>SUM(H39:H41)</f>
        <v>2</v>
      </c>
    </row>
    <row r="44" spans="1:12" ht="17.149999999999999" customHeight="1" x14ac:dyDescent="0.35">
      <c r="B44" s="47"/>
    </row>
    <row r="45" spans="1:12" ht="17.149999999999999" customHeight="1" x14ac:dyDescent="0.35">
      <c r="B45" s="48" t="s">
        <v>750</v>
      </c>
      <c r="C45" s="1102"/>
      <c r="D45" s="1102"/>
      <c r="E45" s="1102"/>
      <c r="F45" s="1102"/>
      <c r="G45" s="1104"/>
      <c r="H45" s="1105">
        <f>SUM(F39:F41)</f>
        <v>3</v>
      </c>
    </row>
    <row r="46" spans="1:12" ht="17.149999999999999" customHeight="1" x14ac:dyDescent="0.35">
      <c r="B46" s="47"/>
    </row>
    <row r="47" spans="1:12" s="12" customFormat="1" ht="17.149999999999999" customHeight="1" x14ac:dyDescent="0.35">
      <c r="A47" s="11"/>
      <c r="B47" s="23" t="s">
        <v>751</v>
      </c>
      <c r="C47" s="963">
        <f>SUM(C39:C41)</f>
        <v>2</v>
      </c>
      <c r="D47" s="963"/>
      <c r="E47" s="963"/>
      <c r="F47" s="963"/>
      <c r="G47" s="963"/>
      <c r="H47" s="352">
        <f>IF(A38=1,0,H43/H45)</f>
        <v>0.66666666666666663</v>
      </c>
    </row>
    <row r="48" spans="1:12" ht="17.149999999999999" customHeight="1" x14ac:dyDescent="0.35">
      <c r="B48" s="8"/>
      <c r="C48" s="44"/>
      <c r="D48" s="3"/>
      <c r="E48" s="3"/>
      <c r="F48" s="44"/>
      <c r="G48" s="44"/>
      <c r="H48" s="46"/>
    </row>
    <row r="49" spans="1:12" ht="17.149999999999999" customHeight="1" x14ac:dyDescent="0.35">
      <c r="B49" s="8"/>
      <c r="C49" s="44"/>
      <c r="D49" s="3"/>
      <c r="E49" s="3"/>
      <c r="F49" s="44"/>
      <c r="G49" s="44"/>
      <c r="H49" s="46"/>
    </row>
    <row r="50" spans="1:12" ht="17.149999999999999" customHeight="1" x14ac:dyDescent="0.35">
      <c r="A50" s="2" t="s">
        <v>725</v>
      </c>
      <c r="B50" s="17"/>
      <c r="C50" s="17"/>
      <c r="D50" s="3"/>
      <c r="E50" s="3"/>
      <c r="F50" s="17"/>
      <c r="G50" s="17"/>
      <c r="H50" s="17"/>
      <c r="J50" s="11" t="s">
        <v>521</v>
      </c>
      <c r="K50" s="17"/>
      <c r="L50" s="17"/>
    </row>
    <row r="51" spans="1:12" s="11" customFormat="1" ht="28" customHeight="1" x14ac:dyDescent="0.35">
      <c r="A51" s="1093" t="s">
        <v>743</v>
      </c>
      <c r="B51" s="1093" t="s">
        <v>594</v>
      </c>
      <c r="C51" s="1094" t="s">
        <v>744</v>
      </c>
      <c r="D51" s="1503"/>
      <c r="E51" s="1503"/>
      <c r="F51" s="1511" t="s">
        <v>747</v>
      </c>
      <c r="G51" s="1511" t="s">
        <v>746</v>
      </c>
      <c r="H51" s="1511" t="s">
        <v>748</v>
      </c>
      <c r="J51" s="950" t="s">
        <v>685</v>
      </c>
      <c r="K51" s="959" t="s">
        <v>712</v>
      </c>
      <c r="L51" s="959" t="s">
        <v>599</v>
      </c>
    </row>
    <row r="52" spans="1:12" s="117" customFormat="1" ht="28" customHeight="1" x14ac:dyDescent="0.35">
      <c r="A52" s="354">
        <v>0</v>
      </c>
      <c r="B52" s="1138" t="s">
        <v>713</v>
      </c>
      <c r="C52" s="417">
        <f>'Interface_Permits &amp; standards'!C125</f>
        <v>0</v>
      </c>
      <c r="D52" s="168"/>
      <c r="E52" s="168"/>
      <c r="F52" s="356"/>
      <c r="G52" s="356"/>
      <c r="H52" s="356"/>
      <c r="J52" s="1100">
        <f>'Interface_Permits &amp; standards'!E125</f>
        <v>0</v>
      </c>
      <c r="K52" s="1100">
        <f>'Interface_Permits &amp; standards'!F125</f>
        <v>0</v>
      </c>
      <c r="L52" s="1100">
        <f>'Interface_Permits &amp; standards'!G125</f>
        <v>0</v>
      </c>
    </row>
    <row r="53" spans="1:12" s="60" customFormat="1" ht="28" customHeight="1" x14ac:dyDescent="0.35">
      <c r="A53" s="354">
        <v>1</v>
      </c>
      <c r="B53" s="1100" t="s">
        <v>687</v>
      </c>
      <c r="C53" s="417">
        <f>'Interface_Permits &amp; standards'!C126</f>
        <v>1</v>
      </c>
      <c r="D53" s="155"/>
      <c r="E53" s="155"/>
      <c r="F53" s="417">
        <v>1</v>
      </c>
      <c r="G53" s="418">
        <f>IF(C53=1,(C53*F53)*1,"")</f>
        <v>1</v>
      </c>
      <c r="H53" s="418">
        <f>G53</f>
        <v>1</v>
      </c>
      <c r="J53" s="1100">
        <f>'Interface_Permits &amp; standards'!E126</f>
        <v>0</v>
      </c>
      <c r="K53" s="1100">
        <f>'Interface_Permits &amp; standards'!F126</f>
        <v>0</v>
      </c>
      <c r="L53" s="1100">
        <f>'Interface_Permits &amp; standards'!G126</f>
        <v>0</v>
      </c>
    </row>
    <row r="54" spans="1:12" s="117" customFormat="1" ht="28" customHeight="1" x14ac:dyDescent="0.35">
      <c r="A54" s="354">
        <v>2</v>
      </c>
      <c r="B54" s="1138" t="s">
        <v>688</v>
      </c>
      <c r="C54" s="417">
        <f>'Interface_Permits &amp; standards'!C127</f>
        <v>1</v>
      </c>
      <c r="D54" s="168"/>
      <c r="E54" s="168"/>
      <c r="F54" s="356">
        <v>1</v>
      </c>
      <c r="G54" s="356">
        <f>IF(C54=1,(C54*F54)*1,"")</f>
        <v>1</v>
      </c>
      <c r="H54" s="356">
        <f>G54</f>
        <v>1</v>
      </c>
      <c r="J54" s="953">
        <f>'Interface_Permits &amp; standards'!E127</f>
        <v>0</v>
      </c>
      <c r="K54" s="953">
        <f>'Interface_Permits &amp; standards'!F127</f>
        <v>0</v>
      </c>
      <c r="L54" s="1100">
        <f>'Interface_Permits &amp; standards'!G127</f>
        <v>0</v>
      </c>
    </row>
    <row r="55" spans="1:12" s="60" customFormat="1" ht="28" customHeight="1" x14ac:dyDescent="0.35">
      <c r="A55" s="354">
        <v>3</v>
      </c>
      <c r="B55" s="1100" t="s">
        <v>689</v>
      </c>
      <c r="C55" s="417">
        <f>'Interface_Permits &amp; standards'!C128</f>
        <v>0</v>
      </c>
      <c r="D55" s="155"/>
      <c r="E55" s="155"/>
      <c r="F55" s="417">
        <v>1</v>
      </c>
      <c r="G55" s="418" t="str">
        <f>IF(C55=1,(C55*F55)*1,"")</f>
        <v/>
      </c>
      <c r="H55" s="418" t="str">
        <f>G55</f>
        <v/>
      </c>
      <c r="J55" s="1100">
        <f>'Interface_Permits &amp; standards'!E128</f>
        <v>0</v>
      </c>
      <c r="K55" s="1100">
        <f>'Interface_Permits &amp; standards'!F128</f>
        <v>0</v>
      </c>
      <c r="L55" s="1100">
        <f>'Interface_Permits &amp; standards'!G128</f>
        <v>0</v>
      </c>
    </row>
    <row r="56" spans="1:12" ht="17.149999999999999" customHeight="1" x14ac:dyDescent="0.35">
      <c r="D56" s="3"/>
      <c r="E56" s="3"/>
      <c r="H56" s="3"/>
    </row>
    <row r="57" spans="1:12" ht="17.149999999999999" customHeight="1" x14ac:dyDescent="0.35">
      <c r="B57" s="48" t="s">
        <v>749</v>
      </c>
      <c r="C57" s="1102"/>
      <c r="D57" s="1102"/>
      <c r="E57" s="1104"/>
      <c r="F57" s="1102"/>
      <c r="G57" s="1104">
        <f>SUM(G53:G55)</f>
        <v>2</v>
      </c>
      <c r="H57" s="1105">
        <f>SUM(H53:H55)</f>
        <v>2</v>
      </c>
    </row>
    <row r="58" spans="1:12" ht="17.149999999999999" customHeight="1" x14ac:dyDescent="0.35">
      <c r="B58" s="47"/>
    </row>
    <row r="59" spans="1:12" ht="17.149999999999999" customHeight="1" x14ac:dyDescent="0.35">
      <c r="B59" s="48" t="s">
        <v>750</v>
      </c>
      <c r="C59" s="1102"/>
      <c r="D59" s="1102"/>
      <c r="E59" s="1102"/>
      <c r="F59" s="1102"/>
      <c r="G59" s="1104"/>
      <c r="H59" s="1105">
        <f>SUM(F53:F55)</f>
        <v>3</v>
      </c>
    </row>
    <row r="60" spans="1:12" ht="17.149999999999999" customHeight="1" x14ac:dyDescent="0.35">
      <c r="B60" s="47"/>
    </row>
    <row r="61" spans="1:12" s="12" customFormat="1" ht="17.149999999999999" customHeight="1" x14ac:dyDescent="0.35">
      <c r="A61" s="11"/>
      <c r="B61" s="23" t="s">
        <v>751</v>
      </c>
      <c r="C61" s="963">
        <f>SUM(C53:C55)</f>
        <v>2</v>
      </c>
      <c r="D61" s="963"/>
      <c r="E61" s="963"/>
      <c r="F61" s="963"/>
      <c r="G61" s="963"/>
      <c r="H61" s="352">
        <f>IF(A52=1,0,H57/H59)</f>
        <v>0.66666666666666663</v>
      </c>
    </row>
    <row r="62" spans="1:12" ht="17.149999999999999" customHeight="1" x14ac:dyDescent="0.35">
      <c r="B62" s="8"/>
      <c r="C62" s="44"/>
      <c r="D62" s="44"/>
      <c r="E62" s="44"/>
      <c r="F62" s="46"/>
      <c r="G62" s="3"/>
    </row>
    <row r="63" spans="1:12" ht="17.149999999999999" customHeight="1" x14ac:dyDescent="0.35">
      <c r="B63" s="8"/>
      <c r="C63" s="44"/>
      <c r="D63" s="44"/>
      <c r="E63" s="44"/>
      <c r="F63" s="46"/>
      <c r="G63" s="3"/>
    </row>
    <row r="64" spans="1:12" ht="17.149999999999999" customHeight="1" x14ac:dyDescent="0.35">
      <c r="A64" s="2" t="s">
        <v>786</v>
      </c>
      <c r="B64" s="8"/>
      <c r="C64" s="5"/>
      <c r="D64" s="5"/>
      <c r="E64" s="5"/>
      <c r="F64" s="46"/>
      <c r="G64" s="3"/>
    </row>
    <row r="65" spans="1:14" s="11" customFormat="1" ht="28" customHeight="1" x14ac:dyDescent="0.35">
      <c r="A65" s="1504" t="s">
        <v>743</v>
      </c>
      <c r="B65" s="1513" t="s">
        <v>594</v>
      </c>
      <c r="C65" s="1139" t="s">
        <v>787</v>
      </c>
      <c r="D65" s="1504" t="s">
        <v>745</v>
      </c>
      <c r="E65" s="1504" t="s">
        <v>746</v>
      </c>
      <c r="F65" s="1513" t="s">
        <v>747</v>
      </c>
      <c r="G65" s="1513" t="s">
        <v>746</v>
      </c>
      <c r="H65" s="1513" t="s">
        <v>748</v>
      </c>
      <c r="J65" s="1117" t="s">
        <v>521</v>
      </c>
      <c r="K65" s="1118"/>
      <c r="L65" s="1119"/>
      <c r="M65" s="1504" t="s">
        <v>656</v>
      </c>
      <c r="N65" s="1504" t="s">
        <v>645</v>
      </c>
    </row>
    <row r="66" spans="1:14" s="117" customFormat="1" ht="28" customHeight="1" x14ac:dyDescent="0.35">
      <c r="A66" s="171"/>
      <c r="B66" s="171" t="s">
        <v>754</v>
      </c>
      <c r="C66" s="354">
        <f>Interface_Budgets!C139</f>
        <v>1</v>
      </c>
      <c r="D66" s="171"/>
      <c r="E66" s="171"/>
      <c r="F66" s="356"/>
      <c r="G66" s="356"/>
      <c r="H66" s="356"/>
      <c r="J66" s="1120">
        <f>Interface_Budgets!E139</f>
        <v>0</v>
      </c>
      <c r="K66" s="1121"/>
      <c r="L66" s="1122"/>
      <c r="M66" s="1520">
        <f>Interface_Budgets!H139</f>
        <v>0</v>
      </c>
      <c r="N66" s="1521">
        <f>Interface_Budgets!I139</f>
        <v>0</v>
      </c>
    </row>
    <row r="67" spans="1:14" s="60" customFormat="1" ht="28" customHeight="1" x14ac:dyDescent="0.35">
      <c r="A67" s="354">
        <v>0</v>
      </c>
      <c r="B67" s="1100" t="s">
        <v>661</v>
      </c>
      <c r="C67" s="354">
        <f>Interface_Budgets!C140</f>
        <v>0</v>
      </c>
      <c r="D67" s="417">
        <v>1</v>
      </c>
      <c r="E67" s="418" t="str">
        <f t="shared" ref="E67:E73" si="0">IF(C67=1,(C67*D67)*1,"")</f>
        <v/>
      </c>
      <c r="F67" s="417">
        <v>1</v>
      </c>
      <c r="G67" s="418" t="str">
        <f>IF(C67=1,(C67*F67),"")</f>
        <v/>
      </c>
      <c r="H67" s="419" t="str">
        <f t="shared" ref="H67:H73" si="1">G67</f>
        <v/>
      </c>
      <c r="J67" s="1120">
        <f>Interface_Budgets!E140</f>
        <v>0</v>
      </c>
      <c r="K67" s="1121"/>
      <c r="L67" s="1122"/>
      <c r="M67" s="1520">
        <f>Interface_Budgets!H140</f>
        <v>0</v>
      </c>
      <c r="N67" s="1521">
        <f>Interface_Budgets!I140</f>
        <v>0</v>
      </c>
    </row>
    <row r="68" spans="1:14" s="60" customFormat="1" ht="28" customHeight="1" x14ac:dyDescent="0.35">
      <c r="A68" s="354">
        <v>1</v>
      </c>
      <c r="B68" s="1100" t="s">
        <v>649</v>
      </c>
      <c r="C68" s="354">
        <f>Interface_Budgets!C141</f>
        <v>0</v>
      </c>
      <c r="D68" s="417">
        <v>1</v>
      </c>
      <c r="E68" s="418" t="str">
        <f t="shared" si="0"/>
        <v/>
      </c>
      <c r="F68" s="417">
        <v>1</v>
      </c>
      <c r="G68" s="418" t="str">
        <f t="shared" ref="G68:G73" si="2">IF(C68=1,(C68*F68)*1,"")</f>
        <v/>
      </c>
      <c r="H68" s="419" t="str">
        <f t="shared" si="1"/>
        <v/>
      </c>
      <c r="J68" s="1120">
        <f>Interface_Budgets!E141</f>
        <v>0</v>
      </c>
      <c r="K68" s="1121"/>
      <c r="L68" s="1122"/>
      <c r="M68" s="1520">
        <f>Interface_Budgets!H141</f>
        <v>0</v>
      </c>
      <c r="N68" s="1521">
        <f>Interface_Budgets!I141</f>
        <v>0</v>
      </c>
    </row>
    <row r="69" spans="1:14" s="60" customFormat="1" ht="28" customHeight="1" x14ac:dyDescent="0.35">
      <c r="A69" s="354">
        <v>2</v>
      </c>
      <c r="B69" s="1100" t="s">
        <v>658</v>
      </c>
      <c r="C69" s="354">
        <f>Interface_Budgets!C142</f>
        <v>0</v>
      </c>
      <c r="D69" s="417">
        <v>1</v>
      </c>
      <c r="E69" s="418" t="str">
        <f t="shared" si="0"/>
        <v/>
      </c>
      <c r="F69" s="417">
        <v>1</v>
      </c>
      <c r="G69" s="418" t="str">
        <f t="shared" si="2"/>
        <v/>
      </c>
      <c r="H69" s="419" t="str">
        <f t="shared" si="1"/>
        <v/>
      </c>
      <c r="J69" s="1120">
        <f>Interface_Budgets!E142</f>
        <v>0</v>
      </c>
      <c r="K69" s="1121"/>
      <c r="L69" s="1122"/>
      <c r="M69" s="1520">
        <f>Interface_Budgets!H142</f>
        <v>0</v>
      </c>
      <c r="N69" s="1521">
        <f>Interface_Budgets!I142</f>
        <v>0</v>
      </c>
    </row>
    <row r="70" spans="1:14" s="60" customFormat="1" ht="28" customHeight="1" x14ac:dyDescent="0.35">
      <c r="A70" s="354">
        <v>3</v>
      </c>
      <c r="B70" s="1106" t="s">
        <v>651</v>
      </c>
      <c r="C70" s="354">
        <f>Interface_Budgets!C143</f>
        <v>0</v>
      </c>
      <c r="D70" s="417">
        <v>1</v>
      </c>
      <c r="E70" s="418" t="str">
        <f t="shared" si="0"/>
        <v/>
      </c>
      <c r="F70" s="417">
        <v>1</v>
      </c>
      <c r="G70" s="418" t="str">
        <f t="shared" si="2"/>
        <v/>
      </c>
      <c r="H70" s="419" t="str">
        <f t="shared" si="1"/>
        <v/>
      </c>
      <c r="J70" s="1120">
        <f>Interface_Budgets!E143</f>
        <v>0</v>
      </c>
      <c r="K70" s="1121"/>
      <c r="L70" s="1122"/>
      <c r="M70" s="1520">
        <f>Interface_Budgets!H143</f>
        <v>0</v>
      </c>
      <c r="N70" s="1521">
        <f>Interface_Budgets!I143</f>
        <v>0</v>
      </c>
    </row>
    <row r="71" spans="1:14" s="60" customFormat="1" ht="28" customHeight="1" x14ac:dyDescent="0.35">
      <c r="A71" s="354">
        <v>4</v>
      </c>
      <c r="B71" s="1100" t="s">
        <v>652</v>
      </c>
      <c r="C71" s="354">
        <f>Interface_Budgets!C144</f>
        <v>0</v>
      </c>
      <c r="D71" s="417">
        <v>1</v>
      </c>
      <c r="E71" s="418" t="str">
        <f t="shared" si="0"/>
        <v/>
      </c>
      <c r="F71" s="417">
        <v>1</v>
      </c>
      <c r="G71" s="418" t="str">
        <f t="shared" si="2"/>
        <v/>
      </c>
      <c r="H71" s="419" t="str">
        <f t="shared" si="1"/>
        <v/>
      </c>
      <c r="J71" s="1120">
        <f>Interface_Budgets!E144</f>
        <v>0</v>
      </c>
      <c r="K71" s="1121"/>
      <c r="L71" s="1122"/>
      <c r="M71" s="1520">
        <f>Interface_Budgets!H144</f>
        <v>0</v>
      </c>
      <c r="N71" s="1521">
        <f>Interface_Budgets!I144</f>
        <v>0</v>
      </c>
    </row>
    <row r="72" spans="1:14" s="60" customFormat="1" ht="28" customHeight="1" x14ac:dyDescent="0.35">
      <c r="A72" s="354">
        <v>5</v>
      </c>
      <c r="B72" s="1100" t="s">
        <v>653</v>
      </c>
      <c r="C72" s="354">
        <f>Interface_Budgets!C145</f>
        <v>0</v>
      </c>
      <c r="D72" s="417">
        <v>1</v>
      </c>
      <c r="E72" s="418" t="str">
        <f t="shared" si="0"/>
        <v/>
      </c>
      <c r="F72" s="417">
        <v>1</v>
      </c>
      <c r="G72" s="418" t="str">
        <f t="shared" si="2"/>
        <v/>
      </c>
      <c r="H72" s="419" t="str">
        <f t="shared" si="1"/>
        <v/>
      </c>
      <c r="J72" s="1120">
        <f>Interface_Budgets!E145</f>
        <v>0</v>
      </c>
      <c r="K72" s="1121"/>
      <c r="L72" s="1122"/>
      <c r="M72" s="1520">
        <f>Interface_Budgets!H145</f>
        <v>0</v>
      </c>
      <c r="N72" s="1521">
        <f>Interface_Budgets!I145</f>
        <v>0</v>
      </c>
    </row>
    <row r="73" spans="1:14" s="60" customFormat="1" ht="28" customHeight="1" x14ac:dyDescent="0.35">
      <c r="A73" s="354">
        <v>6</v>
      </c>
      <c r="B73" s="1100" t="s">
        <v>654</v>
      </c>
      <c r="C73" s="354">
        <f>Interface_Budgets!C146</f>
        <v>0</v>
      </c>
      <c r="D73" s="417">
        <v>1</v>
      </c>
      <c r="E73" s="1107" t="str">
        <f t="shared" si="0"/>
        <v/>
      </c>
      <c r="F73" s="417">
        <v>1</v>
      </c>
      <c r="G73" s="418" t="str">
        <f t="shared" si="2"/>
        <v/>
      </c>
      <c r="H73" s="419" t="str">
        <f t="shared" si="1"/>
        <v/>
      </c>
      <c r="J73" s="1120">
        <f>Interface_Budgets!E146</f>
        <v>0</v>
      </c>
      <c r="K73" s="1121"/>
      <c r="L73" s="1122"/>
      <c r="M73" s="1520">
        <f>Interface_Budgets!H146</f>
        <v>0</v>
      </c>
      <c r="N73" s="1521">
        <f>Interface_Budgets!I146</f>
        <v>0</v>
      </c>
    </row>
    <row r="74" spans="1:14" ht="17.149999999999999" customHeight="1" x14ac:dyDescent="0.35">
      <c r="A74" s="55"/>
      <c r="B74" s="4"/>
    </row>
    <row r="75" spans="1:14" ht="17.149999999999999" customHeight="1" x14ac:dyDescent="0.35">
      <c r="B75" s="48" t="s">
        <v>749</v>
      </c>
      <c r="C75" s="1102"/>
      <c r="D75" s="1102"/>
      <c r="E75" s="1104">
        <f>SUM(E67:E73)</f>
        <v>0</v>
      </c>
      <c r="F75" s="1102"/>
      <c r="G75" s="1104">
        <f>SUM(G67:G73)</f>
        <v>0</v>
      </c>
      <c r="H75" s="1105">
        <f>SUM(H67:H73)</f>
        <v>0</v>
      </c>
    </row>
    <row r="76" spans="1:14" ht="17.149999999999999" customHeight="1" x14ac:dyDescent="0.35">
      <c r="B76" s="47"/>
    </row>
    <row r="77" spans="1:14" ht="17.149999999999999" customHeight="1" x14ac:dyDescent="0.35">
      <c r="B77" s="48" t="s">
        <v>750</v>
      </c>
      <c r="C77" s="1102"/>
      <c r="D77" s="1102"/>
      <c r="E77" s="1102"/>
      <c r="F77" s="1102"/>
      <c r="G77" s="1104"/>
      <c r="H77" s="1105">
        <f>SUM(F67:F73)</f>
        <v>7</v>
      </c>
    </row>
    <row r="78" spans="1:14" ht="17.149999999999999" customHeight="1" x14ac:dyDescent="0.35">
      <c r="B78" s="47"/>
    </row>
    <row r="79" spans="1:14" s="11" customFormat="1" ht="17.149999999999999" customHeight="1" x14ac:dyDescent="0.35">
      <c r="B79" s="23" t="s">
        <v>751</v>
      </c>
      <c r="C79" s="963">
        <f>SUM(C67:C73)</f>
        <v>0</v>
      </c>
      <c r="D79" s="963"/>
      <c r="E79" s="963"/>
      <c r="F79" s="963"/>
      <c r="G79" s="963"/>
      <c r="H79" s="352" t="str">
        <f>IF(C66=1,"",(H75/H77))</f>
        <v/>
      </c>
    </row>
    <row r="80" spans="1:14" ht="17.149999999999999" customHeight="1" x14ac:dyDescent="0.35">
      <c r="B80" s="8"/>
      <c r="C80" s="5"/>
      <c r="D80" s="5"/>
      <c r="E80" s="5"/>
      <c r="F80" s="5"/>
      <c r="G80" s="5"/>
      <c r="H80" s="46"/>
    </row>
    <row r="81" spans="1:14" ht="17.149999999999999" customHeight="1" x14ac:dyDescent="0.35">
      <c r="B81" s="8"/>
      <c r="C81" s="5"/>
      <c r="D81" s="5"/>
      <c r="E81" s="5"/>
      <c r="F81" s="5"/>
      <c r="G81" s="5"/>
      <c r="H81" s="46"/>
    </row>
    <row r="82" spans="1:14" ht="17.149999999999999" customHeight="1" x14ac:dyDescent="0.35">
      <c r="A82" s="2" t="s">
        <v>788</v>
      </c>
      <c r="B82" s="8"/>
      <c r="C82" s="5"/>
      <c r="D82" s="5"/>
      <c r="E82" s="5"/>
      <c r="F82" s="46"/>
      <c r="G82" s="3"/>
    </row>
    <row r="83" spans="1:14" s="11" customFormat="1" ht="28" customHeight="1" x14ac:dyDescent="0.35">
      <c r="A83" s="1504" t="s">
        <v>743</v>
      </c>
      <c r="B83" s="1513" t="s">
        <v>594</v>
      </c>
      <c r="C83" s="1139" t="s">
        <v>744</v>
      </c>
      <c r="D83" s="1504" t="s">
        <v>745</v>
      </c>
      <c r="E83" s="1504" t="s">
        <v>746</v>
      </c>
      <c r="F83" s="1513" t="s">
        <v>747</v>
      </c>
      <c r="G83" s="1513" t="s">
        <v>746</v>
      </c>
      <c r="H83" s="1513" t="s">
        <v>748</v>
      </c>
      <c r="I83" s="61"/>
      <c r="J83" s="1117" t="s">
        <v>521</v>
      </c>
      <c r="K83" s="1118"/>
      <c r="L83" s="1119"/>
      <c r="M83" s="1504" t="s">
        <v>656</v>
      </c>
      <c r="N83" s="1504" t="s">
        <v>645</v>
      </c>
    </row>
    <row r="84" spans="1:14" s="117" customFormat="1" ht="28" customHeight="1" x14ac:dyDescent="0.35">
      <c r="A84" s="171"/>
      <c r="B84" s="171" t="s">
        <v>754</v>
      </c>
      <c r="C84" s="354">
        <f>Interface_Budgets!C151</f>
        <v>1</v>
      </c>
      <c r="D84" s="171"/>
      <c r="E84" s="171"/>
      <c r="F84" s="356"/>
      <c r="G84" s="356"/>
      <c r="H84" s="356"/>
      <c r="J84" s="1120">
        <f>Interface_Budgets!E151</f>
        <v>0</v>
      </c>
      <c r="K84" s="1121"/>
      <c r="L84" s="1122"/>
      <c r="M84" s="1520">
        <f>Interface_Budgets!H151</f>
        <v>0</v>
      </c>
      <c r="N84" s="1521">
        <f>Interface_Budgets!I151</f>
        <v>0</v>
      </c>
    </row>
    <row r="85" spans="1:14" s="60" customFormat="1" ht="28" customHeight="1" x14ac:dyDescent="0.35">
      <c r="A85" s="354">
        <v>0</v>
      </c>
      <c r="B85" s="1100" t="s">
        <v>661</v>
      </c>
      <c r="C85" s="354">
        <f>Interface_Budgets!C152</f>
        <v>0</v>
      </c>
      <c r="D85" s="417">
        <v>1</v>
      </c>
      <c r="E85" s="418" t="str">
        <f t="shared" ref="E85:E91" si="3">IF(C85=1,(C85*D85)*1,"")</f>
        <v/>
      </c>
      <c r="F85" s="417">
        <v>1</v>
      </c>
      <c r="G85" s="418" t="str">
        <f>IF(C85=1,(C85*F85),"")</f>
        <v/>
      </c>
      <c r="H85" s="419" t="str">
        <f t="shared" ref="H85:H91" si="4">G85</f>
        <v/>
      </c>
      <c r="J85" s="1120">
        <f>Interface_Budgets!E152</f>
        <v>0</v>
      </c>
      <c r="K85" s="1121"/>
      <c r="L85" s="1122"/>
      <c r="M85" s="1520">
        <f>Interface_Budgets!H152</f>
        <v>0</v>
      </c>
      <c r="N85" s="1521">
        <f>Interface_Budgets!I152</f>
        <v>0</v>
      </c>
    </row>
    <row r="86" spans="1:14" s="60" customFormat="1" ht="28" customHeight="1" x14ac:dyDescent="0.35">
      <c r="A86" s="354">
        <v>1</v>
      </c>
      <c r="B86" s="1100" t="s">
        <v>649</v>
      </c>
      <c r="C86" s="354">
        <f>Interface_Budgets!C153</f>
        <v>0</v>
      </c>
      <c r="D86" s="417">
        <v>1</v>
      </c>
      <c r="E86" s="418" t="str">
        <f t="shared" si="3"/>
        <v/>
      </c>
      <c r="F86" s="417">
        <v>1</v>
      </c>
      <c r="G86" s="418" t="str">
        <f t="shared" ref="G86:G91" si="5">IF(C86=1,(C86*F86)*1,"")</f>
        <v/>
      </c>
      <c r="H86" s="419" t="str">
        <f t="shared" si="4"/>
        <v/>
      </c>
      <c r="J86" s="1120">
        <f>Interface_Budgets!E153</f>
        <v>0</v>
      </c>
      <c r="K86" s="1121"/>
      <c r="L86" s="1122"/>
      <c r="M86" s="1520">
        <f>Interface_Budgets!H153</f>
        <v>0</v>
      </c>
      <c r="N86" s="1521">
        <f>Interface_Budgets!I153</f>
        <v>0</v>
      </c>
    </row>
    <row r="87" spans="1:14" s="60" customFormat="1" ht="28" customHeight="1" x14ac:dyDescent="0.35">
      <c r="A87" s="354">
        <v>2</v>
      </c>
      <c r="B87" s="1100" t="s">
        <v>658</v>
      </c>
      <c r="C87" s="354">
        <f>Interface_Budgets!C154</f>
        <v>0</v>
      </c>
      <c r="D87" s="417">
        <v>1</v>
      </c>
      <c r="E87" s="418" t="str">
        <f t="shared" si="3"/>
        <v/>
      </c>
      <c r="F87" s="417">
        <v>1</v>
      </c>
      <c r="G87" s="418" t="str">
        <f t="shared" si="5"/>
        <v/>
      </c>
      <c r="H87" s="419" t="str">
        <f t="shared" si="4"/>
        <v/>
      </c>
      <c r="J87" s="1120">
        <f>Interface_Budgets!E154</f>
        <v>0</v>
      </c>
      <c r="K87" s="1121"/>
      <c r="L87" s="1122"/>
      <c r="M87" s="1520">
        <f>Interface_Budgets!H154</f>
        <v>0</v>
      </c>
      <c r="N87" s="1521">
        <f>Interface_Budgets!I154</f>
        <v>0</v>
      </c>
    </row>
    <row r="88" spans="1:14" s="60" customFormat="1" ht="28" customHeight="1" x14ac:dyDescent="0.35">
      <c r="A88" s="354">
        <v>3</v>
      </c>
      <c r="B88" s="1106" t="s">
        <v>651</v>
      </c>
      <c r="C88" s="354">
        <f>Interface_Budgets!C155</f>
        <v>0</v>
      </c>
      <c r="D88" s="417">
        <v>1</v>
      </c>
      <c r="E88" s="418" t="str">
        <f t="shared" si="3"/>
        <v/>
      </c>
      <c r="F88" s="417">
        <v>1</v>
      </c>
      <c r="G88" s="418" t="str">
        <f t="shared" si="5"/>
        <v/>
      </c>
      <c r="H88" s="419" t="str">
        <f t="shared" si="4"/>
        <v/>
      </c>
      <c r="J88" s="1120">
        <f>Interface_Budgets!E155</f>
        <v>0</v>
      </c>
      <c r="K88" s="1121"/>
      <c r="L88" s="1122"/>
      <c r="M88" s="1520">
        <f>Interface_Budgets!H155</f>
        <v>0</v>
      </c>
      <c r="N88" s="1521">
        <f>Interface_Budgets!I155</f>
        <v>0</v>
      </c>
    </row>
    <row r="89" spans="1:14" s="60" customFormat="1" ht="28" customHeight="1" x14ac:dyDescent="0.35">
      <c r="A89" s="354">
        <v>4</v>
      </c>
      <c r="B89" s="1100" t="s">
        <v>652</v>
      </c>
      <c r="C89" s="354">
        <f>Interface_Budgets!C156</f>
        <v>0</v>
      </c>
      <c r="D89" s="417">
        <v>1</v>
      </c>
      <c r="E89" s="418" t="str">
        <f t="shared" si="3"/>
        <v/>
      </c>
      <c r="F89" s="417">
        <v>1</v>
      </c>
      <c r="G89" s="418" t="str">
        <f t="shared" si="5"/>
        <v/>
      </c>
      <c r="H89" s="419" t="str">
        <f t="shared" si="4"/>
        <v/>
      </c>
      <c r="J89" s="1120">
        <f>Interface_Budgets!E156</f>
        <v>0</v>
      </c>
      <c r="K89" s="1121"/>
      <c r="L89" s="1122"/>
      <c r="M89" s="1520">
        <f>Interface_Budgets!H156</f>
        <v>0</v>
      </c>
      <c r="N89" s="1521">
        <f>Interface_Budgets!I156</f>
        <v>0</v>
      </c>
    </row>
    <row r="90" spans="1:14" s="60" customFormat="1" ht="28" customHeight="1" x14ac:dyDescent="0.35">
      <c r="A90" s="354">
        <v>5</v>
      </c>
      <c r="B90" s="1100" t="s">
        <v>653</v>
      </c>
      <c r="C90" s="354">
        <f>Interface_Budgets!C157</f>
        <v>0</v>
      </c>
      <c r="D90" s="417">
        <v>1</v>
      </c>
      <c r="E90" s="418" t="str">
        <f t="shared" si="3"/>
        <v/>
      </c>
      <c r="F90" s="417">
        <v>1</v>
      </c>
      <c r="G90" s="418" t="str">
        <f t="shared" si="5"/>
        <v/>
      </c>
      <c r="H90" s="419" t="str">
        <f t="shared" si="4"/>
        <v/>
      </c>
      <c r="J90" s="1120">
        <f>Interface_Budgets!E157</f>
        <v>0</v>
      </c>
      <c r="K90" s="1121"/>
      <c r="L90" s="1122"/>
      <c r="M90" s="1520">
        <f>Interface_Budgets!H157</f>
        <v>0</v>
      </c>
      <c r="N90" s="1521">
        <f>Interface_Budgets!I157</f>
        <v>0</v>
      </c>
    </row>
    <row r="91" spans="1:14" s="60" customFormat="1" ht="28" customHeight="1" x14ac:dyDescent="0.35">
      <c r="A91" s="354">
        <v>6</v>
      </c>
      <c r="B91" s="1100" t="s">
        <v>654</v>
      </c>
      <c r="C91" s="354">
        <f>Interface_Budgets!C158</f>
        <v>0</v>
      </c>
      <c r="D91" s="417">
        <v>1</v>
      </c>
      <c r="E91" s="418" t="str">
        <f t="shared" si="3"/>
        <v/>
      </c>
      <c r="F91" s="417">
        <v>1</v>
      </c>
      <c r="G91" s="418" t="str">
        <f t="shared" si="5"/>
        <v/>
      </c>
      <c r="H91" s="419" t="str">
        <f t="shared" si="4"/>
        <v/>
      </c>
      <c r="J91" s="1120">
        <f>Interface_Budgets!E158</f>
        <v>0</v>
      </c>
      <c r="K91" s="1121"/>
      <c r="L91" s="1122"/>
      <c r="M91" s="1520">
        <f>Interface_Budgets!H158</f>
        <v>0</v>
      </c>
      <c r="N91" s="1521">
        <f>Interface_Budgets!I158</f>
        <v>0</v>
      </c>
    </row>
    <row r="92" spans="1:14" ht="17.149999999999999" customHeight="1" x14ac:dyDescent="0.35">
      <c r="A92" s="55"/>
      <c r="B92" s="4"/>
    </row>
    <row r="93" spans="1:14" ht="17.149999999999999" customHeight="1" x14ac:dyDescent="0.35">
      <c r="B93" s="48" t="s">
        <v>749</v>
      </c>
      <c r="C93" s="1102"/>
      <c r="D93" s="1102"/>
      <c r="E93" s="1104">
        <f>SUM(E85:E91)</f>
        <v>0</v>
      </c>
      <c r="F93" s="1102"/>
      <c r="G93" s="1104">
        <f>SUM(G85:G91)</f>
        <v>0</v>
      </c>
      <c r="H93" s="1105">
        <f>SUM(H85:H91)</f>
        <v>0</v>
      </c>
    </row>
    <row r="94" spans="1:14" ht="17.149999999999999" customHeight="1" x14ac:dyDescent="0.35">
      <c r="B94" s="47"/>
    </row>
    <row r="95" spans="1:14" ht="17.149999999999999" customHeight="1" x14ac:dyDescent="0.35">
      <c r="B95" s="48" t="s">
        <v>750</v>
      </c>
      <c r="C95" s="1102"/>
      <c r="D95" s="1102"/>
      <c r="E95" s="1102"/>
      <c r="F95" s="1102"/>
      <c r="G95" s="1104"/>
      <c r="H95" s="1105">
        <f>SUM(F85:F91)</f>
        <v>7</v>
      </c>
    </row>
    <row r="96" spans="1:14" ht="17.149999999999999" customHeight="1" x14ac:dyDescent="0.35">
      <c r="A96" s="117"/>
      <c r="B96" s="47"/>
    </row>
    <row r="97" spans="1:14" s="11" customFormat="1" ht="17.149999999999999" customHeight="1" x14ac:dyDescent="0.35">
      <c r="A97" s="61"/>
      <c r="B97" s="23" t="s">
        <v>751</v>
      </c>
      <c r="C97" s="963">
        <f>SUM(C85:C91)</f>
        <v>0</v>
      </c>
      <c r="D97" s="963"/>
      <c r="E97" s="963"/>
      <c r="F97" s="963"/>
      <c r="G97" s="963"/>
      <c r="H97" s="352" t="str">
        <f>IF(C84=1,"",(H93/H95))</f>
        <v/>
      </c>
    </row>
    <row r="98" spans="1:14" ht="17.149999999999999" customHeight="1" x14ac:dyDescent="0.35">
      <c r="A98" s="117"/>
      <c r="B98" s="8"/>
      <c r="C98" s="5"/>
      <c r="D98" s="5"/>
      <c r="E98" s="5"/>
      <c r="F98" s="5"/>
      <c r="G98" s="5"/>
      <c r="H98" s="46"/>
    </row>
    <row r="99" spans="1:14" ht="17.149999999999999" customHeight="1" x14ac:dyDescent="0.35">
      <c r="A99" s="117"/>
    </row>
    <row r="100" spans="1:14" ht="17.149999999999999" customHeight="1" x14ac:dyDescent="0.35">
      <c r="A100" s="2" t="s">
        <v>789</v>
      </c>
      <c r="B100" s="8"/>
      <c r="C100" s="5"/>
      <c r="D100" s="5"/>
      <c r="E100" s="5"/>
      <c r="F100" s="46"/>
      <c r="G100" s="3"/>
    </row>
    <row r="101" spans="1:14" s="11" customFormat="1" ht="28" customHeight="1" x14ac:dyDescent="0.35">
      <c r="A101" s="1504" t="s">
        <v>743</v>
      </c>
      <c r="B101" s="1513" t="s">
        <v>594</v>
      </c>
      <c r="C101" s="1139" t="s">
        <v>744</v>
      </c>
      <c r="D101" s="1504" t="s">
        <v>745</v>
      </c>
      <c r="E101" s="1504" t="s">
        <v>746</v>
      </c>
      <c r="F101" s="1513" t="s">
        <v>747</v>
      </c>
      <c r="G101" s="1513" t="s">
        <v>746</v>
      </c>
      <c r="H101" s="1513" t="s">
        <v>748</v>
      </c>
      <c r="J101" s="1117" t="s">
        <v>521</v>
      </c>
      <c r="K101" s="1118"/>
      <c r="L101" s="1119"/>
      <c r="M101" s="1504" t="s">
        <v>656</v>
      </c>
      <c r="N101" s="1504" t="s">
        <v>645</v>
      </c>
    </row>
    <row r="102" spans="1:14" s="117" customFormat="1" ht="28" customHeight="1" x14ac:dyDescent="0.35">
      <c r="A102" s="171"/>
      <c r="B102" s="171" t="s">
        <v>754</v>
      </c>
      <c r="C102" s="354">
        <f>Interface_Budgets!C163</f>
        <v>1</v>
      </c>
      <c r="D102" s="171"/>
      <c r="E102" s="171"/>
      <c r="F102" s="356"/>
      <c r="G102" s="356"/>
      <c r="H102" s="356"/>
      <c r="J102" s="1120">
        <f>Interface_Budgets!E163</f>
        <v>0</v>
      </c>
      <c r="K102" s="1121"/>
      <c r="L102" s="1122"/>
      <c r="M102" s="1520">
        <f>Interface_Budgets!H163</f>
        <v>0</v>
      </c>
      <c r="N102" s="1521">
        <f>Interface_Budgets!I163</f>
        <v>0</v>
      </c>
    </row>
    <row r="103" spans="1:14" s="60" customFormat="1" ht="28" customHeight="1" x14ac:dyDescent="0.35">
      <c r="A103" s="354">
        <v>0</v>
      </c>
      <c r="B103" s="1100" t="s">
        <v>661</v>
      </c>
      <c r="C103" s="354">
        <f>Interface_Budgets!C164</f>
        <v>0</v>
      </c>
      <c r="D103" s="417">
        <v>1</v>
      </c>
      <c r="E103" s="418" t="str">
        <f t="shared" ref="E103:E109" si="6">IF(C103=1,(C103*D103)*1,"")</f>
        <v/>
      </c>
      <c r="F103" s="417">
        <v>1</v>
      </c>
      <c r="G103" s="418" t="str">
        <f>IF(C103=1,(C103*F103),"")</f>
        <v/>
      </c>
      <c r="H103" s="419" t="str">
        <f t="shared" ref="H103:H109" si="7">G103</f>
        <v/>
      </c>
      <c r="J103" s="1120">
        <f>Interface_Budgets!E164</f>
        <v>0</v>
      </c>
      <c r="K103" s="1121"/>
      <c r="L103" s="1122"/>
      <c r="M103" s="1520">
        <f>Interface_Budgets!H164</f>
        <v>0</v>
      </c>
      <c r="N103" s="1521">
        <f>Interface_Budgets!I164</f>
        <v>0</v>
      </c>
    </row>
    <row r="104" spans="1:14" s="60" customFormat="1" ht="28" customHeight="1" x14ac:dyDescent="0.35">
      <c r="A104" s="354">
        <v>1</v>
      </c>
      <c r="B104" s="1100" t="s">
        <v>649</v>
      </c>
      <c r="C104" s="354">
        <f>Interface_Budgets!C165</f>
        <v>0</v>
      </c>
      <c r="D104" s="417">
        <v>1</v>
      </c>
      <c r="E104" s="418" t="str">
        <f t="shared" si="6"/>
        <v/>
      </c>
      <c r="F104" s="417">
        <v>1</v>
      </c>
      <c r="G104" s="418" t="str">
        <f t="shared" ref="G104:G109" si="8">IF(C104=1,(C104*F104)*1,"")</f>
        <v/>
      </c>
      <c r="H104" s="419" t="str">
        <f t="shared" si="7"/>
        <v/>
      </c>
      <c r="J104" s="1120">
        <f>Interface_Budgets!E165</f>
        <v>0</v>
      </c>
      <c r="K104" s="1121"/>
      <c r="L104" s="1122"/>
      <c r="M104" s="1520">
        <f>Interface_Budgets!H165</f>
        <v>0</v>
      </c>
      <c r="N104" s="1521">
        <f>Interface_Budgets!I165</f>
        <v>0</v>
      </c>
    </row>
    <row r="105" spans="1:14" s="60" customFormat="1" ht="28" customHeight="1" x14ac:dyDescent="0.35">
      <c r="A105" s="354">
        <v>2</v>
      </c>
      <c r="B105" s="1100" t="s">
        <v>658</v>
      </c>
      <c r="C105" s="354">
        <f>Interface_Budgets!C166</f>
        <v>0</v>
      </c>
      <c r="D105" s="417">
        <v>1</v>
      </c>
      <c r="E105" s="418" t="str">
        <f t="shared" si="6"/>
        <v/>
      </c>
      <c r="F105" s="417">
        <v>1</v>
      </c>
      <c r="G105" s="418" t="str">
        <f t="shared" si="8"/>
        <v/>
      </c>
      <c r="H105" s="419" t="str">
        <f t="shared" si="7"/>
        <v/>
      </c>
      <c r="J105" s="1120">
        <f>Interface_Budgets!E166</f>
        <v>0</v>
      </c>
      <c r="K105" s="1121"/>
      <c r="L105" s="1122"/>
      <c r="M105" s="1520">
        <f>Interface_Budgets!H166</f>
        <v>0</v>
      </c>
      <c r="N105" s="1521">
        <f>Interface_Budgets!I166</f>
        <v>0</v>
      </c>
    </row>
    <row r="106" spans="1:14" s="60" customFormat="1" ht="28" customHeight="1" x14ac:dyDescent="0.35">
      <c r="A106" s="354">
        <v>3</v>
      </c>
      <c r="B106" s="1106" t="s">
        <v>651</v>
      </c>
      <c r="C106" s="354">
        <f>Interface_Budgets!C167</f>
        <v>0</v>
      </c>
      <c r="D106" s="417">
        <v>1</v>
      </c>
      <c r="E106" s="418" t="str">
        <f t="shared" si="6"/>
        <v/>
      </c>
      <c r="F106" s="417">
        <v>1</v>
      </c>
      <c r="G106" s="418" t="str">
        <f t="shared" si="8"/>
        <v/>
      </c>
      <c r="H106" s="419" t="str">
        <f t="shared" si="7"/>
        <v/>
      </c>
      <c r="J106" s="1120">
        <f>Interface_Budgets!E167</f>
        <v>0</v>
      </c>
      <c r="K106" s="1121"/>
      <c r="L106" s="1122"/>
      <c r="M106" s="1520">
        <f>Interface_Budgets!H167</f>
        <v>0</v>
      </c>
      <c r="N106" s="1521">
        <f>Interface_Budgets!I167</f>
        <v>0</v>
      </c>
    </row>
    <row r="107" spans="1:14" s="60" customFormat="1" ht="28" customHeight="1" x14ac:dyDescent="0.35">
      <c r="A107" s="354">
        <v>4</v>
      </c>
      <c r="B107" s="1100" t="s">
        <v>652</v>
      </c>
      <c r="C107" s="354">
        <f>Interface_Budgets!C168</f>
        <v>0</v>
      </c>
      <c r="D107" s="417">
        <v>1</v>
      </c>
      <c r="E107" s="418" t="str">
        <f t="shared" si="6"/>
        <v/>
      </c>
      <c r="F107" s="417">
        <v>1</v>
      </c>
      <c r="G107" s="418" t="str">
        <f t="shared" si="8"/>
        <v/>
      </c>
      <c r="H107" s="419" t="str">
        <f t="shared" si="7"/>
        <v/>
      </c>
      <c r="J107" s="1120">
        <f>Interface_Budgets!E168</f>
        <v>0</v>
      </c>
      <c r="K107" s="1121"/>
      <c r="L107" s="1122"/>
      <c r="M107" s="1520">
        <f>Interface_Budgets!H168</f>
        <v>0</v>
      </c>
      <c r="N107" s="1521">
        <f>Interface_Budgets!I168</f>
        <v>0</v>
      </c>
    </row>
    <row r="108" spans="1:14" s="60" customFormat="1" ht="28" customHeight="1" x14ac:dyDescent="0.35">
      <c r="A108" s="354">
        <v>5</v>
      </c>
      <c r="B108" s="1100" t="s">
        <v>653</v>
      </c>
      <c r="C108" s="354">
        <f>Interface_Budgets!C169</f>
        <v>0</v>
      </c>
      <c r="D108" s="417">
        <v>1</v>
      </c>
      <c r="E108" s="418" t="str">
        <f t="shared" si="6"/>
        <v/>
      </c>
      <c r="F108" s="417">
        <v>1</v>
      </c>
      <c r="G108" s="418" t="str">
        <f t="shared" si="8"/>
        <v/>
      </c>
      <c r="H108" s="419" t="str">
        <f t="shared" si="7"/>
        <v/>
      </c>
      <c r="J108" s="1120">
        <f>Interface_Budgets!E169</f>
        <v>0</v>
      </c>
      <c r="K108" s="1121"/>
      <c r="L108" s="1122"/>
      <c r="M108" s="1520">
        <f>Interface_Budgets!H169</f>
        <v>0</v>
      </c>
      <c r="N108" s="1521">
        <f>Interface_Budgets!I169</f>
        <v>0</v>
      </c>
    </row>
    <row r="109" spans="1:14" s="60" customFormat="1" ht="28" customHeight="1" x14ac:dyDescent="0.35">
      <c r="A109" s="354">
        <v>6</v>
      </c>
      <c r="B109" s="1100" t="s">
        <v>654</v>
      </c>
      <c r="C109" s="354">
        <f>Interface_Budgets!C170</f>
        <v>0</v>
      </c>
      <c r="D109" s="417">
        <v>1</v>
      </c>
      <c r="E109" s="418" t="str">
        <f t="shared" si="6"/>
        <v/>
      </c>
      <c r="F109" s="417">
        <v>1</v>
      </c>
      <c r="G109" s="418" t="str">
        <f t="shared" si="8"/>
        <v/>
      </c>
      <c r="H109" s="419" t="str">
        <f t="shared" si="7"/>
        <v/>
      </c>
      <c r="J109" s="1120">
        <f>Interface_Budgets!E170</f>
        <v>0</v>
      </c>
      <c r="K109" s="1121"/>
      <c r="L109" s="1122"/>
      <c r="M109" s="1520">
        <f>Interface_Budgets!H170</f>
        <v>0</v>
      </c>
      <c r="N109" s="1521">
        <f>Interface_Budgets!I170</f>
        <v>0</v>
      </c>
    </row>
    <row r="110" spans="1:14" ht="17.149999999999999" customHeight="1" x14ac:dyDescent="0.35">
      <c r="A110" s="55"/>
      <c r="B110" s="4"/>
    </row>
    <row r="111" spans="1:14" ht="17.149999999999999" customHeight="1" x14ac:dyDescent="0.35">
      <c r="B111" s="48" t="s">
        <v>749</v>
      </c>
      <c r="C111" s="1102"/>
      <c r="D111" s="1102"/>
      <c r="E111" s="1104">
        <f>SUM(E103:E109)</f>
        <v>0</v>
      </c>
      <c r="F111" s="1102"/>
      <c r="G111" s="1104">
        <f>SUM(G103:G109)</f>
        <v>0</v>
      </c>
      <c r="H111" s="1105">
        <f>SUM(H103:H109)</f>
        <v>0</v>
      </c>
    </row>
    <row r="112" spans="1:14" ht="17.149999999999999" customHeight="1" x14ac:dyDescent="0.35">
      <c r="B112" s="47"/>
    </row>
    <row r="113" spans="1:14" ht="17.149999999999999" customHeight="1" x14ac:dyDescent="0.35">
      <c r="B113" s="48" t="s">
        <v>750</v>
      </c>
      <c r="C113" s="1102"/>
      <c r="D113" s="1102"/>
      <c r="E113" s="1102"/>
      <c r="F113" s="1102"/>
      <c r="G113" s="1104"/>
      <c r="H113" s="1105">
        <f>SUM(F103:F109)</f>
        <v>7</v>
      </c>
    </row>
    <row r="114" spans="1:14" ht="17.149999999999999" customHeight="1" x14ac:dyDescent="0.35">
      <c r="B114" s="47"/>
    </row>
    <row r="115" spans="1:14" s="11" customFormat="1" ht="17.149999999999999" customHeight="1" x14ac:dyDescent="0.35">
      <c r="B115" s="23" t="s">
        <v>751</v>
      </c>
      <c r="C115" s="963">
        <f>SUM(C103:C109)</f>
        <v>0</v>
      </c>
      <c r="D115" s="963"/>
      <c r="E115" s="963"/>
      <c r="F115" s="963"/>
      <c r="G115" s="963"/>
      <c r="H115" s="352" t="str">
        <f>IF(C102=1,"",(H111/H113))</f>
        <v/>
      </c>
    </row>
    <row r="116" spans="1:14" ht="17.149999999999999" customHeight="1" x14ac:dyDescent="0.35"/>
    <row r="117" spans="1:14" ht="17.149999999999999" customHeight="1" x14ac:dyDescent="0.35"/>
    <row r="118" spans="1:14" ht="17.149999999999999" customHeight="1" x14ac:dyDescent="0.35">
      <c r="A118" s="2" t="s">
        <v>790</v>
      </c>
      <c r="B118" s="8"/>
      <c r="C118" s="5"/>
      <c r="D118" s="5"/>
      <c r="E118" s="5"/>
      <c r="F118" s="46"/>
      <c r="G118" s="3"/>
    </row>
    <row r="119" spans="1:14" s="11" customFormat="1" ht="28" customHeight="1" x14ac:dyDescent="0.35">
      <c r="A119" s="1504" t="s">
        <v>743</v>
      </c>
      <c r="B119" s="1513" t="s">
        <v>594</v>
      </c>
      <c r="C119" s="1139" t="s">
        <v>744</v>
      </c>
      <c r="D119" s="1504" t="s">
        <v>745</v>
      </c>
      <c r="E119" s="1504" t="s">
        <v>746</v>
      </c>
      <c r="F119" s="1513" t="s">
        <v>747</v>
      </c>
      <c r="G119" s="1513" t="s">
        <v>746</v>
      </c>
      <c r="H119" s="1513" t="s">
        <v>748</v>
      </c>
      <c r="J119" s="1117" t="s">
        <v>521</v>
      </c>
      <c r="K119" s="1118"/>
      <c r="L119" s="1119"/>
      <c r="M119" s="1504" t="s">
        <v>656</v>
      </c>
      <c r="N119" s="1504" t="s">
        <v>645</v>
      </c>
    </row>
    <row r="120" spans="1:14" s="117" customFormat="1" ht="28" customHeight="1" x14ac:dyDescent="0.35">
      <c r="A120" s="171"/>
      <c r="B120" s="171" t="s">
        <v>754</v>
      </c>
      <c r="C120" s="354">
        <f>Interface_Budgets!C175</f>
        <v>1</v>
      </c>
      <c r="D120" s="171"/>
      <c r="E120" s="171"/>
      <c r="F120" s="356"/>
      <c r="G120" s="356"/>
      <c r="H120" s="356"/>
      <c r="J120" s="1120">
        <f>Interface_Budgets!E175</f>
        <v>0</v>
      </c>
      <c r="K120" s="1121"/>
      <c r="L120" s="1122"/>
      <c r="M120" s="1520">
        <f>Interface_Budgets!H175</f>
        <v>0</v>
      </c>
      <c r="N120" s="1521">
        <f>Interface_Budgets!I175</f>
        <v>0</v>
      </c>
    </row>
    <row r="121" spans="1:14" s="60" customFormat="1" ht="28" customHeight="1" x14ac:dyDescent="0.35">
      <c r="A121" s="354">
        <v>0</v>
      </c>
      <c r="B121" s="1100" t="s">
        <v>661</v>
      </c>
      <c r="C121" s="354">
        <f>Interface_Budgets!C176</f>
        <v>0</v>
      </c>
      <c r="D121" s="417">
        <v>1</v>
      </c>
      <c r="E121" s="418" t="str">
        <f t="shared" ref="E121:E127" si="9">IF(C121=1,(C121*D121)*1,"")</f>
        <v/>
      </c>
      <c r="F121" s="417">
        <v>1</v>
      </c>
      <c r="G121" s="418" t="str">
        <f>IF(C121=1,(C121*F121),"")</f>
        <v/>
      </c>
      <c r="H121" s="419" t="str">
        <f t="shared" ref="H121:H127" si="10">G121</f>
        <v/>
      </c>
      <c r="J121" s="1120">
        <f>Interface_Budgets!E176</f>
        <v>0</v>
      </c>
      <c r="K121" s="1121"/>
      <c r="L121" s="1122"/>
      <c r="M121" s="1520">
        <f>Interface_Budgets!H176</f>
        <v>0</v>
      </c>
      <c r="N121" s="1521">
        <f>Interface_Budgets!I176</f>
        <v>0</v>
      </c>
    </row>
    <row r="122" spans="1:14" s="60" customFormat="1" ht="28" customHeight="1" x14ac:dyDescent="0.35">
      <c r="A122" s="354">
        <v>1</v>
      </c>
      <c r="B122" s="1100" t="s">
        <v>649</v>
      </c>
      <c r="C122" s="354">
        <f>Interface_Budgets!C177</f>
        <v>0</v>
      </c>
      <c r="D122" s="417">
        <v>1</v>
      </c>
      <c r="E122" s="418" t="str">
        <f t="shared" si="9"/>
        <v/>
      </c>
      <c r="F122" s="417">
        <v>1</v>
      </c>
      <c r="G122" s="418" t="str">
        <f t="shared" ref="G122:G127" si="11">IF(C122=1,(C122*F122)*1,"")</f>
        <v/>
      </c>
      <c r="H122" s="419" t="str">
        <f t="shared" si="10"/>
        <v/>
      </c>
      <c r="J122" s="1120">
        <f>Interface_Budgets!E177</f>
        <v>0</v>
      </c>
      <c r="K122" s="1121"/>
      <c r="L122" s="1122"/>
      <c r="M122" s="1520">
        <f>Interface_Budgets!H177</f>
        <v>0</v>
      </c>
      <c r="N122" s="1521">
        <f>Interface_Budgets!I177</f>
        <v>0</v>
      </c>
    </row>
    <row r="123" spans="1:14" s="60" customFormat="1" ht="28" customHeight="1" x14ac:dyDescent="0.35">
      <c r="A123" s="354">
        <v>2</v>
      </c>
      <c r="B123" s="1100" t="s">
        <v>658</v>
      </c>
      <c r="C123" s="354">
        <f>Interface_Budgets!C178</f>
        <v>0</v>
      </c>
      <c r="D123" s="417">
        <v>1</v>
      </c>
      <c r="E123" s="418" t="str">
        <f t="shared" si="9"/>
        <v/>
      </c>
      <c r="F123" s="417">
        <v>1</v>
      </c>
      <c r="G123" s="418" t="str">
        <f t="shared" si="11"/>
        <v/>
      </c>
      <c r="H123" s="419" t="str">
        <f t="shared" si="10"/>
        <v/>
      </c>
      <c r="J123" s="1120">
        <f>Interface_Budgets!E178</f>
        <v>0</v>
      </c>
      <c r="K123" s="1121"/>
      <c r="L123" s="1122"/>
      <c r="M123" s="1520">
        <f>Interface_Budgets!H178</f>
        <v>0</v>
      </c>
      <c r="N123" s="1521">
        <f>Interface_Budgets!I178</f>
        <v>0</v>
      </c>
    </row>
    <row r="124" spans="1:14" s="60" customFormat="1" ht="28" customHeight="1" x14ac:dyDescent="0.35">
      <c r="A124" s="354">
        <v>3</v>
      </c>
      <c r="B124" s="1106" t="s">
        <v>651</v>
      </c>
      <c r="C124" s="354">
        <f>Interface_Budgets!C179</f>
        <v>0</v>
      </c>
      <c r="D124" s="417">
        <v>1</v>
      </c>
      <c r="E124" s="418" t="str">
        <f t="shared" si="9"/>
        <v/>
      </c>
      <c r="F124" s="417">
        <v>1</v>
      </c>
      <c r="G124" s="418" t="str">
        <f t="shared" si="11"/>
        <v/>
      </c>
      <c r="H124" s="419" t="str">
        <f t="shared" si="10"/>
        <v/>
      </c>
      <c r="J124" s="1120">
        <f>Interface_Budgets!E179</f>
        <v>0</v>
      </c>
      <c r="K124" s="1121"/>
      <c r="L124" s="1122"/>
      <c r="M124" s="1520">
        <f>Interface_Budgets!H179</f>
        <v>0</v>
      </c>
      <c r="N124" s="1521">
        <f>Interface_Budgets!I179</f>
        <v>0</v>
      </c>
    </row>
    <row r="125" spans="1:14" s="60" customFormat="1" ht="28" customHeight="1" x14ac:dyDescent="0.35">
      <c r="A125" s="354">
        <v>4</v>
      </c>
      <c r="B125" s="1100" t="s">
        <v>652</v>
      </c>
      <c r="C125" s="354">
        <f>Interface_Budgets!C180</f>
        <v>0</v>
      </c>
      <c r="D125" s="417">
        <v>1</v>
      </c>
      <c r="E125" s="418" t="str">
        <f t="shared" si="9"/>
        <v/>
      </c>
      <c r="F125" s="417">
        <v>1</v>
      </c>
      <c r="G125" s="418" t="str">
        <f t="shared" si="11"/>
        <v/>
      </c>
      <c r="H125" s="419" t="str">
        <f t="shared" si="10"/>
        <v/>
      </c>
      <c r="J125" s="1120">
        <f>Interface_Budgets!E180</f>
        <v>0</v>
      </c>
      <c r="K125" s="1121"/>
      <c r="L125" s="1122"/>
      <c r="M125" s="1520">
        <f>Interface_Budgets!H180</f>
        <v>0</v>
      </c>
      <c r="N125" s="1521">
        <f>Interface_Budgets!I180</f>
        <v>0</v>
      </c>
    </row>
    <row r="126" spans="1:14" s="60" customFormat="1" ht="28" customHeight="1" x14ac:dyDescent="0.35">
      <c r="A126" s="354">
        <v>5</v>
      </c>
      <c r="B126" s="1100" t="s">
        <v>653</v>
      </c>
      <c r="C126" s="354">
        <f>Interface_Budgets!C181</f>
        <v>0</v>
      </c>
      <c r="D126" s="417">
        <v>1</v>
      </c>
      <c r="E126" s="418" t="str">
        <f t="shared" si="9"/>
        <v/>
      </c>
      <c r="F126" s="417">
        <v>1</v>
      </c>
      <c r="G126" s="418" t="str">
        <f t="shared" si="11"/>
        <v/>
      </c>
      <c r="H126" s="419" t="str">
        <f t="shared" si="10"/>
        <v/>
      </c>
      <c r="J126" s="1120">
        <f>Interface_Budgets!E181</f>
        <v>0</v>
      </c>
      <c r="K126" s="1121"/>
      <c r="L126" s="1122"/>
      <c r="M126" s="1520">
        <f>Interface_Budgets!H181</f>
        <v>0</v>
      </c>
      <c r="N126" s="1521">
        <f>Interface_Budgets!I181</f>
        <v>0</v>
      </c>
    </row>
    <row r="127" spans="1:14" s="60" customFormat="1" ht="28" customHeight="1" x14ac:dyDescent="0.35">
      <c r="A127" s="354">
        <v>6</v>
      </c>
      <c r="B127" s="1100" t="s">
        <v>654</v>
      </c>
      <c r="C127" s="354">
        <f>Interface_Budgets!C182</f>
        <v>0</v>
      </c>
      <c r="D127" s="417">
        <v>1</v>
      </c>
      <c r="E127" s="418" t="str">
        <f t="shared" si="9"/>
        <v/>
      </c>
      <c r="F127" s="417">
        <v>1</v>
      </c>
      <c r="G127" s="418" t="str">
        <f t="shared" si="11"/>
        <v/>
      </c>
      <c r="H127" s="419" t="str">
        <f t="shared" si="10"/>
        <v/>
      </c>
      <c r="J127" s="1120">
        <f>Interface_Budgets!E182</f>
        <v>0</v>
      </c>
      <c r="K127" s="1121"/>
      <c r="L127" s="1122"/>
      <c r="M127" s="1520">
        <f>Interface_Budgets!H182</f>
        <v>0</v>
      </c>
      <c r="N127" s="1521">
        <f>Interface_Budgets!I182</f>
        <v>0</v>
      </c>
    </row>
    <row r="128" spans="1:14" ht="17.149999999999999" customHeight="1" x14ac:dyDescent="0.35">
      <c r="A128" s="55"/>
      <c r="B128" s="4"/>
    </row>
    <row r="129" spans="2:8" ht="17.149999999999999" customHeight="1" x14ac:dyDescent="0.35">
      <c r="B129" s="48" t="s">
        <v>749</v>
      </c>
      <c r="C129" s="1102"/>
      <c r="D129" s="1102"/>
      <c r="E129" s="1104">
        <f>SUM(E121:E127)</f>
        <v>0</v>
      </c>
      <c r="F129" s="1102"/>
      <c r="G129" s="1104">
        <f>SUM(G121:G127)</f>
        <v>0</v>
      </c>
      <c r="H129" s="1105">
        <f>SUM(H121:H127)</f>
        <v>0</v>
      </c>
    </row>
    <row r="130" spans="2:8" ht="17.149999999999999" customHeight="1" x14ac:dyDescent="0.35">
      <c r="B130" s="47"/>
    </row>
    <row r="131" spans="2:8" ht="17.149999999999999" customHeight="1" x14ac:dyDescent="0.35">
      <c r="B131" s="48" t="s">
        <v>750</v>
      </c>
      <c r="C131" s="1102"/>
      <c r="D131" s="1102"/>
      <c r="E131" s="1102"/>
      <c r="F131" s="1102"/>
      <c r="G131" s="1104"/>
      <c r="H131" s="1105">
        <f>SUM(F121:F127)</f>
        <v>7</v>
      </c>
    </row>
    <row r="132" spans="2:8" ht="17.149999999999999" customHeight="1" x14ac:dyDescent="0.35">
      <c r="B132" s="47"/>
    </row>
    <row r="133" spans="2:8" s="11" customFormat="1" ht="16.5" customHeight="1" x14ac:dyDescent="0.35">
      <c r="B133" s="23" t="s">
        <v>751</v>
      </c>
      <c r="C133" s="963">
        <f>SUM(C121:C127)</f>
        <v>0</v>
      </c>
      <c r="D133" s="963"/>
      <c r="E133" s="963"/>
      <c r="F133" s="963"/>
      <c r="G133" s="963"/>
      <c r="H133" s="352" t="str">
        <f>IF(C120=1,"",(H129/H131))</f>
        <v/>
      </c>
    </row>
    <row r="134" spans="2:8" ht="17.149999999999999" customHeight="1" x14ac:dyDescent="0.35"/>
  </sheetData>
  <sheetProtection password="C8C1" sheet="1" objects="1" scenarios="1" selectLockedCells="1"/>
  <pageMargins left="0.7" right="0.7" top="0.75" bottom="0.75" header="0.3" footer="0.3"/>
  <pageSetup paperSize="9" orientation="portrait" r:id="rId1"/>
  <ignoredErrors>
    <ignoredError sqref="H16 H31" formulaRange="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6"/>
  </sheetPr>
  <dimension ref="A1:AK361"/>
  <sheetViews>
    <sheetView zoomScale="90" zoomScaleNormal="90" workbookViewId="0">
      <selection activeCell="A3" sqref="A3"/>
    </sheetView>
  </sheetViews>
  <sheetFormatPr defaultColWidth="9.1796875" defaultRowHeight="17.149999999999999" customHeight="1" x14ac:dyDescent="0.35"/>
  <cols>
    <col min="1" max="1" width="60.7265625" style="12" customWidth="1"/>
    <col min="2" max="3" width="16.7265625" style="27" customWidth="1"/>
    <col min="4" max="9" width="16.7265625" style="12" customWidth="1"/>
    <col min="10" max="33" width="15.7265625" style="12" customWidth="1"/>
    <col min="34" max="16384" width="9.1796875" style="12"/>
  </cols>
  <sheetData>
    <row r="1" spans="1:36" ht="18.75" customHeight="1" x14ac:dyDescent="0.35">
      <c r="A1" s="13" t="str">
        <f>'User interface_RES'!AJ11</f>
        <v>Any city in , the world</v>
      </c>
      <c r="E1" s="69"/>
      <c r="AA1" s="17"/>
      <c r="AB1" s="17"/>
      <c r="AC1" s="17"/>
      <c r="AD1" s="17"/>
      <c r="AE1" s="17"/>
      <c r="AF1" s="17"/>
      <c r="AG1" s="17"/>
      <c r="AH1" s="17"/>
      <c r="AI1" s="17"/>
      <c r="AJ1" s="17"/>
    </row>
    <row r="2" spans="1:36" s="185" customFormat="1" ht="11.25" customHeight="1" x14ac:dyDescent="0.35">
      <c r="B2" s="186"/>
      <c r="C2" s="186"/>
      <c r="E2" s="187"/>
    </row>
    <row r="3" spans="1:36" ht="26" x14ac:dyDescent="0.35">
      <c r="A3" s="182" t="s">
        <v>791</v>
      </c>
      <c r="AA3" s="17"/>
      <c r="AB3" s="17"/>
      <c r="AC3" s="17"/>
      <c r="AD3" s="17"/>
      <c r="AE3" s="17"/>
      <c r="AF3" s="17"/>
      <c r="AG3" s="17"/>
      <c r="AH3" s="17"/>
      <c r="AI3" s="17"/>
      <c r="AJ3" s="17"/>
    </row>
    <row r="4" spans="1:36" s="3" customFormat="1" ht="17.149999999999999" customHeight="1" x14ac:dyDescent="0.35">
      <c r="B4" s="1320"/>
      <c r="C4" s="1307"/>
      <c r="E4" s="1309"/>
    </row>
    <row r="5" spans="1:36" s="3" customFormat="1" ht="17.149999999999999" customHeight="1" x14ac:dyDescent="0.35">
      <c r="B5" s="1317"/>
      <c r="C5" s="1307"/>
    </row>
    <row r="6" spans="1:36" ht="18" customHeight="1" x14ac:dyDescent="0.35">
      <c r="A6" s="47"/>
      <c r="B6" s="1505" t="s">
        <v>9</v>
      </c>
      <c r="C6" s="1502" t="s">
        <v>253</v>
      </c>
      <c r="D6" s="184"/>
      <c r="E6" s="184"/>
      <c r="AA6" s="17"/>
      <c r="AB6" s="17"/>
      <c r="AC6" s="17"/>
      <c r="AD6" s="17"/>
      <c r="AE6" s="17"/>
      <c r="AF6" s="17"/>
      <c r="AG6" s="17"/>
      <c r="AH6" s="17"/>
      <c r="AI6" s="17"/>
      <c r="AJ6" s="17"/>
    </row>
    <row r="7" spans="1:36" s="185" customFormat="1" ht="10.5" x14ac:dyDescent="0.35">
      <c r="A7" s="237"/>
      <c r="B7" s="238"/>
      <c r="C7" s="238"/>
      <c r="D7" s="186"/>
      <c r="E7" s="186"/>
      <c r="I7" s="241"/>
    </row>
    <row r="8" spans="1:36" ht="18" customHeight="1" x14ac:dyDescent="0.35">
      <c r="A8" s="230" t="s">
        <v>792</v>
      </c>
      <c r="B8" s="232">
        <f>B10+B16</f>
        <v>34911075</v>
      </c>
      <c r="C8" s="232">
        <f>C10+C16</f>
        <v>117631575</v>
      </c>
      <c r="D8" s="231" t="s">
        <v>793</v>
      </c>
      <c r="AA8" s="17"/>
      <c r="AB8" s="17"/>
      <c r="AC8" s="17"/>
      <c r="AD8" s="17"/>
      <c r="AE8" s="17"/>
      <c r="AF8" s="17"/>
      <c r="AG8" s="17"/>
      <c r="AH8" s="17"/>
      <c r="AI8" s="17"/>
      <c r="AJ8" s="17"/>
    </row>
    <row r="9" spans="1:36" ht="18" customHeight="1" x14ac:dyDescent="0.35">
      <c r="A9" s="217"/>
      <c r="B9" s="218"/>
      <c r="C9" s="219"/>
      <c r="D9" s="27"/>
      <c r="E9" s="27"/>
      <c r="I9" s="164"/>
      <c r="AA9" s="17"/>
      <c r="AB9" s="17"/>
      <c r="AC9" s="17"/>
      <c r="AD9" s="17"/>
      <c r="AE9" s="17"/>
      <c r="AF9" s="17"/>
      <c r="AG9" s="17"/>
      <c r="AH9" s="17"/>
      <c r="AI9" s="17"/>
      <c r="AJ9" s="17"/>
    </row>
    <row r="10" spans="1:36" ht="18" customHeight="1" x14ac:dyDescent="0.35">
      <c r="A10" s="206" t="s">
        <v>794</v>
      </c>
      <c r="B10" s="207">
        <f>SUM(B11:B14)</f>
        <v>34891050</v>
      </c>
      <c r="C10" s="207">
        <f>SUM(C11:C14)</f>
        <v>117631575</v>
      </c>
      <c r="D10" s="140"/>
      <c r="E10" s="115"/>
      <c r="G10" s="1524" t="s">
        <v>795</v>
      </c>
      <c r="AA10" s="17"/>
      <c r="AB10" s="17"/>
      <c r="AC10" s="17"/>
      <c r="AD10" s="17"/>
      <c r="AE10" s="17"/>
      <c r="AF10" s="17"/>
      <c r="AG10" s="17"/>
      <c r="AH10" s="17"/>
      <c r="AI10" s="17"/>
      <c r="AJ10" s="17"/>
    </row>
    <row r="11" spans="1:36" ht="18" customHeight="1" x14ac:dyDescent="0.35">
      <c r="A11" s="212" t="s">
        <v>796</v>
      </c>
      <c r="B11" s="118">
        <f t="shared" ref="B11:C14" si="0">E135+E263</f>
        <v>25531850</v>
      </c>
      <c r="C11" s="118">
        <f t="shared" si="0"/>
        <v>110158300</v>
      </c>
      <c r="D11" s="140"/>
      <c r="E11" s="1152">
        <f>IF(B10=0,0,B11/B10)</f>
        <v>0.73175929070635592</v>
      </c>
      <c r="G11" s="118">
        <f>B11/365</f>
        <v>69950.273972602736</v>
      </c>
      <c r="AA11" s="17"/>
      <c r="AB11" s="17"/>
      <c r="AC11" s="17"/>
      <c r="AD11" s="17"/>
      <c r="AE11" s="17"/>
      <c r="AF11" s="17"/>
      <c r="AG11" s="17"/>
      <c r="AH11" s="17"/>
      <c r="AI11" s="17"/>
      <c r="AJ11" s="17"/>
    </row>
    <row r="12" spans="1:36" ht="18" customHeight="1" x14ac:dyDescent="0.35">
      <c r="A12" s="212" t="s">
        <v>797</v>
      </c>
      <c r="B12" s="118">
        <f t="shared" si="0"/>
        <v>0</v>
      </c>
      <c r="C12" s="118">
        <f t="shared" si="0"/>
        <v>0</v>
      </c>
      <c r="D12" s="140"/>
      <c r="E12" s="140"/>
      <c r="T12" s="92"/>
      <c r="AA12" s="17"/>
      <c r="AB12" s="17"/>
      <c r="AC12" s="17"/>
      <c r="AD12" s="17"/>
      <c r="AE12" s="17"/>
      <c r="AF12" s="17"/>
      <c r="AG12" s="17"/>
      <c r="AH12" s="17"/>
      <c r="AI12" s="17"/>
      <c r="AJ12" s="17"/>
    </row>
    <row r="13" spans="1:36" ht="18" customHeight="1" x14ac:dyDescent="0.35">
      <c r="A13" s="212" t="s">
        <v>798</v>
      </c>
      <c r="B13" s="118">
        <f t="shared" si="0"/>
        <v>7277950</v>
      </c>
      <c r="C13" s="118">
        <f t="shared" si="0"/>
        <v>5312575</v>
      </c>
      <c r="D13" s="140"/>
      <c r="E13" s="140"/>
      <c r="L13" s="106"/>
      <c r="T13" s="93"/>
      <c r="AA13" s="17"/>
      <c r="AB13" s="17"/>
      <c r="AC13" s="17"/>
      <c r="AD13" s="17"/>
      <c r="AE13" s="17"/>
      <c r="AF13" s="17"/>
      <c r="AG13" s="17"/>
      <c r="AH13" s="17"/>
      <c r="AI13" s="17"/>
      <c r="AJ13" s="17"/>
    </row>
    <row r="14" spans="1:36" ht="18" customHeight="1" x14ac:dyDescent="0.35">
      <c r="A14" s="212" t="s">
        <v>799</v>
      </c>
      <c r="B14" s="118">
        <f t="shared" si="0"/>
        <v>2081250</v>
      </c>
      <c r="C14" s="118">
        <f t="shared" si="0"/>
        <v>2160700</v>
      </c>
      <c r="D14" s="140"/>
      <c r="E14" s="140"/>
      <c r="L14" s="106"/>
      <c r="T14" s="93"/>
      <c r="AA14" s="17"/>
      <c r="AB14" s="17"/>
      <c r="AC14" s="17"/>
      <c r="AD14" s="17"/>
      <c r="AE14" s="17"/>
      <c r="AF14" s="17"/>
      <c r="AG14" s="17"/>
      <c r="AH14" s="17"/>
      <c r="AI14" s="17"/>
      <c r="AJ14" s="17"/>
    </row>
    <row r="15" spans="1:36" ht="18" customHeight="1" x14ac:dyDescent="0.35">
      <c r="A15" s="2"/>
      <c r="B15" s="236"/>
      <c r="C15" s="236"/>
      <c r="D15" s="140"/>
      <c r="E15" s="140"/>
      <c r="L15" s="106"/>
      <c r="T15" s="93"/>
      <c r="AA15" s="17"/>
      <c r="AB15" s="17"/>
      <c r="AC15" s="17"/>
      <c r="AD15" s="17"/>
      <c r="AE15" s="17"/>
      <c r="AF15" s="17"/>
      <c r="AG15" s="17"/>
      <c r="AH15" s="17"/>
      <c r="AI15" s="17"/>
      <c r="AJ15" s="17"/>
    </row>
    <row r="16" spans="1:36" ht="18" customHeight="1" x14ac:dyDescent="0.35">
      <c r="A16" s="208" t="s">
        <v>800</v>
      </c>
      <c r="B16" s="209">
        <f>SUM(B17:B17)</f>
        <v>20025</v>
      </c>
      <c r="C16" s="209">
        <f>SUM(C17:C17)</f>
        <v>0</v>
      </c>
      <c r="D16" s="140"/>
      <c r="E16" s="140"/>
      <c r="L16" s="106"/>
      <c r="T16" s="93"/>
      <c r="AA16" s="17"/>
      <c r="AB16" s="17"/>
      <c r="AC16" s="17"/>
      <c r="AD16" s="17"/>
      <c r="AE16" s="17"/>
      <c r="AF16" s="17"/>
      <c r="AG16" s="17"/>
      <c r="AH16" s="17"/>
      <c r="AI16" s="17"/>
      <c r="AJ16" s="17"/>
    </row>
    <row r="17" spans="1:36" ht="18" customHeight="1" x14ac:dyDescent="0.35">
      <c r="A17" s="240" t="s">
        <v>801</v>
      </c>
      <c r="B17" s="118">
        <f>E141+E269</f>
        <v>20025</v>
      </c>
      <c r="C17" s="118">
        <f>F141+F269</f>
        <v>0</v>
      </c>
      <c r="D17" s="140"/>
      <c r="E17" s="140"/>
      <c r="L17" s="106"/>
      <c r="T17" s="93"/>
      <c r="AA17" s="17"/>
      <c r="AB17" s="17"/>
      <c r="AC17" s="17"/>
      <c r="AD17" s="17"/>
      <c r="AE17" s="17"/>
      <c r="AF17" s="17"/>
      <c r="AG17" s="17"/>
      <c r="AH17" s="17"/>
      <c r="AI17" s="17"/>
      <c r="AJ17" s="17"/>
    </row>
    <row r="18" spans="1:36" ht="18" customHeight="1" x14ac:dyDescent="0.35">
      <c r="A18" s="11"/>
      <c r="L18" s="106"/>
      <c r="T18" s="93"/>
      <c r="AA18" s="17"/>
      <c r="AB18" s="17"/>
      <c r="AC18" s="17"/>
      <c r="AD18" s="17"/>
      <c r="AE18" s="17"/>
      <c r="AF18" s="17"/>
      <c r="AG18" s="17"/>
      <c r="AH18" s="17"/>
      <c r="AI18" s="17"/>
      <c r="AJ18" s="17"/>
    </row>
    <row r="19" spans="1:36" ht="18" customHeight="1" x14ac:dyDescent="0.35">
      <c r="A19" s="212" t="s">
        <v>802</v>
      </c>
      <c r="B19" s="118">
        <f>B11/365</f>
        <v>69950.273972602736</v>
      </c>
      <c r="C19" s="118">
        <f>C11/365</f>
        <v>301803.56164383562</v>
      </c>
      <c r="L19" s="106"/>
      <c r="T19" s="93"/>
      <c r="AA19" s="17"/>
      <c r="AB19" s="17"/>
      <c r="AC19" s="17"/>
      <c r="AD19" s="17"/>
      <c r="AE19" s="17"/>
      <c r="AF19" s="17"/>
      <c r="AG19" s="17"/>
      <c r="AH19" s="17"/>
      <c r="AI19" s="17"/>
      <c r="AJ19" s="17"/>
    </row>
    <row r="20" spans="1:36" ht="17.149999999999999" customHeight="1" x14ac:dyDescent="0.35">
      <c r="A20" s="11"/>
      <c r="L20" s="106"/>
      <c r="T20" s="93"/>
      <c r="AA20" s="17"/>
      <c r="AB20" s="17"/>
      <c r="AC20" s="17"/>
      <c r="AD20" s="17"/>
      <c r="AE20" s="17"/>
      <c r="AF20" s="17"/>
      <c r="AG20" s="17"/>
      <c r="AH20" s="17"/>
      <c r="AI20" s="17"/>
      <c r="AJ20" s="17"/>
    </row>
    <row r="21" spans="1:36" ht="17.149999999999999" customHeight="1" x14ac:dyDescent="0.35">
      <c r="A21" s="11"/>
      <c r="B21" s="11"/>
      <c r="C21" s="11"/>
      <c r="L21" s="106"/>
      <c r="T21" s="93"/>
      <c r="AA21" s="17"/>
      <c r="AB21" s="17"/>
      <c r="AC21" s="17"/>
      <c r="AD21" s="17"/>
      <c r="AE21" s="17"/>
      <c r="AF21" s="17"/>
      <c r="AG21" s="17"/>
      <c r="AH21" s="17"/>
      <c r="AI21" s="17"/>
      <c r="AJ21" s="17"/>
    </row>
    <row r="22" spans="1:36" ht="17.149999999999999" customHeight="1" x14ac:dyDescent="0.35">
      <c r="A22" s="11"/>
      <c r="L22" s="106"/>
      <c r="T22" s="93"/>
      <c r="AA22" s="17"/>
      <c r="AB22" s="17"/>
      <c r="AC22" s="17"/>
      <c r="AD22" s="17"/>
      <c r="AE22" s="17"/>
      <c r="AF22" s="17"/>
      <c r="AG22" s="17"/>
      <c r="AH22" s="17"/>
      <c r="AI22" s="17"/>
      <c r="AJ22" s="17"/>
    </row>
    <row r="23" spans="1:36" ht="17.149999999999999" customHeight="1" x14ac:dyDescent="0.35">
      <c r="A23" s="183" t="s">
        <v>803</v>
      </c>
      <c r="L23" s="106"/>
      <c r="AA23" s="17"/>
      <c r="AB23" s="17"/>
      <c r="AC23" s="17"/>
      <c r="AD23" s="17"/>
      <c r="AE23" s="17"/>
      <c r="AF23" s="17"/>
      <c r="AG23" s="17"/>
      <c r="AH23" s="17"/>
      <c r="AI23" s="17"/>
      <c r="AJ23" s="17"/>
    </row>
    <row r="24" spans="1:36" ht="17.149999999999999" customHeight="1" x14ac:dyDescent="0.35">
      <c r="A24" s="11"/>
      <c r="L24" s="106"/>
      <c r="AA24" s="17"/>
      <c r="AB24" s="17"/>
      <c r="AC24" s="17"/>
      <c r="AD24" s="17"/>
      <c r="AE24" s="17"/>
      <c r="AF24" s="17"/>
      <c r="AG24" s="17"/>
      <c r="AH24" s="17"/>
      <c r="AI24" s="17"/>
      <c r="AJ24" s="17"/>
    </row>
    <row r="25" spans="1:36" ht="17.149999999999999" customHeight="1" x14ac:dyDescent="0.35">
      <c r="A25" s="949" t="s">
        <v>804</v>
      </c>
      <c r="B25" s="1505" t="s">
        <v>9</v>
      </c>
      <c r="C25" s="1502" t="s">
        <v>253</v>
      </c>
      <c r="L25" s="106"/>
      <c r="AA25" s="17"/>
      <c r="AB25" s="17"/>
      <c r="AC25" s="17"/>
      <c r="AD25" s="17"/>
      <c r="AE25" s="17"/>
      <c r="AF25" s="17"/>
      <c r="AG25" s="17"/>
      <c r="AH25" s="17"/>
      <c r="AI25" s="17"/>
      <c r="AJ25" s="17"/>
    </row>
    <row r="26" spans="1:36" ht="17.149999999999999" customHeight="1" x14ac:dyDescent="0.35">
      <c r="A26" s="120"/>
      <c r="J26" s="94"/>
      <c r="K26" s="94"/>
      <c r="AA26" s="17"/>
      <c r="AB26" s="17"/>
      <c r="AC26" s="17"/>
      <c r="AD26" s="17"/>
      <c r="AE26" s="17"/>
      <c r="AF26" s="17"/>
      <c r="AG26" s="17"/>
      <c r="AH26" s="17"/>
      <c r="AI26" s="17"/>
      <c r="AJ26" s="17"/>
    </row>
    <row r="27" spans="1:36" s="3" customFormat="1" ht="17.149999999999999" customHeight="1" x14ac:dyDescent="0.35">
      <c r="A27" s="242" t="s">
        <v>805</v>
      </c>
      <c r="B27" s="243">
        <f>'User interface_RES'!C8</f>
        <v>42978</v>
      </c>
      <c r="C27" s="227"/>
      <c r="E27" s="1770" t="s">
        <v>806</v>
      </c>
      <c r="J27" s="68"/>
      <c r="K27" s="68"/>
    </row>
    <row r="28" spans="1:36" s="3" customFormat="1" ht="17.149999999999999" customHeight="1" x14ac:dyDescent="0.35">
      <c r="A28" s="242" t="s">
        <v>411</v>
      </c>
      <c r="B28" s="243">
        <f>'User interface_RES'!D16</f>
        <v>40908</v>
      </c>
      <c r="C28" s="227"/>
      <c r="E28" s="1771"/>
      <c r="J28" s="68"/>
      <c r="K28" s="68"/>
    </row>
    <row r="29" spans="1:36" s="3" customFormat="1" ht="17.149999999999999" customHeight="1" x14ac:dyDescent="0.35">
      <c r="A29" s="242" t="s">
        <v>807</v>
      </c>
      <c r="B29" s="243">
        <f>B27-B28</f>
        <v>2070</v>
      </c>
      <c r="C29" s="244"/>
      <c r="E29" s="1056">
        <f>'User interface_RES'!C16</f>
        <v>1414050</v>
      </c>
      <c r="J29" s="68"/>
      <c r="K29" s="68"/>
    </row>
    <row r="30" spans="1:36" s="3" customFormat="1" ht="17.149999999999999" customHeight="1" x14ac:dyDescent="0.35">
      <c r="A30" s="242" t="s">
        <v>808</v>
      </c>
      <c r="B30" s="245">
        <f>ROUND((B29/365)/0.1,0)*0.1</f>
        <v>5.7</v>
      </c>
      <c r="C30" s="244"/>
      <c r="E30" s="1095" t="s">
        <v>808</v>
      </c>
      <c r="F30" s="1095" t="s">
        <v>809</v>
      </c>
      <c r="J30" s="68"/>
      <c r="K30" s="68"/>
    </row>
    <row r="31" spans="1:36" ht="17.149999999999999" customHeight="1" x14ac:dyDescent="0.35">
      <c r="A31" s="1004" t="s">
        <v>810</v>
      </c>
      <c r="B31" s="1021">
        <f>ROUND((E29*(1+F31)^E31)/1000,0)*1000</f>
        <v>1692000</v>
      </c>
      <c r="C31" s="149"/>
      <c r="E31" s="1338">
        <f>B30</f>
        <v>5.7</v>
      </c>
      <c r="F31" s="1339">
        <f>'User interface_RES'!E16</f>
        <v>3.2000000000000001E-2</v>
      </c>
      <c r="J31" s="94"/>
      <c r="K31" s="94"/>
      <c r="AA31" s="17"/>
      <c r="AB31" s="17"/>
      <c r="AC31" s="17"/>
      <c r="AD31" s="17"/>
      <c r="AE31" s="17"/>
      <c r="AF31" s="17"/>
      <c r="AG31" s="17"/>
      <c r="AH31" s="17"/>
      <c r="AI31" s="17"/>
      <c r="AJ31" s="17"/>
    </row>
    <row r="32" spans="1:36" s="136" customFormat="1" ht="17.149999999999999" customHeight="1" x14ac:dyDescent="0.35">
      <c r="A32" s="142"/>
      <c r="B32" s="29"/>
      <c r="C32" s="1150"/>
      <c r="E32" s="1342"/>
      <c r="F32" s="1343"/>
      <c r="J32" s="1336"/>
      <c r="K32" s="1336"/>
      <c r="AA32" s="955"/>
      <c r="AB32" s="955"/>
      <c r="AC32" s="955"/>
      <c r="AD32" s="955"/>
      <c r="AE32" s="955"/>
      <c r="AF32" s="955"/>
      <c r="AG32" s="955"/>
      <c r="AH32" s="955"/>
      <c r="AI32" s="955"/>
      <c r="AJ32" s="955"/>
    </row>
    <row r="33" spans="1:36" s="136" customFormat="1" ht="17.149999999999999" customHeight="1" x14ac:dyDescent="0.35">
      <c r="A33" s="142"/>
      <c r="B33" s="29"/>
      <c r="C33" s="1150"/>
      <c r="E33" s="1770" t="s">
        <v>413</v>
      </c>
      <c r="F33" s="1772" t="s">
        <v>811</v>
      </c>
      <c r="J33" s="1336"/>
      <c r="K33" s="1336"/>
      <c r="AA33" s="955"/>
      <c r="AB33" s="955"/>
      <c r="AC33" s="955"/>
      <c r="AD33" s="955"/>
      <c r="AE33" s="955"/>
      <c r="AF33" s="955"/>
      <c r="AG33" s="955"/>
      <c r="AH33" s="955"/>
      <c r="AI33" s="955"/>
      <c r="AJ33" s="955"/>
    </row>
    <row r="34" spans="1:36" ht="17.149999999999999" customHeight="1" x14ac:dyDescent="0.35">
      <c r="A34" s="299"/>
      <c r="B34" s="149"/>
      <c r="C34" s="1150"/>
      <c r="E34" s="1771"/>
      <c r="F34" s="1773"/>
      <c r="J34" s="94"/>
      <c r="AA34" s="17"/>
      <c r="AB34" s="17"/>
      <c r="AC34" s="17"/>
      <c r="AD34" s="17"/>
      <c r="AE34" s="17"/>
      <c r="AF34" s="17"/>
      <c r="AG34" s="17"/>
      <c r="AH34" s="17"/>
      <c r="AI34" s="17"/>
      <c r="AJ34" s="17"/>
    </row>
    <row r="35" spans="1:36" ht="17.149999999999999" customHeight="1" x14ac:dyDescent="0.35">
      <c r="A35" s="976" t="s">
        <v>812</v>
      </c>
      <c r="B35" s="1337"/>
      <c r="C35" s="1022">
        <f>ROUND((B31*(1+F35)^E35)/1000,0)*1000</f>
        <v>3737000</v>
      </c>
      <c r="D35" s="1332"/>
      <c r="E35" s="400">
        <f>'User interface_RES'!G16</f>
        <v>25</v>
      </c>
      <c r="F35" s="170">
        <f>'User interface_RES'!H16</f>
        <v>3.2199999999999999E-2</v>
      </c>
      <c r="J35" s="94"/>
      <c r="AA35" s="17"/>
      <c r="AB35" s="17"/>
      <c r="AC35" s="17"/>
      <c r="AD35" s="17"/>
      <c r="AE35" s="17"/>
      <c r="AF35" s="17"/>
      <c r="AG35" s="17"/>
      <c r="AH35" s="17"/>
      <c r="AI35" s="17"/>
      <c r="AJ35" s="17"/>
    </row>
    <row r="36" spans="1:36" ht="17.149999999999999" customHeight="1" x14ac:dyDescent="0.35">
      <c r="J36" s="94"/>
      <c r="AA36" s="17"/>
      <c r="AB36" s="17"/>
      <c r="AC36" s="17"/>
      <c r="AD36" s="17"/>
      <c r="AE36" s="17"/>
      <c r="AF36" s="17"/>
      <c r="AG36" s="17"/>
      <c r="AH36" s="17"/>
      <c r="AI36" s="17"/>
      <c r="AJ36" s="17"/>
    </row>
    <row r="37" spans="1:36" ht="17.149999999999999" customHeight="1" x14ac:dyDescent="0.35">
      <c r="J37" s="94"/>
      <c r="AA37" s="17"/>
      <c r="AB37" s="17"/>
      <c r="AC37" s="17"/>
      <c r="AD37" s="17"/>
      <c r="AE37" s="17"/>
      <c r="AF37" s="17"/>
      <c r="AG37" s="17"/>
      <c r="AH37" s="17"/>
      <c r="AI37" s="17"/>
      <c r="AJ37" s="17"/>
    </row>
    <row r="38" spans="1:36" ht="17.149999999999999" customHeight="1" x14ac:dyDescent="0.35">
      <c r="A38" s="949" t="s">
        <v>813</v>
      </c>
      <c r="B38" s="1505" t="s">
        <v>9</v>
      </c>
      <c r="C38" s="1502" t="s">
        <v>253</v>
      </c>
      <c r="J38" s="94"/>
      <c r="AA38" s="17"/>
      <c r="AB38" s="17"/>
      <c r="AC38" s="17"/>
      <c r="AD38" s="17"/>
      <c r="AE38" s="17"/>
      <c r="AF38" s="17"/>
      <c r="AG38" s="17"/>
      <c r="AH38" s="17"/>
      <c r="AI38" s="17"/>
      <c r="AJ38" s="17"/>
    </row>
    <row r="39" spans="1:36" ht="17.149999999999999" customHeight="1" x14ac:dyDescent="0.35">
      <c r="J39" s="94"/>
      <c r="AA39" s="17"/>
      <c r="AB39" s="17"/>
      <c r="AC39" s="17"/>
      <c r="AD39" s="17"/>
      <c r="AE39" s="17"/>
      <c r="AF39" s="17"/>
      <c r="AG39" s="17"/>
      <c r="AH39" s="17"/>
      <c r="AI39" s="17"/>
      <c r="AJ39" s="17"/>
    </row>
    <row r="40" spans="1:36" ht="17.149999999999999" customHeight="1" x14ac:dyDescent="0.35">
      <c r="A40" s="142"/>
      <c r="B40" s="1504" t="s">
        <v>201</v>
      </c>
      <c r="C40" s="1508" t="s">
        <v>201</v>
      </c>
      <c r="J40" s="94"/>
      <c r="AA40" s="17"/>
      <c r="AB40" s="17"/>
      <c r="AC40" s="17"/>
      <c r="AD40" s="17"/>
      <c r="AE40" s="17"/>
      <c r="AF40" s="17"/>
      <c r="AG40" s="17"/>
      <c r="AH40" s="17"/>
      <c r="AI40" s="17"/>
      <c r="AJ40" s="17"/>
    </row>
    <row r="41" spans="1:36" ht="17.149999999999999" customHeight="1" x14ac:dyDescent="0.35">
      <c r="A41" s="1038" t="s">
        <v>433</v>
      </c>
      <c r="B41" s="1060">
        <f>SUM(B42:B43)</f>
        <v>0.44900000000000001</v>
      </c>
      <c r="C41" s="1061">
        <f>SUM(C42:C43)</f>
        <v>0.85000000000000009</v>
      </c>
      <c r="E41" s="423"/>
      <c r="J41" s="94"/>
      <c r="AA41" s="17"/>
      <c r="AB41" s="17"/>
      <c r="AC41" s="17"/>
      <c r="AD41" s="17"/>
      <c r="AE41" s="17"/>
      <c r="AF41" s="17"/>
      <c r="AG41" s="17"/>
      <c r="AH41" s="17"/>
      <c r="AI41" s="17"/>
      <c r="AJ41" s="17"/>
    </row>
    <row r="42" spans="1:36" ht="17.149999999999999" customHeight="1" x14ac:dyDescent="0.35">
      <c r="A42" s="155" t="s">
        <v>814</v>
      </c>
      <c r="B42" s="964">
        <f>'User interface_RES'!C33*'User interface_RES'!E33</f>
        <v>0.22450000000000001</v>
      </c>
      <c r="C42" s="964">
        <f>'User interface_RES'!C55*'User interface_RES'!E55</f>
        <v>0.51</v>
      </c>
      <c r="J42" s="94"/>
      <c r="AA42" s="17"/>
      <c r="AB42" s="17"/>
      <c r="AC42" s="17"/>
      <c r="AD42" s="17"/>
      <c r="AE42" s="17"/>
      <c r="AF42" s="17"/>
      <c r="AG42" s="17"/>
      <c r="AH42" s="17"/>
      <c r="AI42" s="17"/>
      <c r="AJ42" s="17"/>
    </row>
    <row r="43" spans="1:36" ht="17.149999999999999" customHeight="1" x14ac:dyDescent="0.35">
      <c r="A43" s="155" t="s">
        <v>815</v>
      </c>
      <c r="B43" s="964">
        <f>'User interface_RES'!C33*'User interface_RES'!F33</f>
        <v>0.22450000000000001</v>
      </c>
      <c r="C43" s="964">
        <f>'User interface_RES'!C55*'User interface_RES'!F55</f>
        <v>0.34</v>
      </c>
      <c r="J43" s="94"/>
      <c r="AA43" s="17"/>
      <c r="AB43" s="17"/>
      <c r="AC43" s="17"/>
      <c r="AD43" s="17"/>
      <c r="AE43" s="17"/>
      <c r="AF43" s="17"/>
      <c r="AG43" s="17"/>
      <c r="AH43" s="17"/>
      <c r="AI43" s="17"/>
      <c r="AJ43" s="17"/>
    </row>
    <row r="44" spans="1:36" ht="17.149999999999999" customHeight="1" x14ac:dyDescent="0.35">
      <c r="A44" s="1038" t="s">
        <v>816</v>
      </c>
      <c r="B44" s="1060">
        <f>SUM(B45:B46)</f>
        <v>0</v>
      </c>
      <c r="C44" s="1061">
        <f>SUM(C45:C46)</f>
        <v>0</v>
      </c>
      <c r="E44" s="423"/>
      <c r="J44" s="94"/>
      <c r="AA44" s="17"/>
      <c r="AB44" s="17"/>
      <c r="AC44" s="17"/>
      <c r="AD44" s="17"/>
      <c r="AE44" s="17"/>
      <c r="AF44" s="17"/>
      <c r="AG44" s="17"/>
      <c r="AH44" s="17"/>
      <c r="AI44" s="17"/>
      <c r="AJ44" s="17"/>
    </row>
    <row r="45" spans="1:36" ht="17.149999999999999" customHeight="1" x14ac:dyDescent="0.35">
      <c r="A45" s="155" t="s">
        <v>817</v>
      </c>
      <c r="B45" s="964">
        <f>'User interface_RES'!C34*'User interface_RES'!E34</f>
        <v>0</v>
      </c>
      <c r="C45" s="964">
        <f>'User interface_RES'!C56*'User interface_RES'!E56</f>
        <v>0</v>
      </c>
      <c r="E45" s="1767" t="s">
        <v>818</v>
      </c>
      <c r="F45" s="1079" t="s">
        <v>819</v>
      </c>
      <c r="G45" s="1075"/>
      <c r="AA45" s="17"/>
      <c r="AB45" s="17"/>
      <c r="AC45" s="17"/>
      <c r="AD45" s="17"/>
      <c r="AE45" s="17"/>
      <c r="AF45" s="17"/>
      <c r="AG45" s="17"/>
      <c r="AH45" s="17"/>
      <c r="AI45" s="17"/>
      <c r="AJ45" s="17"/>
    </row>
    <row r="46" spans="1:36" ht="17.149999999999999" customHeight="1" x14ac:dyDescent="0.35">
      <c r="A46" s="155" t="s">
        <v>820</v>
      </c>
      <c r="B46" s="964">
        <f>'User interface_RES'!C34*'User interface_RES'!F34</f>
        <v>0</v>
      </c>
      <c r="C46" s="964">
        <f>'User interface_RES'!C56*'User interface_RES'!F56</f>
        <v>0</v>
      </c>
      <c r="E46" s="1768"/>
      <c r="F46" s="1075"/>
      <c r="G46" s="1075"/>
      <c r="AA46" s="17"/>
      <c r="AB46" s="17"/>
      <c r="AC46" s="17"/>
      <c r="AD46" s="17"/>
      <c r="AE46" s="17"/>
      <c r="AF46" s="17"/>
      <c r="AG46" s="17"/>
      <c r="AH46" s="17"/>
      <c r="AI46" s="17"/>
      <c r="AJ46" s="17"/>
    </row>
    <row r="47" spans="1:36" ht="17.149999999999999" customHeight="1" x14ac:dyDescent="0.35">
      <c r="A47" s="1038" t="s">
        <v>821</v>
      </c>
      <c r="B47" s="1060">
        <f>SUM(B48:B49)</f>
        <v>0.25229999999999997</v>
      </c>
      <c r="C47" s="1061">
        <f>SUM(C48:C49)</f>
        <v>7.4999999999999997E-2</v>
      </c>
      <c r="E47" s="1076">
        <f>B47-'User interface_RES'!C47</f>
        <v>0.25229999999999997</v>
      </c>
      <c r="F47" s="1077">
        <f>B47-E47</f>
        <v>0</v>
      </c>
      <c r="G47" s="1078" t="e">
        <f>ROUND(((F47*#REF!*'User interface_RES'!$G$81)*365/1000)/25,0)*25</f>
        <v>#REF!</v>
      </c>
      <c r="I47" s="423"/>
      <c r="AA47" s="17"/>
      <c r="AB47" s="17"/>
      <c r="AC47" s="17"/>
      <c r="AD47" s="17"/>
      <c r="AE47" s="17"/>
      <c r="AF47" s="17"/>
      <c r="AG47" s="17"/>
      <c r="AH47" s="17"/>
      <c r="AI47" s="17"/>
      <c r="AJ47" s="17"/>
    </row>
    <row r="48" spans="1:36" ht="17.149999999999999" customHeight="1" x14ac:dyDescent="0.35">
      <c r="A48" s="155" t="s">
        <v>822</v>
      </c>
      <c r="B48" s="964">
        <f>'User interface_RES'!C35*'User interface_RES'!D36*'User interface_RES'!E36</f>
        <v>0.12614999999999998</v>
      </c>
      <c r="C48" s="964">
        <f>'User interface_RES'!C57*'User interface_RES'!D58*'User interface_RES'!E58</f>
        <v>4.4999999999999998E-2</v>
      </c>
      <c r="E48" s="1075"/>
      <c r="F48" s="1075"/>
      <c r="G48" s="1075"/>
      <c r="AA48" s="17"/>
      <c r="AB48" s="17"/>
      <c r="AC48" s="17"/>
      <c r="AD48" s="17"/>
      <c r="AE48" s="17"/>
      <c r="AF48" s="17"/>
      <c r="AG48" s="17"/>
      <c r="AH48" s="17"/>
      <c r="AI48" s="17"/>
      <c r="AJ48" s="17"/>
    </row>
    <row r="49" spans="1:36" ht="17.149999999999999" customHeight="1" x14ac:dyDescent="0.35">
      <c r="A49" s="155" t="s">
        <v>823</v>
      </c>
      <c r="B49" s="964">
        <f>'User interface_RES'!C35*'User interface_RES'!D36*'User interface_RES'!F36</f>
        <v>0.12614999999999998</v>
      </c>
      <c r="C49" s="964">
        <f>'User interface_RES'!C57*'User interface_RES'!D58*'User interface_RES'!F58</f>
        <v>0.03</v>
      </c>
      <c r="E49" s="1075"/>
      <c r="F49" s="1075"/>
      <c r="G49" s="1075"/>
      <c r="AA49" s="17"/>
      <c r="AB49" s="17"/>
      <c r="AC49" s="17"/>
      <c r="AD49" s="17"/>
      <c r="AE49" s="17"/>
      <c r="AF49" s="17"/>
      <c r="AG49" s="17"/>
      <c r="AH49" s="17"/>
      <c r="AI49" s="17"/>
      <c r="AJ49" s="17"/>
    </row>
    <row r="50" spans="1:36" ht="17.149999999999999" customHeight="1" x14ac:dyDescent="0.35">
      <c r="A50" s="1038" t="s">
        <v>824</v>
      </c>
      <c r="B50" s="1060">
        <f>SUM(B51:B53)</f>
        <v>0.20097000000000001</v>
      </c>
      <c r="C50" s="1061">
        <f>SUM(C51:C53)</f>
        <v>7.4999999999999997E-2</v>
      </c>
      <c r="E50" s="1076">
        <f>B50-'User interface_RES'!C48</f>
        <v>0.20097000000000001</v>
      </c>
      <c r="F50" s="1077">
        <f>B50-E50</f>
        <v>0</v>
      </c>
      <c r="G50" s="1078" t="e">
        <f>ROUND(((F50*#REF!*'User interface_RES'!$G$81)*365/1000)/25,0)*25</f>
        <v>#REF!</v>
      </c>
      <c r="AA50" s="17"/>
      <c r="AB50" s="17"/>
      <c r="AC50" s="17"/>
      <c r="AD50" s="17"/>
      <c r="AE50" s="17"/>
      <c r="AF50" s="17"/>
      <c r="AG50" s="17"/>
      <c r="AH50" s="17"/>
      <c r="AI50" s="17"/>
      <c r="AJ50" s="17"/>
    </row>
    <row r="51" spans="1:36" ht="17.149999999999999" customHeight="1" x14ac:dyDescent="0.35">
      <c r="A51" s="155" t="s">
        <v>822</v>
      </c>
      <c r="B51" s="964">
        <f>'User interface_RES'!C35*'User interface_RES'!D37*'User interface_RES'!E37</f>
        <v>0</v>
      </c>
      <c r="C51" s="964">
        <f>'User interface_RES'!C57*'User interface_RES'!D59*'User interface_RES'!E59</f>
        <v>0</v>
      </c>
      <c r="E51" s="1075"/>
      <c r="F51" s="1075"/>
      <c r="G51" s="1075"/>
      <c r="AA51" s="17"/>
      <c r="AB51" s="17"/>
      <c r="AC51" s="17"/>
      <c r="AD51" s="17"/>
      <c r="AE51" s="17"/>
      <c r="AF51" s="17"/>
      <c r="AG51" s="17"/>
      <c r="AH51" s="17"/>
      <c r="AI51" s="17"/>
      <c r="AJ51" s="17"/>
    </row>
    <row r="52" spans="1:36" ht="17.149999999999999" customHeight="1" x14ac:dyDescent="0.35">
      <c r="A52" s="155" t="s">
        <v>823</v>
      </c>
      <c r="B52" s="964">
        <f>'User interface_RES'!C35*'User interface_RES'!D37*'User interface_RES'!F37</f>
        <v>0.1827</v>
      </c>
      <c r="C52" s="964">
        <f>'User interface_RES'!C57*'User interface_RES'!D59*'User interface_RES'!F59</f>
        <v>7.4999999999999997E-2</v>
      </c>
      <c r="E52" s="1075"/>
      <c r="F52" s="1077">
        <f>F47+F50</f>
        <v>0</v>
      </c>
      <c r="G52" s="1078" t="e">
        <f>G47+G50</f>
        <v>#REF!</v>
      </c>
      <c r="AA52" s="17"/>
      <c r="AB52" s="17"/>
      <c r="AC52" s="17"/>
      <c r="AD52" s="17"/>
      <c r="AE52" s="17"/>
      <c r="AF52" s="17"/>
      <c r="AG52" s="17"/>
      <c r="AH52" s="17"/>
      <c r="AI52" s="17"/>
      <c r="AJ52" s="17"/>
    </row>
    <row r="53" spans="1:36" ht="17.149999999999999" customHeight="1" x14ac:dyDescent="0.35">
      <c r="A53" s="155" t="s">
        <v>825</v>
      </c>
      <c r="B53" s="964">
        <f>'User interface_RES'!C35*'User interface_RES'!D37*'User interface_RES'!G37</f>
        <v>1.8270000000000002E-2</v>
      </c>
      <c r="C53" s="964">
        <f>'User interface_RES'!C57*'User interface_RES'!D59*'User interface_RES'!G59</f>
        <v>0</v>
      </c>
      <c r="AA53" s="17"/>
      <c r="AB53" s="17"/>
      <c r="AC53" s="17"/>
      <c r="AD53" s="17"/>
      <c r="AE53" s="17"/>
      <c r="AF53" s="17"/>
      <c r="AG53" s="17"/>
      <c r="AH53" s="17"/>
      <c r="AI53" s="17"/>
      <c r="AJ53" s="17"/>
    </row>
    <row r="54" spans="1:36" ht="17.149999999999999" customHeight="1" x14ac:dyDescent="0.35">
      <c r="A54" s="1038" t="s">
        <v>826</v>
      </c>
      <c r="B54" s="1060">
        <f>SUM(B55:B56)</f>
        <v>0.02</v>
      </c>
      <c r="C54" s="1061">
        <f>SUM(C55:C56)</f>
        <v>0</v>
      </c>
      <c r="AA54" s="17"/>
      <c r="AB54" s="17"/>
      <c r="AC54" s="17"/>
      <c r="AD54" s="17"/>
      <c r="AE54" s="17"/>
      <c r="AF54" s="17"/>
      <c r="AG54" s="17"/>
      <c r="AH54" s="17"/>
      <c r="AI54" s="17"/>
      <c r="AJ54" s="17"/>
    </row>
    <row r="55" spans="1:36" ht="17.149999999999999" customHeight="1" x14ac:dyDescent="0.35">
      <c r="A55" s="155" t="s">
        <v>827</v>
      </c>
      <c r="B55" s="964">
        <f>'User interface_RES'!C38*'User interface_RES'!D39*'User interface_RES'!E39</f>
        <v>0</v>
      </c>
      <c r="C55" s="964">
        <f>'User interface_RES'!C60*'User interface_RES'!D61*'User interface_RES'!E61</f>
        <v>0</v>
      </c>
      <c r="AA55" s="17"/>
      <c r="AB55" s="17"/>
      <c r="AC55" s="17"/>
      <c r="AD55" s="17"/>
      <c r="AE55" s="17"/>
      <c r="AF55" s="17"/>
      <c r="AG55" s="17"/>
      <c r="AH55" s="17"/>
      <c r="AI55" s="17"/>
      <c r="AJ55" s="17"/>
    </row>
    <row r="56" spans="1:36" ht="17.149999999999999" customHeight="1" x14ac:dyDescent="0.35">
      <c r="A56" s="155" t="s">
        <v>828</v>
      </c>
      <c r="B56" s="964">
        <f>'User interface_RES'!C38*'User interface_RES'!D39*'User interface_RES'!F39</f>
        <v>0.02</v>
      </c>
      <c r="C56" s="964">
        <f>'User interface_RES'!C60*'User interface_RES'!D61*'User interface_RES'!F61</f>
        <v>0</v>
      </c>
      <c r="AA56" s="17"/>
      <c r="AB56" s="17"/>
      <c r="AC56" s="17"/>
      <c r="AD56" s="17"/>
      <c r="AE56" s="17"/>
      <c r="AF56" s="17"/>
      <c r="AG56" s="17"/>
      <c r="AH56" s="17"/>
      <c r="AI56" s="17"/>
      <c r="AJ56" s="17"/>
    </row>
    <row r="57" spans="1:36" ht="17.149999999999999" customHeight="1" x14ac:dyDescent="0.35">
      <c r="A57" s="1038" t="s">
        <v>829</v>
      </c>
      <c r="B57" s="1060">
        <f>SUM(B58:B59)</f>
        <v>0.02</v>
      </c>
      <c r="C57" s="1061">
        <f>SUM(C58:C59)</f>
        <v>0</v>
      </c>
      <c r="E57" s="423"/>
      <c r="AA57" s="17"/>
      <c r="AB57" s="17"/>
      <c r="AC57" s="17"/>
      <c r="AD57" s="17"/>
      <c r="AE57" s="17"/>
      <c r="AF57" s="17"/>
      <c r="AG57" s="17"/>
      <c r="AH57" s="17"/>
      <c r="AI57" s="17"/>
      <c r="AJ57" s="17"/>
    </row>
    <row r="58" spans="1:36" ht="17.149999999999999" customHeight="1" x14ac:dyDescent="0.35">
      <c r="A58" s="155" t="s">
        <v>827</v>
      </c>
      <c r="B58" s="964">
        <f>'User interface_RES'!C38*'User interface_RES'!D40*'User interface_RES'!E40</f>
        <v>0</v>
      </c>
      <c r="C58" s="964">
        <f>'User interface_RES'!C60*'User interface_RES'!D62*'User interface_RES'!E62</f>
        <v>0</v>
      </c>
      <c r="AA58" s="17"/>
      <c r="AB58" s="17"/>
      <c r="AC58" s="17"/>
      <c r="AD58" s="17"/>
      <c r="AE58" s="17"/>
      <c r="AF58" s="17"/>
      <c r="AG58" s="17"/>
      <c r="AH58" s="17"/>
      <c r="AI58" s="17"/>
      <c r="AJ58" s="17"/>
    </row>
    <row r="59" spans="1:36" ht="17.149999999999999" customHeight="1" x14ac:dyDescent="0.35">
      <c r="A59" s="155" t="s">
        <v>828</v>
      </c>
      <c r="B59" s="964">
        <f>'User interface_RES'!C38*'User interface_RES'!D40*'User interface_RES'!F40</f>
        <v>0.02</v>
      </c>
      <c r="C59" s="964">
        <f>'User interface_RES'!C60*'User interface_RES'!D62*'User interface_RES'!F62</f>
        <v>0</v>
      </c>
      <c r="AA59" s="17"/>
      <c r="AB59" s="17"/>
      <c r="AC59" s="17"/>
      <c r="AD59" s="17"/>
      <c r="AE59" s="17"/>
      <c r="AF59" s="17"/>
      <c r="AG59" s="17"/>
      <c r="AH59" s="17"/>
      <c r="AI59" s="17"/>
      <c r="AJ59" s="17"/>
    </row>
    <row r="60" spans="1:36" ht="17.149999999999999" customHeight="1" x14ac:dyDescent="0.35">
      <c r="A60" s="1038" t="s">
        <v>830</v>
      </c>
      <c r="B60" s="1060">
        <f>SUM(B61:B63)</f>
        <v>0</v>
      </c>
      <c r="C60" s="1061">
        <f>SUM(C61:C63)</f>
        <v>0</v>
      </c>
      <c r="E60" s="423"/>
      <c r="AA60" s="17"/>
      <c r="AB60" s="17"/>
      <c r="AC60" s="17"/>
      <c r="AD60" s="17"/>
      <c r="AE60" s="17"/>
      <c r="AF60" s="17"/>
      <c r="AG60" s="17"/>
      <c r="AH60" s="17"/>
      <c r="AI60" s="17"/>
      <c r="AJ60" s="17"/>
    </row>
    <row r="61" spans="1:36" ht="17.149999999999999" customHeight="1" x14ac:dyDescent="0.35">
      <c r="A61" s="155" t="s">
        <v>827</v>
      </c>
      <c r="B61" s="964">
        <f>'User interface_RES'!C38*'User interface_RES'!D41*'User interface_RES'!E41</f>
        <v>0</v>
      </c>
      <c r="C61" s="964">
        <f>'User interface_RES'!C60*'User interface_RES'!D63*'User interface_RES'!E63</f>
        <v>0</v>
      </c>
      <c r="AA61" s="17"/>
      <c r="AB61" s="17"/>
      <c r="AC61" s="17"/>
      <c r="AD61" s="17"/>
      <c r="AE61" s="17"/>
      <c r="AF61" s="17"/>
      <c r="AG61" s="17"/>
      <c r="AH61" s="17"/>
      <c r="AI61" s="17"/>
      <c r="AJ61" s="17"/>
    </row>
    <row r="62" spans="1:36" ht="17.149999999999999" customHeight="1" x14ac:dyDescent="0.35">
      <c r="A62" s="155" t="s">
        <v>828</v>
      </c>
      <c r="B62" s="964">
        <f>'User interface_RES'!C38*'User interface_RES'!D41*'User interface_RES'!F41</f>
        <v>0</v>
      </c>
      <c r="C62" s="964">
        <f>'User interface_RES'!C60*'User interface_RES'!D63*'User interface_RES'!F63</f>
        <v>0</v>
      </c>
      <c r="AA62" s="17"/>
      <c r="AB62" s="17"/>
      <c r="AC62" s="17"/>
      <c r="AD62" s="17"/>
      <c r="AE62" s="17"/>
      <c r="AF62" s="17"/>
      <c r="AG62" s="17"/>
      <c r="AH62" s="17"/>
      <c r="AI62" s="17"/>
      <c r="AJ62" s="17"/>
    </row>
    <row r="63" spans="1:36" ht="17.149999999999999" customHeight="1" x14ac:dyDescent="0.35">
      <c r="A63" s="155" t="s">
        <v>831</v>
      </c>
      <c r="B63" s="964">
        <f>'User interface_RES'!C38*'User interface_RES'!D41*'User interface_RES'!G41</f>
        <v>0</v>
      </c>
      <c r="C63" s="964">
        <f>'User interface_RES'!C60*'User interface_RES'!D63*'User interface_RES'!G63</f>
        <v>0</v>
      </c>
      <c r="AA63" s="17"/>
      <c r="AB63" s="17"/>
      <c r="AC63" s="17"/>
      <c r="AD63" s="17"/>
      <c r="AE63" s="17"/>
      <c r="AF63" s="17"/>
      <c r="AG63" s="17"/>
      <c r="AH63" s="17"/>
      <c r="AI63" s="17"/>
      <c r="AJ63" s="17"/>
    </row>
    <row r="64" spans="1:36" ht="17.149999999999999" customHeight="1" x14ac:dyDescent="0.35">
      <c r="A64" s="1038" t="s">
        <v>443</v>
      </c>
      <c r="B64" s="1060">
        <f>'User interface_RES'!C42</f>
        <v>7.5999999999999998E-2</v>
      </c>
      <c r="C64" s="1061">
        <f>'User interface_RES'!C64</f>
        <v>0</v>
      </c>
      <c r="E64" s="423"/>
      <c r="AA64" s="17"/>
      <c r="AB64" s="17"/>
      <c r="AC64" s="17"/>
      <c r="AD64" s="17"/>
      <c r="AE64" s="17"/>
      <c r="AF64" s="17"/>
      <c r="AG64" s="17"/>
      <c r="AH64" s="17"/>
      <c r="AI64" s="17"/>
      <c r="AJ64" s="17"/>
    </row>
    <row r="65" spans="1:36" ht="17.149999999999999" customHeight="1" x14ac:dyDescent="0.35">
      <c r="A65" s="950" t="s">
        <v>208</v>
      </c>
      <c r="B65" s="1018">
        <f>B41+B44+B47+B50+B54+B57+B60+B64</f>
        <v>1.01827</v>
      </c>
      <c r="C65" s="1062">
        <f>C41+C44+C47+C50+C54+C57+C60+C64</f>
        <v>1</v>
      </c>
      <c r="E65" s="423"/>
      <c r="AA65" s="17"/>
      <c r="AB65" s="17"/>
      <c r="AC65" s="17"/>
      <c r="AD65" s="17"/>
      <c r="AE65" s="17"/>
      <c r="AF65" s="17"/>
      <c r="AG65" s="17"/>
      <c r="AH65" s="17"/>
      <c r="AI65" s="17"/>
      <c r="AJ65" s="17"/>
    </row>
    <row r="66" spans="1:36" ht="17.149999999999999" customHeight="1" x14ac:dyDescent="0.35">
      <c r="AA66" s="17"/>
      <c r="AB66" s="17"/>
      <c r="AC66" s="17"/>
      <c r="AD66" s="17"/>
      <c r="AE66" s="17"/>
      <c r="AF66" s="17"/>
      <c r="AG66" s="17"/>
      <c r="AH66" s="17"/>
      <c r="AI66" s="17"/>
      <c r="AJ66" s="17"/>
    </row>
    <row r="67" spans="1:36" ht="17.149999999999999" customHeight="1" x14ac:dyDescent="0.35">
      <c r="A67" s="949" t="s">
        <v>832</v>
      </c>
      <c r="B67" s="1505" t="s">
        <v>833</v>
      </c>
      <c r="C67" s="1502" t="s">
        <v>833</v>
      </c>
      <c r="E67" s="1505" t="s">
        <v>201</v>
      </c>
      <c r="F67" s="1502" t="s">
        <v>201</v>
      </c>
      <c r="AA67" s="17"/>
      <c r="AB67" s="17"/>
      <c r="AC67" s="17"/>
      <c r="AD67" s="17"/>
      <c r="AE67" s="17"/>
      <c r="AF67" s="17"/>
      <c r="AG67" s="17"/>
      <c r="AH67" s="17"/>
      <c r="AI67" s="17"/>
      <c r="AJ67" s="17"/>
    </row>
    <row r="68" spans="1:36" ht="17.149999999999999" customHeight="1" x14ac:dyDescent="0.35">
      <c r="A68" s="155" t="s">
        <v>834</v>
      </c>
      <c r="B68" s="368">
        <f>(B42+B45+B48+B51+B55+B58+B61)*B31</f>
        <v>593299.80000000005</v>
      </c>
      <c r="C68" s="368">
        <f>(C42+C45+C48+C51+C55+C58+C61)*C35</f>
        <v>2074035.0000000002</v>
      </c>
      <c r="D68" s="136"/>
      <c r="E68" s="1064">
        <f>B42+B45+B48+B51+B58+B61</f>
        <v>0.35065000000000002</v>
      </c>
      <c r="F68" s="391">
        <f>C42+C45+C48+C51+C58+C61</f>
        <v>0.55500000000000005</v>
      </c>
      <c r="AA68" s="17"/>
      <c r="AB68" s="17"/>
      <c r="AC68" s="17"/>
      <c r="AD68" s="17"/>
      <c r="AE68" s="17"/>
      <c r="AF68" s="17"/>
      <c r="AG68" s="17"/>
      <c r="AH68" s="17"/>
      <c r="AI68" s="17"/>
      <c r="AJ68" s="17"/>
    </row>
    <row r="69" spans="1:36" ht="17.149999999999999" customHeight="1" x14ac:dyDescent="0.35">
      <c r="A69" s="155" t="s">
        <v>835</v>
      </c>
      <c r="B69" s="368">
        <f>(B43+B46+B49+B52+B56+B59+B62)*B31</f>
        <v>970108.20000000007</v>
      </c>
      <c r="C69" s="368">
        <f>(C43+C46+C49+C52+C56+C59+C62)*C35</f>
        <v>1662965</v>
      </c>
      <c r="D69" s="136"/>
      <c r="E69" s="1064">
        <f>B43+B46+B49+B52+B59+B62</f>
        <v>0.55335000000000001</v>
      </c>
      <c r="F69" s="391">
        <f>C43+C46+C49+C52+C59+C62</f>
        <v>0.44500000000000001</v>
      </c>
      <c r="AA69" s="17"/>
      <c r="AB69" s="17"/>
      <c r="AC69" s="17"/>
      <c r="AD69" s="17"/>
      <c r="AE69" s="17"/>
      <c r="AF69" s="17"/>
      <c r="AG69" s="17"/>
      <c r="AH69" s="17"/>
      <c r="AI69" s="17"/>
      <c r="AJ69" s="17"/>
    </row>
    <row r="70" spans="1:36" ht="17.149999999999999" customHeight="1" x14ac:dyDescent="0.35">
      <c r="A70" s="155" t="s">
        <v>836</v>
      </c>
      <c r="B70" s="368">
        <f>(B53+B63)*B31</f>
        <v>30912.840000000004</v>
      </c>
      <c r="C70" s="368">
        <f>(C53+C63)*C35</f>
        <v>0</v>
      </c>
      <c r="D70" s="136"/>
      <c r="E70" s="1064">
        <f>B53+B63</f>
        <v>1.8270000000000002E-2</v>
      </c>
      <c r="F70" s="391">
        <f>C53+C63</f>
        <v>0</v>
      </c>
      <c r="AA70" s="17"/>
      <c r="AB70" s="17"/>
      <c r="AC70" s="17"/>
      <c r="AD70" s="17"/>
      <c r="AE70" s="17"/>
      <c r="AF70" s="17"/>
      <c r="AG70" s="17"/>
      <c r="AH70" s="17"/>
      <c r="AI70" s="17"/>
      <c r="AJ70" s="17"/>
    </row>
    <row r="71" spans="1:36" ht="17.149999999999999" customHeight="1" x14ac:dyDescent="0.35">
      <c r="A71" s="155" t="s">
        <v>443</v>
      </c>
      <c r="B71" s="368">
        <f>B64*B31</f>
        <v>128592</v>
      </c>
      <c r="C71" s="368">
        <f>C64*C35</f>
        <v>0</v>
      </c>
      <c r="D71" s="136"/>
      <c r="E71" s="1064">
        <f>B64</f>
        <v>7.5999999999999998E-2</v>
      </c>
      <c r="F71" s="391">
        <f>C64</f>
        <v>0</v>
      </c>
      <c r="AA71" s="17"/>
      <c r="AB71" s="17"/>
      <c r="AC71" s="17"/>
      <c r="AD71" s="17"/>
      <c r="AE71" s="17"/>
      <c r="AF71" s="17"/>
      <c r="AG71" s="17"/>
      <c r="AH71" s="17"/>
      <c r="AI71" s="17"/>
      <c r="AJ71" s="17"/>
    </row>
    <row r="72" spans="1:36" ht="17.149999999999999" customHeight="1" x14ac:dyDescent="0.35">
      <c r="A72" s="950" t="s">
        <v>208</v>
      </c>
      <c r="B72" s="1021">
        <f>SUM(B68:B71)</f>
        <v>1722912.84</v>
      </c>
      <c r="C72" s="1063">
        <f>SUM(C68:C71)</f>
        <v>3737000</v>
      </c>
      <c r="E72" s="1018">
        <f>SUM(E68:E71)</f>
        <v>0.99826999999999999</v>
      </c>
      <c r="F72" s="1062">
        <f>SUM(F68:F71)</f>
        <v>1</v>
      </c>
      <c r="AA72" s="17"/>
      <c r="AB72" s="17"/>
      <c r="AC72" s="17"/>
      <c r="AD72" s="17"/>
      <c r="AE72" s="17"/>
      <c r="AF72" s="17"/>
      <c r="AG72" s="17"/>
      <c r="AH72" s="17"/>
      <c r="AI72" s="17"/>
      <c r="AJ72" s="17"/>
    </row>
    <row r="73" spans="1:36" ht="17.149999999999999" customHeight="1" x14ac:dyDescent="0.35">
      <c r="A73" s="378"/>
      <c r="B73" s="29">
        <f>B31</f>
        <v>1692000</v>
      </c>
      <c r="C73" s="368">
        <f>C35</f>
        <v>3737000</v>
      </c>
      <c r="E73" s="376"/>
      <c r="F73" s="377"/>
      <c r="AA73" s="17"/>
      <c r="AB73" s="17"/>
      <c r="AC73" s="17"/>
      <c r="AD73" s="17"/>
      <c r="AE73" s="17"/>
      <c r="AF73" s="17"/>
      <c r="AG73" s="17"/>
      <c r="AH73" s="17"/>
      <c r="AI73" s="17"/>
      <c r="AJ73" s="17"/>
    </row>
    <row r="74" spans="1:36" ht="17.149999999999999" customHeight="1" x14ac:dyDescent="0.35">
      <c r="A74" s="379"/>
      <c r="B74" s="1519" t="str">
        <f>IF(B72=B73,"OK","Not OK")</f>
        <v>Not OK</v>
      </c>
      <c r="C74" s="1519" t="str">
        <f>IF(C72=C73,"OK","Not OK")</f>
        <v>OK</v>
      </c>
      <c r="E74" s="376"/>
      <c r="F74" s="377"/>
      <c r="AA74" s="17"/>
      <c r="AB74" s="17"/>
      <c r="AC74" s="17"/>
      <c r="AD74" s="17"/>
      <c r="AE74" s="17"/>
      <c r="AF74" s="17"/>
      <c r="AG74" s="17"/>
      <c r="AH74" s="17"/>
      <c r="AI74" s="17"/>
      <c r="AJ74" s="17"/>
    </row>
    <row r="75" spans="1:36" ht="17.149999999999999" customHeight="1" x14ac:dyDescent="0.35">
      <c r="AA75" s="17"/>
      <c r="AB75" s="17"/>
      <c r="AC75" s="17"/>
      <c r="AD75" s="17"/>
      <c r="AE75" s="17"/>
      <c r="AF75" s="17"/>
      <c r="AG75" s="17"/>
      <c r="AH75" s="17"/>
      <c r="AI75" s="17"/>
      <c r="AJ75" s="17"/>
    </row>
    <row r="76" spans="1:36" ht="17.149999999999999" customHeight="1" x14ac:dyDescent="0.35">
      <c r="A76" s="949" t="s">
        <v>837</v>
      </c>
      <c r="B76" s="1505" t="s">
        <v>833</v>
      </c>
      <c r="C76" s="1502" t="s">
        <v>833</v>
      </c>
      <c r="E76" s="1505" t="s">
        <v>201</v>
      </c>
      <c r="F76" s="1502" t="s">
        <v>201</v>
      </c>
      <c r="AA76" s="17"/>
      <c r="AB76" s="17"/>
      <c r="AC76" s="17"/>
      <c r="AD76" s="17"/>
      <c r="AE76" s="17"/>
      <c r="AF76" s="17"/>
      <c r="AG76" s="17"/>
      <c r="AH76" s="17"/>
      <c r="AI76" s="17"/>
      <c r="AJ76" s="17"/>
    </row>
    <row r="77" spans="1:36" ht="17.149999999999999" customHeight="1" x14ac:dyDescent="0.35">
      <c r="A77" s="168" t="s">
        <v>816</v>
      </c>
      <c r="B77" s="368">
        <f>B44*B31</f>
        <v>0</v>
      </c>
      <c r="C77" s="368">
        <f>C44*C35</f>
        <v>0</v>
      </c>
      <c r="D77" s="136"/>
      <c r="E77" s="1064">
        <f>IF($B$31=0,0,B77/$B$31)</f>
        <v>0</v>
      </c>
      <c r="F77" s="391">
        <f>IF($C$35=0,0,C77/$C$35)</f>
        <v>0</v>
      </c>
      <c r="AA77" s="17"/>
      <c r="AB77" s="17"/>
      <c r="AC77" s="17"/>
      <c r="AD77" s="17"/>
      <c r="AE77" s="17"/>
      <c r="AF77" s="17"/>
      <c r="AG77" s="17"/>
      <c r="AH77" s="17"/>
      <c r="AI77" s="17"/>
      <c r="AJ77" s="17"/>
    </row>
    <row r="78" spans="1:36" ht="17.149999999999999" customHeight="1" x14ac:dyDescent="0.35">
      <c r="A78" s="168" t="s">
        <v>821</v>
      </c>
      <c r="B78" s="368">
        <f>B47*B31</f>
        <v>426891.59999999992</v>
      </c>
      <c r="C78" s="368">
        <f>C47*C35</f>
        <v>280275</v>
      </c>
      <c r="D78" s="136"/>
      <c r="E78" s="1064">
        <f t="shared" ref="E78:E79" si="1">IF($B$31=0,0,B78/$B$31)</f>
        <v>0.25229999999999997</v>
      </c>
      <c r="F78" s="391">
        <f t="shared" ref="F78:F79" si="2">IF($C$35=0,0,C78/$C$35)</f>
        <v>7.4999999999999997E-2</v>
      </c>
      <c r="AA78" s="17"/>
      <c r="AB78" s="17"/>
      <c r="AC78" s="17"/>
      <c r="AD78" s="17"/>
      <c r="AE78" s="17"/>
      <c r="AF78" s="17"/>
      <c r="AG78" s="17"/>
      <c r="AH78" s="17"/>
      <c r="AI78" s="17"/>
      <c r="AJ78" s="17"/>
    </row>
    <row r="79" spans="1:36" ht="17.149999999999999" customHeight="1" x14ac:dyDescent="0.35">
      <c r="A79" s="168" t="s">
        <v>829</v>
      </c>
      <c r="B79" s="368">
        <f>B57*B31</f>
        <v>33840</v>
      </c>
      <c r="C79" s="368">
        <f>C57*C35</f>
        <v>0</v>
      </c>
      <c r="D79" s="136"/>
      <c r="E79" s="1064">
        <f t="shared" si="1"/>
        <v>0.02</v>
      </c>
      <c r="F79" s="391">
        <f t="shared" si="2"/>
        <v>0</v>
      </c>
      <c r="AA79" s="17"/>
      <c r="AB79" s="17"/>
      <c r="AC79" s="17"/>
      <c r="AD79" s="17"/>
      <c r="AE79" s="17"/>
      <c r="AF79" s="17"/>
      <c r="AG79" s="17"/>
      <c r="AH79" s="17"/>
      <c r="AI79" s="17"/>
      <c r="AJ79" s="17"/>
    </row>
    <row r="80" spans="1:36" ht="17.149999999999999" customHeight="1" x14ac:dyDescent="0.35">
      <c r="A80" s="950" t="s">
        <v>208</v>
      </c>
      <c r="B80" s="1021">
        <f>SUM(B77:B79)</f>
        <v>460731.59999999992</v>
      </c>
      <c r="C80" s="1063">
        <f>SUM(C77:C79)</f>
        <v>280275</v>
      </c>
      <c r="E80" s="1018">
        <f>SUM(E77:E79)</f>
        <v>0.27229999999999999</v>
      </c>
      <c r="F80" s="1062">
        <f>SUM(F77:F79)</f>
        <v>7.4999999999999997E-2</v>
      </c>
      <c r="AA80" s="17"/>
      <c r="AB80" s="17"/>
      <c r="AC80" s="17"/>
      <c r="AD80" s="17"/>
      <c r="AE80" s="17"/>
      <c r="AF80" s="17"/>
      <c r="AG80" s="17"/>
      <c r="AH80" s="17"/>
      <c r="AI80" s="17"/>
      <c r="AJ80" s="17"/>
    </row>
    <row r="81" spans="1:36" ht="17.149999999999999" customHeight="1" x14ac:dyDescent="0.35">
      <c r="AA81" s="17"/>
      <c r="AB81" s="17"/>
      <c r="AC81" s="17"/>
      <c r="AD81" s="17"/>
      <c r="AE81" s="17"/>
      <c r="AF81" s="17"/>
      <c r="AG81" s="17"/>
      <c r="AH81" s="17"/>
      <c r="AI81" s="17"/>
      <c r="AJ81" s="17"/>
    </row>
    <row r="82" spans="1:36" ht="17.149999999999999" customHeight="1" x14ac:dyDescent="0.35">
      <c r="A82" s="949" t="s">
        <v>838</v>
      </c>
      <c r="B82" s="1505" t="s">
        <v>833</v>
      </c>
      <c r="C82" s="1502" t="s">
        <v>833</v>
      </c>
      <c r="E82" s="1505" t="s">
        <v>201</v>
      </c>
      <c r="F82" s="1502" t="s">
        <v>201</v>
      </c>
      <c r="AA82" s="17"/>
      <c r="AB82" s="17"/>
      <c r="AC82" s="17"/>
      <c r="AD82" s="17"/>
      <c r="AE82" s="17"/>
      <c r="AF82" s="17"/>
      <c r="AG82" s="17"/>
      <c r="AH82" s="17"/>
      <c r="AI82" s="17"/>
      <c r="AJ82" s="17"/>
    </row>
    <row r="83" spans="1:36" ht="17.149999999999999" customHeight="1" x14ac:dyDescent="0.35">
      <c r="A83" s="168" t="s">
        <v>824</v>
      </c>
      <c r="B83" s="368">
        <f>B50*B31</f>
        <v>340041.24</v>
      </c>
      <c r="C83" s="368">
        <f>C50*C35</f>
        <v>280275</v>
      </c>
      <c r="D83" s="136"/>
      <c r="E83" s="1064">
        <f t="shared" ref="E83:E84" si="3">IF($B$31=0,0,B83/$B$31)</f>
        <v>0.20096999999999998</v>
      </c>
      <c r="F83" s="391">
        <f t="shared" ref="F83:F84" si="4">IF($C$35=0,0,C83/$C$35)</f>
        <v>7.4999999999999997E-2</v>
      </c>
      <c r="AA83" s="17"/>
      <c r="AB83" s="17"/>
      <c r="AC83" s="17"/>
      <c r="AD83" s="17"/>
      <c r="AE83" s="17"/>
      <c r="AF83" s="17"/>
      <c r="AG83" s="17"/>
      <c r="AH83" s="17"/>
      <c r="AI83" s="17"/>
      <c r="AJ83" s="17"/>
    </row>
    <row r="84" spans="1:36" ht="17.149999999999999" customHeight="1" x14ac:dyDescent="0.35">
      <c r="A84" s="168" t="s">
        <v>830</v>
      </c>
      <c r="B84" s="368">
        <f>B60*B31</f>
        <v>0</v>
      </c>
      <c r="C84" s="368">
        <f>C60*C35</f>
        <v>0</v>
      </c>
      <c r="D84" s="136"/>
      <c r="E84" s="1064">
        <f t="shared" si="3"/>
        <v>0</v>
      </c>
      <c r="F84" s="391">
        <f t="shared" si="4"/>
        <v>0</v>
      </c>
      <c r="AA84" s="17"/>
      <c r="AB84" s="17"/>
      <c r="AC84" s="17"/>
      <c r="AD84" s="17"/>
      <c r="AE84" s="17"/>
      <c r="AF84" s="17"/>
      <c r="AG84" s="17"/>
      <c r="AH84" s="17"/>
      <c r="AI84" s="17"/>
      <c r="AJ84" s="17"/>
    </row>
    <row r="85" spans="1:36" ht="17.149999999999999" customHeight="1" x14ac:dyDescent="0.35">
      <c r="A85" s="950" t="s">
        <v>208</v>
      </c>
      <c r="B85" s="1021">
        <f>SUM(B83:B84)</f>
        <v>340041.24</v>
      </c>
      <c r="C85" s="1063">
        <f>SUM(C83:C84)</f>
        <v>280275</v>
      </c>
      <c r="E85" s="1018">
        <f>SUM(E83:E84)</f>
        <v>0.20096999999999998</v>
      </c>
      <c r="F85" s="1062">
        <f>SUM(F83:F84)</f>
        <v>7.4999999999999997E-2</v>
      </c>
      <c r="AA85" s="17"/>
      <c r="AB85" s="17"/>
      <c r="AC85" s="17"/>
      <c r="AD85" s="17"/>
      <c r="AE85" s="17"/>
      <c r="AF85" s="17"/>
      <c r="AG85" s="17"/>
      <c r="AH85" s="17"/>
      <c r="AI85" s="17"/>
      <c r="AJ85" s="17"/>
    </row>
    <row r="86" spans="1:36" ht="17.149999999999999" customHeight="1" x14ac:dyDescent="0.35">
      <c r="AA86" s="17"/>
      <c r="AB86" s="17"/>
      <c r="AC86" s="17"/>
      <c r="AD86" s="17"/>
      <c r="AE86" s="17"/>
      <c r="AF86" s="17"/>
      <c r="AG86" s="17"/>
      <c r="AH86" s="17"/>
      <c r="AI86" s="17"/>
      <c r="AJ86" s="17"/>
    </row>
    <row r="87" spans="1:36" ht="17.149999999999999" customHeight="1" x14ac:dyDescent="0.35">
      <c r="AA87" s="17"/>
      <c r="AB87" s="17"/>
      <c r="AC87" s="17"/>
      <c r="AD87" s="17"/>
      <c r="AE87" s="17"/>
      <c r="AF87" s="17"/>
      <c r="AG87" s="17"/>
      <c r="AH87" s="17"/>
      <c r="AI87" s="17"/>
      <c r="AJ87" s="17"/>
    </row>
    <row r="88" spans="1:36" ht="17.149999999999999" customHeight="1" x14ac:dyDescent="0.35">
      <c r="A88" s="949" t="s">
        <v>839</v>
      </c>
      <c r="B88" s="1505" t="s">
        <v>9</v>
      </c>
      <c r="C88" s="1502" t="s">
        <v>253</v>
      </c>
      <c r="E88" s="1505" t="s">
        <v>9</v>
      </c>
      <c r="F88" s="1502" t="s">
        <v>253</v>
      </c>
      <c r="AA88" s="17"/>
      <c r="AB88" s="17"/>
      <c r="AC88" s="17"/>
      <c r="AD88" s="17"/>
      <c r="AE88" s="17"/>
      <c r="AF88" s="17"/>
      <c r="AG88" s="17"/>
      <c r="AH88" s="17"/>
      <c r="AI88" s="17"/>
      <c r="AJ88" s="17"/>
    </row>
    <row r="89" spans="1:36" ht="17.149999999999999" customHeight="1" x14ac:dyDescent="0.35">
      <c r="AA89" s="17"/>
      <c r="AB89" s="17"/>
      <c r="AC89" s="17"/>
      <c r="AD89" s="17"/>
      <c r="AE89" s="17"/>
      <c r="AF89" s="17"/>
      <c r="AG89" s="17"/>
      <c r="AH89" s="17"/>
      <c r="AI89" s="17"/>
      <c r="AJ89" s="17"/>
    </row>
    <row r="90" spans="1:36" ht="17.149999999999999" customHeight="1" x14ac:dyDescent="0.35">
      <c r="A90" s="142"/>
      <c r="B90" s="1504" t="s">
        <v>840</v>
      </c>
      <c r="C90" s="1508" t="s">
        <v>840</v>
      </c>
      <c r="E90" s="1504" t="s">
        <v>841</v>
      </c>
      <c r="F90" s="1508" t="s">
        <v>841</v>
      </c>
      <c r="AA90" s="17"/>
      <c r="AB90" s="17"/>
      <c r="AC90" s="17"/>
      <c r="AD90" s="17"/>
      <c r="AE90" s="17"/>
      <c r="AF90" s="17"/>
      <c r="AG90" s="17"/>
      <c r="AH90" s="17"/>
      <c r="AI90" s="17"/>
      <c r="AJ90" s="17"/>
    </row>
    <row r="91" spans="1:36" ht="17.149999999999999" customHeight="1" x14ac:dyDescent="0.35">
      <c r="A91" s="1038" t="s">
        <v>433</v>
      </c>
      <c r="B91" s="1066">
        <f>SUM(B92:B93)</f>
        <v>68373725</v>
      </c>
      <c r="C91" s="1065">
        <f>SUM(C92:C93)</f>
        <v>297315700</v>
      </c>
      <c r="E91" s="1066">
        <f>SUM(E92:E93)</f>
        <v>24956425</v>
      </c>
      <c r="F91" s="1065">
        <f>SUM(F92:F93)</f>
        <v>108520250</v>
      </c>
      <c r="AA91" s="17"/>
      <c r="AB91" s="17"/>
      <c r="AC91" s="17"/>
      <c r="AD91" s="17"/>
      <c r="AE91" s="17"/>
      <c r="AF91" s="17"/>
      <c r="AG91" s="17"/>
      <c r="AH91" s="17"/>
      <c r="AI91" s="17"/>
      <c r="AJ91" s="17"/>
    </row>
    <row r="92" spans="1:36" ht="17.149999999999999" customHeight="1" x14ac:dyDescent="0.35">
      <c r="A92" s="155" t="s">
        <v>814</v>
      </c>
      <c r="B92" s="1044">
        <f>ROUND((B31*B42*'User interface_RES'!G74)/25,0)*25</f>
        <v>41024225</v>
      </c>
      <c r="C92" s="1044">
        <f>ROUND(($C$35*C42*'User interface_RES'!G74)/25,0)*25</f>
        <v>205833950</v>
      </c>
      <c r="D92" s="136"/>
      <c r="E92" s="1044">
        <f>ROUND((B92*365/1000)/25,0)*25</f>
        <v>14973850</v>
      </c>
      <c r="F92" s="1044">
        <f>ROUND((C92*365/1000)/25,0)*25</f>
        <v>75129400</v>
      </c>
      <c r="AA92" s="17"/>
      <c r="AB92" s="17"/>
      <c r="AC92" s="17"/>
      <c r="AD92" s="17"/>
      <c r="AE92" s="17"/>
      <c r="AF92" s="17"/>
      <c r="AG92" s="17"/>
      <c r="AH92" s="17"/>
      <c r="AI92" s="17"/>
      <c r="AJ92" s="17"/>
    </row>
    <row r="93" spans="1:36" ht="17.149999999999999" customHeight="1" x14ac:dyDescent="0.35">
      <c r="A93" s="155" t="s">
        <v>815</v>
      </c>
      <c r="B93" s="1044">
        <f>ROUND((B31*B43*'User interface_RES'!G75)/25,0)*25</f>
        <v>27349500</v>
      </c>
      <c r="C93" s="1044">
        <f>ROUND(($C$35*C43*'User interface_RES'!G75)/25,0)*25</f>
        <v>91481750</v>
      </c>
      <c r="D93" s="136"/>
      <c r="E93" s="1044">
        <f>ROUND((B93*365/1000)/25,0)*25</f>
        <v>9982575</v>
      </c>
      <c r="F93" s="1044">
        <f>ROUND((C93*365/1000)/25,0)*25</f>
        <v>33390850</v>
      </c>
      <c r="AA93" s="17"/>
      <c r="AB93" s="17"/>
      <c r="AC93" s="17"/>
      <c r="AD93" s="17"/>
      <c r="AE93" s="17"/>
      <c r="AF93" s="17"/>
      <c r="AG93" s="17"/>
      <c r="AH93" s="17"/>
      <c r="AI93" s="17"/>
      <c r="AJ93" s="17"/>
    </row>
    <row r="94" spans="1:36" ht="17.149999999999999" customHeight="1" x14ac:dyDescent="0.35">
      <c r="A94" s="1038" t="s">
        <v>474</v>
      </c>
      <c r="B94" s="1066">
        <f>SUM(B95:B96)</f>
        <v>0</v>
      </c>
      <c r="C94" s="1065">
        <f>SUM(C95:C96)</f>
        <v>0</v>
      </c>
      <c r="E94" s="1066">
        <f>SUM(E95:E96)</f>
        <v>0</v>
      </c>
      <c r="F94" s="1065">
        <f>SUM(F95:F96)</f>
        <v>0</v>
      </c>
      <c r="AA94" s="17"/>
      <c r="AB94" s="17"/>
      <c r="AC94" s="17"/>
      <c r="AD94" s="17"/>
      <c r="AE94" s="17"/>
      <c r="AF94" s="17"/>
      <c r="AG94" s="17"/>
      <c r="AH94" s="17"/>
      <c r="AI94" s="17"/>
      <c r="AJ94" s="17"/>
    </row>
    <row r="95" spans="1:36" ht="17.149999999999999" customHeight="1" x14ac:dyDescent="0.35">
      <c r="A95" s="155" t="s">
        <v>817</v>
      </c>
      <c r="B95" s="1044">
        <f>ROUND((B31*B45*'User interface_RES'!G77)/25,0)*25</f>
        <v>0</v>
      </c>
      <c r="C95" s="1044">
        <f>ROUND(($C$35*C45*'User interface_RES'!G77)/25,0)*25</f>
        <v>0</v>
      </c>
      <c r="D95" s="136"/>
      <c r="E95" s="1044">
        <f>ROUND((B95*365/1000)/25,0)*25</f>
        <v>0</v>
      </c>
      <c r="F95" s="1044">
        <f>ROUND((C95*365/1000)/25,0)*25</f>
        <v>0</v>
      </c>
      <c r="AA95" s="17"/>
      <c r="AB95" s="17"/>
      <c r="AC95" s="17"/>
      <c r="AD95" s="17"/>
      <c r="AE95" s="17"/>
      <c r="AF95" s="17"/>
      <c r="AG95" s="17"/>
      <c r="AH95" s="17"/>
      <c r="AI95" s="17"/>
      <c r="AJ95" s="17"/>
    </row>
    <row r="96" spans="1:36" ht="17.149999999999999" customHeight="1" x14ac:dyDescent="0.35">
      <c r="A96" s="155" t="s">
        <v>820</v>
      </c>
      <c r="B96" s="1044">
        <f>ROUND((B31*B46*'User interface_RES'!G78)/25,0)*25</f>
        <v>0</v>
      </c>
      <c r="C96" s="1044">
        <f>ROUND(($C$35*C46*'User interface_RES'!G78)/25,0)*25</f>
        <v>0</v>
      </c>
      <c r="D96" s="136"/>
      <c r="E96" s="1044">
        <f>ROUND((B96*365/1000)/25,0)*25</f>
        <v>0</v>
      </c>
      <c r="F96" s="1044">
        <f>ROUND((C96*365/1000)/25,0)*25</f>
        <v>0</v>
      </c>
      <c r="AA96" s="17"/>
      <c r="AB96" s="17"/>
      <c r="AC96" s="17"/>
      <c r="AD96" s="17"/>
      <c r="AE96" s="17"/>
      <c r="AF96" s="17"/>
      <c r="AG96" s="17"/>
      <c r="AH96" s="17"/>
      <c r="AI96" s="17"/>
      <c r="AJ96" s="17"/>
    </row>
    <row r="97" spans="1:36" ht="17.149999999999999" customHeight="1" x14ac:dyDescent="0.35">
      <c r="A97" s="1038" t="s">
        <v>821</v>
      </c>
      <c r="B97" s="1066">
        <f>SUM(B98:B99)</f>
        <v>18825925</v>
      </c>
      <c r="C97" s="1065">
        <f>SUM(C98:C99)</f>
        <v>13924050</v>
      </c>
      <c r="E97" s="1066">
        <f>SUM(E98:E99)</f>
        <v>6871450</v>
      </c>
      <c r="F97" s="1065">
        <f>SUM(F98:F99)</f>
        <v>5082275</v>
      </c>
      <c r="AA97" s="17"/>
      <c r="AB97" s="17"/>
      <c r="AC97" s="17"/>
      <c r="AD97" s="17"/>
      <c r="AE97" s="17"/>
      <c r="AF97" s="17"/>
      <c r="AG97" s="17"/>
      <c r="AH97" s="17"/>
      <c r="AI97" s="17"/>
      <c r="AJ97" s="17"/>
    </row>
    <row r="98" spans="1:36" ht="17.149999999999999" customHeight="1" x14ac:dyDescent="0.35">
      <c r="A98" s="155" t="s">
        <v>822</v>
      </c>
      <c r="B98" s="1044">
        <f>ROUND((B31*B48*'User interface_RES'!G80)/25,0)*25</f>
        <v>15368100</v>
      </c>
      <c r="C98" s="1044">
        <f>ROUND(($C$35*C48*'User interface_RES'!G80)/25,0)*25</f>
        <v>12107875</v>
      </c>
      <c r="D98" s="136"/>
      <c r="E98" s="1044">
        <f>ROUND((B98*365/1000)/25,0)*25</f>
        <v>5609350</v>
      </c>
      <c r="F98" s="1044">
        <f>ROUND((C98*365/1000)/25,0)*25</f>
        <v>4419375</v>
      </c>
      <c r="AA98" s="17"/>
      <c r="AB98" s="17"/>
      <c r="AC98" s="17"/>
      <c r="AD98" s="17"/>
      <c r="AE98" s="17"/>
      <c r="AF98" s="17"/>
      <c r="AG98" s="17"/>
      <c r="AH98" s="17"/>
      <c r="AI98" s="17"/>
      <c r="AJ98" s="17"/>
    </row>
    <row r="99" spans="1:36" ht="17.149999999999999" customHeight="1" x14ac:dyDescent="0.35">
      <c r="A99" s="155" t="s">
        <v>823</v>
      </c>
      <c r="B99" s="1044">
        <f>ROUND((B31*B49*'User interface_RES'!G81)/25,0)*25</f>
        <v>3457825</v>
      </c>
      <c r="C99" s="1044">
        <f>ROUND(($C$35*C49*'User interface_RES'!G81)/25,0)*25</f>
        <v>1816175</v>
      </c>
      <c r="D99" s="136"/>
      <c r="E99" s="1044">
        <f>ROUND((B99*365/1000)/25,0)*25</f>
        <v>1262100</v>
      </c>
      <c r="F99" s="1044">
        <f>ROUND((C99*365/1000)/25,0)*25</f>
        <v>662900</v>
      </c>
      <c r="AA99" s="17"/>
      <c r="AB99" s="17"/>
      <c r="AC99" s="17"/>
      <c r="AD99" s="17"/>
      <c r="AE99" s="17"/>
      <c r="AF99" s="17"/>
      <c r="AG99" s="17"/>
      <c r="AH99" s="17"/>
      <c r="AI99" s="17"/>
      <c r="AJ99" s="17"/>
    </row>
    <row r="100" spans="1:36" ht="17.149999999999999" customHeight="1" x14ac:dyDescent="0.35">
      <c r="A100" s="1038" t="s">
        <v>824</v>
      </c>
      <c r="B100" s="1066">
        <f>SUM(B101:B103)</f>
        <v>5007875</v>
      </c>
      <c r="C100" s="1065">
        <f>SUM(C101:C103)</f>
        <v>4540450</v>
      </c>
      <c r="E100" s="1066">
        <f>SUM(E101:E103)</f>
        <v>1827875</v>
      </c>
      <c r="F100" s="1065">
        <f>SUM(F101:F103)</f>
        <v>1657275</v>
      </c>
      <c r="AA100" s="17"/>
      <c r="AB100" s="17"/>
      <c r="AC100" s="17"/>
      <c r="AD100" s="17"/>
      <c r="AE100" s="17"/>
      <c r="AF100" s="17"/>
      <c r="AG100" s="17"/>
      <c r="AH100" s="17"/>
      <c r="AI100" s="17"/>
      <c r="AJ100" s="17"/>
    </row>
    <row r="101" spans="1:36" ht="17.149999999999999" customHeight="1" x14ac:dyDescent="0.35">
      <c r="A101" s="155" t="s">
        <v>822</v>
      </c>
      <c r="B101" s="1044">
        <f>ROUND((B31*B51*'User interface_RES'!G80)/25,0)*25</f>
        <v>0</v>
      </c>
      <c r="C101" s="1044">
        <f>ROUND(($C$35*C51*'User interface_RES'!G80)/25,0)*25</f>
        <v>0</v>
      </c>
      <c r="D101" s="136"/>
      <c r="E101" s="1044">
        <f t="shared" ref="E101:F103" si="5">ROUND((B101*365/1000)/25,0)*25</f>
        <v>0</v>
      </c>
      <c r="F101" s="1044">
        <f t="shared" si="5"/>
        <v>0</v>
      </c>
      <c r="AA101" s="17"/>
      <c r="AB101" s="17"/>
      <c r="AC101" s="17"/>
      <c r="AD101" s="17"/>
      <c r="AE101" s="17"/>
      <c r="AF101" s="17"/>
      <c r="AG101" s="17"/>
      <c r="AH101" s="17"/>
      <c r="AI101" s="17"/>
      <c r="AJ101" s="17"/>
    </row>
    <row r="102" spans="1:36" ht="17.149999999999999" customHeight="1" x14ac:dyDescent="0.35">
      <c r="A102" s="155" t="s">
        <v>823</v>
      </c>
      <c r="B102" s="1044">
        <f>ROUND((B31*B52*'User interface_RES'!G81)/25,0)*25</f>
        <v>5007875</v>
      </c>
      <c r="C102" s="1044">
        <f>ROUND(($C$35*C52*'User interface_RES'!G81)/25,0)*25</f>
        <v>4540450</v>
      </c>
      <c r="D102" s="136"/>
      <c r="E102" s="1044">
        <f t="shared" si="5"/>
        <v>1827875</v>
      </c>
      <c r="F102" s="1044">
        <f t="shared" si="5"/>
        <v>1657275</v>
      </c>
      <c r="AA102" s="17"/>
      <c r="AB102" s="17"/>
      <c r="AC102" s="17"/>
      <c r="AD102" s="17"/>
      <c r="AE102" s="17"/>
      <c r="AF102" s="17"/>
      <c r="AG102" s="17"/>
      <c r="AH102" s="17"/>
      <c r="AI102" s="17"/>
      <c r="AJ102" s="17"/>
    </row>
    <row r="103" spans="1:36" ht="17.149999999999999" customHeight="1" x14ac:dyDescent="0.35">
      <c r="A103" s="155" t="s">
        <v>825</v>
      </c>
      <c r="B103" s="1044">
        <f>ROUND((B31*B53*'User interface_RES'!G82*2)/25,0)*25</f>
        <v>0</v>
      </c>
      <c r="C103" s="1044">
        <f>ROUND(($C$35*C53*'User interface_RES'!G82)/25,0)*25</f>
        <v>0</v>
      </c>
      <c r="D103" s="136"/>
      <c r="E103" s="1044">
        <f t="shared" si="5"/>
        <v>0</v>
      </c>
      <c r="F103" s="1044">
        <f t="shared" si="5"/>
        <v>0</v>
      </c>
      <c r="AA103" s="17"/>
      <c r="AB103" s="17"/>
      <c r="AC103" s="17"/>
      <c r="AD103" s="17"/>
      <c r="AE103" s="17"/>
      <c r="AF103" s="17"/>
      <c r="AG103" s="17"/>
      <c r="AH103" s="17"/>
      <c r="AI103" s="17"/>
      <c r="AJ103" s="17"/>
    </row>
    <row r="104" spans="1:36" ht="17.149999999999999" customHeight="1" x14ac:dyDescent="0.35">
      <c r="A104" s="1038" t="s">
        <v>826</v>
      </c>
      <c r="B104" s="1066">
        <f>SUM(B105:B106)</f>
        <v>886600</v>
      </c>
      <c r="C104" s="1065">
        <f>SUM(C105:C106)</f>
        <v>0</v>
      </c>
      <c r="E104" s="1066">
        <f>SUM(E105:E106)</f>
        <v>323600</v>
      </c>
      <c r="F104" s="1065">
        <f>SUM(F105:F106)</f>
        <v>0</v>
      </c>
      <c r="AA104" s="17"/>
      <c r="AB104" s="17"/>
      <c r="AC104" s="17"/>
      <c r="AD104" s="17"/>
      <c r="AE104" s="17"/>
      <c r="AF104" s="17"/>
      <c r="AG104" s="17"/>
      <c r="AH104" s="17"/>
      <c r="AI104" s="17"/>
      <c r="AJ104" s="17"/>
    </row>
    <row r="105" spans="1:36" ht="17.149999999999999" customHeight="1" x14ac:dyDescent="0.35">
      <c r="A105" s="155" t="s">
        <v>827</v>
      </c>
      <c r="B105" s="1044">
        <f>ROUND((B31*B55*'User interface_RES'!G84)/25,0)*25</f>
        <v>0</v>
      </c>
      <c r="C105" s="1044">
        <f>ROUND(($C$35*C55*'User interface_RES'!G84)/25,0)*25</f>
        <v>0</v>
      </c>
      <c r="D105" s="136"/>
      <c r="E105" s="1044">
        <f>ROUND((B105*365/1000)/25,0)*25</f>
        <v>0</v>
      </c>
      <c r="F105" s="1044">
        <f>ROUND((C105*365/1000)/25,0)*25</f>
        <v>0</v>
      </c>
      <c r="AA105" s="17"/>
      <c r="AB105" s="17"/>
      <c r="AC105" s="17"/>
      <c r="AD105" s="17"/>
      <c r="AE105" s="17"/>
      <c r="AF105" s="17"/>
      <c r="AG105" s="17"/>
      <c r="AH105" s="17"/>
      <c r="AI105" s="17"/>
      <c r="AJ105" s="17"/>
    </row>
    <row r="106" spans="1:36" ht="17.149999999999999" customHeight="1" x14ac:dyDescent="0.35">
      <c r="A106" s="155" t="s">
        <v>828</v>
      </c>
      <c r="B106" s="1044">
        <f>ROUND((B31*B56*'User interface_RES'!G85)/25,0)*25</f>
        <v>886600</v>
      </c>
      <c r="C106" s="1044">
        <f>ROUND(($C$35*C56*'User interface_RES'!G85)/25,0)*25</f>
        <v>0</v>
      </c>
      <c r="D106" s="136"/>
      <c r="E106" s="1044">
        <f>ROUND((B106*365/1000)/25,0)*25</f>
        <v>323600</v>
      </c>
      <c r="F106" s="1044">
        <f>ROUND((C106*365/1000)/25,0)*25</f>
        <v>0</v>
      </c>
      <c r="AA106" s="17"/>
      <c r="AB106" s="17"/>
      <c r="AC106" s="17"/>
      <c r="AD106" s="17"/>
      <c r="AE106" s="17"/>
      <c r="AF106" s="17"/>
      <c r="AG106" s="17"/>
      <c r="AH106" s="17"/>
      <c r="AI106" s="17"/>
      <c r="AJ106" s="17"/>
    </row>
    <row r="107" spans="1:36" ht="17.149999999999999" customHeight="1" x14ac:dyDescent="0.35">
      <c r="A107" s="1038" t="s">
        <v>829</v>
      </c>
      <c r="B107" s="1066">
        <f>SUM(B108:B109)</f>
        <v>886600</v>
      </c>
      <c r="C107" s="1065">
        <f>SUM(C108:C109)</f>
        <v>0</v>
      </c>
      <c r="E107" s="1066">
        <f>SUM(E108:E109)</f>
        <v>323600</v>
      </c>
      <c r="F107" s="1065">
        <f>SUM(F108:F109)</f>
        <v>0</v>
      </c>
      <c r="AA107" s="17"/>
      <c r="AB107" s="17"/>
      <c r="AC107" s="17"/>
      <c r="AD107" s="17"/>
      <c r="AE107" s="17"/>
      <c r="AF107" s="17"/>
      <c r="AG107" s="17"/>
      <c r="AH107" s="17"/>
      <c r="AI107" s="17"/>
      <c r="AJ107" s="17"/>
    </row>
    <row r="108" spans="1:36" ht="17.149999999999999" customHeight="1" x14ac:dyDescent="0.35">
      <c r="A108" s="155" t="s">
        <v>827</v>
      </c>
      <c r="B108" s="1044">
        <f>ROUND((B31*B58*'User interface_RES'!G84)/25,0)*25</f>
        <v>0</v>
      </c>
      <c r="C108" s="1044">
        <f>ROUND(($C$35*C58*'User interface_RES'!G84)/25,0)*25</f>
        <v>0</v>
      </c>
      <c r="D108" s="136"/>
      <c r="E108" s="1044">
        <f>ROUND((B108*365/1000)/25,0)*25</f>
        <v>0</v>
      </c>
      <c r="F108" s="1044">
        <f>ROUND((C108*365/1000)/25,0)*25</f>
        <v>0</v>
      </c>
      <c r="AA108" s="17"/>
      <c r="AB108" s="17"/>
      <c r="AC108" s="17"/>
      <c r="AD108" s="17"/>
      <c r="AE108" s="17"/>
      <c r="AF108" s="17"/>
      <c r="AG108" s="17"/>
      <c r="AH108" s="17"/>
      <c r="AI108" s="17"/>
      <c r="AJ108" s="17"/>
    </row>
    <row r="109" spans="1:36" ht="17.149999999999999" customHeight="1" x14ac:dyDescent="0.35">
      <c r="A109" s="155" t="s">
        <v>828</v>
      </c>
      <c r="B109" s="1044">
        <f>ROUND((B31*B59*'User interface_RES'!G85)/25,0)*25</f>
        <v>886600</v>
      </c>
      <c r="C109" s="1044">
        <f>ROUND(($C$35*C59*'User interface_RES'!G85)/25,0)*25</f>
        <v>0</v>
      </c>
      <c r="D109" s="136"/>
      <c r="E109" s="1044">
        <f>ROUND((B109*365/1000)/25,0)*25</f>
        <v>323600</v>
      </c>
      <c r="F109" s="1044">
        <f>ROUND((C109*365/1000)/25,0)*25</f>
        <v>0</v>
      </c>
      <c r="AA109" s="17"/>
      <c r="AB109" s="17"/>
      <c r="AC109" s="17"/>
      <c r="AD109" s="17"/>
      <c r="AE109" s="17"/>
      <c r="AF109" s="17"/>
      <c r="AG109" s="17"/>
      <c r="AH109" s="17"/>
      <c r="AI109" s="17"/>
      <c r="AJ109" s="17"/>
    </row>
    <row r="110" spans="1:36" ht="17.149999999999999" customHeight="1" x14ac:dyDescent="0.35">
      <c r="A110" s="1038" t="s">
        <v>830</v>
      </c>
      <c r="B110" s="1066">
        <f>SUM(B111:B113)</f>
        <v>0</v>
      </c>
      <c r="C110" s="1065">
        <f>SUM(C111:C113)</f>
        <v>0</v>
      </c>
      <c r="E110" s="1066">
        <f>SUM(E111:E113)</f>
        <v>0</v>
      </c>
      <c r="F110" s="1065">
        <f>SUM(F111:F113)</f>
        <v>0</v>
      </c>
      <c r="AA110" s="17"/>
      <c r="AB110" s="17"/>
      <c r="AC110" s="17"/>
      <c r="AD110" s="17"/>
      <c r="AE110" s="17"/>
      <c r="AF110" s="17"/>
      <c r="AG110" s="17"/>
      <c r="AH110" s="17"/>
      <c r="AI110" s="17"/>
      <c r="AJ110" s="17"/>
    </row>
    <row r="111" spans="1:36" ht="17.149999999999999" customHeight="1" x14ac:dyDescent="0.35">
      <c r="A111" s="155" t="s">
        <v>827</v>
      </c>
      <c r="B111" s="1044">
        <f>ROUND((B31*B61*'User interface_RES'!G84)/25,0)*25</f>
        <v>0</v>
      </c>
      <c r="C111" s="1044">
        <f>ROUND(($C$35*C61*'User interface_RES'!G84)/25,0)*25</f>
        <v>0</v>
      </c>
      <c r="D111" s="136"/>
      <c r="E111" s="1044">
        <f t="shared" ref="E111:F114" si="6">ROUND((B111*365/1000)/25,0)*25</f>
        <v>0</v>
      </c>
      <c r="F111" s="1044">
        <f t="shared" si="6"/>
        <v>0</v>
      </c>
      <c r="H111" s="94"/>
      <c r="I111" s="94"/>
      <c r="J111" s="434"/>
      <c r="AA111" s="17"/>
      <c r="AB111" s="17"/>
      <c r="AC111" s="17"/>
      <c r="AD111" s="17"/>
      <c r="AE111" s="17"/>
      <c r="AF111" s="17"/>
      <c r="AG111" s="17"/>
      <c r="AH111" s="17"/>
      <c r="AI111" s="17"/>
      <c r="AJ111" s="17"/>
    </row>
    <row r="112" spans="1:36" ht="17.149999999999999" customHeight="1" x14ac:dyDescent="0.35">
      <c r="A112" s="155" t="s">
        <v>828</v>
      </c>
      <c r="B112" s="1044">
        <f>ROUND((B31*B62*'User interface_RES'!G85)/25,0)*25</f>
        <v>0</v>
      </c>
      <c r="C112" s="1044">
        <f>ROUND(($C$35*C62*'User interface_RES'!G85)/25,0)*25</f>
        <v>0</v>
      </c>
      <c r="D112" s="136"/>
      <c r="E112" s="1044">
        <f t="shared" si="6"/>
        <v>0</v>
      </c>
      <c r="F112" s="1044">
        <f t="shared" si="6"/>
        <v>0</v>
      </c>
      <c r="H112" s="94"/>
      <c r="I112" s="94"/>
      <c r="J112" s="434"/>
      <c r="AA112" s="17"/>
      <c r="AB112" s="17"/>
      <c r="AC112" s="17"/>
      <c r="AD112" s="17"/>
      <c r="AE112" s="17"/>
      <c r="AF112" s="17"/>
      <c r="AG112" s="17"/>
      <c r="AH112" s="17"/>
      <c r="AI112" s="17"/>
      <c r="AJ112" s="17"/>
    </row>
    <row r="113" spans="1:36" ht="17.149999999999999" customHeight="1" x14ac:dyDescent="0.35">
      <c r="A113" s="155" t="s">
        <v>831</v>
      </c>
      <c r="B113" s="1044">
        <f>ROUND((B31*B63*'User interface_RES'!G86)/25,0)*25</f>
        <v>0</v>
      </c>
      <c r="C113" s="1044">
        <f>ROUND(($C$35*C63*'User interface_RES'!G86)/25,0)*25</f>
        <v>0</v>
      </c>
      <c r="D113" s="136"/>
      <c r="E113" s="1044">
        <f t="shared" si="6"/>
        <v>0</v>
      </c>
      <c r="F113" s="1044">
        <f t="shared" si="6"/>
        <v>0</v>
      </c>
      <c r="H113" s="94"/>
      <c r="I113" s="94"/>
      <c r="J113" s="434"/>
      <c r="AA113" s="17"/>
      <c r="AB113" s="17"/>
      <c r="AC113" s="17"/>
      <c r="AD113" s="17"/>
      <c r="AE113" s="17"/>
      <c r="AF113" s="17"/>
      <c r="AG113" s="17"/>
      <c r="AH113" s="17"/>
      <c r="AI113" s="17"/>
      <c r="AJ113" s="17"/>
    </row>
    <row r="114" spans="1:36" ht="17.149999999999999" customHeight="1" x14ac:dyDescent="0.35">
      <c r="A114" s="1038" t="s">
        <v>443</v>
      </c>
      <c r="B114" s="1066">
        <f>ROUND((B31*B64*'User interface_RES'!G87*2)/25,0)*25</f>
        <v>51425</v>
      </c>
      <c r="C114" s="1065">
        <f>ROUND(($C$35*C64*'User interface_RES'!G87)/25,0)*25</f>
        <v>0</v>
      </c>
      <c r="E114" s="1066">
        <f t="shared" si="6"/>
        <v>18775</v>
      </c>
      <c r="F114" s="1065">
        <f t="shared" si="6"/>
        <v>0</v>
      </c>
      <c r="H114" s="94"/>
      <c r="I114" s="94"/>
      <c r="J114" s="434"/>
      <c r="AA114" s="17"/>
      <c r="AB114" s="17"/>
      <c r="AC114" s="17"/>
      <c r="AD114" s="17"/>
      <c r="AE114" s="17"/>
      <c r="AF114" s="17"/>
      <c r="AG114" s="17"/>
      <c r="AH114" s="17"/>
      <c r="AI114" s="17"/>
      <c r="AJ114" s="17"/>
    </row>
    <row r="115" spans="1:36" ht="17.149999999999999" customHeight="1" x14ac:dyDescent="0.35">
      <c r="A115" s="950" t="s">
        <v>208</v>
      </c>
      <c r="B115" s="1021">
        <f>B91+B94+B97+B100+B104+B107+B110+B114</f>
        <v>94032150</v>
      </c>
      <c r="C115" s="1022">
        <f>C91+C94+C97+C100+C104+C107+C110+C114</f>
        <v>315780200</v>
      </c>
      <c r="E115" s="1021">
        <f>E91+E94+E97+E100+E104+E107+E110+E114</f>
        <v>34321725</v>
      </c>
      <c r="F115" s="1022">
        <f>F91+F94+F97+F100+F104+F107+F110+F114</f>
        <v>115259800</v>
      </c>
      <c r="H115" s="94"/>
      <c r="I115" s="94"/>
      <c r="J115" s="434"/>
      <c r="AA115" s="17"/>
      <c r="AB115" s="17"/>
      <c r="AC115" s="17"/>
      <c r="AD115" s="17"/>
      <c r="AE115" s="17"/>
      <c r="AF115" s="17"/>
      <c r="AG115" s="17"/>
      <c r="AH115" s="17"/>
      <c r="AI115" s="17"/>
      <c r="AJ115" s="17"/>
    </row>
    <row r="116" spans="1:36" ht="17.149999999999999" customHeight="1" x14ac:dyDescent="0.35">
      <c r="H116" s="94"/>
      <c r="I116" s="94"/>
      <c r="J116" s="434"/>
      <c r="AA116" s="17"/>
      <c r="AB116" s="17"/>
      <c r="AC116" s="17"/>
      <c r="AD116" s="17"/>
      <c r="AE116" s="17"/>
      <c r="AF116" s="17"/>
      <c r="AG116" s="17"/>
      <c r="AH116" s="17"/>
      <c r="AI116" s="17"/>
      <c r="AJ116" s="17"/>
    </row>
    <row r="117" spans="1:36" ht="17.149999999999999" customHeight="1" x14ac:dyDescent="0.35">
      <c r="H117" s="94"/>
      <c r="I117" s="94"/>
      <c r="J117" s="434"/>
      <c r="AA117" s="17"/>
      <c r="AB117" s="17"/>
      <c r="AC117" s="17"/>
      <c r="AD117" s="17"/>
      <c r="AE117" s="17"/>
      <c r="AF117" s="17"/>
      <c r="AG117" s="17"/>
      <c r="AH117" s="17"/>
      <c r="AI117" s="17"/>
      <c r="AJ117" s="17"/>
    </row>
    <row r="118" spans="1:36" ht="17.149999999999999" customHeight="1" x14ac:dyDescent="0.35">
      <c r="A118" s="950" t="s">
        <v>842</v>
      </c>
      <c r="B118" s="1504" t="s">
        <v>843</v>
      </c>
      <c r="C118" s="1508" t="s">
        <v>843</v>
      </c>
      <c r="E118" s="1504" t="s">
        <v>841</v>
      </c>
      <c r="F118" s="1508" t="s">
        <v>841</v>
      </c>
      <c r="H118" s="94"/>
      <c r="I118" s="94"/>
      <c r="J118" s="434"/>
      <c r="AA118" s="17"/>
      <c r="AB118" s="17"/>
      <c r="AC118" s="17"/>
      <c r="AD118" s="17"/>
      <c r="AE118" s="17"/>
      <c r="AF118" s="17"/>
      <c r="AG118" s="17"/>
      <c r="AH118" s="17"/>
      <c r="AI118" s="17"/>
      <c r="AJ118" s="17"/>
    </row>
    <row r="119" spans="1:36" ht="17.149999999999999" customHeight="1" x14ac:dyDescent="0.35">
      <c r="A119" s="1067" t="s">
        <v>433</v>
      </c>
      <c r="B119" s="368">
        <f>B91</f>
        <v>68373725</v>
      </c>
      <c r="C119" s="1026">
        <f>C91</f>
        <v>297315700</v>
      </c>
      <c r="D119" s="136"/>
      <c r="E119" s="368">
        <f>E91</f>
        <v>24956425</v>
      </c>
      <c r="F119" s="1026">
        <f>F91</f>
        <v>108520250</v>
      </c>
      <c r="H119" s="94"/>
      <c r="I119" s="94"/>
      <c r="J119" s="434"/>
      <c r="AA119" s="17"/>
      <c r="AB119" s="17"/>
      <c r="AC119" s="17"/>
      <c r="AD119" s="17"/>
      <c r="AE119" s="17"/>
      <c r="AF119" s="17"/>
      <c r="AG119" s="17"/>
      <c r="AH119" s="17"/>
      <c r="AI119" s="17"/>
      <c r="AJ119" s="17"/>
    </row>
    <row r="120" spans="1:36" ht="17.149999999999999" customHeight="1" x14ac:dyDescent="0.35">
      <c r="A120" s="1067" t="s">
        <v>816</v>
      </c>
      <c r="B120" s="368">
        <f>B94</f>
        <v>0</v>
      </c>
      <c r="C120" s="1026">
        <f>C94</f>
        <v>0</v>
      </c>
      <c r="D120" s="136"/>
      <c r="E120" s="368">
        <f>E94</f>
        <v>0</v>
      </c>
      <c r="F120" s="1026">
        <f>F94</f>
        <v>0</v>
      </c>
      <c r="AA120" s="17"/>
      <c r="AB120" s="17"/>
      <c r="AC120" s="17"/>
      <c r="AD120" s="17"/>
      <c r="AE120" s="17"/>
      <c r="AF120" s="17"/>
      <c r="AG120" s="17"/>
      <c r="AH120" s="17"/>
      <c r="AI120" s="17"/>
      <c r="AJ120" s="17"/>
    </row>
    <row r="121" spans="1:36" ht="17.149999999999999" customHeight="1" x14ac:dyDescent="0.35">
      <c r="A121" s="1067" t="s">
        <v>821</v>
      </c>
      <c r="B121" s="368">
        <f>B97</f>
        <v>18825925</v>
      </c>
      <c r="C121" s="1026">
        <f>C97</f>
        <v>13924050</v>
      </c>
      <c r="D121" s="136"/>
      <c r="E121" s="368">
        <f>E97</f>
        <v>6871450</v>
      </c>
      <c r="F121" s="1026">
        <f>F97</f>
        <v>5082275</v>
      </c>
      <c r="AA121" s="17"/>
      <c r="AB121" s="17"/>
      <c r="AC121" s="17"/>
      <c r="AD121" s="17"/>
      <c r="AE121" s="17"/>
      <c r="AF121" s="17"/>
      <c r="AG121" s="17"/>
      <c r="AH121" s="17"/>
      <c r="AI121" s="17"/>
      <c r="AJ121" s="17"/>
    </row>
    <row r="122" spans="1:36" ht="17.149999999999999" customHeight="1" x14ac:dyDescent="0.35">
      <c r="A122" s="1067" t="s">
        <v>824</v>
      </c>
      <c r="B122" s="368">
        <f>B100</f>
        <v>5007875</v>
      </c>
      <c r="C122" s="1026">
        <f>C100</f>
        <v>4540450</v>
      </c>
      <c r="D122" s="136"/>
      <c r="E122" s="368">
        <f>E100</f>
        <v>1827875</v>
      </c>
      <c r="F122" s="1026">
        <f>F100</f>
        <v>1657275</v>
      </c>
      <c r="AA122" s="17"/>
      <c r="AB122" s="17"/>
      <c r="AC122" s="17"/>
      <c r="AD122" s="17"/>
      <c r="AE122" s="17"/>
      <c r="AF122" s="17"/>
      <c r="AG122" s="17"/>
      <c r="AH122" s="17"/>
      <c r="AI122" s="17"/>
      <c r="AJ122" s="17"/>
    </row>
    <row r="123" spans="1:36" ht="17.149999999999999" customHeight="1" x14ac:dyDescent="0.35">
      <c r="A123" s="155" t="s">
        <v>826</v>
      </c>
      <c r="B123" s="368">
        <f>B104</f>
        <v>886600</v>
      </c>
      <c r="C123" s="1026">
        <f>C104</f>
        <v>0</v>
      </c>
      <c r="D123" s="136"/>
      <c r="E123" s="368">
        <f>E104</f>
        <v>323600</v>
      </c>
      <c r="F123" s="1026">
        <f>F104</f>
        <v>0</v>
      </c>
      <c r="AA123" s="17"/>
      <c r="AB123" s="17"/>
      <c r="AC123" s="17"/>
      <c r="AD123" s="17"/>
      <c r="AE123" s="17"/>
      <c r="AF123" s="17"/>
      <c r="AG123" s="17"/>
      <c r="AH123" s="17"/>
      <c r="AI123" s="17"/>
      <c r="AJ123" s="17"/>
    </row>
    <row r="124" spans="1:36" ht="17.149999999999999" customHeight="1" x14ac:dyDescent="0.35">
      <c r="A124" s="1067" t="s">
        <v>829</v>
      </c>
      <c r="B124" s="368">
        <f>B107</f>
        <v>886600</v>
      </c>
      <c r="C124" s="1026">
        <f>C107</f>
        <v>0</v>
      </c>
      <c r="D124" s="136"/>
      <c r="E124" s="368">
        <f>E107</f>
        <v>323600</v>
      </c>
      <c r="F124" s="1026">
        <f>F107</f>
        <v>0</v>
      </c>
      <c r="AA124" s="17"/>
      <c r="AB124" s="17"/>
      <c r="AC124" s="17"/>
      <c r="AD124" s="17"/>
      <c r="AE124" s="17"/>
      <c r="AF124" s="17"/>
      <c r="AG124" s="17"/>
      <c r="AH124" s="17"/>
      <c r="AI124" s="17"/>
      <c r="AJ124" s="17"/>
    </row>
    <row r="125" spans="1:36" ht="17.149999999999999" customHeight="1" x14ac:dyDescent="0.35">
      <c r="A125" s="1067" t="s">
        <v>830</v>
      </c>
      <c r="B125" s="368">
        <f>B110</f>
        <v>0</v>
      </c>
      <c r="C125" s="1026">
        <f>C110</f>
        <v>0</v>
      </c>
      <c r="D125" s="136"/>
      <c r="E125" s="368">
        <f>E110</f>
        <v>0</v>
      </c>
      <c r="F125" s="1026">
        <f>F110</f>
        <v>0</v>
      </c>
      <c r="AA125" s="17"/>
      <c r="AB125" s="17"/>
      <c r="AC125" s="17"/>
      <c r="AD125" s="17"/>
      <c r="AE125" s="17"/>
      <c r="AF125" s="17"/>
      <c r="AG125" s="17"/>
      <c r="AH125" s="17"/>
      <c r="AI125" s="17"/>
      <c r="AJ125" s="17"/>
    </row>
    <row r="126" spans="1:36" ht="17.149999999999999" customHeight="1" x14ac:dyDescent="0.35">
      <c r="A126" s="155" t="s">
        <v>443</v>
      </c>
      <c r="B126" s="368">
        <f>B114</f>
        <v>51425</v>
      </c>
      <c r="C126" s="1026">
        <f>C114</f>
        <v>0</v>
      </c>
      <c r="D126" s="136"/>
      <c r="E126" s="368">
        <f>E114</f>
        <v>18775</v>
      </c>
      <c r="F126" s="1026">
        <f>F114</f>
        <v>0</v>
      </c>
      <c r="AA126" s="17"/>
      <c r="AB126" s="17"/>
      <c r="AC126" s="17"/>
      <c r="AD126" s="17"/>
      <c r="AE126" s="17"/>
      <c r="AF126" s="17"/>
      <c r="AG126" s="17"/>
      <c r="AH126" s="17"/>
      <c r="AI126" s="17"/>
      <c r="AJ126" s="17"/>
    </row>
    <row r="127" spans="1:36" ht="17.149999999999999" customHeight="1" x14ac:dyDescent="0.35">
      <c r="A127" s="950" t="s">
        <v>844</v>
      </c>
      <c r="B127" s="1021">
        <f>SUM(B119:B126)</f>
        <v>94032150</v>
      </c>
      <c r="C127" s="1022">
        <f>SUM(C119:C126)</f>
        <v>315780200</v>
      </c>
      <c r="E127" s="1021">
        <f>SUM(E119:E126)</f>
        <v>34321725</v>
      </c>
      <c r="F127" s="1022">
        <f>SUM(F119:F126)</f>
        <v>115259800</v>
      </c>
      <c r="AA127" s="17"/>
      <c r="AB127" s="17"/>
      <c r="AC127" s="17"/>
      <c r="AD127" s="17"/>
      <c r="AE127" s="17"/>
      <c r="AF127" s="17"/>
      <c r="AG127" s="17"/>
      <c r="AH127" s="17"/>
      <c r="AI127" s="17"/>
      <c r="AJ127" s="17"/>
    </row>
    <row r="128" spans="1:36" ht="17.149999999999999" customHeight="1" x14ac:dyDescent="0.35">
      <c r="AA128" s="17"/>
      <c r="AB128" s="17"/>
      <c r="AC128" s="17"/>
      <c r="AD128" s="17"/>
      <c r="AE128" s="17"/>
      <c r="AF128" s="17"/>
      <c r="AG128" s="17"/>
      <c r="AH128" s="17"/>
      <c r="AI128" s="17"/>
      <c r="AJ128" s="17"/>
    </row>
    <row r="129" spans="1:36" ht="17.149999999999999" customHeight="1" x14ac:dyDescent="0.35">
      <c r="AA129" s="17"/>
      <c r="AB129" s="17"/>
      <c r="AC129" s="17"/>
      <c r="AD129" s="17"/>
      <c r="AE129" s="17"/>
      <c r="AF129" s="17"/>
      <c r="AG129" s="17"/>
      <c r="AH129" s="17"/>
      <c r="AI129" s="17"/>
      <c r="AJ129" s="17"/>
    </row>
    <row r="130" spans="1:36" ht="17.149999999999999" customHeight="1" x14ac:dyDescent="0.35">
      <c r="A130" s="949" t="s">
        <v>845</v>
      </c>
      <c r="B130" s="1504" t="s">
        <v>9</v>
      </c>
      <c r="C130" s="1508" t="s">
        <v>253</v>
      </c>
      <c r="D130" s="11"/>
      <c r="E130" s="1504" t="s">
        <v>9</v>
      </c>
      <c r="F130" s="1508" t="s">
        <v>253</v>
      </c>
      <c r="H130" s="1504" t="s">
        <v>9</v>
      </c>
      <c r="I130" s="1508" t="s">
        <v>253</v>
      </c>
      <c r="AA130" s="17"/>
      <c r="AB130" s="17"/>
      <c r="AC130" s="17"/>
      <c r="AD130" s="17"/>
      <c r="AE130" s="17"/>
      <c r="AF130" s="17"/>
      <c r="AG130" s="17"/>
      <c r="AH130" s="17"/>
      <c r="AI130" s="17"/>
      <c r="AJ130" s="17"/>
    </row>
    <row r="131" spans="1:36" s="169" customFormat="1" ht="12" x14ac:dyDescent="0.35">
      <c r="A131" s="1073"/>
      <c r="B131" s="1074"/>
      <c r="C131" s="1074"/>
      <c r="D131" s="1073"/>
      <c r="E131" s="1074"/>
      <c r="F131" s="1074"/>
      <c r="H131" s="1074"/>
      <c r="I131" s="1074"/>
    </row>
    <row r="132" spans="1:36" ht="17.149999999999999" customHeight="1" x14ac:dyDescent="0.35">
      <c r="A132" s="80"/>
      <c r="B132" s="1504" t="s">
        <v>843</v>
      </c>
      <c r="C132" s="1508" t="s">
        <v>843</v>
      </c>
      <c r="D132" s="11"/>
      <c r="E132" s="1504" t="s">
        <v>841</v>
      </c>
      <c r="F132" s="1508" t="s">
        <v>841</v>
      </c>
      <c r="H132" s="1504" t="s">
        <v>201</v>
      </c>
      <c r="I132" s="1508" t="s">
        <v>201</v>
      </c>
      <c r="AA132" s="17"/>
      <c r="AB132" s="17"/>
      <c r="AC132" s="17"/>
      <c r="AD132" s="17"/>
      <c r="AE132" s="17"/>
      <c r="AF132" s="17"/>
      <c r="AG132" s="17"/>
      <c r="AH132" s="17"/>
      <c r="AI132" s="17"/>
      <c r="AJ132" s="17"/>
    </row>
    <row r="133" spans="1:36" s="169" customFormat="1" ht="12" x14ac:dyDescent="0.35">
      <c r="A133" s="1073"/>
      <c r="B133" s="1074"/>
      <c r="C133" s="1074"/>
      <c r="D133" s="1073"/>
      <c r="E133" s="1074"/>
      <c r="F133" s="1074"/>
      <c r="H133" s="1074"/>
      <c r="I133" s="1074"/>
    </row>
    <row r="134" spans="1:36" s="115" customFormat="1" ht="17.149999999999999" customHeight="1" x14ac:dyDescent="0.35">
      <c r="A134" s="206" t="s">
        <v>794</v>
      </c>
      <c r="B134" s="207">
        <f>SUM(B135:B138)</f>
        <v>93980725</v>
      </c>
      <c r="C134" s="207">
        <f>SUM(C135:C138)</f>
        <v>315780200</v>
      </c>
      <c r="D134" s="2"/>
      <c r="E134" s="207">
        <f>SUM(E135:E138)</f>
        <v>34302950</v>
      </c>
      <c r="F134" s="207">
        <f>SUM(F135:F138)</f>
        <v>115259800</v>
      </c>
      <c r="H134" s="420">
        <f>IF($E$143=0,0,E134/$E$143)</f>
        <v>0.99945297038537539</v>
      </c>
      <c r="I134" s="420">
        <f>IF($F$143=0,0,F134/$F$143)</f>
        <v>1</v>
      </c>
    </row>
    <row r="135" spans="1:36" ht="17.149999999999999" customHeight="1" x14ac:dyDescent="0.35">
      <c r="A135" s="135" t="s">
        <v>846</v>
      </c>
      <c r="B135" s="1523">
        <f>B119+B123</f>
        <v>69260325</v>
      </c>
      <c r="C135" s="1523">
        <f>C119+C123</f>
        <v>297315700</v>
      </c>
      <c r="D135" s="11"/>
      <c r="E135" s="1523">
        <f>E119+E123</f>
        <v>25280025</v>
      </c>
      <c r="F135" s="1523">
        <f>F119+F123</f>
        <v>108520250</v>
      </c>
      <c r="H135" s="181">
        <f>IF($E$143=0,0,E135/$E$143)</f>
        <v>0.73656044385880959</v>
      </c>
      <c r="I135" s="181">
        <f>IF($F$143=0,0,F135/$F$143)</f>
        <v>0.94152731481401153</v>
      </c>
    </row>
    <row r="136" spans="1:36" ht="17.149999999999999" customHeight="1" x14ac:dyDescent="0.35">
      <c r="A136" s="135" t="s">
        <v>847</v>
      </c>
      <c r="B136" s="1523">
        <f>B120</f>
        <v>0</v>
      </c>
      <c r="C136" s="1523">
        <f>C120</f>
        <v>0</v>
      </c>
      <c r="D136" s="11"/>
      <c r="E136" s="1523">
        <f>E120</f>
        <v>0</v>
      </c>
      <c r="F136" s="1523">
        <f>F120</f>
        <v>0</v>
      </c>
      <c r="H136" s="181">
        <f>IF($E$143=0,0,E136/$E$143)</f>
        <v>0</v>
      </c>
      <c r="I136" s="181">
        <f>IF($F$143=0,0,F136/$F$143)</f>
        <v>0</v>
      </c>
    </row>
    <row r="137" spans="1:36" ht="17.149999999999999" customHeight="1" x14ac:dyDescent="0.35">
      <c r="A137" s="135" t="s">
        <v>848</v>
      </c>
      <c r="B137" s="1523">
        <f>(B121+B124)</f>
        <v>19712525</v>
      </c>
      <c r="C137" s="1523">
        <f>C121+C124</f>
        <v>13924050</v>
      </c>
      <c r="D137" s="11"/>
      <c r="E137" s="1523">
        <f>(E121+E124)</f>
        <v>7195050</v>
      </c>
      <c r="F137" s="1523">
        <f>F121+F124</f>
        <v>5082275</v>
      </c>
      <c r="H137" s="181">
        <f>IF($E$143=0,0,E137/$E$143)</f>
        <v>0.20963544227453604</v>
      </c>
      <c r="I137" s="181">
        <f>IF($F$143=0,0,F137/$F$143)</f>
        <v>4.409408137095501E-2</v>
      </c>
    </row>
    <row r="138" spans="1:36" ht="17.149999999999999" customHeight="1" x14ac:dyDescent="0.35">
      <c r="A138" s="135" t="s">
        <v>849</v>
      </c>
      <c r="B138" s="1523">
        <f>SUM(B101:B103)+SUM(B111:B113)</f>
        <v>5007875</v>
      </c>
      <c r="C138" s="1523">
        <f>SUM(C101:C103)+SUM(C111:C113)</f>
        <v>4540450</v>
      </c>
      <c r="D138" s="11"/>
      <c r="E138" s="1523">
        <f>SUM(E101:E103)+SUM(E111:E113)</f>
        <v>1827875</v>
      </c>
      <c r="F138" s="1523">
        <f>SUM(F101:F103)+SUM(F111:F113)</f>
        <v>1657275</v>
      </c>
      <c r="H138" s="181">
        <f>IF($E$143=0,0,E138/$E$143)</f>
        <v>5.3257084252029872E-2</v>
      </c>
      <c r="I138" s="181">
        <f>IF($F$143=0,0,F138/$F$143)</f>
        <v>1.4378603815033515E-2</v>
      </c>
    </row>
    <row r="139" spans="1:36" ht="17.149999999999999" customHeight="1" x14ac:dyDescent="0.35">
      <c r="A139" s="11"/>
      <c r="B139" s="179"/>
      <c r="C139" s="179"/>
      <c r="D139" s="11"/>
      <c r="E139" s="179"/>
      <c r="F139" s="179"/>
      <c r="G139" s="179"/>
      <c r="H139" s="180"/>
      <c r="I139" s="180"/>
      <c r="AA139" s="17"/>
      <c r="AB139" s="17"/>
      <c r="AC139" s="17"/>
      <c r="AD139" s="17"/>
      <c r="AE139" s="17"/>
      <c r="AF139" s="17"/>
      <c r="AG139" s="17"/>
      <c r="AH139" s="17"/>
      <c r="AI139" s="17"/>
      <c r="AJ139" s="17"/>
    </row>
    <row r="140" spans="1:36" s="115" customFormat="1" ht="16.5" customHeight="1" x14ac:dyDescent="0.35">
      <c r="A140" s="208" t="s">
        <v>800</v>
      </c>
      <c r="B140" s="209">
        <f>SUM(B141:B141)</f>
        <v>51425</v>
      </c>
      <c r="C140" s="209">
        <f>SUM(C141:C141)</f>
        <v>0</v>
      </c>
      <c r="D140" s="2"/>
      <c r="E140" s="209">
        <f>SUM(E141:E141)</f>
        <v>18775</v>
      </c>
      <c r="F140" s="209">
        <f>SUM(F141:F141)</f>
        <v>0</v>
      </c>
      <c r="H140" s="421">
        <f>IF($E$143=0,0,E140/$E$143)</f>
        <v>5.4702961462455631E-4</v>
      </c>
      <c r="I140" s="421">
        <f>IF($F$143=0,0,F140/$F$143)</f>
        <v>0</v>
      </c>
    </row>
    <row r="141" spans="1:36" ht="17.149999999999999" customHeight="1" x14ac:dyDescent="0.35">
      <c r="A141" s="210" t="s">
        <v>850</v>
      </c>
      <c r="B141" s="211">
        <f>B126</f>
        <v>51425</v>
      </c>
      <c r="C141" s="211">
        <f>C126</f>
        <v>0</v>
      </c>
      <c r="D141" s="11"/>
      <c r="E141" s="211">
        <f>E126</f>
        <v>18775</v>
      </c>
      <c r="F141" s="211">
        <f>F126</f>
        <v>0</v>
      </c>
      <c r="H141" s="181">
        <f>IF($E$143=0,0,E141/$E$143)</f>
        <v>5.4702961462455631E-4</v>
      </c>
      <c r="I141" s="181">
        <f>IF($F$143=0,0,F141/$F$143)</f>
        <v>0</v>
      </c>
    </row>
    <row r="142" spans="1:36" ht="17.149999999999999" customHeight="1" x14ac:dyDescent="0.35">
      <c r="A142" s="11"/>
      <c r="B142" s="179"/>
      <c r="C142" s="179"/>
      <c r="D142" s="11"/>
      <c r="E142" s="179"/>
      <c r="F142" s="179"/>
      <c r="G142" s="179"/>
      <c r="H142" s="180"/>
      <c r="I142" s="180"/>
      <c r="AA142" s="17"/>
      <c r="AB142" s="17"/>
      <c r="AC142" s="17"/>
      <c r="AD142" s="17"/>
      <c r="AE142" s="17"/>
      <c r="AF142" s="17"/>
      <c r="AG142" s="17"/>
      <c r="AH142" s="17"/>
      <c r="AI142" s="17"/>
      <c r="AJ142" s="17"/>
    </row>
    <row r="143" spans="1:36" s="115" customFormat="1" ht="17.149999999999999" customHeight="1" x14ac:dyDescent="0.35">
      <c r="A143" s="212" t="s">
        <v>851</v>
      </c>
      <c r="B143" s="28">
        <f>B134+B140</f>
        <v>94032150</v>
      </c>
      <c r="C143" s="28">
        <f>C134+C140</f>
        <v>315780200</v>
      </c>
      <c r="D143" s="2"/>
      <c r="E143" s="28">
        <f>E134+E140</f>
        <v>34321725</v>
      </c>
      <c r="F143" s="28">
        <f>F134+F140</f>
        <v>115259800</v>
      </c>
      <c r="H143" s="181">
        <f>IF($E$143=0,0,E143/$E$143)</f>
        <v>1</v>
      </c>
      <c r="I143" s="181">
        <f>IF($F$143=0,0,F143/$F$143)</f>
        <v>1</v>
      </c>
    </row>
    <row r="144" spans="1:36" s="115" customFormat="1" ht="17.149999999999999" customHeight="1" x14ac:dyDescent="0.35">
      <c r="A144" s="194"/>
      <c r="B144" s="205">
        <f>B127</f>
        <v>94032150</v>
      </c>
      <c r="C144" s="205">
        <f>C127</f>
        <v>315780200</v>
      </c>
      <c r="D144" s="2"/>
      <c r="E144" s="205">
        <f>E127</f>
        <v>34321725</v>
      </c>
      <c r="F144" s="205">
        <f>F127</f>
        <v>115259800</v>
      </c>
      <c r="H144" s="221"/>
      <c r="I144" s="221"/>
    </row>
    <row r="145" spans="1:37" ht="17.149999999999999" customHeight="1" x14ac:dyDescent="0.35">
      <c r="A145" s="11"/>
      <c r="B145" s="1519" t="str">
        <f>IF(B143=B144,"OK","Not OK")</f>
        <v>OK</v>
      </c>
      <c r="C145" s="1519" t="str">
        <f>IF(C143=C144,"OK","Not OK")</f>
        <v>OK</v>
      </c>
      <c r="D145" s="11"/>
      <c r="E145" s="1519" t="str">
        <f>IF(E143=E144,"OK","Not OK")</f>
        <v>OK</v>
      </c>
      <c r="F145" s="1519" t="str">
        <f>IF(F143=F144,"OK","Not OK")</f>
        <v>OK</v>
      </c>
      <c r="AA145" s="17"/>
      <c r="AB145" s="17"/>
      <c r="AC145" s="17"/>
      <c r="AD145" s="17"/>
      <c r="AE145" s="17"/>
      <c r="AF145" s="17"/>
      <c r="AG145" s="17"/>
      <c r="AH145" s="17"/>
      <c r="AI145" s="17"/>
      <c r="AJ145" s="17"/>
    </row>
    <row r="146" spans="1:37" s="3" customFormat="1" ht="17.149999999999999" customHeight="1" x14ac:dyDescent="0.35">
      <c r="B146" s="184"/>
      <c r="C146" s="184"/>
    </row>
    <row r="147" spans="1:37" s="3" customFormat="1" ht="17.149999999999999" customHeight="1" x14ac:dyDescent="0.35">
      <c r="B147" s="184"/>
      <c r="C147" s="184"/>
    </row>
    <row r="148" spans="1:37" s="3" customFormat="1" ht="17.149999999999999" customHeight="1" x14ac:dyDescent="0.35">
      <c r="B148" s="184"/>
      <c r="C148" s="184"/>
    </row>
    <row r="149" spans="1:37" s="3" customFormat="1" ht="17.149999999999999" customHeight="1" x14ac:dyDescent="0.35">
      <c r="B149" s="184"/>
      <c r="C149" s="184"/>
      <c r="G149" s="1504" t="s">
        <v>9</v>
      </c>
      <c r="H149" s="1508" t="s">
        <v>253</v>
      </c>
    </row>
    <row r="150" spans="1:37" ht="21" customHeight="1" x14ac:dyDescent="0.35">
      <c r="A150" s="382" t="s">
        <v>852</v>
      </c>
      <c r="D150" s="3"/>
      <c r="E150" s="1764" t="s">
        <v>490</v>
      </c>
      <c r="F150" s="1764" t="s">
        <v>853</v>
      </c>
      <c r="G150" s="1764" t="s">
        <v>854</v>
      </c>
      <c r="H150" s="1761" t="s">
        <v>854</v>
      </c>
      <c r="I150" s="3"/>
      <c r="J150" s="3"/>
      <c r="AB150" s="17"/>
      <c r="AC150" s="17"/>
      <c r="AD150" s="17"/>
      <c r="AE150" s="17"/>
      <c r="AF150" s="17"/>
      <c r="AG150" s="17"/>
      <c r="AH150" s="17"/>
      <c r="AI150" s="17"/>
      <c r="AJ150" s="17"/>
      <c r="AK150" s="17"/>
    </row>
    <row r="151" spans="1:37" s="3" customFormat="1" ht="17.149999999999999" customHeight="1" x14ac:dyDescent="0.35">
      <c r="B151" s="184"/>
      <c r="C151" s="184"/>
      <c r="E151" s="1765"/>
      <c r="F151" s="1765"/>
      <c r="G151" s="1765"/>
      <c r="H151" s="1762"/>
    </row>
    <row r="152" spans="1:37" ht="15" customHeight="1" x14ac:dyDescent="0.35">
      <c r="A152" s="950" t="s">
        <v>855</v>
      </c>
      <c r="B152" s="1504" t="s">
        <v>9</v>
      </c>
      <c r="C152" s="1508" t="s">
        <v>253</v>
      </c>
      <c r="E152" s="1766"/>
      <c r="F152" s="1766"/>
      <c r="G152" s="1766"/>
      <c r="H152" s="1763"/>
      <c r="I152" s="3"/>
      <c r="J152" s="3"/>
    </row>
    <row r="153" spans="1:37" s="3" customFormat="1" ht="17.149999999999999" customHeight="1" x14ac:dyDescent="0.35">
      <c r="A153" s="143"/>
      <c r="B153" s="143"/>
      <c r="C153" s="143"/>
      <c r="E153" s="143"/>
      <c r="F153" s="143"/>
      <c r="G153" s="143"/>
      <c r="H153" s="143"/>
    </row>
    <row r="154" spans="1:37" s="3" customFormat="1" ht="17.149999999999999" customHeight="1" x14ac:dyDescent="0.35">
      <c r="A154" s="950" t="s">
        <v>229</v>
      </c>
      <c r="B154" s="1021">
        <f>B157+B159</f>
        <v>84700</v>
      </c>
      <c r="C154" s="1022">
        <f>C157+C159</f>
        <v>187100</v>
      </c>
      <c r="E154" s="143"/>
      <c r="F154" s="143"/>
      <c r="G154" s="1021">
        <f>G158+G159</f>
        <v>85700</v>
      </c>
      <c r="H154" s="1022">
        <f>H158+H159</f>
        <v>189200</v>
      </c>
    </row>
    <row r="155" spans="1:37" s="3" customFormat="1" ht="17.149999999999999" customHeight="1" x14ac:dyDescent="0.35">
      <c r="A155" s="168"/>
      <c r="B155" s="368"/>
      <c r="C155" s="368"/>
      <c r="E155" s="143"/>
      <c r="F155" s="143"/>
      <c r="G155" s="143"/>
      <c r="H155" s="143"/>
    </row>
    <row r="156" spans="1:37" s="3" customFormat="1" ht="17.149999999999999" customHeight="1" x14ac:dyDescent="0.35">
      <c r="A156" s="1068" t="s">
        <v>856</v>
      </c>
      <c r="B156" s="1023"/>
      <c r="C156" s="1024"/>
      <c r="E156" s="1069"/>
      <c r="F156" s="1069"/>
      <c r="G156" s="1069"/>
      <c r="H156" s="1070"/>
      <c r="N156" s="242" t="s">
        <v>805</v>
      </c>
      <c r="O156" s="243">
        <f>'User interface_Non-RES'!C8</f>
        <v>42978</v>
      </c>
    </row>
    <row r="157" spans="1:37" s="3" customFormat="1" ht="17.149999999999999" customHeight="1" x14ac:dyDescent="0.35">
      <c r="A157" s="1001" t="s">
        <v>493</v>
      </c>
      <c r="B157" s="153">
        <f>ROUND(('User interface_Non-RES'!C21*(1+E157)^$O$159)/100,0)*100</f>
        <v>0</v>
      </c>
      <c r="C157" s="153">
        <f>ROUND((B157*(1+E157)^$E$35)/100,0)*100</f>
        <v>0</v>
      </c>
      <c r="D157" s="60"/>
      <c r="E157" s="1071">
        <f>IF('User interface_Non-RES'!D21&gt;0,'User interface_Non-RES'!D21,'User interface_Non-RES'!$G$12)</f>
        <v>3.2199999999999999E-2</v>
      </c>
      <c r="F157" s="1007">
        <v>1</v>
      </c>
      <c r="G157" s="965"/>
      <c r="H157" s="965"/>
      <c r="I157" s="60"/>
      <c r="N157" s="242" t="s">
        <v>411</v>
      </c>
      <c r="O157" s="243">
        <f>'User interface_Non-RES'!D14</f>
        <v>42369</v>
      </c>
    </row>
    <row r="158" spans="1:37" s="3" customFormat="1" ht="17.149999999999999" customHeight="1" x14ac:dyDescent="0.35">
      <c r="A158" s="1001" t="s">
        <v>857</v>
      </c>
      <c r="B158" s="153">
        <f>ROUND(('User interface_Non-RES'!C22*(1+E158)^$O$159)/100,0)*100</f>
        <v>347200</v>
      </c>
      <c r="C158" s="153">
        <f>ROUND((B158*(1+E158)^$E$35)/100,0)*100</f>
        <v>766800</v>
      </c>
      <c r="D158" s="60"/>
      <c r="E158" s="1071">
        <f>IF('User interface_Non-RES'!D22&gt;0,'User interface_Non-RES'!D22,'User interface_Non-RES'!$G$12)</f>
        <v>3.2199999999999999E-2</v>
      </c>
      <c r="F158" s="1007">
        <v>1</v>
      </c>
      <c r="G158" s="153">
        <f>ROUND(((B158*F158)/365)/100,0)*100</f>
        <v>1000</v>
      </c>
      <c r="H158" s="153">
        <f>ROUND(((C158*F158)/365)/100,0)*100</f>
        <v>2100</v>
      </c>
      <c r="I158" s="60"/>
      <c r="L158" s="1308">
        <f>G158/$G$154</f>
        <v>1.1668611435239206E-2</v>
      </c>
      <c r="N158" s="242" t="s">
        <v>807</v>
      </c>
      <c r="O158" s="243">
        <f>O156-O157</f>
        <v>609</v>
      </c>
    </row>
    <row r="159" spans="1:37" s="3" customFormat="1" ht="17.149999999999999" customHeight="1" x14ac:dyDescent="0.35">
      <c r="A159" s="1068" t="s">
        <v>496</v>
      </c>
      <c r="B159" s="1023">
        <f>SUM(B160:B163)</f>
        <v>84700</v>
      </c>
      <c r="C159" s="1024">
        <f>SUM(C160:C163)</f>
        <v>187100</v>
      </c>
      <c r="E159" s="1069"/>
      <c r="F159" s="1069"/>
      <c r="G159" s="1023">
        <f>SUM(G160:G163)</f>
        <v>84700</v>
      </c>
      <c r="H159" s="1024">
        <f>SUM(H160:H163)</f>
        <v>187100</v>
      </c>
      <c r="L159" s="1308">
        <f>G159/$G$154</f>
        <v>0.98833138856476077</v>
      </c>
      <c r="N159" s="242" t="s">
        <v>808</v>
      </c>
      <c r="O159" s="245">
        <f>ROUND((O158/365)/0.25,0)*0.25</f>
        <v>1.75</v>
      </c>
    </row>
    <row r="160" spans="1:37" s="3" customFormat="1" ht="17.149999999999999" customHeight="1" x14ac:dyDescent="0.35">
      <c r="A160" s="110" t="s">
        <v>497</v>
      </c>
      <c r="B160" s="153">
        <f>ROUND(('User interface_Non-RES'!C24*(1+E160)^$O$159)/100,0)*100</f>
        <v>84700</v>
      </c>
      <c r="C160" s="153">
        <f>ROUND((B160*(1+E160)^$E$35)/100,0)*100</f>
        <v>187100</v>
      </c>
      <c r="D160" s="60"/>
      <c r="E160" s="1071">
        <f>IF('User interface_Non-RES'!D24&gt;0,'User interface_Non-RES'!D24,'User interface_Non-RES'!$G$12)</f>
        <v>3.2199999999999999E-2</v>
      </c>
      <c r="F160" s="1007">
        <v>1</v>
      </c>
      <c r="G160" s="359">
        <f>ROUND((B160*F160)/100,0)*100</f>
        <v>84700</v>
      </c>
      <c r="H160" s="380">
        <f>ROUND((C160*F160)/100,0)*100</f>
        <v>187100</v>
      </c>
      <c r="I160" s="60"/>
    </row>
    <row r="161" spans="1:36" s="3" customFormat="1" ht="17.149999999999999" customHeight="1" x14ac:dyDescent="0.35">
      <c r="A161" s="110" t="s">
        <v>498</v>
      </c>
      <c r="B161" s="153">
        <f>ROUND(('User interface_Non-RES'!C25*(1+E161)^$O$159)/100,0)*100</f>
        <v>0</v>
      </c>
      <c r="C161" s="153">
        <f>ROUND((B161*(1+E161)^$E$35)/100,0)*100</f>
        <v>0</v>
      </c>
      <c r="D161" s="60"/>
      <c r="E161" s="1071">
        <f>IF('User interface_Non-RES'!D25&gt;0,'User interface_Non-RES'!D25,'User interface_Non-RES'!$G$12)</f>
        <v>3.2199999999999999E-2</v>
      </c>
      <c r="F161" s="1007">
        <v>1</v>
      </c>
      <c r="G161" s="359">
        <f>ROUND((B161*F161)/100,0)*100</f>
        <v>0</v>
      </c>
      <c r="H161" s="380">
        <f>ROUND((C161*F161)/100,0)*100</f>
        <v>0</v>
      </c>
      <c r="I161" s="60"/>
    </row>
    <row r="162" spans="1:36" s="3" customFormat="1" ht="17.149999999999999" customHeight="1" x14ac:dyDescent="0.35">
      <c r="A162" s="110" t="s">
        <v>858</v>
      </c>
      <c r="B162" s="153">
        <f>ROUND(('User interface_Non-RES'!C26*(1+E162)^$O$159)/100,0)*100</f>
        <v>0</v>
      </c>
      <c r="C162" s="153">
        <f>ROUND((B162*(1+E162)^$E$35)/100,0)*100</f>
        <v>0</v>
      </c>
      <c r="D162" s="60"/>
      <c r="E162" s="1071">
        <f>IF('User interface_Non-RES'!D26&gt;0,'User interface_Non-RES'!D26,'User interface_Non-RES'!$G$12)</f>
        <v>3.2199999999999999E-2</v>
      </c>
      <c r="F162" s="1007">
        <v>1</v>
      </c>
      <c r="G162" s="359">
        <f>ROUND((B162*F162)/100,0)*100</f>
        <v>0</v>
      </c>
      <c r="H162" s="380">
        <f>ROUND((C162*F162)/100,0)*100</f>
        <v>0</v>
      </c>
      <c r="I162" s="60"/>
    </row>
    <row r="163" spans="1:36" s="3" customFormat="1" ht="17.149999999999999" customHeight="1" x14ac:dyDescent="0.35">
      <c r="A163" s="110" t="s">
        <v>500</v>
      </c>
      <c r="B163" s="153">
        <f>ROUND(('User interface_Non-RES'!C27*(1+E163)^$O$159)/100,0)*100</f>
        <v>0</v>
      </c>
      <c r="C163" s="153">
        <f>ROUND((B163*(1+E163)^$E$35)/100,0)*100</f>
        <v>0</v>
      </c>
      <c r="D163" s="60"/>
      <c r="E163" s="1071">
        <f>IF('User interface_Non-RES'!D27&gt;0,'User interface_Non-RES'!D27,'User interface_Non-RES'!$G$12)</f>
        <v>3.2199999999999999E-2</v>
      </c>
      <c r="F163" s="1007">
        <v>1</v>
      </c>
      <c r="G163" s="359">
        <f>ROUND((B163*F163)/100,0)*100</f>
        <v>0</v>
      </c>
      <c r="H163" s="380">
        <f>ROUND((C163*F163)/100,0)*100</f>
        <v>0</v>
      </c>
      <c r="I163" s="60"/>
    </row>
    <row r="164" spans="1:36" s="3" customFormat="1" ht="17.149999999999999" customHeight="1" x14ac:dyDescent="0.35">
      <c r="B164" s="184"/>
      <c r="C164" s="184"/>
    </row>
    <row r="165" spans="1:36" s="3" customFormat="1" ht="17.149999999999999" customHeight="1" x14ac:dyDescent="0.35">
      <c r="B165" s="184"/>
      <c r="C165" s="184"/>
    </row>
    <row r="166" spans="1:36" ht="17.149999999999999" customHeight="1" x14ac:dyDescent="0.35">
      <c r="A166" s="950" t="s">
        <v>859</v>
      </c>
      <c r="B166" s="1504" t="s">
        <v>9</v>
      </c>
      <c r="C166" s="1508" t="s">
        <v>253</v>
      </c>
      <c r="I166" s="3"/>
      <c r="AA166" s="17"/>
      <c r="AB166" s="17"/>
      <c r="AC166" s="17"/>
      <c r="AD166" s="17"/>
      <c r="AE166" s="17"/>
      <c r="AF166" s="17"/>
      <c r="AG166" s="17"/>
      <c r="AH166" s="17"/>
      <c r="AI166" s="17"/>
      <c r="AJ166" s="17"/>
    </row>
    <row r="167" spans="1:36" ht="17.149999999999999" customHeight="1" x14ac:dyDescent="0.35">
      <c r="I167" s="3"/>
      <c r="AA167" s="17"/>
      <c r="AB167" s="17"/>
      <c r="AC167" s="17"/>
      <c r="AD167" s="17"/>
      <c r="AE167" s="17"/>
      <c r="AF167" s="17"/>
      <c r="AG167" s="17"/>
      <c r="AH167" s="17"/>
      <c r="AI167" s="17"/>
      <c r="AJ167" s="17"/>
    </row>
    <row r="168" spans="1:36" ht="17.149999999999999" customHeight="1" x14ac:dyDescent="0.35">
      <c r="A168" s="142"/>
      <c r="B168" s="1504" t="s">
        <v>201</v>
      </c>
      <c r="C168" s="1508" t="s">
        <v>201</v>
      </c>
      <c r="I168" s="3"/>
      <c r="AA168" s="17"/>
      <c r="AB168" s="17"/>
      <c r="AC168" s="17"/>
      <c r="AD168" s="17"/>
      <c r="AE168" s="17"/>
      <c r="AF168" s="17"/>
      <c r="AG168" s="17"/>
      <c r="AH168" s="17"/>
      <c r="AI168" s="17"/>
      <c r="AJ168" s="17"/>
    </row>
    <row r="169" spans="1:36" ht="17.149999999999999" customHeight="1" x14ac:dyDescent="0.35">
      <c r="A169" s="1038" t="s">
        <v>433</v>
      </c>
      <c r="B169" s="1060">
        <f>SUM(B170:B171)</f>
        <v>0.05</v>
      </c>
      <c r="C169" s="1061">
        <f>SUM(C170:C171)</f>
        <v>0.2</v>
      </c>
      <c r="I169" s="3"/>
      <c r="AA169" s="17"/>
      <c r="AB169" s="17"/>
      <c r="AC169" s="17"/>
      <c r="AD169" s="17"/>
      <c r="AE169" s="17"/>
      <c r="AF169" s="17"/>
      <c r="AG169" s="17"/>
      <c r="AH169" s="17"/>
      <c r="AI169" s="17"/>
      <c r="AJ169" s="17"/>
    </row>
    <row r="170" spans="1:36" ht="17.149999999999999" customHeight="1" x14ac:dyDescent="0.35">
      <c r="A170" s="155" t="s">
        <v>814</v>
      </c>
      <c r="B170" s="964">
        <f>'User interface_Non-RES'!C33*'User interface_Non-RES'!E33</f>
        <v>0.05</v>
      </c>
      <c r="C170" s="964">
        <f>'User interface_Non-RES'!C50*'User interface_Non-RES'!E50</f>
        <v>0.2</v>
      </c>
      <c r="I170" s="3"/>
      <c r="AA170" s="17"/>
      <c r="AB170" s="17"/>
      <c r="AC170" s="17"/>
      <c r="AD170" s="17"/>
      <c r="AE170" s="17"/>
      <c r="AF170" s="17"/>
      <c r="AG170" s="17"/>
      <c r="AH170" s="17"/>
      <c r="AI170" s="17"/>
      <c r="AJ170" s="17"/>
    </row>
    <row r="171" spans="1:36" ht="17.149999999999999" customHeight="1" x14ac:dyDescent="0.35">
      <c r="A171" s="155" t="s">
        <v>815</v>
      </c>
      <c r="B171" s="964">
        <f>'User interface_Non-RES'!C33*'User interface_Non-RES'!F33</f>
        <v>0</v>
      </c>
      <c r="C171" s="964">
        <f>'User interface_Non-RES'!C50*'User interface_Non-RES'!F50</f>
        <v>0</v>
      </c>
      <c r="I171" s="3"/>
      <c r="AA171" s="17"/>
      <c r="AB171" s="17"/>
      <c r="AC171" s="17"/>
      <c r="AD171" s="17"/>
      <c r="AE171" s="17"/>
      <c r="AF171" s="17"/>
      <c r="AG171" s="17"/>
      <c r="AH171" s="17"/>
      <c r="AI171" s="17"/>
      <c r="AJ171" s="17"/>
    </row>
    <row r="172" spans="1:36" ht="17.149999999999999" customHeight="1" x14ac:dyDescent="0.35">
      <c r="A172" s="1038" t="s">
        <v>816</v>
      </c>
      <c r="B172" s="1060">
        <f>SUM(B173:B174)</f>
        <v>0</v>
      </c>
      <c r="C172" s="1061">
        <f>SUM(C173:C174)</f>
        <v>0</v>
      </c>
      <c r="I172" s="3"/>
      <c r="AA172" s="17"/>
      <c r="AB172" s="17"/>
      <c r="AC172" s="17"/>
      <c r="AD172" s="17"/>
      <c r="AE172" s="17"/>
      <c r="AF172" s="17"/>
      <c r="AG172" s="17"/>
      <c r="AH172" s="17"/>
      <c r="AI172" s="17"/>
      <c r="AJ172" s="17"/>
    </row>
    <row r="173" spans="1:36" ht="17.149999999999999" customHeight="1" x14ac:dyDescent="0.35">
      <c r="A173" s="155" t="s">
        <v>817</v>
      </c>
      <c r="B173" s="964">
        <f>'User interface_Non-RES'!C34*'User interface_Non-RES'!E34</f>
        <v>0</v>
      </c>
      <c r="C173" s="964">
        <f>'User interface_Non-RES'!C51*'User interface_Non-RES'!E51</f>
        <v>0</v>
      </c>
      <c r="I173" s="3"/>
      <c r="AA173" s="17"/>
      <c r="AB173" s="17"/>
      <c r="AC173" s="17"/>
      <c r="AD173" s="17"/>
      <c r="AE173" s="17"/>
      <c r="AF173" s="17"/>
      <c r="AG173" s="17"/>
      <c r="AH173" s="17"/>
      <c r="AI173" s="17"/>
      <c r="AJ173" s="17"/>
    </row>
    <row r="174" spans="1:36" ht="17.149999999999999" customHeight="1" x14ac:dyDescent="0.35">
      <c r="A174" s="155" t="s">
        <v>820</v>
      </c>
      <c r="B174" s="964">
        <f>'User interface_Non-RES'!C34*'User interface_Non-RES'!F34</f>
        <v>0</v>
      </c>
      <c r="C174" s="964">
        <f>'User interface_Non-RES'!C51*'User interface_Non-RES'!F51</f>
        <v>0</v>
      </c>
      <c r="I174" s="3"/>
      <c r="AA174" s="17"/>
      <c r="AB174" s="17"/>
      <c r="AC174" s="17"/>
      <c r="AD174" s="17"/>
      <c r="AE174" s="17"/>
      <c r="AF174" s="17"/>
      <c r="AG174" s="17"/>
      <c r="AH174" s="17"/>
      <c r="AI174" s="17"/>
      <c r="AJ174" s="17"/>
    </row>
    <row r="175" spans="1:36" ht="17.149999999999999" customHeight="1" x14ac:dyDescent="0.35">
      <c r="A175" s="1038" t="s">
        <v>821</v>
      </c>
      <c r="B175" s="1060">
        <f>SUM(B176:B177)</f>
        <v>0</v>
      </c>
      <c r="C175" s="1061">
        <f>SUM(C176:C177)</f>
        <v>0.15</v>
      </c>
      <c r="I175" s="3"/>
      <c r="AA175" s="17"/>
      <c r="AB175" s="17"/>
      <c r="AC175" s="17"/>
      <c r="AD175" s="17"/>
      <c r="AE175" s="17"/>
      <c r="AF175" s="17"/>
      <c r="AG175" s="17"/>
      <c r="AH175" s="17"/>
      <c r="AI175" s="17"/>
      <c r="AJ175" s="17"/>
    </row>
    <row r="176" spans="1:36" ht="17.149999999999999" customHeight="1" x14ac:dyDescent="0.35">
      <c r="A176" s="155" t="s">
        <v>822</v>
      </c>
      <c r="B176" s="964">
        <f>'User interface_Non-RES'!C35*'User interface_Non-RES'!D36*'User interface_Non-RES'!E36</f>
        <v>0</v>
      </c>
      <c r="C176" s="964">
        <f>'User interface_Non-RES'!C52*'User interface_Non-RES'!D53*'User interface_Non-RES'!E53</f>
        <v>7.4999999999999997E-2</v>
      </c>
      <c r="I176" s="3"/>
      <c r="AA176" s="17"/>
      <c r="AB176" s="17"/>
      <c r="AC176" s="17"/>
      <c r="AD176" s="17"/>
      <c r="AE176" s="17"/>
      <c r="AF176" s="17"/>
      <c r="AG176" s="17"/>
      <c r="AH176" s="17"/>
      <c r="AI176" s="17"/>
      <c r="AJ176" s="17"/>
    </row>
    <row r="177" spans="1:36" ht="17.149999999999999" customHeight="1" x14ac:dyDescent="0.35">
      <c r="A177" s="155" t="s">
        <v>823</v>
      </c>
      <c r="B177" s="964">
        <f>'User interface_Non-RES'!C35*'User interface_Non-RES'!D36*'User interface_Non-RES'!F36</f>
        <v>0</v>
      </c>
      <c r="C177" s="964">
        <f>'User interface_Non-RES'!C52*'User interface_Non-RES'!D53*'User interface_Non-RES'!F53</f>
        <v>7.4999999999999997E-2</v>
      </c>
      <c r="I177" s="3"/>
      <c r="AA177" s="17"/>
      <c r="AB177" s="17"/>
      <c r="AC177" s="17"/>
      <c r="AD177" s="17"/>
      <c r="AE177" s="17"/>
      <c r="AF177" s="17"/>
      <c r="AG177" s="17"/>
      <c r="AH177" s="17"/>
      <c r="AI177" s="17"/>
      <c r="AJ177" s="17"/>
    </row>
    <row r="178" spans="1:36" ht="17.149999999999999" customHeight="1" x14ac:dyDescent="0.35">
      <c r="A178" s="1038" t="s">
        <v>824</v>
      </c>
      <c r="B178" s="1060">
        <f>SUM(B179:B181)</f>
        <v>0.5</v>
      </c>
      <c r="C178" s="1061">
        <f>SUM(C179:C181)</f>
        <v>0.44999999999999996</v>
      </c>
      <c r="I178" s="3"/>
      <c r="AA178" s="17"/>
      <c r="AB178" s="17"/>
      <c r="AC178" s="17"/>
      <c r="AD178" s="17"/>
      <c r="AE178" s="17"/>
      <c r="AF178" s="17"/>
      <c r="AG178" s="17"/>
      <c r="AH178" s="17"/>
      <c r="AI178" s="17"/>
      <c r="AJ178" s="17"/>
    </row>
    <row r="179" spans="1:36" ht="17.149999999999999" customHeight="1" x14ac:dyDescent="0.35">
      <c r="A179" s="155" t="s">
        <v>822</v>
      </c>
      <c r="B179" s="964">
        <f>'User interface_Non-RES'!C35*'User interface_Non-RES'!D37*'User interface_Non-RES'!E37</f>
        <v>0</v>
      </c>
      <c r="C179" s="964">
        <f>'User interface_Non-RES'!C52*'User interface_Non-RES'!D54*'User interface_Non-RES'!E54</f>
        <v>0</v>
      </c>
      <c r="I179" s="3"/>
      <c r="AA179" s="17"/>
      <c r="AB179" s="17"/>
      <c r="AC179" s="17"/>
      <c r="AD179" s="17"/>
      <c r="AE179" s="17"/>
      <c r="AF179" s="17"/>
      <c r="AG179" s="17"/>
      <c r="AH179" s="17"/>
      <c r="AI179" s="17"/>
      <c r="AJ179" s="17"/>
    </row>
    <row r="180" spans="1:36" ht="17.149999999999999" customHeight="1" x14ac:dyDescent="0.35">
      <c r="A180" s="155" t="s">
        <v>823</v>
      </c>
      <c r="B180" s="964">
        <f>'User interface_Non-RES'!C35*'User interface_Non-RES'!D37*'User interface_Non-RES'!F37</f>
        <v>0.5</v>
      </c>
      <c r="C180" s="964">
        <f>'User interface_Non-RES'!C52*'User interface_Non-RES'!D54*'User interface_Non-RES'!F54</f>
        <v>0.44999999999999996</v>
      </c>
      <c r="I180" s="3"/>
      <c r="AA180" s="17"/>
      <c r="AB180" s="17"/>
      <c r="AC180" s="17"/>
      <c r="AD180" s="17"/>
      <c r="AE180" s="17"/>
      <c r="AF180" s="17"/>
      <c r="AG180" s="17"/>
      <c r="AH180" s="17"/>
      <c r="AI180" s="17"/>
      <c r="AJ180" s="17"/>
    </row>
    <row r="181" spans="1:36" ht="17.149999999999999" customHeight="1" x14ac:dyDescent="0.35">
      <c r="A181" s="155" t="s">
        <v>825</v>
      </c>
      <c r="B181" s="964">
        <f>'User interface_Non-RES'!C35*'User interface_Non-RES'!D37*'User interface_Non-RES'!G37</f>
        <v>0</v>
      </c>
      <c r="C181" s="964">
        <f>'User interface_Non-RES'!C52*'User interface_Non-RES'!D54*'User interface_Non-RES'!G54</f>
        <v>0</v>
      </c>
      <c r="I181" s="3"/>
      <c r="AA181" s="17"/>
      <c r="AB181" s="17"/>
      <c r="AC181" s="17"/>
      <c r="AD181" s="17"/>
      <c r="AE181" s="17"/>
      <c r="AF181" s="17"/>
      <c r="AG181" s="17"/>
      <c r="AH181" s="17"/>
      <c r="AI181" s="17"/>
      <c r="AJ181" s="17"/>
    </row>
    <row r="182" spans="1:36" ht="17.149999999999999" customHeight="1" x14ac:dyDescent="0.35">
      <c r="A182" s="1038" t="s">
        <v>860</v>
      </c>
      <c r="B182" s="1060">
        <f>SUM(B183:B184)</f>
        <v>0.125</v>
      </c>
      <c r="C182" s="1061">
        <f>SUM(C183:C184)</f>
        <v>0.1</v>
      </c>
      <c r="I182" s="3"/>
      <c r="AA182" s="17"/>
      <c r="AB182" s="17"/>
      <c r="AC182" s="17"/>
      <c r="AD182" s="17"/>
      <c r="AE182" s="17"/>
      <c r="AF182" s="17"/>
      <c r="AG182" s="17"/>
      <c r="AH182" s="17"/>
      <c r="AI182" s="17"/>
      <c r="AJ182" s="17"/>
    </row>
    <row r="183" spans="1:36" ht="17.149999999999999" customHeight="1" x14ac:dyDescent="0.35">
      <c r="A183" s="155" t="s">
        <v>827</v>
      </c>
      <c r="B183" s="964">
        <f>'User interface_Non-RES'!C38*'User interface_Non-RES'!D39*'User interface_Non-RES'!E39</f>
        <v>0</v>
      </c>
      <c r="C183" s="964">
        <f>'User interface_Non-RES'!C55*'User interface_Non-RES'!D56*'User interface_Non-RES'!E56</f>
        <v>0</v>
      </c>
      <c r="I183" s="3"/>
      <c r="AA183" s="17"/>
      <c r="AB183" s="17"/>
      <c r="AC183" s="17"/>
      <c r="AD183" s="17"/>
      <c r="AE183" s="17"/>
      <c r="AF183" s="17"/>
      <c r="AG183" s="17"/>
      <c r="AH183" s="17"/>
      <c r="AI183" s="17"/>
      <c r="AJ183" s="17"/>
    </row>
    <row r="184" spans="1:36" ht="17.149999999999999" customHeight="1" x14ac:dyDescent="0.35">
      <c r="A184" s="155" t="s">
        <v>828</v>
      </c>
      <c r="B184" s="964">
        <f>'User interface_Non-RES'!C38*'User interface_Non-RES'!D39*'User interface_Non-RES'!F39</f>
        <v>0.125</v>
      </c>
      <c r="C184" s="964">
        <f>'User interface_Non-RES'!C55*'User interface_Non-RES'!D56*'User interface_Non-RES'!F56</f>
        <v>0.1</v>
      </c>
      <c r="I184" s="3"/>
      <c r="AA184" s="17"/>
      <c r="AB184" s="17"/>
      <c r="AC184" s="17"/>
      <c r="AD184" s="17"/>
      <c r="AE184" s="17"/>
      <c r="AF184" s="17"/>
      <c r="AG184" s="17"/>
      <c r="AH184" s="17"/>
      <c r="AI184" s="17"/>
      <c r="AJ184" s="17"/>
    </row>
    <row r="185" spans="1:36" ht="17.149999999999999" customHeight="1" x14ac:dyDescent="0.35">
      <c r="A185" s="1038" t="s">
        <v>861</v>
      </c>
      <c r="B185" s="1060">
        <f>SUM(B186:B187)</f>
        <v>0.125</v>
      </c>
      <c r="C185" s="1061">
        <f>SUM(C186:C187)</f>
        <v>0.1</v>
      </c>
      <c r="I185" s="3"/>
      <c r="AA185" s="17"/>
      <c r="AB185" s="17"/>
      <c r="AC185" s="17"/>
      <c r="AD185" s="17"/>
      <c r="AE185" s="17"/>
      <c r="AF185" s="17"/>
      <c r="AG185" s="17"/>
      <c r="AH185" s="17"/>
      <c r="AI185" s="17"/>
      <c r="AJ185" s="17"/>
    </row>
    <row r="186" spans="1:36" ht="17.149999999999999" customHeight="1" x14ac:dyDescent="0.35">
      <c r="A186" s="155" t="s">
        <v>827</v>
      </c>
      <c r="B186" s="964">
        <f>'User interface_Non-RES'!C38*'User interface_Non-RES'!D40*'User interface_Non-RES'!E40</f>
        <v>0</v>
      </c>
      <c r="C186" s="964">
        <f>'User interface_Non-RES'!C55*'User interface_Non-RES'!D57*'User interface_Non-RES'!E57</f>
        <v>0</v>
      </c>
      <c r="I186" s="3"/>
      <c r="AA186" s="17"/>
      <c r="AB186" s="17"/>
      <c r="AC186" s="17"/>
      <c r="AD186" s="17"/>
      <c r="AE186" s="17"/>
      <c r="AF186" s="17"/>
      <c r="AG186" s="17"/>
      <c r="AH186" s="17"/>
      <c r="AI186" s="17"/>
      <c r="AJ186" s="17"/>
    </row>
    <row r="187" spans="1:36" ht="17.149999999999999" customHeight="1" x14ac:dyDescent="0.35">
      <c r="A187" s="155" t="s">
        <v>828</v>
      </c>
      <c r="B187" s="964">
        <f>'User interface_Non-RES'!C38*'User interface_Non-RES'!D40*'User interface_Non-RES'!F40</f>
        <v>0.125</v>
      </c>
      <c r="C187" s="964">
        <f>'User interface_Non-RES'!C55*'User interface_Non-RES'!D57*'User interface_Non-RES'!F57</f>
        <v>0.1</v>
      </c>
      <c r="I187" s="3"/>
      <c r="AA187" s="17"/>
      <c r="AB187" s="17"/>
      <c r="AC187" s="17"/>
      <c r="AD187" s="17"/>
      <c r="AE187" s="17"/>
      <c r="AF187" s="17"/>
      <c r="AG187" s="17"/>
      <c r="AH187" s="17"/>
      <c r="AI187" s="17"/>
      <c r="AJ187" s="17"/>
    </row>
    <row r="188" spans="1:36" ht="17.149999999999999" customHeight="1" x14ac:dyDescent="0.35">
      <c r="A188" s="1038" t="s">
        <v>862</v>
      </c>
      <c r="B188" s="1060">
        <f>SUM(B189:B191)</f>
        <v>0</v>
      </c>
      <c r="C188" s="1061">
        <f>SUM(C189:C191)</f>
        <v>0</v>
      </c>
      <c r="I188" s="3"/>
      <c r="AA188" s="17"/>
      <c r="AB188" s="17"/>
      <c r="AC188" s="17"/>
      <c r="AD188" s="17"/>
      <c r="AE188" s="17"/>
      <c r="AF188" s="17"/>
      <c r="AG188" s="17"/>
      <c r="AH188" s="17"/>
      <c r="AI188" s="17"/>
      <c r="AJ188" s="17"/>
    </row>
    <row r="189" spans="1:36" ht="17.149999999999999" customHeight="1" x14ac:dyDescent="0.35">
      <c r="A189" s="155" t="s">
        <v>827</v>
      </c>
      <c r="B189" s="964">
        <f>'User interface_Non-RES'!C38*'User interface_Non-RES'!D41*'User interface_Non-RES'!E41</f>
        <v>0</v>
      </c>
      <c r="C189" s="964">
        <f>'User interface_Non-RES'!C55*'User interface_Non-RES'!D58*'User interface_Non-RES'!E58</f>
        <v>0</v>
      </c>
      <c r="I189" s="3"/>
      <c r="AA189" s="17"/>
      <c r="AB189" s="17"/>
      <c r="AC189" s="17"/>
      <c r="AD189" s="17"/>
      <c r="AE189" s="17"/>
      <c r="AF189" s="17"/>
      <c r="AG189" s="17"/>
      <c r="AH189" s="17"/>
      <c r="AI189" s="17"/>
      <c r="AJ189" s="17"/>
    </row>
    <row r="190" spans="1:36" ht="17.149999999999999" customHeight="1" x14ac:dyDescent="0.35">
      <c r="A190" s="155" t="s">
        <v>828</v>
      </c>
      <c r="B190" s="964">
        <f>'User interface_Non-RES'!C38*'User interface_Non-RES'!D41*'User interface_Non-RES'!F41</f>
        <v>0</v>
      </c>
      <c r="C190" s="964">
        <f>'User interface_Non-RES'!C55*'User interface_Non-RES'!D58*'User interface_Non-RES'!F58</f>
        <v>0</v>
      </c>
      <c r="I190" s="3"/>
      <c r="AA190" s="17"/>
      <c r="AB190" s="17"/>
      <c r="AC190" s="17"/>
      <c r="AD190" s="17"/>
      <c r="AE190" s="17"/>
      <c r="AF190" s="17"/>
      <c r="AG190" s="17"/>
      <c r="AH190" s="17"/>
      <c r="AI190" s="17"/>
      <c r="AJ190" s="17"/>
    </row>
    <row r="191" spans="1:36" ht="17.149999999999999" customHeight="1" x14ac:dyDescent="0.35">
      <c r="A191" s="155" t="s">
        <v>831</v>
      </c>
      <c r="B191" s="964">
        <f>'User interface_Non-RES'!C38*'User interface_Non-RES'!D41*'User interface_Non-RES'!G41</f>
        <v>0</v>
      </c>
      <c r="C191" s="964">
        <f>'User interface_Non-RES'!C55*'User interface_Non-RES'!D58*'User interface_Non-RES'!G58</f>
        <v>0</v>
      </c>
      <c r="I191" s="3"/>
      <c r="AA191" s="17"/>
      <c r="AB191" s="17"/>
      <c r="AC191" s="17"/>
      <c r="AD191" s="17"/>
      <c r="AE191" s="17"/>
      <c r="AF191" s="17"/>
      <c r="AG191" s="17"/>
      <c r="AH191" s="17"/>
      <c r="AI191" s="17"/>
      <c r="AJ191" s="17"/>
    </row>
    <row r="192" spans="1:36" ht="17.149999999999999" customHeight="1" x14ac:dyDescent="0.35">
      <c r="A192" s="1038" t="s">
        <v>443</v>
      </c>
      <c r="B192" s="1060">
        <f>'User interface_Non-RES'!C42</f>
        <v>0.2</v>
      </c>
      <c r="C192" s="1061">
        <f>'User interface_Non-RES'!C59</f>
        <v>0</v>
      </c>
      <c r="I192" s="3"/>
      <c r="AA192" s="17"/>
      <c r="AB192" s="17"/>
      <c r="AC192" s="17"/>
      <c r="AD192" s="17"/>
      <c r="AE192" s="17"/>
      <c r="AF192" s="17"/>
      <c r="AG192" s="17"/>
      <c r="AH192" s="17"/>
      <c r="AI192" s="17"/>
      <c r="AJ192" s="17"/>
    </row>
    <row r="193" spans="1:36" ht="17.149999999999999" customHeight="1" x14ac:dyDescent="0.35">
      <c r="A193" s="950" t="s">
        <v>208</v>
      </c>
      <c r="B193" s="1018">
        <f>B169+B172+B175+B178+B182+B185+B188+B192</f>
        <v>1</v>
      </c>
      <c r="C193" s="1062">
        <f>C169+C172+C175+C178+C182+C185+C188+C192</f>
        <v>0.99999999999999989</v>
      </c>
      <c r="I193" s="3"/>
      <c r="AA193" s="17"/>
      <c r="AB193" s="17"/>
      <c r="AC193" s="17"/>
      <c r="AD193" s="17"/>
      <c r="AE193" s="17"/>
      <c r="AF193" s="17"/>
      <c r="AG193" s="17"/>
      <c r="AH193" s="17"/>
      <c r="AI193" s="17"/>
      <c r="AJ193" s="17"/>
    </row>
    <row r="194" spans="1:36" ht="17.149999999999999" customHeight="1" x14ac:dyDescent="0.35">
      <c r="I194" s="3"/>
      <c r="AA194" s="17"/>
      <c r="AB194" s="17"/>
      <c r="AC194" s="17"/>
      <c r="AD194" s="17"/>
      <c r="AE194" s="17"/>
      <c r="AF194" s="17"/>
      <c r="AG194" s="17"/>
      <c r="AH194" s="17"/>
      <c r="AI194" s="17"/>
      <c r="AJ194" s="17"/>
    </row>
    <row r="195" spans="1:36" ht="17.149999999999999" customHeight="1" x14ac:dyDescent="0.35">
      <c r="A195" s="950" t="s">
        <v>863</v>
      </c>
      <c r="B195" s="1504" t="s">
        <v>833</v>
      </c>
      <c r="C195" s="1508" t="s">
        <v>833</v>
      </c>
      <c r="E195" s="1018" t="s">
        <v>201</v>
      </c>
      <c r="F195" s="1062" t="s">
        <v>201</v>
      </c>
      <c r="I195" s="3"/>
      <c r="AA195" s="17"/>
      <c r="AB195" s="17"/>
      <c r="AC195" s="17"/>
      <c r="AD195" s="17"/>
      <c r="AE195" s="17"/>
      <c r="AF195" s="17"/>
      <c r="AG195" s="17"/>
      <c r="AH195" s="17"/>
      <c r="AI195" s="17"/>
      <c r="AJ195" s="17"/>
    </row>
    <row r="196" spans="1:36" ht="17.149999999999999" customHeight="1" x14ac:dyDescent="0.35">
      <c r="A196" s="155" t="s">
        <v>834</v>
      </c>
      <c r="B196" s="368">
        <f>(B170+B173+B176+B179+B183+B186+B189)*G154</f>
        <v>4285</v>
      </c>
      <c r="C196" s="368">
        <f>(C170+C173+C176+C179+C183+C186+C189)*H154</f>
        <v>52030.000000000007</v>
      </c>
      <c r="D196" s="136"/>
      <c r="E196" s="1064">
        <f>B170+B173+B176+B179+B186+B189</f>
        <v>0.05</v>
      </c>
      <c r="F196" s="391">
        <f>C170+C173+C176+C179+C186+C189</f>
        <v>0.27500000000000002</v>
      </c>
      <c r="I196" s="3"/>
      <c r="AA196" s="17"/>
      <c r="AB196" s="17"/>
      <c r="AC196" s="17"/>
      <c r="AD196" s="17"/>
      <c r="AE196" s="17"/>
      <c r="AF196" s="17"/>
      <c r="AG196" s="17"/>
      <c r="AH196" s="17"/>
      <c r="AI196" s="17"/>
      <c r="AJ196" s="17"/>
    </row>
    <row r="197" spans="1:36" ht="17.149999999999999" customHeight="1" x14ac:dyDescent="0.35">
      <c r="A197" s="155" t="s">
        <v>835</v>
      </c>
      <c r="B197" s="368">
        <f>(B171+B174+B177+B180+B184+B187+B190)*G154</f>
        <v>64275</v>
      </c>
      <c r="C197" s="368">
        <f>(C171+C174+C177+C180+C184+C187+C190)*H154</f>
        <v>137169.99999999997</v>
      </c>
      <c r="D197" s="136"/>
      <c r="E197" s="1064">
        <f>B171+B174+B177+B180+B187+B190</f>
        <v>0.625</v>
      </c>
      <c r="F197" s="391">
        <f>C171+C174+C177+C180+C187+C190</f>
        <v>0.62499999999999989</v>
      </c>
      <c r="I197" s="3"/>
      <c r="AA197" s="17"/>
      <c r="AB197" s="17"/>
      <c r="AC197" s="17"/>
      <c r="AD197" s="17"/>
      <c r="AE197" s="17"/>
      <c r="AF197" s="17"/>
      <c r="AG197" s="17"/>
      <c r="AH197" s="17"/>
      <c r="AI197" s="17"/>
      <c r="AJ197" s="17"/>
    </row>
    <row r="198" spans="1:36" ht="17.149999999999999" customHeight="1" x14ac:dyDescent="0.35">
      <c r="A198" s="155" t="s">
        <v>836</v>
      </c>
      <c r="B198" s="368">
        <f>(B181+B191)*G154</f>
        <v>0</v>
      </c>
      <c r="C198" s="368">
        <f>(C181+C191)*H154</f>
        <v>0</v>
      </c>
      <c r="D198" s="136"/>
      <c r="E198" s="1064">
        <f>B181+B191</f>
        <v>0</v>
      </c>
      <c r="F198" s="391">
        <f>C181+C191</f>
        <v>0</v>
      </c>
      <c r="I198" s="3"/>
      <c r="AA198" s="17"/>
      <c r="AB198" s="17"/>
      <c r="AC198" s="17"/>
      <c r="AD198" s="17"/>
      <c r="AE198" s="17"/>
      <c r="AF198" s="17"/>
      <c r="AG198" s="17"/>
      <c r="AH198" s="17"/>
      <c r="AI198" s="17"/>
      <c r="AJ198" s="17"/>
    </row>
    <row r="199" spans="1:36" ht="17.149999999999999" customHeight="1" x14ac:dyDescent="0.35">
      <c r="A199" s="155" t="s">
        <v>443</v>
      </c>
      <c r="B199" s="368">
        <f>B192*G154</f>
        <v>17140</v>
      </c>
      <c r="C199" s="368">
        <f>C192*H154</f>
        <v>0</v>
      </c>
      <c r="D199" s="136"/>
      <c r="E199" s="1064">
        <f>B192</f>
        <v>0.2</v>
      </c>
      <c r="F199" s="391">
        <f>C192</f>
        <v>0</v>
      </c>
      <c r="I199" s="3"/>
      <c r="AA199" s="17"/>
      <c r="AB199" s="17"/>
      <c r="AC199" s="17"/>
      <c r="AD199" s="17"/>
      <c r="AE199" s="17"/>
      <c r="AF199" s="17"/>
      <c r="AG199" s="17"/>
      <c r="AH199" s="17"/>
      <c r="AI199" s="17"/>
      <c r="AJ199" s="17"/>
    </row>
    <row r="200" spans="1:36" ht="17.149999999999999" customHeight="1" x14ac:dyDescent="0.35">
      <c r="A200" s="950" t="s">
        <v>208</v>
      </c>
      <c r="B200" s="1021">
        <f>SUM(B196:B199)</f>
        <v>85700</v>
      </c>
      <c r="C200" s="1022">
        <f>SUM(C196:C199)</f>
        <v>189199.99999999997</v>
      </c>
      <c r="E200" s="1018">
        <f>SUM(E196:E199)</f>
        <v>0.875</v>
      </c>
      <c r="F200" s="1062">
        <f>SUM(F196:F199)</f>
        <v>0.89999999999999991</v>
      </c>
      <c r="I200" s="3"/>
      <c r="AA200" s="17"/>
      <c r="AB200" s="17"/>
      <c r="AC200" s="17"/>
      <c r="AD200" s="17"/>
      <c r="AE200" s="17"/>
      <c r="AF200" s="17"/>
      <c r="AG200" s="17"/>
      <c r="AH200" s="17"/>
      <c r="AI200" s="17"/>
      <c r="AJ200" s="17"/>
    </row>
    <row r="201" spans="1:36" ht="17.149999999999999" customHeight="1" x14ac:dyDescent="0.35">
      <c r="A201" s="378"/>
      <c r="B201" s="29">
        <f>G154</f>
        <v>85700</v>
      </c>
      <c r="C201" s="29">
        <f>H154</f>
        <v>189200</v>
      </c>
      <c r="E201" s="376"/>
      <c r="F201" s="377"/>
      <c r="I201" s="3"/>
      <c r="AA201" s="17"/>
      <c r="AB201" s="17"/>
      <c r="AC201" s="17"/>
      <c r="AD201" s="17"/>
      <c r="AE201" s="17"/>
      <c r="AF201" s="17"/>
      <c r="AG201" s="17"/>
      <c r="AH201" s="17"/>
      <c r="AI201" s="17"/>
      <c r="AJ201" s="17"/>
    </row>
    <row r="202" spans="1:36" ht="17.149999999999999" customHeight="1" x14ac:dyDescent="0.35">
      <c r="A202" s="379"/>
      <c r="B202" s="1519" t="str">
        <f>IF(B200=B201,"OK","Not OK")</f>
        <v>OK</v>
      </c>
      <c r="C202" s="1519" t="str">
        <f>IF(C200=C201,"OK","Not OK")</f>
        <v>OK</v>
      </c>
      <c r="E202" s="376"/>
      <c r="F202" s="377"/>
      <c r="I202" s="3"/>
      <c r="AA202" s="17"/>
      <c r="AB202" s="17"/>
      <c r="AC202" s="17"/>
      <c r="AD202" s="17"/>
      <c r="AE202" s="17"/>
      <c r="AF202" s="17"/>
      <c r="AG202" s="17"/>
      <c r="AH202" s="17"/>
      <c r="AI202" s="17"/>
      <c r="AJ202" s="17"/>
    </row>
    <row r="203" spans="1:36" ht="17.149999999999999" customHeight="1" x14ac:dyDescent="0.35">
      <c r="I203" s="3"/>
      <c r="AA203" s="17"/>
      <c r="AB203" s="17"/>
      <c r="AC203" s="17"/>
      <c r="AD203" s="17"/>
      <c r="AE203" s="17"/>
      <c r="AF203" s="17"/>
      <c r="AG203" s="17"/>
      <c r="AH203" s="17"/>
      <c r="AI203" s="17"/>
      <c r="AJ203" s="17"/>
    </row>
    <row r="204" spans="1:36" ht="17.149999999999999" customHeight="1" x14ac:dyDescent="0.35">
      <c r="A204" s="950" t="s">
        <v>864</v>
      </c>
      <c r="B204" s="1504" t="s">
        <v>833</v>
      </c>
      <c r="C204" s="1508" t="s">
        <v>833</v>
      </c>
      <c r="E204" s="1018" t="s">
        <v>201</v>
      </c>
      <c r="F204" s="1062" t="s">
        <v>201</v>
      </c>
      <c r="I204" s="3"/>
      <c r="AA204" s="17"/>
      <c r="AB204" s="17"/>
      <c r="AC204" s="17"/>
      <c r="AD204" s="17"/>
      <c r="AE204" s="17"/>
      <c r="AF204" s="17"/>
      <c r="AG204" s="17"/>
      <c r="AH204" s="17"/>
      <c r="AI204" s="17"/>
      <c r="AJ204" s="17"/>
    </row>
    <row r="205" spans="1:36" ht="17.149999999999999" customHeight="1" x14ac:dyDescent="0.35">
      <c r="A205" s="168" t="s">
        <v>816</v>
      </c>
      <c r="B205" s="368">
        <f>B172*G154</f>
        <v>0</v>
      </c>
      <c r="C205" s="368">
        <f>C172*H154</f>
        <v>0</v>
      </c>
      <c r="D205" s="136"/>
      <c r="E205" s="1064" t="e">
        <f>IF(#REF!=0,0,B205/#REF!)</f>
        <v>#REF!</v>
      </c>
      <c r="F205" s="391">
        <f>IF($C$35=0,0,C205/$C$35)</f>
        <v>0</v>
      </c>
      <c r="I205" s="3"/>
      <c r="AA205" s="17"/>
      <c r="AB205" s="17"/>
      <c r="AC205" s="17"/>
      <c r="AD205" s="17"/>
      <c r="AE205" s="17"/>
      <c r="AF205" s="17"/>
      <c r="AG205" s="17"/>
      <c r="AH205" s="17"/>
      <c r="AI205" s="17"/>
      <c r="AJ205" s="17"/>
    </row>
    <row r="206" spans="1:36" ht="17.149999999999999" customHeight="1" x14ac:dyDescent="0.35">
      <c r="A206" s="168" t="s">
        <v>821</v>
      </c>
      <c r="B206" s="368">
        <f>B175*G154</f>
        <v>0</v>
      </c>
      <c r="C206" s="368">
        <f>C175*H154</f>
        <v>28380</v>
      </c>
      <c r="D206" s="136"/>
      <c r="E206" s="1064" t="e">
        <f>IF(#REF!=0,0,B206/#REF!)</f>
        <v>#REF!</v>
      </c>
      <c r="F206" s="391">
        <f>IF($C$35=0,0,C206/$C$35)</f>
        <v>7.5943270002675946E-3</v>
      </c>
      <c r="I206" s="3"/>
      <c r="AA206" s="17"/>
      <c r="AB206" s="17"/>
      <c r="AC206" s="17"/>
      <c r="AD206" s="17"/>
      <c r="AE206" s="17"/>
      <c r="AF206" s="17"/>
      <c r="AG206" s="17"/>
      <c r="AH206" s="17"/>
      <c r="AI206" s="17"/>
      <c r="AJ206" s="17"/>
    </row>
    <row r="207" spans="1:36" ht="17.149999999999999" customHeight="1" x14ac:dyDescent="0.35">
      <c r="A207" s="168" t="s">
        <v>861</v>
      </c>
      <c r="B207" s="368">
        <f>B185*G154</f>
        <v>10712.5</v>
      </c>
      <c r="C207" s="368">
        <f>C185*H154</f>
        <v>18920</v>
      </c>
      <c r="D207" s="136"/>
      <c r="E207" s="1064" t="e">
        <f>IF(#REF!=0,0,B207/#REF!)</f>
        <v>#REF!</v>
      </c>
      <c r="F207" s="391">
        <f>IF($C$35=0,0,C207/$C$35)</f>
        <v>5.0628846668450628E-3</v>
      </c>
      <c r="I207" s="3"/>
      <c r="AA207" s="17"/>
      <c r="AB207" s="17"/>
      <c r="AC207" s="17"/>
      <c r="AD207" s="17"/>
      <c r="AE207" s="17"/>
      <c r="AF207" s="17"/>
      <c r="AG207" s="17"/>
      <c r="AH207" s="17"/>
      <c r="AI207" s="17"/>
      <c r="AJ207" s="17"/>
    </row>
    <row r="208" spans="1:36" ht="17.149999999999999" customHeight="1" x14ac:dyDescent="0.35">
      <c r="A208" s="950" t="s">
        <v>208</v>
      </c>
      <c r="B208" s="1021">
        <f>SUM(B205:B207)</f>
        <v>10712.5</v>
      </c>
      <c r="C208" s="1022">
        <f>SUM(C205:C207)</f>
        <v>47300</v>
      </c>
      <c r="E208" s="1018" t="e">
        <f>SUM(E205:E207)</f>
        <v>#REF!</v>
      </c>
      <c r="F208" s="1062">
        <f>SUM(F205:F207)</f>
        <v>1.2657211667112658E-2</v>
      </c>
      <c r="I208" s="3"/>
      <c r="AA208" s="17"/>
      <c r="AB208" s="17"/>
      <c r="AC208" s="17"/>
      <c r="AD208" s="17"/>
      <c r="AE208" s="17"/>
      <c r="AF208" s="17"/>
      <c r="AG208" s="17"/>
      <c r="AH208" s="17"/>
      <c r="AI208" s="17"/>
      <c r="AJ208" s="17"/>
    </row>
    <row r="209" spans="1:36" ht="17.149999999999999" customHeight="1" x14ac:dyDescent="0.35">
      <c r="I209" s="3"/>
      <c r="AA209" s="17"/>
      <c r="AB209" s="17"/>
      <c r="AC209" s="17"/>
      <c r="AD209" s="17"/>
      <c r="AE209" s="17"/>
      <c r="AF209" s="17"/>
      <c r="AG209" s="17"/>
      <c r="AH209" s="17"/>
      <c r="AI209" s="17"/>
      <c r="AJ209" s="17"/>
    </row>
    <row r="210" spans="1:36" ht="17.149999999999999" customHeight="1" x14ac:dyDescent="0.35">
      <c r="A210" s="950" t="s">
        <v>865</v>
      </c>
      <c r="B210" s="1504" t="s">
        <v>833</v>
      </c>
      <c r="C210" s="1508" t="s">
        <v>833</v>
      </c>
      <c r="E210" s="1018" t="s">
        <v>201</v>
      </c>
      <c r="F210" s="1062" t="s">
        <v>201</v>
      </c>
      <c r="I210" s="3"/>
      <c r="AA210" s="17"/>
      <c r="AB210" s="17"/>
      <c r="AC210" s="17"/>
      <c r="AD210" s="17"/>
      <c r="AE210" s="17"/>
      <c r="AF210" s="17"/>
      <c r="AG210" s="17"/>
      <c r="AH210" s="17"/>
      <c r="AI210" s="17"/>
      <c r="AJ210" s="17"/>
    </row>
    <row r="211" spans="1:36" ht="17.149999999999999" customHeight="1" x14ac:dyDescent="0.35">
      <c r="A211" s="168" t="s">
        <v>824</v>
      </c>
      <c r="B211" s="368">
        <f>B178*G154</f>
        <v>42850</v>
      </c>
      <c r="C211" s="368">
        <f>C178*H154</f>
        <v>85139.999999999985</v>
      </c>
      <c r="D211" s="136"/>
      <c r="E211" s="1064" t="e">
        <f>IF(#REF!=0,0,B211/#REF!)</f>
        <v>#REF!</v>
      </c>
      <c r="F211" s="391">
        <f>IF($C$35=0,0,C211/$C$35)</f>
        <v>2.2782981000802779E-2</v>
      </c>
      <c r="I211" s="3"/>
      <c r="AA211" s="17"/>
      <c r="AB211" s="17"/>
      <c r="AC211" s="17"/>
      <c r="AD211" s="17"/>
      <c r="AE211" s="17"/>
      <c r="AF211" s="17"/>
      <c r="AG211" s="17"/>
      <c r="AH211" s="17"/>
      <c r="AI211" s="17"/>
      <c r="AJ211" s="17"/>
    </row>
    <row r="212" spans="1:36" ht="17.149999999999999" customHeight="1" x14ac:dyDescent="0.35">
      <c r="A212" s="168" t="s">
        <v>862</v>
      </c>
      <c r="B212" s="368">
        <f>B188*G154</f>
        <v>0</v>
      </c>
      <c r="C212" s="368">
        <f>C188*H154</f>
        <v>0</v>
      </c>
      <c r="D212" s="136"/>
      <c r="E212" s="1064" t="e">
        <f>IF(#REF!=0,0,B212/#REF!)</f>
        <v>#REF!</v>
      </c>
      <c r="F212" s="391">
        <f>IF($C$35=0,0,C212/$C$35)</f>
        <v>0</v>
      </c>
      <c r="I212" s="3"/>
      <c r="AA212" s="17"/>
      <c r="AB212" s="17"/>
      <c r="AC212" s="17"/>
      <c r="AD212" s="17"/>
      <c r="AE212" s="17"/>
      <c r="AF212" s="17"/>
      <c r="AG212" s="17"/>
      <c r="AH212" s="17"/>
      <c r="AI212" s="17"/>
      <c r="AJ212" s="17"/>
    </row>
    <row r="213" spans="1:36" ht="17.149999999999999" customHeight="1" x14ac:dyDescent="0.35">
      <c r="A213" s="950" t="s">
        <v>208</v>
      </c>
      <c r="B213" s="1021">
        <f>SUM(B211:B212)</f>
        <v>42850</v>
      </c>
      <c r="C213" s="1022">
        <f>SUM(C211:C212)</f>
        <v>85139.999999999985</v>
      </c>
      <c r="E213" s="1018" t="e">
        <f>SUM(E211:E212)</f>
        <v>#REF!</v>
      </c>
      <c r="F213" s="1062">
        <f>SUM(F211:F212)</f>
        <v>2.2782981000802779E-2</v>
      </c>
      <c r="I213" s="3"/>
      <c r="AA213" s="17"/>
      <c r="AB213" s="17"/>
      <c r="AC213" s="17"/>
      <c r="AD213" s="17"/>
      <c r="AE213" s="17"/>
      <c r="AF213" s="17"/>
      <c r="AG213" s="17"/>
      <c r="AH213" s="17"/>
      <c r="AI213" s="17"/>
      <c r="AJ213" s="17"/>
    </row>
    <row r="214" spans="1:36" ht="17.149999999999999" customHeight="1" x14ac:dyDescent="0.35">
      <c r="I214" s="3"/>
      <c r="AA214" s="17"/>
      <c r="AB214" s="17"/>
      <c r="AC214" s="17"/>
      <c r="AD214" s="17"/>
      <c r="AE214" s="17"/>
      <c r="AF214" s="17"/>
      <c r="AG214" s="17"/>
      <c r="AH214" s="17"/>
      <c r="AI214" s="17"/>
      <c r="AJ214" s="17"/>
    </row>
    <row r="215" spans="1:36" ht="17.149999999999999" customHeight="1" x14ac:dyDescent="0.35">
      <c r="I215" s="3"/>
      <c r="AA215" s="17"/>
      <c r="AB215" s="17"/>
      <c r="AC215" s="17"/>
      <c r="AD215" s="17"/>
      <c r="AE215" s="17"/>
      <c r="AF215" s="17"/>
      <c r="AG215" s="17"/>
      <c r="AH215" s="17"/>
      <c r="AI215" s="17"/>
      <c r="AJ215" s="17"/>
    </row>
    <row r="216" spans="1:36" ht="17.149999999999999" customHeight="1" x14ac:dyDescent="0.35">
      <c r="A216" s="949" t="s">
        <v>866</v>
      </c>
      <c r="B216" s="1504" t="s">
        <v>9</v>
      </c>
      <c r="C216" s="1508" t="s">
        <v>253</v>
      </c>
      <c r="E216" s="1504" t="s">
        <v>9</v>
      </c>
      <c r="F216" s="1508" t="s">
        <v>253</v>
      </c>
      <c r="I216" s="3"/>
      <c r="AA216" s="17"/>
      <c r="AB216" s="17"/>
      <c r="AC216" s="17"/>
      <c r="AD216" s="17"/>
      <c r="AE216" s="17"/>
      <c r="AF216" s="17"/>
      <c r="AG216" s="17"/>
      <c r="AH216" s="17"/>
      <c r="AI216" s="17"/>
      <c r="AJ216" s="17"/>
    </row>
    <row r="217" spans="1:36" ht="17.149999999999999" customHeight="1" x14ac:dyDescent="0.35">
      <c r="I217" s="3"/>
      <c r="AA217" s="17"/>
      <c r="AB217" s="17"/>
      <c r="AC217" s="17"/>
      <c r="AD217" s="17"/>
      <c r="AE217" s="17"/>
      <c r="AF217" s="17"/>
      <c r="AG217" s="17"/>
      <c r="AH217" s="17"/>
      <c r="AI217" s="17"/>
      <c r="AJ217" s="17"/>
    </row>
    <row r="218" spans="1:36" ht="17.149999999999999" customHeight="1" x14ac:dyDescent="0.35">
      <c r="A218" s="142"/>
      <c r="B218" s="1513" t="s">
        <v>840</v>
      </c>
      <c r="C218" s="1508" t="s">
        <v>840</v>
      </c>
      <c r="E218" s="1513" t="s">
        <v>841</v>
      </c>
      <c r="F218" s="1508" t="s">
        <v>841</v>
      </c>
      <c r="I218" s="3"/>
      <c r="AA218" s="17"/>
      <c r="AB218" s="17"/>
      <c r="AC218" s="17"/>
      <c r="AD218" s="17"/>
      <c r="AE218" s="17"/>
      <c r="AF218" s="17"/>
      <c r="AG218" s="17"/>
      <c r="AH218" s="17"/>
      <c r="AI218" s="17"/>
      <c r="AJ218" s="17"/>
    </row>
    <row r="219" spans="1:36" ht="17.149999999999999" customHeight="1" x14ac:dyDescent="0.35">
      <c r="A219" s="1038" t="s">
        <v>433</v>
      </c>
      <c r="B219" s="1066">
        <f>SUM(B220:B221)</f>
        <v>462800</v>
      </c>
      <c r="C219" s="1065">
        <f>SUM(C220:C221)</f>
        <v>4086700</v>
      </c>
      <c r="E219" s="1066">
        <f>SUM(E220:E221)</f>
        <v>168925</v>
      </c>
      <c r="F219" s="1065">
        <f>SUM(F220:F221)</f>
        <v>1491650</v>
      </c>
      <c r="I219" s="3"/>
      <c r="AA219" s="17"/>
      <c r="AB219" s="17"/>
      <c r="AC219" s="17"/>
      <c r="AD219" s="17"/>
      <c r="AE219" s="17"/>
      <c r="AF219" s="17"/>
      <c r="AG219" s="17"/>
      <c r="AH219" s="17"/>
      <c r="AI219" s="17"/>
      <c r="AJ219" s="17"/>
    </row>
    <row r="220" spans="1:36" ht="17.149999999999999" customHeight="1" x14ac:dyDescent="0.35">
      <c r="A220" s="155" t="s">
        <v>814</v>
      </c>
      <c r="B220" s="1044">
        <f>ROUND(($G$154*B170*'User interface_Non-RES'!G70)/100,0)*100</f>
        <v>462800</v>
      </c>
      <c r="C220" s="1044">
        <f>ROUND(($H$154*C170*'User interface_Non-RES'!G70)/100,0)*100</f>
        <v>4086700</v>
      </c>
      <c r="D220" s="136"/>
      <c r="E220" s="1044">
        <f>ROUND((B220*365/1000)/25,0)*25</f>
        <v>168925</v>
      </c>
      <c r="F220" s="1044">
        <f>ROUND((C220*365/1000)/25,0)*25</f>
        <v>1491650</v>
      </c>
      <c r="I220" s="3"/>
      <c r="AA220" s="17"/>
      <c r="AB220" s="17"/>
      <c r="AC220" s="17"/>
      <c r="AD220" s="17"/>
      <c r="AE220" s="17"/>
      <c r="AF220" s="17"/>
      <c r="AG220" s="17"/>
      <c r="AH220" s="17"/>
      <c r="AI220" s="17"/>
      <c r="AJ220" s="17"/>
    </row>
    <row r="221" spans="1:36" ht="17.149999999999999" customHeight="1" x14ac:dyDescent="0.35">
      <c r="A221" s="155" t="s">
        <v>815</v>
      </c>
      <c r="B221" s="1044">
        <f>ROUND(($G$154*B171*'User interface_Non-RES'!G71)/25,0)*25</f>
        <v>0</v>
      </c>
      <c r="C221" s="1044">
        <f>ROUND(($H$154*C171*'User interface_Non-RES'!G71)/25,0)*25</f>
        <v>0</v>
      </c>
      <c r="D221" s="136"/>
      <c r="E221" s="1044">
        <f>ROUND((B221*365/1000)/25,0)*25</f>
        <v>0</v>
      </c>
      <c r="F221" s="1044">
        <f>ROUND((C221*365/1000)/25,0)*25</f>
        <v>0</v>
      </c>
      <c r="I221" s="3"/>
      <c r="AA221" s="17"/>
      <c r="AB221" s="17"/>
      <c r="AC221" s="17"/>
      <c r="AD221" s="17"/>
      <c r="AE221" s="17"/>
      <c r="AF221" s="17"/>
      <c r="AG221" s="17"/>
      <c r="AH221" s="17"/>
      <c r="AI221" s="17"/>
      <c r="AJ221" s="17"/>
    </row>
    <row r="222" spans="1:36" ht="17.149999999999999" customHeight="1" x14ac:dyDescent="0.35">
      <c r="A222" s="1038" t="s">
        <v>816</v>
      </c>
      <c r="B222" s="1066">
        <f>SUM(B223:B224)</f>
        <v>0</v>
      </c>
      <c r="C222" s="1065">
        <f>SUM(C223:C224)</f>
        <v>0</v>
      </c>
      <c r="E222" s="1066">
        <f>SUM(E223:E224)</f>
        <v>0</v>
      </c>
      <c r="F222" s="1065">
        <f>SUM(F223:F224)</f>
        <v>0</v>
      </c>
      <c r="I222" s="3"/>
      <c r="AA222" s="17"/>
      <c r="AB222" s="17"/>
      <c r="AC222" s="17"/>
      <c r="AD222" s="17"/>
      <c r="AE222" s="17"/>
      <c r="AF222" s="17"/>
      <c r="AG222" s="17"/>
      <c r="AH222" s="17"/>
      <c r="AI222" s="17"/>
      <c r="AJ222" s="17"/>
    </row>
    <row r="223" spans="1:36" ht="17.149999999999999" customHeight="1" x14ac:dyDescent="0.35">
      <c r="A223" s="155" t="s">
        <v>817</v>
      </c>
      <c r="B223" s="1044">
        <f>ROUND(($G$154*B173*'User interface_Non-RES'!G73)/25,0)*25</f>
        <v>0</v>
      </c>
      <c r="C223" s="1044">
        <f>ROUND(($H$154*C173*'User interface_Non-RES'!G73)/25,0)*25</f>
        <v>0</v>
      </c>
      <c r="D223" s="136"/>
      <c r="E223" s="1044">
        <f>ROUND((B223*365/1000)/25,0)*25</f>
        <v>0</v>
      </c>
      <c r="F223" s="1044">
        <f>ROUND((C223*365/1000)/25,0)*25</f>
        <v>0</v>
      </c>
      <c r="I223" s="3"/>
      <c r="AA223" s="17"/>
      <c r="AB223" s="17"/>
      <c r="AC223" s="17"/>
      <c r="AD223" s="17"/>
      <c r="AE223" s="17"/>
      <c r="AF223" s="17"/>
      <c r="AG223" s="17"/>
      <c r="AH223" s="17"/>
      <c r="AI223" s="17"/>
      <c r="AJ223" s="17"/>
    </row>
    <row r="224" spans="1:36" ht="17.149999999999999" customHeight="1" x14ac:dyDescent="0.35">
      <c r="A224" s="155" t="s">
        <v>820</v>
      </c>
      <c r="B224" s="1044">
        <f>ROUND(($G$154*B174*'User interface_Non-RES'!G74)/25,0)*25</f>
        <v>0</v>
      </c>
      <c r="C224" s="1044">
        <f>ROUND(($H$154*C174*'User interface_Non-RES'!G74)/25,0)*25</f>
        <v>0</v>
      </c>
      <c r="D224" s="136"/>
      <c r="E224" s="1044">
        <f>ROUND((B224*365/1000)/25,0)*25</f>
        <v>0</v>
      </c>
      <c r="F224" s="1044">
        <f>ROUND((C224*365/1000)/25,0)*25</f>
        <v>0</v>
      </c>
      <c r="I224" s="3"/>
      <c r="AA224" s="17"/>
      <c r="AB224" s="17"/>
      <c r="AC224" s="17"/>
      <c r="AD224" s="17"/>
      <c r="AE224" s="17"/>
      <c r="AF224" s="17"/>
      <c r="AG224" s="17"/>
      <c r="AH224" s="17"/>
      <c r="AI224" s="17"/>
      <c r="AJ224" s="17"/>
    </row>
    <row r="225" spans="1:36" ht="17.149999999999999" customHeight="1" x14ac:dyDescent="0.35">
      <c r="A225" s="1038" t="s">
        <v>821</v>
      </c>
      <c r="B225" s="1066">
        <f>SUM(B226:B227)</f>
        <v>0</v>
      </c>
      <c r="C225" s="1065">
        <f>SUM(C226:C227)</f>
        <v>229875</v>
      </c>
      <c r="E225" s="1066">
        <f>SUM(E226:E227)</f>
        <v>0</v>
      </c>
      <c r="F225" s="1065">
        <f>SUM(F226:F227)</f>
        <v>83900</v>
      </c>
      <c r="I225" s="3"/>
      <c r="AA225" s="17"/>
      <c r="AB225" s="17"/>
      <c r="AC225" s="17"/>
      <c r="AD225" s="17"/>
      <c r="AE225" s="17"/>
      <c r="AF225" s="17"/>
      <c r="AG225" s="17"/>
      <c r="AH225" s="17"/>
      <c r="AI225" s="17"/>
      <c r="AJ225" s="17"/>
    </row>
    <row r="226" spans="1:36" ht="17.149999999999999" customHeight="1" x14ac:dyDescent="0.35">
      <c r="A226" s="155" t="s">
        <v>822</v>
      </c>
      <c r="B226" s="1044">
        <f>ROUND(($G$154*B176*'User interface_Non-RES'!G76)/25,0)*25</f>
        <v>0</v>
      </c>
      <c r="C226" s="1044">
        <f>ROUND(($H$154*C176*'User interface_Non-RES'!G76)/25,0)*25</f>
        <v>0</v>
      </c>
      <c r="D226" s="136"/>
      <c r="E226" s="1044">
        <f>ROUND((B226*365/1000)/25,0)*25</f>
        <v>0</v>
      </c>
      <c r="F226" s="1044">
        <f>ROUND((C226*365/1000)/25,0)*25</f>
        <v>0</v>
      </c>
      <c r="I226" s="3"/>
      <c r="AA226" s="17"/>
      <c r="AB226" s="17"/>
      <c r="AC226" s="17"/>
      <c r="AD226" s="17"/>
      <c r="AE226" s="17"/>
      <c r="AF226" s="17"/>
      <c r="AG226" s="17"/>
      <c r="AH226" s="17"/>
      <c r="AI226" s="17"/>
      <c r="AJ226" s="17"/>
    </row>
    <row r="227" spans="1:36" ht="17.149999999999999" customHeight="1" x14ac:dyDescent="0.35">
      <c r="A227" s="155" t="s">
        <v>823</v>
      </c>
      <c r="B227" s="1044">
        <f>ROUND(($G$154*B177*'User interface_Non-RES'!G77)/25,0)*25</f>
        <v>0</v>
      </c>
      <c r="C227" s="1044">
        <f>ROUND(($H$154*C177*'User interface_Non-RES'!G77)/25,0)*25</f>
        <v>229875</v>
      </c>
      <c r="D227" s="136"/>
      <c r="E227" s="1044">
        <f>ROUND((B227*365/1000)/25,0)*25</f>
        <v>0</v>
      </c>
      <c r="F227" s="1044">
        <f>ROUND((C227*365/1000)/25,0)*25</f>
        <v>83900</v>
      </c>
      <c r="I227" s="3"/>
      <c r="AA227" s="17"/>
      <c r="AB227" s="17"/>
      <c r="AC227" s="17"/>
      <c r="AD227" s="17"/>
      <c r="AE227" s="17"/>
      <c r="AF227" s="17"/>
      <c r="AG227" s="17"/>
      <c r="AH227" s="17"/>
      <c r="AI227" s="17"/>
      <c r="AJ227" s="17"/>
    </row>
    <row r="228" spans="1:36" ht="17.149999999999999" customHeight="1" x14ac:dyDescent="0.35">
      <c r="A228" s="1038" t="s">
        <v>824</v>
      </c>
      <c r="B228" s="1066">
        <f>SUM(B229:B231)</f>
        <v>694175</v>
      </c>
      <c r="C228" s="1065">
        <f>SUM(C229:C231)</f>
        <v>1379275</v>
      </c>
      <c r="E228" s="1066">
        <f>SUM(E229:E231)</f>
        <v>253375</v>
      </c>
      <c r="F228" s="1065">
        <f>SUM(F229:F231)</f>
        <v>503425</v>
      </c>
      <c r="I228" s="3"/>
      <c r="AA228" s="17"/>
      <c r="AB228" s="17"/>
      <c r="AC228" s="17"/>
      <c r="AD228" s="17"/>
      <c r="AE228" s="17"/>
      <c r="AF228" s="17"/>
      <c r="AG228" s="17"/>
      <c r="AH228" s="17"/>
      <c r="AI228" s="17"/>
      <c r="AJ228" s="17"/>
    </row>
    <row r="229" spans="1:36" ht="17.149999999999999" customHeight="1" x14ac:dyDescent="0.35">
      <c r="A229" s="155" t="s">
        <v>822</v>
      </c>
      <c r="B229" s="1044">
        <f>ROUND(($G$154*B179*'User interface_Non-RES'!G76)/25,0)*25</f>
        <v>0</v>
      </c>
      <c r="C229" s="1044">
        <f>ROUND(($H$154*C179*'User interface_Non-RES'!G76)/25,0)*25</f>
        <v>0</v>
      </c>
      <c r="D229" s="136"/>
      <c r="E229" s="1044">
        <f t="shared" ref="E229:F231" si="7">ROUND((B229*365/1000)/25,0)*25</f>
        <v>0</v>
      </c>
      <c r="F229" s="1044">
        <f t="shared" si="7"/>
        <v>0</v>
      </c>
      <c r="I229" s="3"/>
      <c r="AA229" s="17"/>
      <c r="AB229" s="17"/>
      <c r="AC229" s="17"/>
      <c r="AD229" s="17"/>
      <c r="AE229" s="17"/>
      <c r="AF229" s="17"/>
      <c r="AG229" s="17"/>
      <c r="AH229" s="17"/>
      <c r="AI229" s="17"/>
      <c r="AJ229" s="17"/>
    </row>
    <row r="230" spans="1:36" ht="17.149999999999999" customHeight="1" x14ac:dyDescent="0.35">
      <c r="A230" s="155" t="s">
        <v>823</v>
      </c>
      <c r="B230" s="1044">
        <f>ROUND(($G$154*B180*'User interface_Non-RES'!G77)/25,0)*25</f>
        <v>694175</v>
      </c>
      <c r="C230" s="1044">
        <f>ROUND(($H$154*C180*'User interface_Non-RES'!G77)/25,0)*25</f>
        <v>1379275</v>
      </c>
      <c r="D230" s="136"/>
      <c r="E230" s="1044">
        <f t="shared" si="7"/>
        <v>253375</v>
      </c>
      <c r="F230" s="1044">
        <f t="shared" si="7"/>
        <v>503425</v>
      </c>
      <c r="I230" s="3"/>
      <c r="AA230" s="17"/>
      <c r="AB230" s="17"/>
      <c r="AC230" s="17"/>
      <c r="AD230" s="17"/>
      <c r="AE230" s="17"/>
      <c r="AF230" s="17"/>
      <c r="AG230" s="17"/>
      <c r="AH230" s="17"/>
      <c r="AI230" s="17"/>
      <c r="AJ230" s="17"/>
    </row>
    <row r="231" spans="1:36" ht="17.149999999999999" customHeight="1" x14ac:dyDescent="0.35">
      <c r="A231" s="155" t="s">
        <v>825</v>
      </c>
      <c r="B231" s="1044">
        <f>ROUND(($G$154*B181*'User interface_Non-RES'!G78)/25,0)*25</f>
        <v>0</v>
      </c>
      <c r="C231" s="1044">
        <f>ROUND(($H$154*C181*'User interface_Non-RES'!G78)/25,0)*25</f>
        <v>0</v>
      </c>
      <c r="D231" s="136"/>
      <c r="E231" s="1044">
        <f t="shared" si="7"/>
        <v>0</v>
      </c>
      <c r="F231" s="1044">
        <f t="shared" si="7"/>
        <v>0</v>
      </c>
      <c r="I231" s="3"/>
      <c r="AA231" s="17"/>
      <c r="AB231" s="17"/>
      <c r="AC231" s="17"/>
      <c r="AD231" s="17"/>
      <c r="AE231" s="17"/>
      <c r="AF231" s="17"/>
      <c r="AG231" s="17"/>
      <c r="AH231" s="17"/>
      <c r="AI231" s="17"/>
      <c r="AJ231" s="17"/>
    </row>
    <row r="232" spans="1:36" ht="17.149999999999999" customHeight="1" x14ac:dyDescent="0.35">
      <c r="A232" s="1038" t="s">
        <v>860</v>
      </c>
      <c r="B232" s="1066">
        <f>SUM(B233:B234)</f>
        <v>227100</v>
      </c>
      <c r="C232" s="1065">
        <f>SUM(C233:C234)</f>
        <v>401100</v>
      </c>
      <c r="E232" s="1066">
        <f>SUM(E233:E234)</f>
        <v>82900</v>
      </c>
      <c r="F232" s="1065">
        <f>SUM(F233:F234)</f>
        <v>146400</v>
      </c>
      <c r="I232" s="3"/>
      <c r="AA232" s="17"/>
      <c r="AB232" s="17"/>
      <c r="AC232" s="17"/>
      <c r="AD232" s="17"/>
      <c r="AE232" s="17"/>
      <c r="AF232" s="17"/>
      <c r="AG232" s="17"/>
      <c r="AH232" s="17"/>
      <c r="AI232" s="17"/>
      <c r="AJ232" s="17"/>
    </row>
    <row r="233" spans="1:36" ht="17.149999999999999" customHeight="1" x14ac:dyDescent="0.35">
      <c r="A233" s="155" t="s">
        <v>827</v>
      </c>
      <c r="B233" s="1044">
        <f>ROUND(($G$154*B183*'User interface_Non-RES'!G80)/25,0)*25</f>
        <v>0</v>
      </c>
      <c r="C233" s="1044">
        <f>ROUND(($H$154*C183*'User interface_Non-RES'!G80)/25,0)*25</f>
        <v>0</v>
      </c>
      <c r="D233" s="136"/>
      <c r="E233" s="1044">
        <f>ROUND((B233*365/1000)/25,0)*25</f>
        <v>0</v>
      </c>
      <c r="F233" s="1044">
        <f>ROUND((C233*365/1000)/25,0)*25</f>
        <v>0</v>
      </c>
      <c r="I233" s="3"/>
      <c r="AA233" s="17"/>
      <c r="AB233" s="17"/>
      <c r="AC233" s="17"/>
      <c r="AD233" s="17"/>
      <c r="AE233" s="17"/>
      <c r="AF233" s="17"/>
      <c r="AG233" s="17"/>
      <c r="AH233" s="17"/>
      <c r="AI233" s="17"/>
      <c r="AJ233" s="17"/>
    </row>
    <row r="234" spans="1:36" ht="17.149999999999999" customHeight="1" x14ac:dyDescent="0.35">
      <c r="A234" s="155" t="s">
        <v>828</v>
      </c>
      <c r="B234" s="1044">
        <f>ROUND(($G$154*B184*'User interface_Non-RES'!G81)/25,0)*25</f>
        <v>227100</v>
      </c>
      <c r="C234" s="1044">
        <f>ROUND(($H$154*C184*'User interface_Non-RES'!G81)/25,0)*25</f>
        <v>401100</v>
      </c>
      <c r="D234" s="136"/>
      <c r="E234" s="1044">
        <f>ROUND((B234*365/1000)/25,0)*25</f>
        <v>82900</v>
      </c>
      <c r="F234" s="1044">
        <f>ROUND((C234*365/1000)/25,0)*25</f>
        <v>146400</v>
      </c>
      <c r="I234" s="3"/>
      <c r="AA234" s="17"/>
      <c r="AB234" s="17"/>
      <c r="AC234" s="17"/>
      <c r="AD234" s="17"/>
      <c r="AE234" s="17"/>
      <c r="AF234" s="17"/>
      <c r="AG234" s="17"/>
      <c r="AH234" s="17"/>
      <c r="AI234" s="17"/>
      <c r="AJ234" s="17"/>
    </row>
    <row r="235" spans="1:36" ht="17.149999999999999" customHeight="1" x14ac:dyDescent="0.35">
      <c r="A235" s="1038" t="s">
        <v>861</v>
      </c>
      <c r="B235" s="1066">
        <f>SUM(B236:B237)</f>
        <v>227100</v>
      </c>
      <c r="C235" s="1065">
        <f>SUM(C236:C237)</f>
        <v>401100</v>
      </c>
      <c r="E235" s="1066">
        <f>SUM(E236:E237)</f>
        <v>82900</v>
      </c>
      <c r="F235" s="1065">
        <f>SUM(F236:F237)</f>
        <v>146400</v>
      </c>
      <c r="I235" s="3"/>
      <c r="AA235" s="17"/>
      <c r="AB235" s="17"/>
      <c r="AC235" s="17"/>
      <c r="AD235" s="17"/>
      <c r="AE235" s="17"/>
      <c r="AF235" s="17"/>
      <c r="AG235" s="17"/>
      <c r="AH235" s="17"/>
      <c r="AI235" s="17"/>
      <c r="AJ235" s="17"/>
    </row>
    <row r="236" spans="1:36" ht="17.149999999999999" customHeight="1" x14ac:dyDescent="0.35">
      <c r="A236" s="155" t="s">
        <v>827</v>
      </c>
      <c r="B236" s="1044">
        <f>ROUND(($G$154*B186*'User interface_Non-RES'!G80)/25,0)*25</f>
        <v>0</v>
      </c>
      <c r="C236" s="1044">
        <f>ROUND(($H$154*C186*'User interface_Non-RES'!G80)/25,0)*25</f>
        <v>0</v>
      </c>
      <c r="D236" s="136"/>
      <c r="E236" s="1044">
        <f>ROUND((B236*365/1000)/25,0)*25</f>
        <v>0</v>
      </c>
      <c r="F236" s="1044">
        <f>ROUND((C236*365/1000)/25,0)*25</f>
        <v>0</v>
      </c>
      <c r="I236" s="3"/>
      <c r="AA236" s="17"/>
      <c r="AB236" s="17"/>
      <c r="AC236" s="17"/>
      <c r="AD236" s="17"/>
      <c r="AE236" s="17"/>
      <c r="AF236" s="17"/>
      <c r="AG236" s="17"/>
      <c r="AH236" s="17"/>
      <c r="AI236" s="17"/>
      <c r="AJ236" s="17"/>
    </row>
    <row r="237" spans="1:36" ht="17.149999999999999" customHeight="1" x14ac:dyDescent="0.35">
      <c r="A237" s="155" t="s">
        <v>828</v>
      </c>
      <c r="B237" s="1044">
        <f>ROUND(($G$154*B187*'User interface_Non-RES'!G81)/25,0)*25</f>
        <v>227100</v>
      </c>
      <c r="C237" s="1044">
        <f>ROUND(($H$154*C187*'User interface_Non-RES'!G81)/25,0)*25</f>
        <v>401100</v>
      </c>
      <c r="D237" s="136"/>
      <c r="E237" s="1044">
        <f>ROUND((B237*365/1000)/25,0)*25</f>
        <v>82900</v>
      </c>
      <c r="F237" s="1044">
        <f>ROUND((C237*365/1000)/25,0)*25</f>
        <v>146400</v>
      </c>
      <c r="I237" s="3"/>
      <c r="AA237" s="17"/>
      <c r="AB237" s="17"/>
      <c r="AC237" s="17"/>
      <c r="AD237" s="17"/>
      <c r="AE237" s="17"/>
      <c r="AF237" s="17"/>
      <c r="AG237" s="17"/>
      <c r="AH237" s="17"/>
      <c r="AI237" s="17"/>
      <c r="AJ237" s="17"/>
    </row>
    <row r="238" spans="1:36" ht="17.149999999999999" customHeight="1" x14ac:dyDescent="0.35">
      <c r="A238" s="1038" t="s">
        <v>862</v>
      </c>
      <c r="B238" s="1066">
        <f>SUM(B239:B241)</f>
        <v>0</v>
      </c>
      <c r="C238" s="1065">
        <f>SUM(C239:C241)</f>
        <v>0</v>
      </c>
      <c r="E238" s="1066">
        <f>SUM(E239:E241)</f>
        <v>0</v>
      </c>
      <c r="F238" s="1065">
        <f>SUM(F239:F241)</f>
        <v>0</v>
      </c>
      <c r="I238" s="3"/>
      <c r="AA238" s="17"/>
      <c r="AB238" s="17"/>
      <c r="AC238" s="17"/>
      <c r="AD238" s="17"/>
      <c r="AE238" s="17"/>
      <c r="AF238" s="17"/>
      <c r="AG238" s="17"/>
      <c r="AH238" s="17"/>
      <c r="AI238" s="17"/>
      <c r="AJ238" s="17"/>
    </row>
    <row r="239" spans="1:36" ht="17.149999999999999" customHeight="1" x14ac:dyDescent="0.35">
      <c r="A239" s="155" t="s">
        <v>827</v>
      </c>
      <c r="B239" s="1044">
        <f>ROUND(($G$154*B189*'User interface_Non-RES'!G80)/25,0)*25</f>
        <v>0</v>
      </c>
      <c r="C239" s="1044">
        <f>ROUND(($H$154*C189*'User interface_Non-RES'!G80)/25,0)*25</f>
        <v>0</v>
      </c>
      <c r="D239" s="136"/>
      <c r="E239" s="1044">
        <f t="shared" ref="E239:F242" si="8">ROUND((B239*365/1000)/25,0)*25</f>
        <v>0</v>
      </c>
      <c r="F239" s="1044">
        <f t="shared" si="8"/>
        <v>0</v>
      </c>
      <c r="AA239" s="17"/>
      <c r="AB239" s="17"/>
      <c r="AC239" s="17"/>
      <c r="AD239" s="17"/>
      <c r="AE239" s="17"/>
      <c r="AF239" s="17"/>
      <c r="AG239" s="17"/>
      <c r="AH239" s="17"/>
      <c r="AI239" s="17"/>
      <c r="AJ239" s="17"/>
    </row>
    <row r="240" spans="1:36" ht="17.149999999999999" customHeight="1" x14ac:dyDescent="0.35">
      <c r="A240" s="155" t="s">
        <v>828</v>
      </c>
      <c r="B240" s="1044">
        <f>ROUND(($G$154*B190*'User interface_Non-RES'!G81)/25,0)*25</f>
        <v>0</v>
      </c>
      <c r="C240" s="1044">
        <f>ROUND(($H$154*C190*'User interface_Non-RES'!G81)/25,0)*25</f>
        <v>0</v>
      </c>
      <c r="D240" s="136"/>
      <c r="E240" s="1044">
        <f t="shared" si="8"/>
        <v>0</v>
      </c>
      <c r="F240" s="1044">
        <f t="shared" si="8"/>
        <v>0</v>
      </c>
      <c r="AA240" s="17"/>
      <c r="AB240" s="17"/>
      <c r="AC240" s="17"/>
      <c r="AD240" s="17"/>
      <c r="AE240" s="17"/>
      <c r="AF240" s="17"/>
      <c r="AG240" s="17"/>
      <c r="AH240" s="17"/>
      <c r="AI240" s="17"/>
      <c r="AJ240" s="17"/>
    </row>
    <row r="241" spans="1:36" ht="17.149999999999999" customHeight="1" x14ac:dyDescent="0.35">
      <c r="A241" s="155" t="s">
        <v>831</v>
      </c>
      <c r="B241" s="1044">
        <f>ROUND(($G$154*B191*'User interface_Non-RES'!G82)/25,0)*25</f>
        <v>0</v>
      </c>
      <c r="C241" s="1044">
        <f>ROUND(($H$154*C191*'User interface_Non-RES'!G82)/25,0)*25</f>
        <v>0</v>
      </c>
      <c r="D241" s="136"/>
      <c r="E241" s="1044">
        <f t="shared" si="8"/>
        <v>0</v>
      </c>
      <c r="F241" s="1044">
        <f t="shared" si="8"/>
        <v>0</v>
      </c>
      <c r="AA241" s="17"/>
      <c r="AB241" s="17"/>
      <c r="AC241" s="17"/>
      <c r="AD241" s="17"/>
      <c r="AE241" s="17"/>
      <c r="AF241" s="17"/>
      <c r="AG241" s="17"/>
      <c r="AH241" s="17"/>
      <c r="AI241" s="17"/>
      <c r="AJ241" s="17"/>
    </row>
    <row r="242" spans="1:36" ht="17.149999999999999" customHeight="1" x14ac:dyDescent="0.35">
      <c r="A242" s="1038" t="s">
        <v>443</v>
      </c>
      <c r="B242" s="1066">
        <f>ROUND(($G$154*B192*'User interface_Non-RES'!G83)/25,0)*25</f>
        <v>3425</v>
      </c>
      <c r="C242" s="1065">
        <f>ROUND(($H$154*C192*'User interface_Non-RES'!G83)/25,0)*25</f>
        <v>0</v>
      </c>
      <c r="E242" s="1066">
        <f t="shared" si="8"/>
        <v>1250</v>
      </c>
      <c r="F242" s="1065">
        <f t="shared" si="8"/>
        <v>0</v>
      </c>
      <c r="AA242" s="17"/>
      <c r="AB242" s="17"/>
      <c r="AC242" s="17"/>
      <c r="AD242" s="17"/>
      <c r="AE242" s="17"/>
      <c r="AF242" s="17"/>
      <c r="AG242" s="17"/>
      <c r="AH242" s="17"/>
      <c r="AI242" s="17"/>
      <c r="AJ242" s="17"/>
    </row>
    <row r="243" spans="1:36" ht="17.149999999999999" customHeight="1" x14ac:dyDescent="0.35">
      <c r="A243" s="950" t="s">
        <v>208</v>
      </c>
      <c r="B243" s="1019">
        <f>B219+B222+B225+B228+B232+B235+B238+B242</f>
        <v>1614600</v>
      </c>
      <c r="C243" s="1072">
        <f>C219+C222+C225+C228+C232+C235+C238+C242</f>
        <v>6498050</v>
      </c>
      <c r="E243" s="1019">
        <f>E219+E222+E225+E228+E232+E235+E238+E242</f>
        <v>589350</v>
      </c>
      <c r="F243" s="1072">
        <f>F219+F222+F225+F228+F232+F235+F238+F242</f>
        <v>2371775</v>
      </c>
      <c r="AA243" s="17"/>
      <c r="AB243" s="17"/>
      <c r="AC243" s="17"/>
      <c r="AD243" s="17"/>
      <c r="AE243" s="17"/>
      <c r="AF243" s="17"/>
      <c r="AG243" s="17"/>
      <c r="AH243" s="17"/>
      <c r="AI243" s="17"/>
      <c r="AJ243" s="17"/>
    </row>
    <row r="244" spans="1:36" ht="17.149999999999999" customHeight="1" x14ac:dyDescent="0.35">
      <c r="AA244" s="17"/>
      <c r="AB244" s="17"/>
      <c r="AC244" s="17"/>
      <c r="AD244" s="17"/>
      <c r="AE244" s="17"/>
      <c r="AF244" s="17"/>
      <c r="AG244" s="17"/>
      <c r="AH244" s="17"/>
      <c r="AI244" s="17"/>
      <c r="AJ244" s="17"/>
    </row>
    <row r="245" spans="1:36" ht="17.149999999999999" customHeight="1" x14ac:dyDescent="0.35">
      <c r="AA245" s="17"/>
      <c r="AB245" s="17"/>
      <c r="AC245" s="17"/>
      <c r="AD245" s="17"/>
      <c r="AE245" s="17"/>
      <c r="AF245" s="17"/>
      <c r="AG245" s="17"/>
      <c r="AH245" s="17"/>
      <c r="AI245" s="17"/>
      <c r="AJ245" s="17"/>
    </row>
    <row r="246" spans="1:36" ht="17.149999999999999" customHeight="1" x14ac:dyDescent="0.35">
      <c r="A246" s="950" t="s">
        <v>867</v>
      </c>
      <c r="B246" s="1504" t="s">
        <v>843</v>
      </c>
      <c r="C246" s="1508" t="s">
        <v>843</v>
      </c>
      <c r="E246" s="1504" t="s">
        <v>841</v>
      </c>
      <c r="F246" s="1508" t="s">
        <v>841</v>
      </c>
      <c r="AA246" s="17"/>
      <c r="AB246" s="17"/>
      <c r="AC246" s="17"/>
      <c r="AD246" s="17"/>
      <c r="AE246" s="17"/>
      <c r="AF246" s="17"/>
      <c r="AG246" s="17"/>
      <c r="AH246" s="17"/>
      <c r="AI246" s="17"/>
      <c r="AJ246" s="17"/>
    </row>
    <row r="247" spans="1:36" ht="17.149999999999999" customHeight="1" x14ac:dyDescent="0.35">
      <c r="A247" s="1067" t="s">
        <v>433</v>
      </c>
      <c r="B247" s="368">
        <f>B219</f>
        <v>462800</v>
      </c>
      <c r="C247" s="1026">
        <f>C219</f>
        <v>4086700</v>
      </c>
      <c r="D247" s="136"/>
      <c r="E247" s="368">
        <f>E219</f>
        <v>168925</v>
      </c>
      <c r="F247" s="1026">
        <f>F219</f>
        <v>1491650</v>
      </c>
      <c r="AA247" s="17"/>
      <c r="AB247" s="17"/>
      <c r="AC247" s="17"/>
      <c r="AD247" s="17"/>
      <c r="AE247" s="17"/>
      <c r="AF247" s="17"/>
      <c r="AG247" s="17"/>
      <c r="AH247" s="17"/>
      <c r="AI247" s="17"/>
      <c r="AJ247" s="17"/>
    </row>
    <row r="248" spans="1:36" ht="17.149999999999999" customHeight="1" x14ac:dyDescent="0.35">
      <c r="A248" s="1067" t="s">
        <v>816</v>
      </c>
      <c r="B248" s="368">
        <f>B222</f>
        <v>0</v>
      </c>
      <c r="C248" s="1026">
        <f>C222</f>
        <v>0</v>
      </c>
      <c r="D248" s="136"/>
      <c r="E248" s="368">
        <f>E222</f>
        <v>0</v>
      </c>
      <c r="F248" s="1026">
        <f>F222</f>
        <v>0</v>
      </c>
      <c r="AA248" s="17"/>
      <c r="AB248" s="17"/>
      <c r="AC248" s="17"/>
      <c r="AD248" s="17"/>
      <c r="AE248" s="17"/>
      <c r="AF248" s="17"/>
      <c r="AG248" s="17"/>
      <c r="AH248" s="17"/>
      <c r="AI248" s="17"/>
      <c r="AJ248" s="17"/>
    </row>
    <row r="249" spans="1:36" ht="17.149999999999999" customHeight="1" x14ac:dyDescent="0.35">
      <c r="A249" s="1067" t="s">
        <v>821</v>
      </c>
      <c r="B249" s="368">
        <f>B225</f>
        <v>0</v>
      </c>
      <c r="C249" s="1026">
        <f>C225</f>
        <v>229875</v>
      </c>
      <c r="D249" s="136"/>
      <c r="E249" s="368">
        <f>E225</f>
        <v>0</v>
      </c>
      <c r="F249" s="1026">
        <f>F225</f>
        <v>83900</v>
      </c>
      <c r="AA249" s="17"/>
      <c r="AB249" s="17"/>
      <c r="AC249" s="17"/>
      <c r="AD249" s="17"/>
      <c r="AE249" s="17"/>
      <c r="AF249" s="17"/>
      <c r="AG249" s="17"/>
      <c r="AH249" s="17"/>
      <c r="AI249" s="17"/>
      <c r="AJ249" s="17"/>
    </row>
    <row r="250" spans="1:36" ht="17.149999999999999" customHeight="1" x14ac:dyDescent="0.35">
      <c r="A250" s="1067" t="s">
        <v>824</v>
      </c>
      <c r="B250" s="368">
        <f>B228</f>
        <v>694175</v>
      </c>
      <c r="C250" s="1026">
        <f>C228</f>
        <v>1379275</v>
      </c>
      <c r="D250" s="136"/>
      <c r="E250" s="368">
        <f>E228</f>
        <v>253375</v>
      </c>
      <c r="F250" s="1026">
        <f>F228</f>
        <v>503425</v>
      </c>
      <c r="AA250" s="17"/>
      <c r="AB250" s="17"/>
      <c r="AC250" s="17"/>
      <c r="AD250" s="17"/>
      <c r="AE250" s="17"/>
      <c r="AF250" s="17"/>
      <c r="AG250" s="17"/>
      <c r="AH250" s="17"/>
      <c r="AI250" s="17"/>
      <c r="AJ250" s="17"/>
    </row>
    <row r="251" spans="1:36" ht="17.149999999999999" customHeight="1" x14ac:dyDescent="0.35">
      <c r="A251" s="155" t="s">
        <v>860</v>
      </c>
      <c r="B251" s="368">
        <f>B232</f>
        <v>227100</v>
      </c>
      <c r="C251" s="1026">
        <f>C232</f>
        <v>401100</v>
      </c>
      <c r="D251" s="136"/>
      <c r="E251" s="368">
        <f>E232</f>
        <v>82900</v>
      </c>
      <c r="F251" s="1026">
        <f>F232</f>
        <v>146400</v>
      </c>
      <c r="AA251" s="17"/>
      <c r="AB251" s="17"/>
      <c r="AC251" s="17"/>
      <c r="AD251" s="17"/>
      <c r="AE251" s="17"/>
      <c r="AF251" s="17"/>
      <c r="AG251" s="17"/>
      <c r="AH251" s="17"/>
      <c r="AI251" s="17"/>
      <c r="AJ251" s="17"/>
    </row>
    <row r="252" spans="1:36" ht="17.149999999999999" customHeight="1" x14ac:dyDescent="0.35">
      <c r="A252" s="1067" t="s">
        <v>861</v>
      </c>
      <c r="B252" s="368">
        <f>B235</f>
        <v>227100</v>
      </c>
      <c r="C252" s="1026">
        <f>C235</f>
        <v>401100</v>
      </c>
      <c r="D252" s="136"/>
      <c r="E252" s="368">
        <f>E235</f>
        <v>82900</v>
      </c>
      <c r="F252" s="1026">
        <f>F235</f>
        <v>146400</v>
      </c>
      <c r="AA252" s="17"/>
      <c r="AB252" s="17"/>
      <c r="AC252" s="17"/>
      <c r="AD252" s="17"/>
      <c r="AE252" s="17"/>
      <c r="AF252" s="17"/>
      <c r="AG252" s="17"/>
      <c r="AH252" s="17"/>
      <c r="AI252" s="17"/>
      <c r="AJ252" s="17"/>
    </row>
    <row r="253" spans="1:36" ht="17.149999999999999" customHeight="1" x14ac:dyDescent="0.35">
      <c r="A253" s="1067" t="s">
        <v>862</v>
      </c>
      <c r="B253" s="368">
        <f>B238</f>
        <v>0</v>
      </c>
      <c r="C253" s="1026">
        <f>C238</f>
        <v>0</v>
      </c>
      <c r="D253" s="136"/>
      <c r="E253" s="368">
        <f>E238</f>
        <v>0</v>
      </c>
      <c r="F253" s="1026">
        <f>F238</f>
        <v>0</v>
      </c>
      <c r="AA253" s="17"/>
      <c r="AB253" s="17"/>
      <c r="AC253" s="17"/>
      <c r="AD253" s="17"/>
      <c r="AE253" s="17"/>
      <c r="AF253" s="17"/>
      <c r="AG253" s="17"/>
      <c r="AH253" s="17"/>
      <c r="AI253" s="17"/>
      <c r="AJ253" s="17"/>
    </row>
    <row r="254" spans="1:36" ht="17.149999999999999" customHeight="1" x14ac:dyDescent="0.35">
      <c r="A254" s="155" t="s">
        <v>443</v>
      </c>
      <c r="B254" s="368">
        <f>B242</f>
        <v>3425</v>
      </c>
      <c r="C254" s="1026">
        <f>C242</f>
        <v>0</v>
      </c>
      <c r="D254" s="136"/>
      <c r="E254" s="368">
        <f>E242</f>
        <v>1250</v>
      </c>
      <c r="F254" s="1026">
        <f>F242</f>
        <v>0</v>
      </c>
      <c r="AA254" s="17"/>
      <c r="AB254" s="17"/>
      <c r="AC254" s="17"/>
      <c r="AD254" s="17"/>
      <c r="AE254" s="17"/>
      <c r="AF254" s="17"/>
      <c r="AG254" s="17"/>
      <c r="AH254" s="17"/>
      <c r="AI254" s="17"/>
      <c r="AJ254" s="17"/>
    </row>
    <row r="255" spans="1:36" ht="17.149999999999999" customHeight="1" x14ac:dyDescent="0.35">
      <c r="A255" s="950" t="s">
        <v>844</v>
      </c>
      <c r="B255" s="1021">
        <f>SUM(B247:B254)</f>
        <v>1614600</v>
      </c>
      <c r="C255" s="1022">
        <f>SUM(C247:C254)</f>
        <v>6498050</v>
      </c>
      <c r="E255" s="1021">
        <f>SUM(E247:E254)</f>
        <v>589350</v>
      </c>
      <c r="F255" s="1022">
        <f>SUM(F247:F254)</f>
        <v>2371775</v>
      </c>
      <c r="AA255" s="17"/>
      <c r="AB255" s="17"/>
      <c r="AC255" s="17"/>
      <c r="AD255" s="17"/>
      <c r="AE255" s="17"/>
      <c r="AF255" s="17"/>
      <c r="AG255" s="17"/>
      <c r="AH255" s="17"/>
      <c r="AI255" s="17"/>
      <c r="AJ255" s="17"/>
    </row>
    <row r="256" spans="1:36" ht="17.149999999999999" customHeight="1" x14ac:dyDescent="0.35">
      <c r="AA256" s="17"/>
      <c r="AB256" s="17"/>
      <c r="AC256" s="17"/>
      <c r="AD256" s="17"/>
      <c r="AE256" s="17"/>
      <c r="AF256" s="17"/>
      <c r="AG256" s="17"/>
      <c r="AH256" s="17"/>
      <c r="AI256" s="17"/>
      <c r="AJ256" s="17"/>
    </row>
    <row r="257" spans="1:36" ht="17.149999999999999" customHeight="1" x14ac:dyDescent="0.35">
      <c r="AA257" s="17"/>
      <c r="AB257" s="17"/>
      <c r="AC257" s="17"/>
      <c r="AD257" s="17"/>
      <c r="AE257" s="17"/>
      <c r="AF257" s="17"/>
      <c r="AG257" s="17"/>
      <c r="AH257" s="17"/>
      <c r="AI257" s="17"/>
      <c r="AJ257" s="17"/>
    </row>
    <row r="258" spans="1:36" ht="17.149999999999999" customHeight="1" x14ac:dyDescent="0.35">
      <c r="A258" s="949" t="s">
        <v>868</v>
      </c>
      <c r="B258" s="1504" t="s">
        <v>9</v>
      </c>
      <c r="C258" s="1508" t="s">
        <v>253</v>
      </c>
      <c r="D258" s="11"/>
      <c r="E258" s="1504" t="s">
        <v>9</v>
      </c>
      <c r="F258" s="1508" t="s">
        <v>253</v>
      </c>
      <c r="H258" s="1504" t="s">
        <v>9</v>
      </c>
      <c r="I258" s="1508" t="s">
        <v>253</v>
      </c>
      <c r="AA258" s="17"/>
      <c r="AB258" s="17"/>
      <c r="AC258" s="17"/>
      <c r="AD258" s="17"/>
      <c r="AE258" s="17"/>
      <c r="AF258" s="17"/>
      <c r="AG258" s="17"/>
      <c r="AH258" s="17"/>
      <c r="AI258" s="17"/>
      <c r="AJ258" s="17"/>
    </row>
    <row r="259" spans="1:36" s="169" customFormat="1" ht="12" x14ac:dyDescent="0.35">
      <c r="A259" s="1073"/>
      <c r="B259" s="1074"/>
      <c r="C259" s="1074"/>
      <c r="D259" s="1073"/>
      <c r="E259" s="1074"/>
      <c r="F259" s="1074"/>
      <c r="H259" s="1074"/>
      <c r="I259" s="1074"/>
    </row>
    <row r="260" spans="1:36" ht="16.5" customHeight="1" x14ac:dyDescent="0.35">
      <c r="A260" s="80"/>
      <c r="B260" s="1504" t="s">
        <v>843</v>
      </c>
      <c r="C260" s="1508" t="s">
        <v>843</v>
      </c>
      <c r="D260" s="11"/>
      <c r="E260" s="1504" t="s">
        <v>841</v>
      </c>
      <c r="F260" s="1508" t="s">
        <v>841</v>
      </c>
      <c r="H260" s="1504" t="s">
        <v>201</v>
      </c>
      <c r="I260" s="1508" t="s">
        <v>201</v>
      </c>
      <c r="AA260" s="17"/>
      <c r="AB260" s="17"/>
      <c r="AC260" s="17"/>
      <c r="AD260" s="17"/>
      <c r="AE260" s="17"/>
      <c r="AF260" s="17"/>
      <c r="AG260" s="17"/>
      <c r="AH260" s="17"/>
      <c r="AI260" s="17"/>
      <c r="AJ260" s="17"/>
    </row>
    <row r="261" spans="1:36" s="169" customFormat="1" ht="12" x14ac:dyDescent="0.35">
      <c r="A261" s="1073"/>
      <c r="B261" s="1074"/>
      <c r="C261" s="1074"/>
      <c r="D261" s="1073"/>
      <c r="E261" s="1074"/>
      <c r="F261" s="1074"/>
      <c r="H261" s="1074"/>
      <c r="I261" s="1074"/>
    </row>
    <row r="262" spans="1:36" s="115" customFormat="1" ht="17.149999999999999" customHeight="1" x14ac:dyDescent="0.35">
      <c r="A262" s="206" t="s">
        <v>794</v>
      </c>
      <c r="B262" s="207">
        <f>SUM(B263:B266)</f>
        <v>1611175</v>
      </c>
      <c r="C262" s="207">
        <f>SUM(C263:C266)</f>
        <v>6498050</v>
      </c>
      <c r="D262" s="2"/>
      <c r="E262" s="207">
        <f>SUM(E263:E266)</f>
        <v>588100</v>
      </c>
      <c r="F262" s="207">
        <f>SUM(F263:F266)</f>
        <v>2371775</v>
      </c>
      <c r="H262" s="420">
        <f>IF($E$271=0,0,E262/$E$271)</f>
        <v>0.99787901925850508</v>
      </c>
      <c r="I262" s="420">
        <f>IF($F$271=0,0,F262/$F$271)</f>
        <v>1</v>
      </c>
    </row>
    <row r="263" spans="1:36" ht="17.149999999999999" customHeight="1" x14ac:dyDescent="0.35">
      <c r="A263" s="135" t="s">
        <v>846</v>
      </c>
      <c r="B263" s="1523">
        <f>B247+B251</f>
        <v>689900</v>
      </c>
      <c r="C263" s="1523">
        <f>C247+C251</f>
        <v>4487800</v>
      </c>
      <c r="D263" s="11"/>
      <c r="E263" s="1523">
        <f>E247+E251</f>
        <v>251825</v>
      </c>
      <c r="F263" s="1523">
        <f>F247+F251</f>
        <v>1638050</v>
      </c>
      <c r="H263" s="181">
        <f>IF($E$271=0,0,E263/$E$271)</f>
        <v>0.42729278018155598</v>
      </c>
      <c r="I263" s="181">
        <f>IF($F$271=0,0,F263/$F$271)</f>
        <v>0.69064308376637751</v>
      </c>
    </row>
    <row r="264" spans="1:36" ht="17.149999999999999" customHeight="1" x14ac:dyDescent="0.35">
      <c r="A264" s="135" t="s">
        <v>847</v>
      </c>
      <c r="B264" s="1523">
        <f>B248</f>
        <v>0</v>
      </c>
      <c r="C264" s="1523">
        <f>C248</f>
        <v>0</v>
      </c>
      <c r="D264" s="11"/>
      <c r="E264" s="1523">
        <f>E248</f>
        <v>0</v>
      </c>
      <c r="F264" s="1523">
        <f>F248</f>
        <v>0</v>
      </c>
      <c r="H264" s="181">
        <f>IF($E$271=0,0,E264/$E$271)</f>
        <v>0</v>
      </c>
      <c r="I264" s="181">
        <f>IF($F$271=0,0,F264/$F$271)</f>
        <v>0</v>
      </c>
    </row>
    <row r="265" spans="1:36" ht="17.149999999999999" customHeight="1" x14ac:dyDescent="0.35">
      <c r="A265" s="135" t="s">
        <v>848</v>
      </c>
      <c r="B265" s="1523">
        <f>(B249+B252)</f>
        <v>227100</v>
      </c>
      <c r="C265" s="1523">
        <f>C249+C252</f>
        <v>630975</v>
      </c>
      <c r="D265" s="11"/>
      <c r="E265" s="1523">
        <f>(E249+E252)</f>
        <v>82900</v>
      </c>
      <c r="F265" s="1523">
        <f>F249+F252</f>
        <v>230300</v>
      </c>
      <c r="H265" s="181">
        <f>IF($E$271=0,0,E265/$E$271)</f>
        <v>0.14066344277593959</v>
      </c>
      <c r="I265" s="181">
        <f>IF($F$271=0,0,F265/$F$271)</f>
        <v>9.710027300228731E-2</v>
      </c>
    </row>
    <row r="266" spans="1:36" ht="17.149999999999999" customHeight="1" x14ac:dyDescent="0.35">
      <c r="A266" s="135" t="s">
        <v>849</v>
      </c>
      <c r="B266" s="1523">
        <f>SUM(B229:B231)+SUM(B239:B241)</f>
        <v>694175</v>
      </c>
      <c r="C266" s="1523">
        <f>SUM(C229:C231)+SUM(C239:C241)</f>
        <v>1379275</v>
      </c>
      <c r="D266" s="11"/>
      <c r="E266" s="1523">
        <f>SUM(E229:E231)+SUM(E239:E241)</f>
        <v>253375</v>
      </c>
      <c r="F266" s="1523">
        <f>SUM(F229:F231)+SUM(F239:F241)</f>
        <v>503425</v>
      </c>
      <c r="H266" s="181">
        <f>IF($E$271=0,0,E266/$E$271)</f>
        <v>0.4299227963010096</v>
      </c>
      <c r="I266" s="181">
        <f>IF($F$271=0,0,F266/$F$271)</f>
        <v>0.21225664323133517</v>
      </c>
    </row>
    <row r="267" spans="1:36" ht="17.149999999999999" customHeight="1" x14ac:dyDescent="0.35">
      <c r="A267" s="11"/>
      <c r="B267" s="179"/>
      <c r="C267" s="179"/>
      <c r="D267" s="11"/>
      <c r="E267" s="179"/>
      <c r="F267" s="179"/>
      <c r="G267" s="179"/>
      <c r="H267" s="180"/>
      <c r="I267" s="180"/>
      <c r="AA267" s="17"/>
      <c r="AB267" s="17"/>
      <c r="AC267" s="17"/>
      <c r="AD267" s="17"/>
      <c r="AE267" s="17"/>
      <c r="AF267" s="17"/>
      <c r="AG267" s="17"/>
      <c r="AH267" s="17"/>
      <c r="AI267" s="17"/>
      <c r="AJ267" s="17"/>
    </row>
    <row r="268" spans="1:36" s="115" customFormat="1" ht="16.5" customHeight="1" x14ac:dyDescent="0.35">
      <c r="A268" s="208" t="s">
        <v>800</v>
      </c>
      <c r="B268" s="209">
        <f>SUM(B269:B269)</f>
        <v>3425</v>
      </c>
      <c r="C268" s="209">
        <f>SUM(C269:C269)</f>
        <v>0</v>
      </c>
      <c r="D268" s="2"/>
      <c r="E268" s="209">
        <f>SUM(E269:E269)</f>
        <v>1250</v>
      </c>
      <c r="F268" s="209">
        <f>SUM(F269:F269)</f>
        <v>0</v>
      </c>
      <c r="H268" s="421">
        <f>IF($E$271=0,0,E268/$E$271)</f>
        <v>2.1209807414948674E-3</v>
      </c>
      <c r="I268" s="421">
        <f>IF($F$271=0,0,F268/$F$271)</f>
        <v>0</v>
      </c>
    </row>
    <row r="269" spans="1:36" ht="17.149999999999999" customHeight="1" x14ac:dyDescent="0.35">
      <c r="A269" s="210" t="s">
        <v>850</v>
      </c>
      <c r="B269" s="211">
        <f>B254</f>
        <v>3425</v>
      </c>
      <c r="C269" s="211">
        <f>C254</f>
        <v>0</v>
      </c>
      <c r="D269" s="11"/>
      <c r="E269" s="211">
        <f>E254</f>
        <v>1250</v>
      </c>
      <c r="F269" s="211">
        <f>F254</f>
        <v>0</v>
      </c>
      <c r="H269" s="181">
        <f>IF($E$271=0,0,E269/$E$271)</f>
        <v>2.1209807414948674E-3</v>
      </c>
      <c r="I269" s="181">
        <f>IF($F$271=0,0,F269/$F$271)</f>
        <v>0</v>
      </c>
    </row>
    <row r="270" spans="1:36" ht="17.149999999999999" customHeight="1" x14ac:dyDescent="0.35">
      <c r="A270" s="11"/>
      <c r="B270" s="179"/>
      <c r="C270" s="179"/>
      <c r="D270" s="11"/>
      <c r="E270" s="179"/>
      <c r="F270" s="179"/>
      <c r="G270" s="179"/>
      <c r="H270" s="180"/>
      <c r="I270" s="180"/>
      <c r="AA270" s="17"/>
      <c r="AB270" s="17"/>
      <c r="AC270" s="17"/>
      <c r="AD270" s="17"/>
      <c r="AE270" s="17"/>
      <c r="AF270" s="17"/>
      <c r="AG270" s="17"/>
      <c r="AH270" s="17"/>
      <c r="AI270" s="17"/>
      <c r="AJ270" s="17"/>
    </row>
    <row r="271" spans="1:36" s="115" customFormat="1" ht="17.149999999999999" customHeight="1" x14ac:dyDescent="0.35">
      <c r="A271" s="212" t="s">
        <v>851</v>
      </c>
      <c r="B271" s="28">
        <f>B262+B268</f>
        <v>1614600</v>
      </c>
      <c r="C271" s="28">
        <f>C262+C268</f>
        <v>6498050</v>
      </c>
      <c r="D271" s="2"/>
      <c r="E271" s="28">
        <f>E262+E268</f>
        <v>589350</v>
      </c>
      <c r="F271" s="28">
        <f>F262+F268</f>
        <v>2371775</v>
      </c>
      <c r="H271" s="181">
        <f>IF($E$271=0,0,E271/$E$271)</f>
        <v>1</v>
      </c>
      <c r="I271" s="181">
        <f>IF($F$271=0,0,F271/$F$271)</f>
        <v>1</v>
      </c>
      <c r="K271" s="235">
        <f>F271+F143</f>
        <v>117631575</v>
      </c>
    </row>
    <row r="272" spans="1:36" s="115" customFormat="1" ht="17.149999999999999" customHeight="1" x14ac:dyDescent="0.35">
      <c r="A272" s="194"/>
      <c r="B272" s="205">
        <f>B255</f>
        <v>1614600</v>
      </c>
      <c r="C272" s="205">
        <f>C255</f>
        <v>6498050</v>
      </c>
      <c r="D272" s="2"/>
      <c r="E272" s="205">
        <f>E255</f>
        <v>589350</v>
      </c>
      <c r="F272" s="205">
        <f>F255</f>
        <v>2371775</v>
      </c>
      <c r="H272" s="221"/>
      <c r="I272" s="221"/>
    </row>
    <row r="273" spans="1:36" ht="17.149999999999999" customHeight="1" x14ac:dyDescent="0.35">
      <c r="A273" s="11"/>
      <c r="B273" s="1519" t="str">
        <f>IF(B271=B272,"OK","Not OK")</f>
        <v>OK</v>
      </c>
      <c r="C273" s="1519" t="str">
        <f>IF(C271=C272,"OK","Not OK")</f>
        <v>OK</v>
      </c>
      <c r="D273" s="11"/>
      <c r="E273" s="1519" t="str">
        <f>IF(E271=E272,"OK","Not OK")</f>
        <v>OK</v>
      </c>
      <c r="F273" s="1519" t="str">
        <f>IF(F271=F272,"OK","Not OK")</f>
        <v>OK</v>
      </c>
      <c r="AA273" s="17"/>
      <c r="AB273" s="17"/>
      <c r="AC273" s="17"/>
      <c r="AD273" s="17"/>
      <c r="AE273" s="17"/>
      <c r="AF273" s="17"/>
      <c r="AG273" s="17"/>
      <c r="AH273" s="17"/>
      <c r="AI273" s="17"/>
      <c r="AJ273" s="17"/>
    </row>
    <row r="274" spans="1:36" s="3" customFormat="1" ht="17.149999999999999" customHeight="1" x14ac:dyDescent="0.35">
      <c r="B274" s="184"/>
      <c r="C274" s="184"/>
    </row>
    <row r="277" spans="1:36" ht="17.149999999999999" customHeight="1" x14ac:dyDescent="0.35">
      <c r="A277" s="949" t="s">
        <v>869</v>
      </c>
      <c r="B277" s="1504" t="s">
        <v>9</v>
      </c>
      <c r="C277" s="1504" t="s">
        <v>9</v>
      </c>
      <c r="E277" s="1504" t="s">
        <v>9</v>
      </c>
      <c r="F277" s="1504" t="s">
        <v>9</v>
      </c>
      <c r="H277" s="1504" t="s">
        <v>9</v>
      </c>
    </row>
    <row r="278" spans="1:36" s="185" customFormat="1" ht="10.5" x14ac:dyDescent="0.35">
      <c r="A278" s="237"/>
      <c r="B278" s="222"/>
      <c r="C278" s="222"/>
      <c r="E278" s="222"/>
      <c r="F278" s="222"/>
      <c r="H278" s="222"/>
    </row>
    <row r="279" spans="1:36" ht="17.149999999999999" customHeight="1" x14ac:dyDescent="0.35">
      <c r="A279" s="80"/>
      <c r="B279" s="1513" t="s">
        <v>841</v>
      </c>
      <c r="C279" s="1513" t="s">
        <v>841</v>
      </c>
      <c r="E279" s="1513" t="s">
        <v>201</v>
      </c>
      <c r="F279" s="1513" t="s">
        <v>201</v>
      </c>
      <c r="H279" s="1504" t="s">
        <v>841</v>
      </c>
    </row>
    <row r="280" spans="1:36" s="185" customFormat="1" ht="10.5" x14ac:dyDescent="0.35">
      <c r="A280" s="237"/>
      <c r="B280" s="222"/>
      <c r="C280" s="222"/>
      <c r="E280" s="222"/>
      <c r="F280" s="222"/>
      <c r="H280" s="222"/>
    </row>
    <row r="281" spans="1:36" ht="34" customHeight="1" x14ac:dyDescent="0.35">
      <c r="A281" s="237"/>
      <c r="B281" s="1513" t="s">
        <v>193</v>
      </c>
      <c r="C281" s="1513" t="s">
        <v>209</v>
      </c>
      <c r="E281" s="1513" t="s">
        <v>193</v>
      </c>
      <c r="F281" s="1513" t="s">
        <v>209</v>
      </c>
      <c r="H281" s="1504" t="s">
        <v>12</v>
      </c>
    </row>
    <row r="282" spans="1:36" s="169" customFormat="1" ht="12" x14ac:dyDescent="0.35">
      <c r="A282" s="1073"/>
      <c r="B282" s="1074"/>
      <c r="C282" s="1074"/>
      <c r="E282" s="1074"/>
      <c r="F282" s="1074"/>
    </row>
    <row r="283" spans="1:36" ht="17.149999999999999" customHeight="1" x14ac:dyDescent="0.35">
      <c r="A283" s="206" t="s">
        <v>794</v>
      </c>
      <c r="B283" s="207">
        <f>SUM(B284:B287)</f>
        <v>34302950</v>
      </c>
      <c r="C283" s="207">
        <f>SUM(C284:C287)</f>
        <v>588100</v>
      </c>
      <c r="E283" s="436">
        <f>SUM(E284:E287)</f>
        <v>0.98258074264398909</v>
      </c>
      <c r="F283" s="436">
        <f>SUM(F284:F287)</f>
        <v>1.6845657144616714E-2</v>
      </c>
      <c r="H283" s="207">
        <f>SUM(H284:H287)</f>
        <v>34891050</v>
      </c>
    </row>
    <row r="284" spans="1:36" ht="17.149999999999999" customHeight="1" x14ac:dyDescent="0.35">
      <c r="A284" s="135" t="s">
        <v>846</v>
      </c>
      <c r="B284" s="1523">
        <f>E135</f>
        <v>25280025</v>
      </c>
      <c r="C284" s="1523">
        <f>E263</f>
        <v>251825</v>
      </c>
      <c r="E284" s="1469">
        <f t="shared" ref="E284:E287" si="9">B284/$B$294</f>
        <v>0.72412622641955315</v>
      </c>
      <c r="F284" s="261">
        <f>IF($B$294=0,0,C284/$B$294)</f>
        <v>7.2133270029639592E-3</v>
      </c>
      <c r="H284" s="1523">
        <f>B284+C284</f>
        <v>25531850</v>
      </c>
    </row>
    <row r="285" spans="1:36" ht="17.149999999999999" customHeight="1" x14ac:dyDescent="0.35">
      <c r="A285" s="135" t="s">
        <v>847</v>
      </c>
      <c r="B285" s="1523">
        <f>E136</f>
        <v>0</v>
      </c>
      <c r="C285" s="1523">
        <f>E264</f>
        <v>0</v>
      </c>
      <c r="E285" s="1469">
        <f t="shared" si="9"/>
        <v>0</v>
      </c>
      <c r="F285" s="261">
        <f>IF($B$294=0,0,C285/$B$294)</f>
        <v>0</v>
      </c>
      <c r="H285" s="1523">
        <f>B285+C285</f>
        <v>0</v>
      </c>
    </row>
    <row r="286" spans="1:36" ht="17.149999999999999" customHeight="1" x14ac:dyDescent="0.35">
      <c r="A286" s="135" t="s">
        <v>848</v>
      </c>
      <c r="B286" s="1523">
        <f>E137</f>
        <v>7195050</v>
      </c>
      <c r="C286" s="1523">
        <f>E265</f>
        <v>82900</v>
      </c>
      <c r="E286" s="1469">
        <f t="shared" si="9"/>
        <v>0.20609648943780734</v>
      </c>
      <c r="F286" s="261">
        <f>IF($B$294=0,0,C286/$B$294)</f>
        <v>2.3746046204535382E-3</v>
      </c>
      <c r="H286" s="1523">
        <f>B286+C286</f>
        <v>7277950</v>
      </c>
    </row>
    <row r="287" spans="1:36" ht="17.149999999999999" customHeight="1" x14ac:dyDescent="0.35">
      <c r="A287" s="135" t="s">
        <v>849</v>
      </c>
      <c r="B287" s="1523">
        <f>E138</f>
        <v>1827875</v>
      </c>
      <c r="C287" s="1523">
        <f>E266</f>
        <v>253375</v>
      </c>
      <c r="E287" s="1469">
        <f t="shared" si="9"/>
        <v>5.2358026786628598E-2</v>
      </c>
      <c r="F287" s="261">
        <f>IF($B$294=0,0,C287/$B$294)</f>
        <v>7.2577255211992179E-3</v>
      </c>
      <c r="H287" s="1523">
        <f>B287+C287</f>
        <v>2081250</v>
      </c>
    </row>
    <row r="288" spans="1:36" ht="17.149999999999999" customHeight="1" x14ac:dyDescent="0.35">
      <c r="A288" s="11"/>
      <c r="B288" s="179"/>
      <c r="C288" s="179"/>
      <c r="E288" s="428"/>
      <c r="F288" s="428"/>
    </row>
    <row r="289" spans="1:8" ht="17.149999999999999" customHeight="1" x14ac:dyDescent="0.35">
      <c r="A289" s="208" t="s">
        <v>800</v>
      </c>
      <c r="B289" s="209">
        <f>SUM(B290:B290)</f>
        <v>18775</v>
      </c>
      <c r="C289" s="209">
        <f>SUM(C290:C290)</f>
        <v>1250</v>
      </c>
      <c r="E289" s="435">
        <f>SUM(E290:E290)</f>
        <v>5.3779495475289715E-4</v>
      </c>
      <c r="F289" s="435">
        <f>SUM(F290:F290)</f>
        <v>3.580525664133803E-5</v>
      </c>
      <c r="H289" s="209">
        <f>SUM(H290:H290)</f>
        <v>20025</v>
      </c>
    </row>
    <row r="290" spans="1:8" ht="17.149999999999999" customHeight="1" x14ac:dyDescent="0.35">
      <c r="A290" s="210" t="s">
        <v>850</v>
      </c>
      <c r="B290" s="1523">
        <f>E141</f>
        <v>18775</v>
      </c>
      <c r="C290" s="1523">
        <f>E269</f>
        <v>1250</v>
      </c>
      <c r="E290" s="261">
        <f>IF($B$294=0,0,B290/$B$294)</f>
        <v>5.3779495475289715E-4</v>
      </c>
      <c r="F290" s="261">
        <f>IF($B$294=0,0,C290/$B$294)</f>
        <v>3.580525664133803E-5</v>
      </c>
      <c r="H290" s="1523">
        <f>B290+C290</f>
        <v>20025</v>
      </c>
    </row>
    <row r="291" spans="1:8" ht="17.149999999999999" customHeight="1" x14ac:dyDescent="0.35">
      <c r="A291" s="11"/>
      <c r="B291" s="179"/>
      <c r="C291" s="179"/>
      <c r="E291" s="428"/>
      <c r="F291" s="428"/>
    </row>
    <row r="292" spans="1:8" ht="17.149999999999999" customHeight="1" x14ac:dyDescent="0.35">
      <c r="A292" s="212" t="s">
        <v>851</v>
      </c>
      <c r="B292" s="1523">
        <f>E143</f>
        <v>34321725</v>
      </c>
      <c r="C292" s="1523">
        <f>E271</f>
        <v>589350</v>
      </c>
      <c r="E292" s="261">
        <f>B292/$B$294</f>
        <v>0.9831185375987419</v>
      </c>
      <c r="F292" s="261">
        <f>C292/$B$294</f>
        <v>1.6881462401258054E-2</v>
      </c>
      <c r="H292" s="1523">
        <f>B292+C292</f>
        <v>34911075</v>
      </c>
    </row>
    <row r="294" spans="1:8" ht="17.149999999999999" customHeight="1" x14ac:dyDescent="0.35">
      <c r="B294" s="1774">
        <f>B292+C292</f>
        <v>34911075</v>
      </c>
      <c r="C294" s="1775"/>
      <c r="E294" s="1769">
        <f>E292+F292</f>
        <v>1</v>
      </c>
      <c r="F294" s="1769"/>
    </row>
    <row r="299" spans="1:8" ht="17.149999999999999" customHeight="1" x14ac:dyDescent="0.35">
      <c r="A299" s="950" t="s">
        <v>870</v>
      </c>
      <c r="B299" s="1513" t="s">
        <v>841</v>
      </c>
      <c r="C299" s="1508" t="s">
        <v>841</v>
      </c>
    </row>
    <row r="300" spans="1:8" ht="17.149999999999999" customHeight="1" x14ac:dyDescent="0.35">
      <c r="A300" s="1067" t="s">
        <v>871</v>
      </c>
      <c r="B300" s="1020">
        <f>E119-B301</f>
        <v>24956425</v>
      </c>
      <c r="C300" s="1020">
        <f>F119-C301</f>
        <v>108520250</v>
      </c>
    </row>
    <row r="301" spans="1:8" ht="17.149999999999999" customHeight="1" x14ac:dyDescent="0.35">
      <c r="A301" s="1067" t="s">
        <v>872</v>
      </c>
      <c r="B301" s="1020">
        <f>E119*'User interface_RES'!K33</f>
        <v>0</v>
      </c>
      <c r="C301" s="1020">
        <f>F119*'User interface_Non-RES'!K33</f>
        <v>0</v>
      </c>
    </row>
    <row r="302" spans="1:8" ht="17.149999999999999" customHeight="1" x14ac:dyDescent="0.35">
      <c r="A302" s="1067" t="s">
        <v>434</v>
      </c>
      <c r="B302" s="1020">
        <f t="shared" ref="B302:C308" si="10">E120</f>
        <v>0</v>
      </c>
      <c r="C302" s="1020">
        <f t="shared" si="10"/>
        <v>0</v>
      </c>
    </row>
    <row r="303" spans="1:8" ht="17.149999999999999" customHeight="1" x14ac:dyDescent="0.35">
      <c r="A303" s="1067" t="s">
        <v>821</v>
      </c>
      <c r="B303" s="1020">
        <f t="shared" si="10"/>
        <v>6871450</v>
      </c>
      <c r="C303" s="1020">
        <f t="shared" si="10"/>
        <v>5082275</v>
      </c>
    </row>
    <row r="304" spans="1:8" ht="17.149999999999999" customHeight="1" x14ac:dyDescent="0.35">
      <c r="A304" s="1067" t="s">
        <v>824</v>
      </c>
      <c r="B304" s="1020">
        <f t="shared" si="10"/>
        <v>1827875</v>
      </c>
      <c r="C304" s="1020">
        <f t="shared" si="10"/>
        <v>1657275</v>
      </c>
    </row>
    <row r="305" spans="1:3" ht="17.149999999999999" customHeight="1" x14ac:dyDescent="0.35">
      <c r="A305" s="1067" t="s">
        <v>860</v>
      </c>
      <c r="B305" s="1020">
        <f t="shared" si="10"/>
        <v>323600</v>
      </c>
      <c r="C305" s="1020">
        <f t="shared" si="10"/>
        <v>0</v>
      </c>
    </row>
    <row r="306" spans="1:3" ht="17.149999999999999" customHeight="1" x14ac:dyDescent="0.35">
      <c r="A306" s="1067" t="s">
        <v>829</v>
      </c>
      <c r="B306" s="1020">
        <f t="shared" si="10"/>
        <v>323600</v>
      </c>
      <c r="C306" s="1020">
        <f t="shared" si="10"/>
        <v>0</v>
      </c>
    </row>
    <row r="307" spans="1:3" ht="17.149999999999999" customHeight="1" x14ac:dyDescent="0.35">
      <c r="A307" s="1067" t="s">
        <v>830</v>
      </c>
      <c r="B307" s="1020">
        <f t="shared" si="10"/>
        <v>0</v>
      </c>
      <c r="C307" s="1020">
        <f t="shared" si="10"/>
        <v>0</v>
      </c>
    </row>
    <row r="308" spans="1:3" ht="17.149999999999999" customHeight="1" x14ac:dyDescent="0.35">
      <c r="A308" s="155" t="s">
        <v>443</v>
      </c>
      <c r="B308" s="1020">
        <f t="shared" si="10"/>
        <v>18775</v>
      </c>
      <c r="C308" s="1020">
        <f t="shared" si="10"/>
        <v>0</v>
      </c>
    </row>
    <row r="309" spans="1:3" ht="17.149999999999999" customHeight="1" x14ac:dyDescent="0.35">
      <c r="A309" s="950" t="s">
        <v>873</v>
      </c>
      <c r="B309" s="1021">
        <f>SUM(B300:B308)</f>
        <v>34321725</v>
      </c>
      <c r="C309" s="1022">
        <f>SUM(C300:C308)</f>
        <v>115259800</v>
      </c>
    </row>
    <row r="312" spans="1:3" ht="17.149999999999999" customHeight="1" x14ac:dyDescent="0.35">
      <c r="A312" s="950" t="s">
        <v>874</v>
      </c>
      <c r="B312" s="1513" t="s">
        <v>841</v>
      </c>
      <c r="C312" s="1508" t="s">
        <v>841</v>
      </c>
    </row>
    <row r="313" spans="1:3" ht="17.149999999999999" customHeight="1" x14ac:dyDescent="0.35">
      <c r="A313" s="1067" t="s">
        <v>871</v>
      </c>
      <c r="B313" s="1020">
        <f>E247-B314</f>
        <v>168925</v>
      </c>
      <c r="C313" s="1020">
        <f>F247-C314</f>
        <v>1491650</v>
      </c>
    </row>
    <row r="314" spans="1:3" ht="17.149999999999999" customHeight="1" x14ac:dyDescent="0.35">
      <c r="A314" s="1067" t="s">
        <v>872</v>
      </c>
      <c r="B314" s="1020">
        <f>E247*'User interface_RES'!K55</f>
        <v>0</v>
      </c>
      <c r="C314" s="1020">
        <f>F247*'User interface_Non-RES'!K50</f>
        <v>0</v>
      </c>
    </row>
    <row r="315" spans="1:3" ht="17.149999999999999" customHeight="1" x14ac:dyDescent="0.35">
      <c r="A315" s="1067" t="s">
        <v>434</v>
      </c>
      <c r="B315" s="1020">
        <f t="shared" ref="B315:C317" si="11">E248</f>
        <v>0</v>
      </c>
      <c r="C315" s="1020">
        <f t="shared" si="11"/>
        <v>0</v>
      </c>
    </row>
    <row r="316" spans="1:3" ht="17.149999999999999" customHeight="1" x14ac:dyDescent="0.35">
      <c r="A316" s="1067" t="s">
        <v>821</v>
      </c>
      <c r="B316" s="1020">
        <f t="shared" si="11"/>
        <v>0</v>
      </c>
      <c r="C316" s="1020">
        <f t="shared" si="11"/>
        <v>83900</v>
      </c>
    </row>
    <row r="317" spans="1:3" ht="17.149999999999999" customHeight="1" x14ac:dyDescent="0.35">
      <c r="A317" s="1067" t="s">
        <v>824</v>
      </c>
      <c r="B317" s="1020">
        <f t="shared" si="11"/>
        <v>253375</v>
      </c>
      <c r="C317" s="1020">
        <f t="shared" si="11"/>
        <v>503425</v>
      </c>
    </row>
    <row r="318" spans="1:3" ht="17.149999999999999" customHeight="1" x14ac:dyDescent="0.35">
      <c r="A318" s="1067" t="s">
        <v>860</v>
      </c>
      <c r="B318" s="1020">
        <f>E251</f>
        <v>82900</v>
      </c>
      <c r="C318" s="1020">
        <f>F251</f>
        <v>146400</v>
      </c>
    </row>
    <row r="319" spans="1:3" ht="17.149999999999999" customHeight="1" x14ac:dyDescent="0.35">
      <c r="A319" s="1067" t="s">
        <v>861</v>
      </c>
      <c r="B319" s="1020">
        <f t="shared" ref="B319:C321" si="12">E252</f>
        <v>82900</v>
      </c>
      <c r="C319" s="1020">
        <f t="shared" si="12"/>
        <v>146400</v>
      </c>
    </row>
    <row r="320" spans="1:3" ht="17.149999999999999" customHeight="1" x14ac:dyDescent="0.35">
      <c r="A320" s="1067" t="s">
        <v>862</v>
      </c>
      <c r="B320" s="1020">
        <f t="shared" si="12"/>
        <v>0</v>
      </c>
      <c r="C320" s="1020">
        <f t="shared" si="12"/>
        <v>0</v>
      </c>
    </row>
    <row r="321" spans="1:7" ht="17.149999999999999" customHeight="1" x14ac:dyDescent="0.35">
      <c r="A321" s="155" t="s">
        <v>443</v>
      </c>
      <c r="B321" s="1020">
        <f t="shared" si="12"/>
        <v>1250</v>
      </c>
      <c r="C321" s="1020">
        <f t="shared" si="12"/>
        <v>0</v>
      </c>
    </row>
    <row r="322" spans="1:7" ht="17.149999999999999" customHeight="1" x14ac:dyDescent="0.35">
      <c r="A322" s="950" t="s">
        <v>873</v>
      </c>
      <c r="B322" s="1021">
        <f>SUM(B313:B321)</f>
        <v>589350</v>
      </c>
      <c r="C322" s="1022">
        <f>SUM(C313:C321)</f>
        <v>2371775</v>
      </c>
    </row>
    <row r="325" spans="1:7" ht="17.149999999999999" customHeight="1" x14ac:dyDescent="0.35">
      <c r="A325" s="950" t="s">
        <v>875</v>
      </c>
      <c r="B325" s="1513" t="s">
        <v>841</v>
      </c>
      <c r="C325" s="1513" t="s">
        <v>201</v>
      </c>
      <c r="E325" s="1513" t="s">
        <v>841</v>
      </c>
      <c r="F325" s="1513" t="s">
        <v>201</v>
      </c>
      <c r="G325" s="1513" t="s">
        <v>201</v>
      </c>
    </row>
    <row r="326" spans="1:7" ht="17.149999999999999" customHeight="1" x14ac:dyDescent="0.35">
      <c r="A326" s="1067" t="s">
        <v>871</v>
      </c>
      <c r="B326" s="1020">
        <f t="shared" ref="B326:B334" si="13">B300+B313</f>
        <v>25125350</v>
      </c>
      <c r="C326" s="1007">
        <f>IF($B$335=0,0,B326/$B$335)</f>
        <v>0.71969568396275396</v>
      </c>
      <c r="E326" s="368"/>
      <c r="F326" s="391"/>
      <c r="G326" s="391"/>
    </row>
    <row r="327" spans="1:7" ht="17.149999999999999" customHeight="1" x14ac:dyDescent="0.35">
      <c r="A327" s="1067" t="s">
        <v>872</v>
      </c>
      <c r="B327" s="1020">
        <f t="shared" si="13"/>
        <v>0</v>
      </c>
      <c r="C327" s="1007">
        <f>IF($B$335=0,0,B327/$B$335)</f>
        <v>0</v>
      </c>
      <c r="E327" s="368">
        <f>B327</f>
        <v>0</v>
      </c>
      <c r="F327" s="391">
        <f t="shared" ref="F327:F333" si="14">IF($E$335=0,0,E327/$E$335)</f>
        <v>0</v>
      </c>
      <c r="G327" s="391">
        <f>F327</f>
        <v>0</v>
      </c>
    </row>
    <row r="328" spans="1:7" ht="17.149999999999999" customHeight="1" x14ac:dyDescent="0.35">
      <c r="A328" s="1067" t="s">
        <v>434</v>
      </c>
      <c r="B328" s="1020">
        <f t="shared" si="13"/>
        <v>0</v>
      </c>
      <c r="C328" s="1007">
        <f t="shared" ref="C328:C335" si="15">IF($B$335=0,0,B328/$B$335)</f>
        <v>0</v>
      </c>
      <c r="E328" s="368">
        <f>B328</f>
        <v>0</v>
      </c>
      <c r="F328" s="391">
        <f t="shared" si="14"/>
        <v>0</v>
      </c>
      <c r="G328" s="391">
        <f>F328</f>
        <v>0</v>
      </c>
    </row>
    <row r="329" spans="1:7" ht="17.149999999999999" customHeight="1" x14ac:dyDescent="0.35">
      <c r="A329" s="1067" t="s">
        <v>821</v>
      </c>
      <c r="B329" s="1020">
        <f t="shared" si="13"/>
        <v>6871450</v>
      </c>
      <c r="C329" s="1007">
        <f t="shared" si="15"/>
        <v>0.19682722459849775</v>
      </c>
      <c r="E329" s="368">
        <f>B329</f>
        <v>6871450</v>
      </c>
      <c r="F329" s="391">
        <f t="shared" si="14"/>
        <v>0.73419202495939828</v>
      </c>
      <c r="G329" s="391">
        <f>F332+F329</f>
        <v>0.77762522437815207</v>
      </c>
    </row>
    <row r="330" spans="1:7" ht="17.149999999999999" customHeight="1" x14ac:dyDescent="0.35">
      <c r="A330" s="1067" t="s">
        <v>824</v>
      </c>
      <c r="B330" s="1020">
        <f t="shared" si="13"/>
        <v>2081250</v>
      </c>
      <c r="C330" s="1007">
        <f t="shared" si="15"/>
        <v>5.961575230782782E-2</v>
      </c>
      <c r="E330" s="368">
        <f>B330</f>
        <v>2081250</v>
      </c>
      <c r="F330" s="391">
        <f t="shared" si="14"/>
        <v>0.22237477562184801</v>
      </c>
      <c r="G330" s="391">
        <f>F333+F330</f>
        <v>0.22237477562184801</v>
      </c>
    </row>
    <row r="331" spans="1:7" ht="17.149999999999999" customHeight="1" x14ac:dyDescent="0.35">
      <c r="A331" s="1067" t="s">
        <v>860</v>
      </c>
      <c r="B331" s="1020">
        <f t="shared" si="13"/>
        <v>406500</v>
      </c>
      <c r="C331" s="1007">
        <f t="shared" si="15"/>
        <v>1.1643869459763126E-2</v>
      </c>
      <c r="E331" s="368"/>
      <c r="F331" s="391"/>
      <c r="G331" s="391"/>
    </row>
    <row r="332" spans="1:7" ht="17.149999999999999" customHeight="1" x14ac:dyDescent="0.35">
      <c r="A332" s="1067" t="s">
        <v>861</v>
      </c>
      <c r="B332" s="1020">
        <f t="shared" si="13"/>
        <v>406500</v>
      </c>
      <c r="C332" s="1007">
        <f t="shared" si="15"/>
        <v>1.1643869459763126E-2</v>
      </c>
      <c r="E332" s="368">
        <f>B332</f>
        <v>406500</v>
      </c>
      <c r="F332" s="391">
        <f t="shared" si="14"/>
        <v>4.3433199418753739E-2</v>
      </c>
      <c r="G332" s="391"/>
    </row>
    <row r="333" spans="1:7" ht="17.149999999999999" customHeight="1" x14ac:dyDescent="0.35">
      <c r="A333" s="1067" t="s">
        <v>862</v>
      </c>
      <c r="B333" s="1020">
        <f t="shared" si="13"/>
        <v>0</v>
      </c>
      <c r="C333" s="1007">
        <f t="shared" si="15"/>
        <v>0</v>
      </c>
      <c r="E333" s="368">
        <f>B333</f>
        <v>0</v>
      </c>
      <c r="F333" s="391">
        <f t="shared" si="14"/>
        <v>0</v>
      </c>
      <c r="G333" s="391"/>
    </row>
    <row r="334" spans="1:7" ht="17.149999999999999" customHeight="1" x14ac:dyDescent="0.35">
      <c r="A334" s="155" t="s">
        <v>443</v>
      </c>
      <c r="B334" s="1020">
        <f t="shared" si="13"/>
        <v>20025</v>
      </c>
      <c r="C334" s="1007">
        <f t="shared" si="15"/>
        <v>5.7360021139423519E-4</v>
      </c>
      <c r="E334" s="368"/>
      <c r="F334" s="391"/>
      <c r="G334" s="391"/>
    </row>
    <row r="335" spans="1:7" ht="17.149999999999999" customHeight="1" x14ac:dyDescent="0.35">
      <c r="A335" s="950" t="s">
        <v>873</v>
      </c>
      <c r="B335" s="1021">
        <f>SUM(B326:B334)</f>
        <v>34911075</v>
      </c>
      <c r="C335" s="1080">
        <f t="shared" si="15"/>
        <v>1</v>
      </c>
      <c r="E335" s="1021">
        <f>SUM(E326:E334)</f>
        <v>9359200</v>
      </c>
      <c r="F335" s="1081">
        <f>SUM(F326:F334)</f>
        <v>1</v>
      </c>
      <c r="G335" s="1081">
        <f>SUM(G326:G334)</f>
        <v>1</v>
      </c>
    </row>
    <row r="338" spans="1:3" s="115" customFormat="1" ht="17.149999999999999" customHeight="1" x14ac:dyDescent="0.35">
      <c r="A338" s="949" t="s">
        <v>876</v>
      </c>
      <c r="B338" s="1057" t="s">
        <v>877</v>
      </c>
      <c r="C338" s="1502" t="s">
        <v>877</v>
      </c>
    </row>
    <row r="339" spans="1:3" ht="17.149999999999999" customHeight="1" x14ac:dyDescent="0.35">
      <c r="A339" s="977" t="s">
        <v>433</v>
      </c>
      <c r="B339" s="1023">
        <f>SUM(B340:B343)</f>
        <v>25531850</v>
      </c>
      <c r="C339" s="1024">
        <f>SUM(C340:C343)</f>
        <v>110158300</v>
      </c>
    </row>
    <row r="340" spans="1:3" ht="17.149999999999999" customHeight="1" x14ac:dyDescent="0.35">
      <c r="A340" s="155" t="s">
        <v>228</v>
      </c>
      <c r="B340" s="1020">
        <f>B300</f>
        <v>24956425</v>
      </c>
      <c r="C340" s="1020">
        <f>C300</f>
        <v>108520250</v>
      </c>
    </row>
    <row r="341" spans="1:3" ht="17.149999999999999" customHeight="1" x14ac:dyDescent="0.35">
      <c r="A341" s="155" t="s">
        <v>878</v>
      </c>
      <c r="B341" s="1020">
        <f>B313</f>
        <v>168925</v>
      </c>
      <c r="C341" s="1020">
        <f>C313</f>
        <v>1491650</v>
      </c>
    </row>
    <row r="342" spans="1:3" ht="17.149999999999999" customHeight="1" x14ac:dyDescent="0.35">
      <c r="A342" s="929" t="s">
        <v>879</v>
      </c>
      <c r="B342" s="930">
        <f>B305</f>
        <v>323600</v>
      </c>
      <c r="C342" s="930">
        <f>C305</f>
        <v>0</v>
      </c>
    </row>
    <row r="343" spans="1:3" ht="17.149999999999999" customHeight="1" x14ac:dyDescent="0.35">
      <c r="A343" s="929" t="s">
        <v>880</v>
      </c>
      <c r="B343" s="930">
        <f>B318</f>
        <v>82900</v>
      </c>
      <c r="C343" s="930">
        <f>C318</f>
        <v>146400</v>
      </c>
    </row>
    <row r="344" spans="1:3" ht="17.149999999999999" customHeight="1" x14ac:dyDescent="0.35">
      <c r="A344" s="977" t="s">
        <v>816</v>
      </c>
      <c r="B344" s="1023">
        <f>SUM(B345:B346)</f>
        <v>0</v>
      </c>
      <c r="C344" s="1024">
        <f>SUM(C345:C346)</f>
        <v>0</v>
      </c>
    </row>
    <row r="345" spans="1:3" ht="17.149999999999999" customHeight="1" x14ac:dyDescent="0.35">
      <c r="A345" s="155" t="s">
        <v>228</v>
      </c>
      <c r="B345" s="1020">
        <f>B302</f>
        <v>0</v>
      </c>
      <c r="C345" s="1020">
        <f>C302</f>
        <v>0</v>
      </c>
    </row>
    <row r="346" spans="1:3" ht="17.149999999999999" customHeight="1" x14ac:dyDescent="0.35">
      <c r="A346" s="155" t="s">
        <v>878</v>
      </c>
      <c r="B346" s="1020">
        <f>B315</f>
        <v>0</v>
      </c>
      <c r="C346" s="1020">
        <f>C315</f>
        <v>0</v>
      </c>
    </row>
    <row r="347" spans="1:3" ht="17.149999999999999" customHeight="1" x14ac:dyDescent="0.35">
      <c r="A347" s="977" t="s">
        <v>821</v>
      </c>
      <c r="B347" s="1023">
        <f>SUM(B348:B349)</f>
        <v>6871450</v>
      </c>
      <c r="C347" s="1024">
        <f>SUM(C348:C349)</f>
        <v>5166175</v>
      </c>
    </row>
    <row r="348" spans="1:3" ht="17.149999999999999" customHeight="1" x14ac:dyDescent="0.35">
      <c r="A348" s="155" t="s">
        <v>228</v>
      </c>
      <c r="B348" s="1020">
        <f>B303</f>
        <v>6871450</v>
      </c>
      <c r="C348" s="1020">
        <f>C303</f>
        <v>5082275</v>
      </c>
    </row>
    <row r="349" spans="1:3" ht="17.149999999999999" customHeight="1" x14ac:dyDescent="0.35">
      <c r="A349" s="155" t="s">
        <v>878</v>
      </c>
      <c r="B349" s="1020">
        <f>B316</f>
        <v>0</v>
      </c>
      <c r="C349" s="1020">
        <f>C316</f>
        <v>83900</v>
      </c>
    </row>
    <row r="350" spans="1:3" ht="17.149999999999999" customHeight="1" x14ac:dyDescent="0.35">
      <c r="A350" s="977" t="s">
        <v>861</v>
      </c>
      <c r="B350" s="1023">
        <f>SUM(B351:B352)</f>
        <v>406500</v>
      </c>
      <c r="C350" s="1024">
        <f>SUM(C351:C352)</f>
        <v>146400</v>
      </c>
    </row>
    <row r="351" spans="1:3" ht="17.149999999999999" customHeight="1" x14ac:dyDescent="0.35">
      <c r="A351" s="155" t="s">
        <v>881</v>
      </c>
      <c r="B351" s="1020">
        <f>B306</f>
        <v>323600</v>
      </c>
      <c r="C351" s="1020">
        <f>C306</f>
        <v>0</v>
      </c>
    </row>
    <row r="352" spans="1:3" ht="17.149999999999999" customHeight="1" x14ac:dyDescent="0.35">
      <c r="A352" s="155" t="s">
        <v>882</v>
      </c>
      <c r="B352" s="1020">
        <f>B319</f>
        <v>82900</v>
      </c>
      <c r="C352" s="1020">
        <f>C319</f>
        <v>146400</v>
      </c>
    </row>
    <row r="353" spans="1:3" s="115" customFormat="1" ht="17.149999999999999" customHeight="1" x14ac:dyDescent="0.35">
      <c r="A353" s="949" t="s">
        <v>883</v>
      </c>
      <c r="B353" s="1058">
        <f>B339+B344+B347+B350</f>
        <v>32809800</v>
      </c>
      <c r="C353" s="1059">
        <f>C339+C344+C347+C350</f>
        <v>115470875</v>
      </c>
    </row>
    <row r="355" spans="1:3" ht="17.149999999999999" customHeight="1" x14ac:dyDescent="0.35">
      <c r="A355" s="1067" t="s">
        <v>824</v>
      </c>
      <c r="B355" s="1020">
        <f>B330</f>
        <v>2081250</v>
      </c>
    </row>
    <row r="356" spans="1:3" ht="17.149999999999999" customHeight="1" x14ac:dyDescent="0.35">
      <c r="A356" s="1067" t="s">
        <v>862</v>
      </c>
      <c r="B356" s="1020">
        <f>B333</f>
        <v>0</v>
      </c>
    </row>
    <row r="357" spans="1:3" ht="17.149999999999999" customHeight="1" x14ac:dyDescent="0.35">
      <c r="A357" s="155" t="s">
        <v>443</v>
      </c>
      <c r="B357" s="1020">
        <f>B334</f>
        <v>20025</v>
      </c>
    </row>
    <row r="358" spans="1:3" ht="17.149999999999999" customHeight="1" x14ac:dyDescent="0.35">
      <c r="A358" s="1083" t="s">
        <v>884</v>
      </c>
      <c r="B358" s="1040">
        <f>SUM(B355:B357)</f>
        <v>2101275</v>
      </c>
    </row>
    <row r="359" spans="1:3" ht="17.149999999999999" customHeight="1" x14ac:dyDescent="0.35">
      <c r="A359" s="949" t="s">
        <v>885</v>
      </c>
      <c r="B359" s="1058">
        <f>B353+B358</f>
        <v>34911075</v>
      </c>
    </row>
    <row r="360" spans="1:3" ht="17.149999999999999" customHeight="1" x14ac:dyDescent="0.35">
      <c r="B360" s="1082">
        <f>B335</f>
        <v>34911075</v>
      </c>
    </row>
    <row r="361" spans="1:3" ht="17.149999999999999" customHeight="1" x14ac:dyDescent="0.35">
      <c r="B361" s="1500">
        <f>B359-B360</f>
        <v>0</v>
      </c>
    </row>
  </sheetData>
  <sheetProtection password="C8C1" sheet="1" objects="1" scenarios="1" selectLockedCells="1"/>
  <mergeCells count="10">
    <mergeCell ref="E294:F294"/>
    <mergeCell ref="E33:E34"/>
    <mergeCell ref="F33:F34"/>
    <mergeCell ref="B294:C294"/>
    <mergeCell ref="E27:E28"/>
    <mergeCell ref="H150:H152"/>
    <mergeCell ref="E150:E152"/>
    <mergeCell ref="F150:F152"/>
    <mergeCell ref="G150:G152"/>
    <mergeCell ref="E45:E46"/>
  </mergeCells>
  <conditionalFormatting sqref="B145:C145">
    <cfRule type="expression" dxfId="297" priority="40">
      <formula>B144&lt;B143</formula>
    </cfRule>
    <cfRule type="expression" dxfId="296" priority="41">
      <formula>B144&gt;B143</formula>
    </cfRule>
    <cfRule type="expression" dxfId="295" priority="42">
      <formula>B144=B143</formula>
    </cfRule>
  </conditionalFormatting>
  <conditionalFormatting sqref="E145">
    <cfRule type="expression" dxfId="294" priority="37">
      <formula>E144&lt;E143</formula>
    </cfRule>
    <cfRule type="expression" dxfId="293" priority="38">
      <formula>E144&gt;E143</formula>
    </cfRule>
    <cfRule type="expression" dxfId="292" priority="39">
      <formula>E144=E143</formula>
    </cfRule>
  </conditionalFormatting>
  <conditionalFormatting sqref="F145">
    <cfRule type="expression" dxfId="291" priority="34">
      <formula>F144&lt;F143</formula>
    </cfRule>
    <cfRule type="expression" dxfId="290" priority="35">
      <formula>F144&gt;F143</formula>
    </cfRule>
    <cfRule type="expression" dxfId="289" priority="36">
      <formula>F144=F143</formula>
    </cfRule>
  </conditionalFormatting>
  <conditionalFormatting sqref="B74">
    <cfRule type="expression" dxfId="288" priority="22">
      <formula>B73&lt;B72</formula>
    </cfRule>
    <cfRule type="expression" dxfId="287" priority="23">
      <formula>B73&gt;B72</formula>
    </cfRule>
    <cfRule type="expression" dxfId="286" priority="24">
      <formula>B73=B72</formula>
    </cfRule>
  </conditionalFormatting>
  <conditionalFormatting sqref="C74">
    <cfRule type="expression" dxfId="285" priority="19">
      <formula>C73&lt;C72</formula>
    </cfRule>
    <cfRule type="expression" dxfId="284" priority="20">
      <formula>C73&gt;C72</formula>
    </cfRule>
    <cfRule type="expression" dxfId="283" priority="21">
      <formula>C73=C72</formula>
    </cfRule>
  </conditionalFormatting>
  <conditionalFormatting sqref="B273:C273">
    <cfRule type="expression" dxfId="282" priority="16">
      <formula>B272&lt;B271</formula>
    </cfRule>
    <cfRule type="expression" dxfId="281" priority="17">
      <formula>B272&gt;B271</formula>
    </cfRule>
    <cfRule type="expression" dxfId="280" priority="18">
      <formula>B272=B271</formula>
    </cfRule>
  </conditionalFormatting>
  <conditionalFormatting sqref="E273">
    <cfRule type="expression" dxfId="279" priority="13">
      <formula>E272&lt;E271</formula>
    </cfRule>
    <cfRule type="expression" dxfId="278" priority="14">
      <formula>E272&gt;E271</formula>
    </cfRule>
    <cfRule type="expression" dxfId="277" priority="15">
      <formula>E272=E271</formula>
    </cfRule>
  </conditionalFormatting>
  <conditionalFormatting sqref="F273">
    <cfRule type="expression" dxfId="276" priority="10">
      <formula>F272&lt;F271</formula>
    </cfRule>
    <cfRule type="expression" dxfId="275" priority="11">
      <formula>F272&gt;F271</formula>
    </cfRule>
    <cfRule type="expression" dxfId="274" priority="12">
      <formula>F272=F271</formula>
    </cfRule>
  </conditionalFormatting>
  <conditionalFormatting sqref="B202">
    <cfRule type="expression" dxfId="273" priority="7">
      <formula>B201&lt;B200</formula>
    </cfRule>
    <cfRule type="expression" dxfId="272" priority="8">
      <formula>B201&gt;B200</formula>
    </cfRule>
    <cfRule type="expression" dxfId="271" priority="9">
      <formula>B201=B200</formula>
    </cfRule>
  </conditionalFormatting>
  <conditionalFormatting sqref="C202">
    <cfRule type="expression" dxfId="270" priority="4">
      <formula>C201&lt;C200</formula>
    </cfRule>
    <cfRule type="expression" dxfId="269" priority="5">
      <formula>C201&gt;C200</formula>
    </cfRule>
    <cfRule type="expression" dxfId="268" priority="6">
      <formula>C201=C200</formula>
    </cfRule>
  </conditionalFormatting>
  <pageMargins left="0.7" right="0.7" top="0.75" bottom="0.75" header="0.3" footer="0.3"/>
  <pageSetup paperSize="9" orientation="portrait" r:id="rId1"/>
  <ignoredErrors>
    <ignoredError sqref="D136 E100:F100 E110:F110 E94:F94 E97:F97 E107:F107 E222:F224 E225:F227 E228:F231 E235:F237 E238:F238 B104 E104:F104 E232:F232 C159" formula="1"/>
    <ignoredError sqref="B154:C154 C127 F127 C135:F135" evalError="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6"/>
  </sheetPr>
  <dimension ref="A1:BF307"/>
  <sheetViews>
    <sheetView zoomScaleNormal="100" workbookViewId="0">
      <selection activeCell="A3" sqref="A3"/>
    </sheetView>
  </sheetViews>
  <sheetFormatPr defaultColWidth="9.1796875" defaultRowHeight="17.149999999999999" customHeight="1" x14ac:dyDescent="0.35"/>
  <cols>
    <col min="1" max="1" width="60.7265625" style="17" customWidth="1"/>
    <col min="2" max="5" width="16.7265625" style="27" customWidth="1"/>
    <col min="6" max="38" width="16.7265625" style="17" customWidth="1"/>
    <col min="39" max="50" width="9.1796875" style="17"/>
    <col min="51" max="51" width="11.453125" style="17" customWidth="1"/>
    <col min="52" max="16384" width="9.1796875" style="17"/>
  </cols>
  <sheetData>
    <row r="1" spans="1:12" ht="18.75" customHeight="1" x14ac:dyDescent="0.35">
      <c r="A1" s="13" t="str">
        <f>'User interface_RES'!AJ11</f>
        <v>Any city in , the world</v>
      </c>
    </row>
    <row r="2" spans="1:12" s="185" customFormat="1" ht="11.25" customHeight="1" x14ac:dyDescent="0.35">
      <c r="B2" s="222"/>
      <c r="C2" s="222"/>
      <c r="D2" s="222"/>
      <c r="E2" s="186"/>
    </row>
    <row r="3" spans="1:12" ht="26" x14ac:dyDescent="0.35">
      <c r="A3" s="182" t="s">
        <v>886</v>
      </c>
      <c r="G3" s="16"/>
      <c r="I3" s="18"/>
      <c r="J3" s="18"/>
    </row>
    <row r="4" spans="1:12" s="3" customFormat="1" ht="17.149999999999999" customHeight="1" x14ac:dyDescent="0.35">
      <c r="B4" s="1320"/>
      <c r="C4" s="184"/>
      <c r="D4" s="184"/>
      <c r="E4" s="184"/>
      <c r="I4" s="229"/>
      <c r="J4" s="229"/>
    </row>
    <row r="5" spans="1:12" s="3" customFormat="1" ht="17.149999999999999" customHeight="1" x14ac:dyDescent="0.35">
      <c r="B5" s="1318"/>
      <c r="C5" s="184"/>
      <c r="D5" s="184"/>
      <c r="E5" s="184"/>
      <c r="I5" s="229"/>
      <c r="J5" s="229"/>
    </row>
    <row r="6" spans="1:12" s="3" customFormat="1" ht="18" customHeight="1" x14ac:dyDescent="0.35">
      <c r="A6" s="47"/>
      <c r="B6" s="1505" t="s">
        <v>9</v>
      </c>
      <c r="C6" s="1502" t="s">
        <v>253</v>
      </c>
      <c r="D6" s="184"/>
      <c r="E6" s="184"/>
      <c r="I6" s="229"/>
      <c r="J6" s="229"/>
    </row>
    <row r="7" spans="1:12" s="185" customFormat="1" ht="10.5" x14ac:dyDescent="0.35">
      <c r="A7" s="237"/>
      <c r="B7" s="238"/>
      <c r="C7" s="238"/>
      <c r="D7" s="186"/>
      <c r="E7" s="186"/>
      <c r="I7" s="239"/>
      <c r="J7" s="239"/>
    </row>
    <row r="8" spans="1:12" s="63" customFormat="1" ht="18" customHeight="1" x14ac:dyDescent="0.35">
      <c r="A8" s="230" t="s">
        <v>887</v>
      </c>
      <c r="B8" s="232">
        <f>B10+B16+B19</f>
        <v>34891050</v>
      </c>
      <c r="C8" s="232">
        <f>C10+C16+C19</f>
        <v>117631575</v>
      </c>
      <c r="D8" s="231" t="s">
        <v>793</v>
      </c>
      <c r="F8" s="233"/>
      <c r="H8" s="205">
        <f>'Capture volumes'!B10</f>
        <v>34891050</v>
      </c>
      <c r="I8" s="205">
        <f>'Capture volumes'!C10</f>
        <v>117631575</v>
      </c>
      <c r="J8" s="234"/>
      <c r="L8" s="3"/>
    </row>
    <row r="9" spans="1:12" ht="18" customHeight="1" x14ac:dyDescent="0.35">
      <c r="A9" s="217"/>
      <c r="B9" s="218"/>
      <c r="C9" s="219"/>
      <c r="G9" s="14"/>
      <c r="H9" s="53">
        <f>B8-H8</f>
        <v>0</v>
      </c>
      <c r="I9" s="53">
        <f>C8-I8</f>
        <v>0</v>
      </c>
      <c r="J9" s="14"/>
      <c r="L9" s="3"/>
    </row>
    <row r="10" spans="1:12" s="115" customFormat="1" ht="18" customHeight="1" x14ac:dyDescent="0.35">
      <c r="A10" s="206" t="s">
        <v>57</v>
      </c>
      <c r="B10" s="207">
        <f>SUM(B11:B14)</f>
        <v>7164875</v>
      </c>
      <c r="C10" s="207">
        <f>SUM(C11:C14)</f>
        <v>7473275</v>
      </c>
      <c r="D10" s="140"/>
      <c r="E10" s="370">
        <f>IF($B$10=0,0,B10/$B$10)</f>
        <v>1</v>
      </c>
      <c r="H10" s="1519" t="str">
        <f>IF(H9=0,"OK","Not OK")</f>
        <v>OK</v>
      </c>
      <c r="I10" s="1519" t="str">
        <f>IF(I9=0,"OK","Not OK")</f>
        <v>OK</v>
      </c>
      <c r="J10" s="235"/>
      <c r="L10" s="3"/>
    </row>
    <row r="11" spans="1:12" s="115" customFormat="1" ht="18" customHeight="1" x14ac:dyDescent="0.35">
      <c r="A11" s="212" t="s">
        <v>888</v>
      </c>
      <c r="B11" s="118">
        <f t="shared" ref="B11:C14" si="0">B137+B248</f>
        <v>0</v>
      </c>
      <c r="C11" s="118">
        <f t="shared" si="0"/>
        <v>0</v>
      </c>
      <c r="D11" s="140"/>
      <c r="E11" s="370">
        <f t="shared" ref="E11:E14" si="1">IF($B$10=0,0,B11/$B$10)</f>
        <v>0</v>
      </c>
      <c r="J11" s="235"/>
      <c r="L11" s="3"/>
    </row>
    <row r="12" spans="1:12" s="115" customFormat="1" ht="18" customHeight="1" x14ac:dyDescent="0.35">
      <c r="A12" s="212" t="s">
        <v>889</v>
      </c>
      <c r="B12" s="118">
        <f t="shared" si="0"/>
        <v>0</v>
      </c>
      <c r="C12" s="118">
        <f t="shared" si="0"/>
        <v>0</v>
      </c>
      <c r="D12" s="140"/>
      <c r="E12" s="370">
        <f t="shared" si="1"/>
        <v>0</v>
      </c>
    </row>
    <row r="13" spans="1:12" s="115" customFormat="1" ht="18" customHeight="1" x14ac:dyDescent="0.35">
      <c r="A13" s="212" t="s">
        <v>890</v>
      </c>
      <c r="B13" s="118">
        <f t="shared" si="0"/>
        <v>6256575</v>
      </c>
      <c r="C13" s="118">
        <f t="shared" si="0"/>
        <v>5312575</v>
      </c>
      <c r="D13" s="140"/>
      <c r="E13" s="370">
        <f t="shared" si="1"/>
        <v>0.87322877230935636</v>
      </c>
    </row>
    <row r="14" spans="1:12" s="115" customFormat="1" ht="18" customHeight="1" x14ac:dyDescent="0.35">
      <c r="A14" s="212" t="s">
        <v>891</v>
      </c>
      <c r="B14" s="118">
        <f t="shared" si="0"/>
        <v>908300</v>
      </c>
      <c r="C14" s="118">
        <f t="shared" si="0"/>
        <v>2160700</v>
      </c>
      <c r="D14" s="140"/>
      <c r="E14" s="370">
        <f t="shared" si="1"/>
        <v>0.12677122769064358</v>
      </c>
    </row>
    <row r="15" spans="1:12" s="115" customFormat="1" ht="18" customHeight="1" x14ac:dyDescent="0.35">
      <c r="A15" s="2"/>
      <c r="B15" s="236"/>
      <c r="C15" s="236"/>
      <c r="D15" s="140"/>
      <c r="E15" s="140"/>
    </row>
    <row r="16" spans="1:12" s="115" customFormat="1" ht="18" customHeight="1" x14ac:dyDescent="0.35">
      <c r="A16" s="206" t="s">
        <v>892</v>
      </c>
      <c r="B16" s="207">
        <f>SUM(B17)</f>
        <v>25531850</v>
      </c>
      <c r="C16" s="207">
        <f>SUM(C17)</f>
        <v>110158300</v>
      </c>
      <c r="D16" s="140"/>
      <c r="E16" s="140"/>
    </row>
    <row r="17" spans="1:58" s="115" customFormat="1" ht="18" customHeight="1" x14ac:dyDescent="0.35">
      <c r="A17" s="212" t="s">
        <v>796</v>
      </c>
      <c r="B17" s="118">
        <f>B143+B254</f>
        <v>25531850</v>
      </c>
      <c r="C17" s="118">
        <f>C143+C254</f>
        <v>110158300</v>
      </c>
      <c r="D17" s="140"/>
      <c r="E17" s="140"/>
    </row>
    <row r="18" spans="1:58" s="115" customFormat="1" ht="18" customHeight="1" x14ac:dyDescent="0.35">
      <c r="A18" s="2"/>
      <c r="B18" s="236"/>
      <c r="C18" s="236"/>
      <c r="D18" s="140"/>
      <c r="E18" s="140"/>
    </row>
    <row r="19" spans="1:58" s="115" customFormat="1" ht="18" customHeight="1" x14ac:dyDescent="0.35">
      <c r="A19" s="208" t="s">
        <v>893</v>
      </c>
      <c r="B19" s="209">
        <f>SUM(B20:B22)</f>
        <v>2194325</v>
      </c>
      <c r="C19" s="209">
        <f>SUM(C21:C22)</f>
        <v>0</v>
      </c>
      <c r="D19" s="140"/>
      <c r="E19" s="1152">
        <f>IF($B$8=0,0,B19/$B$8)</f>
        <v>6.2890769982559991E-2</v>
      </c>
    </row>
    <row r="20" spans="1:58" s="115" customFormat="1" ht="18" customHeight="1" x14ac:dyDescent="0.35">
      <c r="A20" s="212" t="s">
        <v>889</v>
      </c>
      <c r="B20" s="118">
        <f>B146+B147+B257+B258</f>
        <v>0</v>
      </c>
      <c r="C20" s="118">
        <f>C146+C147+C257+C258</f>
        <v>0</v>
      </c>
      <c r="D20" s="140"/>
      <c r="E20" s="1152">
        <f t="shared" ref="E20:E22" si="2">IF($B$8=0,0,B20/$B$8)</f>
        <v>0</v>
      </c>
    </row>
    <row r="21" spans="1:58" s="115" customFormat="1" ht="18" customHeight="1" x14ac:dyDescent="0.35">
      <c r="A21" s="212" t="s">
        <v>894</v>
      </c>
      <c r="B21" s="118">
        <f>B148+B149+B259+B260</f>
        <v>1021375</v>
      </c>
      <c r="C21" s="118">
        <f>C148+C149+C259+C260</f>
        <v>0</v>
      </c>
      <c r="D21" s="140"/>
      <c r="E21" s="1152">
        <f t="shared" si="2"/>
        <v>2.9273266353405818E-2</v>
      </c>
    </row>
    <row r="22" spans="1:58" s="115" customFormat="1" ht="18" customHeight="1" x14ac:dyDescent="0.35">
      <c r="A22" s="212" t="s">
        <v>891</v>
      </c>
      <c r="B22" s="118">
        <f>B150+B151+B261+B262</f>
        <v>1172950</v>
      </c>
      <c r="C22" s="118">
        <f>C150+C151+C261+C262</f>
        <v>0</v>
      </c>
      <c r="D22" s="140"/>
      <c r="E22" s="1152">
        <f t="shared" si="2"/>
        <v>3.361750362915418E-2</v>
      </c>
    </row>
    <row r="23" spans="1:58" ht="17.149999999999999" customHeight="1" x14ac:dyDescent="0.35">
      <c r="A23" s="11"/>
      <c r="B23" s="179"/>
      <c r="C23" s="179"/>
    </row>
    <row r="24" spans="1:58" ht="17.149999999999999" customHeight="1" x14ac:dyDescent="0.35">
      <c r="A24" s="11"/>
      <c r="B24" s="179"/>
      <c r="C24" s="179"/>
      <c r="D24" s="179"/>
      <c r="E24" s="179"/>
      <c r="F24" s="179"/>
    </row>
    <row r="25" spans="1:58" s="27" customFormat="1" ht="17.149999999999999" customHeight="1" x14ac:dyDescent="0.35">
      <c r="A25" s="120"/>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row>
    <row r="26" spans="1:58" s="27" customFormat="1" ht="17.149999999999999" customHeight="1" x14ac:dyDescent="0.35">
      <c r="A26" s="183" t="s">
        <v>803</v>
      </c>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row>
    <row r="27" spans="1:58" s="27" customFormat="1" ht="17.149999999999999" customHeight="1" x14ac:dyDescent="0.35">
      <c r="A27" s="120"/>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row>
    <row r="28" spans="1:58" s="140" customFormat="1" ht="17.149999999999999" customHeight="1" x14ac:dyDescent="0.35">
      <c r="A28" s="949" t="s">
        <v>895</v>
      </c>
      <c r="B28" s="1776" t="s">
        <v>9</v>
      </c>
      <c r="C28" s="1776"/>
      <c r="D28" s="1776"/>
      <c r="E28" s="1776"/>
      <c r="F28" s="1776"/>
      <c r="G28" s="1776"/>
      <c r="H28" s="1776"/>
      <c r="I28" s="1776"/>
      <c r="J28" s="1776"/>
      <c r="K28" s="1776"/>
      <c r="L28" s="1776"/>
      <c r="M28" s="1776"/>
      <c r="N28" s="1776"/>
      <c r="O28" s="17"/>
      <c r="P28" s="1777" t="s">
        <v>9</v>
      </c>
      <c r="Q28" s="1777"/>
      <c r="R28" s="1777"/>
      <c r="S28" s="115"/>
      <c r="T28" s="115"/>
      <c r="U28" s="1778" t="s">
        <v>253</v>
      </c>
      <c r="V28" s="1778"/>
      <c r="W28" s="1778"/>
      <c r="X28" s="1778"/>
      <c r="Y28" s="1778"/>
      <c r="Z28" s="1778"/>
      <c r="AA28" s="1778"/>
      <c r="AB28" s="1778"/>
      <c r="AC28" s="1778"/>
      <c r="AD28" s="1778"/>
      <c r="AE28" s="1778"/>
      <c r="AF28" s="1778"/>
      <c r="AG28" s="1778"/>
      <c r="AH28" s="115"/>
      <c r="AI28" s="1779" t="s">
        <v>253</v>
      </c>
      <c r="AJ28" s="1779"/>
      <c r="AK28" s="1779"/>
      <c r="AL28" s="115"/>
      <c r="AM28" s="115"/>
      <c r="AN28" s="115"/>
      <c r="AO28" s="115"/>
      <c r="AP28" s="115"/>
      <c r="AQ28" s="115"/>
      <c r="AR28" s="115"/>
      <c r="AS28" s="115"/>
      <c r="AT28" s="115"/>
      <c r="AU28" s="115"/>
      <c r="AV28" s="115"/>
      <c r="AW28" s="115"/>
      <c r="AX28" s="115"/>
      <c r="AY28" s="115"/>
      <c r="AZ28" s="115"/>
      <c r="BA28" s="115"/>
      <c r="BB28" s="115"/>
    </row>
    <row r="29" spans="1:58" s="27" customFormat="1" ht="17.149999999999999" customHeight="1" x14ac:dyDescent="0.35">
      <c r="A29" s="371"/>
      <c r="F29" s="17"/>
      <c r="G29" s="17"/>
      <c r="H29" s="17"/>
      <c r="I29" s="17"/>
      <c r="J29" s="17"/>
      <c r="K29" s="17"/>
      <c r="L29" s="17"/>
      <c r="M29" s="17"/>
      <c r="N29" s="17"/>
      <c r="O29" s="17"/>
      <c r="P29" s="17"/>
      <c r="Q29" s="17"/>
      <c r="R29" s="115"/>
      <c r="S29" s="115"/>
      <c r="T29" s="17"/>
      <c r="W29" s="17"/>
      <c r="X29" s="17"/>
      <c r="Y29" s="95"/>
      <c r="Z29" s="10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row>
    <row r="30" spans="1:58" s="27" customFormat="1" ht="17.149999999999999" customHeight="1" x14ac:dyDescent="0.35">
      <c r="A30" s="191"/>
      <c r="B30" s="166"/>
      <c r="C30" s="1780" t="s">
        <v>896</v>
      </c>
      <c r="D30" s="1780"/>
      <c r="E30" s="1780"/>
      <c r="F30" s="1780"/>
      <c r="G30" s="1780"/>
      <c r="H30" s="1780"/>
      <c r="I30" s="1781" t="s">
        <v>897</v>
      </c>
      <c r="J30" s="1782"/>
      <c r="K30" s="1782"/>
      <c r="L30" s="1782"/>
      <c r="M30" s="1782"/>
      <c r="N30" s="1783"/>
      <c r="O30" s="17"/>
      <c r="P30" s="1784" t="s">
        <v>898</v>
      </c>
      <c r="Q30" s="1784"/>
      <c r="R30" s="1784"/>
      <c r="S30" s="309"/>
      <c r="T30" s="17"/>
      <c r="U30" s="1150"/>
      <c r="V30" s="1785" t="s">
        <v>896</v>
      </c>
      <c r="W30" s="1785"/>
      <c r="X30" s="1785"/>
      <c r="Y30" s="1785"/>
      <c r="Z30" s="1785"/>
      <c r="AA30" s="1785"/>
      <c r="AB30" s="1786" t="s">
        <v>897</v>
      </c>
      <c r="AC30" s="1787"/>
      <c r="AD30" s="1787"/>
      <c r="AE30" s="1787"/>
      <c r="AF30" s="1787"/>
      <c r="AG30" s="1788"/>
      <c r="AH30" s="17"/>
      <c r="AI30" s="1789" t="s">
        <v>898</v>
      </c>
      <c r="AJ30" s="1789"/>
      <c r="AK30" s="1789"/>
      <c r="AL30" s="300"/>
      <c r="AM30" s="17"/>
      <c r="AN30" s="17"/>
      <c r="AO30" s="17"/>
      <c r="AP30" s="17"/>
      <c r="AQ30" s="17"/>
      <c r="AR30" s="17"/>
      <c r="AS30" s="17"/>
      <c r="AT30" s="17"/>
      <c r="AU30" s="17"/>
      <c r="AV30" s="17"/>
      <c r="AW30" s="17"/>
      <c r="AX30" s="17"/>
      <c r="AY30" s="17"/>
      <c r="AZ30" s="17"/>
      <c r="BA30" s="17"/>
      <c r="BB30" s="17"/>
    </row>
    <row r="31" spans="1:58" s="27" customFormat="1" ht="58" x14ac:dyDescent="0.3">
      <c r="A31" s="355"/>
      <c r="B31" s="1511" t="s">
        <v>899</v>
      </c>
      <c r="C31" s="1513"/>
      <c r="D31" s="1511" t="s">
        <v>900</v>
      </c>
      <c r="E31" s="1511"/>
      <c r="F31" s="1511" t="s">
        <v>901</v>
      </c>
      <c r="G31" s="1511" t="s">
        <v>902</v>
      </c>
      <c r="H31" s="1511" t="s">
        <v>903</v>
      </c>
      <c r="I31" s="1511" t="s">
        <v>904</v>
      </c>
      <c r="J31" s="1511"/>
      <c r="K31" s="1511"/>
      <c r="L31" s="1511"/>
      <c r="M31" s="1511"/>
      <c r="N31" s="1511" t="s">
        <v>903</v>
      </c>
      <c r="O31" s="137"/>
      <c r="P31" s="1511" t="s">
        <v>905</v>
      </c>
      <c r="Q31" s="1511" t="s">
        <v>57</v>
      </c>
      <c r="R31" s="1506" t="s">
        <v>208</v>
      </c>
      <c r="S31" s="390" t="s">
        <v>277</v>
      </c>
      <c r="T31" s="137"/>
      <c r="U31" s="1033" t="s">
        <v>899</v>
      </c>
      <c r="V31" s="1149"/>
      <c r="W31" s="1033" t="s">
        <v>900</v>
      </c>
      <c r="X31" s="1033"/>
      <c r="Y31" s="1033" t="s">
        <v>901</v>
      </c>
      <c r="Z31" s="1033" t="s">
        <v>902</v>
      </c>
      <c r="AA31" s="1033" t="s">
        <v>903</v>
      </c>
      <c r="AB31" s="1033" t="s">
        <v>904</v>
      </c>
      <c r="AC31" s="1033"/>
      <c r="AD31" s="1033"/>
      <c r="AE31" s="1033"/>
      <c r="AF31" s="1033"/>
      <c r="AG31" s="1033" t="s">
        <v>903</v>
      </c>
      <c r="AH31" s="17"/>
      <c r="AI31" s="1033" t="s">
        <v>905</v>
      </c>
      <c r="AJ31" s="1033" t="s">
        <v>57</v>
      </c>
      <c r="AK31" s="1507" t="s">
        <v>208</v>
      </c>
      <c r="AL31" s="390" t="s">
        <v>277</v>
      </c>
      <c r="AM31" s="17"/>
      <c r="AN31" s="17"/>
      <c r="AO31" s="17"/>
      <c r="AP31" s="17"/>
      <c r="AQ31" s="17"/>
      <c r="AR31" s="17"/>
      <c r="AS31" s="17"/>
      <c r="AT31" s="17"/>
      <c r="AU31" s="17"/>
      <c r="AV31" s="17"/>
      <c r="AW31" s="17"/>
      <c r="AX31" s="17"/>
      <c r="AY31" s="17"/>
      <c r="AZ31" s="17"/>
      <c r="BA31" s="17"/>
      <c r="BB31" s="17"/>
      <c r="BC31" s="17"/>
      <c r="BD31" s="17"/>
      <c r="BE31" s="17"/>
      <c r="BF31" s="17"/>
    </row>
    <row r="32" spans="1:58" s="184" customFormat="1" ht="13" x14ac:dyDescent="0.3">
      <c r="A32" s="356"/>
      <c r="B32" s="356"/>
      <c r="C32" s="1514"/>
      <c r="D32" s="356"/>
      <c r="E32" s="356"/>
      <c r="F32" s="356"/>
      <c r="G32" s="321"/>
      <c r="H32" s="321"/>
      <c r="I32" s="143"/>
      <c r="J32" s="143"/>
      <c r="K32" s="143"/>
      <c r="L32" s="356"/>
      <c r="M32" s="356"/>
      <c r="N32" s="225"/>
      <c r="O32" s="137"/>
      <c r="P32" s="224"/>
      <c r="Q32" s="225"/>
      <c r="R32" s="143"/>
      <c r="S32" s="155"/>
      <c r="T32" s="137"/>
      <c r="U32" s="356"/>
      <c r="V32" s="1514"/>
      <c r="W32" s="356"/>
      <c r="X32" s="224"/>
      <c r="Y32" s="356"/>
      <c r="Z32" s="321"/>
      <c r="AA32" s="321"/>
      <c r="AB32" s="143"/>
      <c r="AC32" s="143"/>
      <c r="AD32" s="143"/>
      <c r="AE32" s="143"/>
      <c r="AF32" s="143"/>
      <c r="AG32" s="225"/>
      <c r="AH32" s="3"/>
      <c r="AI32" s="224"/>
      <c r="AJ32" s="225"/>
      <c r="AK32" s="143"/>
      <c r="AL32" s="155"/>
      <c r="AM32" s="3"/>
      <c r="AN32" s="3"/>
      <c r="AO32" s="3"/>
      <c r="AP32" s="3"/>
      <c r="AQ32" s="3"/>
      <c r="AR32" s="3"/>
      <c r="AS32" s="3"/>
      <c r="AT32" s="3"/>
      <c r="AU32" s="3"/>
      <c r="AV32" s="3"/>
      <c r="AW32" s="3"/>
      <c r="AX32" s="3"/>
      <c r="AY32" s="3"/>
      <c r="AZ32" s="3"/>
      <c r="BA32" s="3"/>
      <c r="BB32" s="3"/>
      <c r="BC32" s="3"/>
      <c r="BD32" s="3"/>
      <c r="BE32" s="3"/>
      <c r="BF32" s="3"/>
    </row>
    <row r="33" spans="1:58" s="184" customFormat="1" ht="17.149999999999999" customHeight="1" x14ac:dyDescent="0.3">
      <c r="A33" s="1038" t="s">
        <v>906</v>
      </c>
      <c r="B33" s="1039">
        <f>SUM(B34:B35)</f>
        <v>25280025</v>
      </c>
      <c r="C33" s="1040"/>
      <c r="D33" s="1039"/>
      <c r="E33" s="1039"/>
      <c r="F33" s="1039">
        <f t="shared" ref="F33:N33" si="3">SUM(F34:F35)</f>
        <v>0</v>
      </c>
      <c r="G33" s="1039">
        <f t="shared" si="3"/>
        <v>0</v>
      </c>
      <c r="H33" s="1039">
        <f t="shared" si="3"/>
        <v>0</v>
      </c>
      <c r="I33" s="1039">
        <f t="shared" si="3"/>
        <v>25280025</v>
      </c>
      <c r="J33" s="1039"/>
      <c r="K33" s="1039"/>
      <c r="L33" s="1039"/>
      <c r="M33" s="1039"/>
      <c r="N33" s="1039">
        <f t="shared" si="3"/>
        <v>25280025</v>
      </c>
      <c r="O33" s="137"/>
      <c r="P33" s="1039">
        <f>SUM(P34:P35)</f>
        <v>0</v>
      </c>
      <c r="Q33" s="1039">
        <f>SUM(Q34:Q35)</f>
        <v>25280025</v>
      </c>
      <c r="R33" s="1039">
        <f>SUM(R34:R35)</f>
        <v>25280025</v>
      </c>
      <c r="S33" s="1518">
        <f>SUM(S34:S35)</f>
        <v>0</v>
      </c>
      <c r="T33" s="137"/>
      <c r="U33" s="1041">
        <f>SUM(U34:U35)</f>
        <v>108520250</v>
      </c>
      <c r="V33" s="1041"/>
      <c r="W33" s="1041"/>
      <c r="X33" s="1041"/>
      <c r="Y33" s="1041">
        <f>SUM(Y34:Y35)</f>
        <v>0</v>
      </c>
      <c r="Z33" s="1041">
        <f>SUM(Z34:Z35)</f>
        <v>0</v>
      </c>
      <c r="AA33" s="1041">
        <f>SUM(AA34:AA35)</f>
        <v>0</v>
      </c>
      <c r="AB33" s="1042">
        <f>SUM(AB34:AB35)</f>
        <v>108520250</v>
      </c>
      <c r="AC33" s="1042"/>
      <c r="AD33" s="1042"/>
      <c r="AE33" s="1042"/>
      <c r="AF33" s="1042"/>
      <c r="AG33" s="1042">
        <f>SUM(AG34:AG35)</f>
        <v>108520250</v>
      </c>
      <c r="AH33" s="3"/>
      <c r="AI33" s="1041">
        <f>SUM(AI34:AI35)</f>
        <v>0</v>
      </c>
      <c r="AJ33" s="1041">
        <f>SUM(AJ34:AJ35)</f>
        <v>108520250</v>
      </c>
      <c r="AK33" s="1041">
        <f>SUM(AK34:AK35)</f>
        <v>108520250</v>
      </c>
      <c r="AL33" s="1518">
        <f>SUM(AL34:AL35)</f>
        <v>0</v>
      </c>
      <c r="AM33" s="3"/>
      <c r="AN33" s="3"/>
      <c r="AO33" s="3"/>
      <c r="AP33" s="3"/>
      <c r="AQ33" s="3"/>
      <c r="AR33" s="3"/>
      <c r="AS33" s="3"/>
      <c r="AT33" s="3"/>
      <c r="AU33" s="3"/>
      <c r="AV33" s="3"/>
      <c r="AW33" s="3"/>
      <c r="AX33" s="3"/>
      <c r="AY33" s="3"/>
      <c r="AZ33" s="3"/>
      <c r="BA33" s="3"/>
      <c r="BB33" s="3"/>
      <c r="BC33" s="3"/>
      <c r="BD33" s="3"/>
    </row>
    <row r="34" spans="1:58" s="1045" customFormat="1" ht="17.149999999999999" customHeight="1" x14ac:dyDescent="0.3">
      <c r="A34" s="155" t="s">
        <v>814</v>
      </c>
      <c r="B34" s="1522">
        <f>'Capture volumes'!E92+'Capture volumes'!E105</f>
        <v>14973850</v>
      </c>
      <c r="C34" s="1020"/>
      <c r="D34" s="956">
        <f>'User interface_RES'!K33</f>
        <v>0</v>
      </c>
      <c r="E34" s="1522"/>
      <c r="F34" s="1522">
        <f>ROUND((B34*D34)/25,0)*25</f>
        <v>0</v>
      </c>
      <c r="G34" s="1522">
        <f>ROUND((F34*'User interface_RES'!M74)/25,0)*25</f>
        <v>0</v>
      </c>
      <c r="H34" s="1522">
        <f>F34-G34</f>
        <v>0</v>
      </c>
      <c r="I34" s="1522">
        <f>B34-F34</f>
        <v>14973850</v>
      </c>
      <c r="J34" s="999"/>
      <c r="K34" s="1522"/>
      <c r="L34" s="1522"/>
      <c r="M34" s="1522"/>
      <c r="N34" s="1522">
        <f>I34</f>
        <v>14973850</v>
      </c>
      <c r="O34" s="954"/>
      <c r="P34" s="1020"/>
      <c r="Q34" s="1020">
        <f>G34+H34+N34</f>
        <v>14973850</v>
      </c>
      <c r="R34" s="368">
        <f>SUM(P34:Q34)</f>
        <v>14973850</v>
      </c>
      <c r="S34" s="1518">
        <f>B34-R34</f>
        <v>0</v>
      </c>
      <c r="T34" s="954"/>
      <c r="U34" s="1522">
        <f>'Capture volumes'!F92+'Capture volumes'!F105</f>
        <v>75129400</v>
      </c>
      <c r="V34" s="1020"/>
      <c r="W34" s="956">
        <f>'User interface_RES'!K55</f>
        <v>0</v>
      </c>
      <c r="X34" s="1522"/>
      <c r="Y34" s="1522">
        <f>ROUND((U34*W34)/25,0)*25</f>
        <v>0</v>
      </c>
      <c r="Z34" s="1522">
        <f>ROUND((Y34*'User interface_RES'!M74)/25,0)*25</f>
        <v>0</v>
      </c>
      <c r="AA34" s="1522">
        <f>Y34-Z34</f>
        <v>0</v>
      </c>
      <c r="AB34" s="1522">
        <f>U34-Y34</f>
        <v>75129400</v>
      </c>
      <c r="AC34" s="999"/>
      <c r="AD34" s="1522"/>
      <c r="AE34" s="1522"/>
      <c r="AF34" s="1522"/>
      <c r="AG34" s="1522">
        <f>AB34</f>
        <v>75129400</v>
      </c>
      <c r="AH34" s="954"/>
      <c r="AI34" s="1020"/>
      <c r="AJ34" s="1020">
        <f>Z34+AA34+AG34</f>
        <v>75129400</v>
      </c>
      <c r="AK34" s="368">
        <f>SUM(AI34:AJ34)</f>
        <v>75129400</v>
      </c>
      <c r="AL34" s="1518">
        <f>U34-AK34</f>
        <v>0</v>
      </c>
      <c r="AM34" s="60"/>
      <c r="AN34" s="60"/>
      <c r="AO34" s="60"/>
      <c r="AP34" s="60"/>
      <c r="AQ34" s="60"/>
      <c r="AR34" s="60"/>
      <c r="AS34" s="60"/>
      <c r="AT34" s="60"/>
      <c r="AU34" s="60"/>
      <c r="AV34" s="60"/>
      <c r="AW34" s="60"/>
      <c r="AX34" s="60"/>
      <c r="AY34" s="60"/>
      <c r="AZ34" s="60"/>
      <c r="BA34" s="60"/>
      <c r="BB34" s="60"/>
      <c r="BC34" s="60"/>
      <c r="BD34" s="60"/>
    </row>
    <row r="35" spans="1:58" s="1045" customFormat="1" ht="17.149999999999999" customHeight="1" x14ac:dyDescent="0.3">
      <c r="A35" s="155" t="s">
        <v>815</v>
      </c>
      <c r="B35" s="1522">
        <f>'Capture volumes'!E93+'Capture volumes'!E106</f>
        <v>10306175</v>
      </c>
      <c r="C35" s="1020"/>
      <c r="D35" s="956">
        <f>D34</f>
        <v>0</v>
      </c>
      <c r="E35" s="1522"/>
      <c r="F35" s="1522">
        <f>ROUND((B35*D35)/25,0)*25</f>
        <v>0</v>
      </c>
      <c r="G35" s="1522">
        <f>ROUND((F35*'User interface_RES'!M75)/25,0)*25</f>
        <v>0</v>
      </c>
      <c r="H35" s="1522">
        <f>F35-G35</f>
        <v>0</v>
      </c>
      <c r="I35" s="1522">
        <f>B35-F35</f>
        <v>10306175</v>
      </c>
      <c r="J35" s="999"/>
      <c r="K35" s="1522"/>
      <c r="L35" s="1522"/>
      <c r="M35" s="1522"/>
      <c r="N35" s="1522">
        <f>I35</f>
        <v>10306175</v>
      </c>
      <c r="O35" s="954"/>
      <c r="P35" s="1020"/>
      <c r="Q35" s="1020">
        <f>G35+H35+N35</f>
        <v>10306175</v>
      </c>
      <c r="R35" s="368">
        <f>SUM(P35:Q35)</f>
        <v>10306175</v>
      </c>
      <c r="S35" s="1518">
        <f>B35-R35</f>
        <v>0</v>
      </c>
      <c r="T35" s="954"/>
      <c r="U35" s="1522">
        <f>'Capture volumes'!F93+'Capture volumes'!F106</f>
        <v>33390850</v>
      </c>
      <c r="V35" s="1020"/>
      <c r="W35" s="956">
        <f>W34</f>
        <v>0</v>
      </c>
      <c r="X35" s="1522"/>
      <c r="Y35" s="1522">
        <f>ROUND((U35*W35)/25,0)*25</f>
        <v>0</v>
      </c>
      <c r="Z35" s="1522">
        <f>ROUND((Y35*'User interface_RES'!M75)/25,0)*25</f>
        <v>0</v>
      </c>
      <c r="AA35" s="1522">
        <f>Y35-Z35</f>
        <v>0</v>
      </c>
      <c r="AB35" s="1522">
        <f>U35-Y35</f>
        <v>33390850</v>
      </c>
      <c r="AC35" s="999"/>
      <c r="AD35" s="1522"/>
      <c r="AE35" s="1522"/>
      <c r="AF35" s="1522"/>
      <c r="AG35" s="1522">
        <f>AB35</f>
        <v>33390850</v>
      </c>
      <c r="AH35" s="954"/>
      <c r="AI35" s="1020"/>
      <c r="AJ35" s="1020">
        <f>Z35+AA35+AG35</f>
        <v>33390850</v>
      </c>
      <c r="AK35" s="368">
        <f>SUM(AI35:AJ35)</f>
        <v>33390850</v>
      </c>
      <c r="AL35" s="1518">
        <f>U35-AK35</f>
        <v>0</v>
      </c>
      <c r="AM35" s="60"/>
      <c r="AN35" s="60"/>
      <c r="AO35" s="60"/>
      <c r="AP35" s="60"/>
      <c r="AQ35" s="60"/>
      <c r="AR35" s="60"/>
      <c r="AS35" s="60"/>
      <c r="AT35" s="60"/>
      <c r="AU35" s="60"/>
      <c r="AV35" s="60"/>
      <c r="AW35" s="60"/>
      <c r="AX35" s="60"/>
      <c r="AY35" s="60"/>
      <c r="AZ35" s="60"/>
      <c r="BA35" s="60"/>
      <c r="BB35" s="60"/>
      <c r="BC35" s="60"/>
      <c r="BD35" s="60"/>
    </row>
    <row r="36" spans="1:58" s="27" customFormat="1" ht="17.149999999999999" customHeight="1" x14ac:dyDescent="0.3">
      <c r="A36" s="1036" t="s">
        <v>361</v>
      </c>
      <c r="B36" s="1037">
        <f>B33</f>
        <v>25280025</v>
      </c>
      <c r="C36" s="1037"/>
      <c r="D36" s="1037"/>
      <c r="E36" s="1037"/>
      <c r="F36" s="1037">
        <f>F33</f>
        <v>0</v>
      </c>
      <c r="G36" s="1037">
        <f>G33</f>
        <v>0</v>
      </c>
      <c r="H36" s="1037">
        <f>H33</f>
        <v>0</v>
      </c>
      <c r="I36" s="1037">
        <f>I33</f>
        <v>25280025</v>
      </c>
      <c r="J36" s="1037"/>
      <c r="K36" s="1037"/>
      <c r="L36" s="1037"/>
      <c r="M36" s="1037"/>
      <c r="N36" s="1037">
        <f>N33</f>
        <v>25280025</v>
      </c>
      <c r="O36" s="137"/>
      <c r="P36" s="1037">
        <f>P33</f>
        <v>0</v>
      </c>
      <c r="Q36" s="1037">
        <f>Q33</f>
        <v>25280025</v>
      </c>
      <c r="R36" s="1037">
        <f>R33</f>
        <v>25280025</v>
      </c>
      <c r="S36" s="1518">
        <f>B36-R36</f>
        <v>0</v>
      </c>
      <c r="T36" s="137"/>
      <c r="U36" s="1034">
        <f>U33</f>
        <v>108520250</v>
      </c>
      <c r="V36" s="1034"/>
      <c r="W36" s="1034"/>
      <c r="X36" s="1034"/>
      <c r="Y36" s="1034">
        <f t="shared" ref="Y36:AK36" si="4">Y33</f>
        <v>0</v>
      </c>
      <c r="Z36" s="1034">
        <f t="shared" si="4"/>
        <v>0</v>
      </c>
      <c r="AA36" s="1034">
        <f t="shared" si="4"/>
        <v>0</v>
      </c>
      <c r="AB36" s="1034">
        <f t="shared" si="4"/>
        <v>108520250</v>
      </c>
      <c r="AC36" s="1034"/>
      <c r="AD36" s="1034"/>
      <c r="AE36" s="1034"/>
      <c r="AF36" s="1034"/>
      <c r="AG36" s="1034">
        <f t="shared" si="4"/>
        <v>108520250</v>
      </c>
      <c r="AH36" s="12"/>
      <c r="AI36" s="1034">
        <f t="shared" si="4"/>
        <v>0</v>
      </c>
      <c r="AJ36" s="1034">
        <f t="shared" si="4"/>
        <v>108520250</v>
      </c>
      <c r="AK36" s="1034">
        <f t="shared" si="4"/>
        <v>108520250</v>
      </c>
      <c r="AL36" s="1518">
        <f>U36-AK36</f>
        <v>0</v>
      </c>
      <c r="AM36" s="12"/>
      <c r="AN36" s="12"/>
      <c r="AO36" s="12"/>
      <c r="AP36" s="12"/>
      <c r="AQ36" s="12"/>
      <c r="AR36" s="12"/>
      <c r="AS36" s="12"/>
      <c r="AT36" s="12"/>
      <c r="AU36" s="12"/>
      <c r="AV36" s="12"/>
      <c r="AW36" s="12"/>
      <c r="AX36" s="12"/>
      <c r="AY36" s="12"/>
      <c r="AZ36" s="12"/>
      <c r="BA36" s="12"/>
      <c r="BB36" s="12"/>
      <c r="BC36" s="12"/>
      <c r="BD36" s="12"/>
    </row>
    <row r="37" spans="1:58" s="184" customFormat="1" ht="17.149999999999999" customHeight="1" x14ac:dyDescent="0.3">
      <c r="A37" s="122"/>
      <c r="B37" s="172">
        <f>IF(B36=0,0,B36/B36)</f>
        <v>1</v>
      </c>
      <c r="C37" s="370"/>
      <c r="D37" s="172"/>
      <c r="E37" s="172"/>
      <c r="F37" s="172">
        <f>IF(B36=0,0,F36/B36)</f>
        <v>0</v>
      </c>
      <c r="G37" s="172"/>
      <c r="H37" s="172"/>
      <c r="I37" s="172">
        <f>IF(B36=0,0,I36/B36)</f>
        <v>1</v>
      </c>
      <c r="J37" s="172"/>
      <c r="K37" s="172"/>
      <c r="L37" s="172"/>
      <c r="M37" s="143"/>
      <c r="N37" s="143"/>
      <c r="O37" s="3"/>
      <c r="P37" s="172">
        <f>IF(B36=0,0,P36/B36)</f>
        <v>0</v>
      </c>
      <c r="Q37" s="370">
        <f>IF(B36=0,0,Q36/B36)</f>
        <v>1</v>
      </c>
      <c r="R37" s="370">
        <f>IF(B36=0,0,R36/B36)</f>
        <v>1</v>
      </c>
      <c r="S37" s="391"/>
      <c r="T37" s="137"/>
      <c r="U37" s="172">
        <f>IF(U36=0,0,U36/U36)</f>
        <v>1</v>
      </c>
      <c r="V37" s="370"/>
      <c r="W37" s="172"/>
      <c r="X37" s="172"/>
      <c r="Y37" s="172">
        <f>IF(U36=0,0,Y36/U36)</f>
        <v>0</v>
      </c>
      <c r="Z37" s="172"/>
      <c r="AA37" s="172"/>
      <c r="AB37" s="172">
        <f>IF(U36=0,0,AB36/U36)</f>
        <v>1</v>
      </c>
      <c r="AC37" s="172"/>
      <c r="AD37" s="172"/>
      <c r="AE37" s="172"/>
      <c r="AF37" s="143"/>
      <c r="AG37" s="143"/>
      <c r="AH37" s="3"/>
      <c r="AI37" s="172">
        <f>IF(U36=0,0,AI36/U36)</f>
        <v>0</v>
      </c>
      <c r="AJ37" s="370">
        <f>IF(U36=0,0,AJ36/U36)</f>
        <v>1</v>
      </c>
      <c r="AK37" s="370">
        <f>IF(U36=0,0,AK36/U36)</f>
        <v>1</v>
      </c>
      <c r="AL37" s="391"/>
      <c r="AM37" s="3"/>
      <c r="AN37" s="3"/>
      <c r="AO37" s="3"/>
      <c r="AP37" s="3"/>
      <c r="AQ37" s="3"/>
      <c r="AR37" s="3"/>
      <c r="AS37" s="3"/>
      <c r="AT37" s="3"/>
      <c r="AU37" s="3"/>
      <c r="AV37" s="3"/>
      <c r="AW37" s="3"/>
      <c r="AX37" s="3"/>
      <c r="AY37" s="3"/>
      <c r="AZ37" s="3"/>
      <c r="BA37" s="3"/>
      <c r="BB37" s="3"/>
      <c r="BC37" s="3"/>
      <c r="BD37" s="3"/>
      <c r="BE37" s="3"/>
    </row>
    <row r="38" spans="1:58" s="184" customFormat="1" ht="17.149999999999999" customHeight="1" x14ac:dyDescent="0.3">
      <c r="A38" s="122"/>
      <c r="F38" s="454">
        <f>IF(F36=0,0,F36/F36)</f>
        <v>0</v>
      </c>
      <c r="G38" s="172">
        <f>IF(F36=0,0,G36/F36)</f>
        <v>0</v>
      </c>
      <c r="H38" s="172">
        <f>IF(F36=0,0,H36/F36)</f>
        <v>0</v>
      </c>
      <c r="I38" s="3"/>
      <c r="J38" s="3"/>
      <c r="K38" s="3"/>
      <c r="L38" s="3"/>
      <c r="M38" s="3"/>
      <c r="N38" s="3"/>
      <c r="O38" s="3"/>
      <c r="T38" s="137"/>
      <c r="Y38" s="454">
        <f>IF(Y36=0,0,Y36/Y36)</f>
        <v>0</v>
      </c>
      <c r="Z38" s="172">
        <f>IF(Y36=0,0,Z36/Y36)</f>
        <v>0</v>
      </c>
      <c r="AA38" s="454">
        <f>IF(Y36=0,0,AA36/Y36)</f>
        <v>0</v>
      </c>
      <c r="AB38" s="3"/>
      <c r="AC38" s="3"/>
      <c r="AD38" s="3"/>
      <c r="AE38" s="3"/>
      <c r="AF38" s="3"/>
      <c r="AG38" s="3"/>
      <c r="AH38" s="3"/>
      <c r="AL38" s="3"/>
      <c r="AM38" s="3"/>
      <c r="AN38" s="3"/>
      <c r="AO38" s="3"/>
      <c r="AP38" s="3"/>
      <c r="AQ38" s="3"/>
      <c r="AR38" s="3"/>
      <c r="AS38" s="3"/>
      <c r="AT38" s="3"/>
      <c r="AU38" s="3"/>
      <c r="AV38" s="3"/>
      <c r="AW38" s="3"/>
      <c r="AX38" s="3"/>
      <c r="AY38" s="3"/>
      <c r="AZ38" s="3"/>
      <c r="BA38" s="3"/>
      <c r="BB38" s="3"/>
    </row>
    <row r="39" spans="1:58" s="27" customFormat="1" ht="17.149999999999999" customHeight="1" x14ac:dyDescent="0.35">
      <c r="A39" s="120"/>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row>
    <row r="40" spans="1:58" s="27" customFormat="1" ht="17.149999999999999" customHeight="1" x14ac:dyDescent="0.35">
      <c r="A40" s="120"/>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row>
    <row r="41" spans="1:58" s="140" customFormat="1" ht="17.149999999999999" customHeight="1" x14ac:dyDescent="0.35">
      <c r="A41" s="949" t="s">
        <v>907</v>
      </c>
      <c r="B41" s="1776" t="s">
        <v>9</v>
      </c>
      <c r="C41" s="1776"/>
      <c r="D41" s="1776"/>
      <c r="E41" s="1776"/>
      <c r="F41" s="1776"/>
      <c r="G41" s="1776"/>
      <c r="H41" s="1776"/>
      <c r="I41" s="1776"/>
      <c r="J41" s="1776"/>
      <c r="K41" s="1776"/>
      <c r="L41" s="1776"/>
      <c r="M41" s="1776"/>
      <c r="N41" s="1776"/>
      <c r="O41" s="17"/>
      <c r="P41" s="1777" t="s">
        <v>9</v>
      </c>
      <c r="Q41" s="1777"/>
      <c r="R41" s="1777"/>
      <c r="S41" s="115"/>
      <c r="T41" s="115"/>
      <c r="U41" s="1778" t="s">
        <v>253</v>
      </c>
      <c r="V41" s="1778"/>
      <c r="W41" s="1778"/>
      <c r="X41" s="1778"/>
      <c r="Y41" s="1778"/>
      <c r="Z41" s="1778"/>
      <c r="AA41" s="1778"/>
      <c r="AB41" s="1778"/>
      <c r="AC41" s="1778"/>
      <c r="AD41" s="1778"/>
      <c r="AE41" s="1778"/>
      <c r="AF41" s="1778"/>
      <c r="AG41" s="1778"/>
      <c r="AH41" s="115"/>
      <c r="AI41" s="1779" t="s">
        <v>253</v>
      </c>
      <c r="AJ41" s="1779"/>
      <c r="AK41" s="1779"/>
      <c r="AL41" s="115"/>
      <c r="AM41" s="115"/>
      <c r="AN41" s="115"/>
      <c r="AO41" s="115"/>
      <c r="AP41" s="115"/>
      <c r="AQ41" s="115"/>
      <c r="AR41" s="115"/>
      <c r="AS41" s="115"/>
      <c r="AT41" s="115"/>
      <c r="AU41" s="115"/>
      <c r="AV41" s="115"/>
      <c r="AW41" s="115"/>
      <c r="AX41" s="115"/>
      <c r="AY41" s="115"/>
      <c r="AZ41" s="115"/>
      <c r="BA41" s="115"/>
      <c r="BB41" s="115"/>
    </row>
    <row r="42" spans="1:58" s="27" customFormat="1" ht="17.149999999999999" customHeight="1" x14ac:dyDescent="0.35">
      <c r="A42" s="371"/>
      <c r="F42" s="17"/>
      <c r="G42" s="17"/>
      <c r="H42" s="17"/>
      <c r="I42" s="17"/>
      <c r="J42" s="17"/>
      <c r="K42" s="17"/>
      <c r="L42" s="17"/>
      <c r="M42" s="17"/>
      <c r="N42" s="17"/>
      <c r="O42" s="17"/>
      <c r="P42" s="17"/>
      <c r="Q42" s="17"/>
      <c r="R42" s="115"/>
      <c r="S42" s="115"/>
      <c r="T42" s="17"/>
      <c r="W42" s="17"/>
      <c r="X42" s="17"/>
      <c r="Y42" s="95"/>
      <c r="Z42" s="10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row>
    <row r="43" spans="1:58" s="27" customFormat="1" ht="17.149999999999999" customHeight="1" x14ac:dyDescent="0.35">
      <c r="A43" s="191"/>
      <c r="B43" s="166"/>
      <c r="C43" s="1780" t="s">
        <v>908</v>
      </c>
      <c r="D43" s="1780"/>
      <c r="E43" s="1780"/>
      <c r="F43" s="1780"/>
      <c r="G43" s="1780"/>
      <c r="H43" s="1780"/>
      <c r="I43" s="1781" t="s">
        <v>909</v>
      </c>
      <c r="J43" s="1782"/>
      <c r="K43" s="1782"/>
      <c r="L43" s="1782"/>
      <c r="M43" s="1782"/>
      <c r="N43" s="1783"/>
      <c r="O43" s="17"/>
      <c r="P43" s="1784" t="s">
        <v>898</v>
      </c>
      <c r="Q43" s="1784"/>
      <c r="R43" s="1784"/>
      <c r="S43" s="309"/>
      <c r="T43" s="17"/>
      <c r="U43" s="1794" t="s">
        <v>908</v>
      </c>
      <c r="V43" s="1794"/>
      <c r="W43" s="1794"/>
      <c r="X43" s="1794"/>
      <c r="Y43" s="1794"/>
      <c r="Z43" s="1794"/>
      <c r="AA43" s="1794"/>
      <c r="AB43" s="1794" t="s">
        <v>910</v>
      </c>
      <c r="AC43" s="1794"/>
      <c r="AD43" s="1794"/>
      <c r="AE43" s="1794"/>
      <c r="AF43" s="1794"/>
      <c r="AG43" s="1794"/>
      <c r="AH43" s="17"/>
      <c r="AI43" s="1789" t="s">
        <v>898</v>
      </c>
      <c r="AJ43" s="1789"/>
      <c r="AK43" s="1789"/>
      <c r="AL43" s="300"/>
      <c r="AM43" s="17"/>
      <c r="AN43" s="17"/>
      <c r="AO43" s="17"/>
      <c r="AP43" s="17"/>
      <c r="AQ43" s="17"/>
      <c r="AR43" s="17"/>
      <c r="AS43" s="17"/>
      <c r="AT43" s="17"/>
      <c r="AU43" s="17"/>
      <c r="AV43" s="17"/>
      <c r="AW43" s="17"/>
      <c r="AX43" s="17"/>
      <c r="AY43" s="17"/>
      <c r="AZ43" s="17"/>
      <c r="BA43" s="17"/>
      <c r="BB43" s="17"/>
    </row>
    <row r="44" spans="1:58" s="27" customFormat="1" ht="58" x14ac:dyDescent="0.3">
      <c r="A44" s="355"/>
      <c r="B44" s="1511" t="s">
        <v>899</v>
      </c>
      <c r="C44" s="1513" t="s">
        <v>911</v>
      </c>
      <c r="D44" s="1511" t="s">
        <v>912</v>
      </c>
      <c r="E44" s="1511" t="s">
        <v>905</v>
      </c>
      <c r="F44" s="1511" t="s">
        <v>913</v>
      </c>
      <c r="G44" s="1511" t="s">
        <v>902</v>
      </c>
      <c r="H44" s="1511" t="s">
        <v>914</v>
      </c>
      <c r="I44" s="1511" t="s">
        <v>915</v>
      </c>
      <c r="J44" s="1511" t="s">
        <v>912</v>
      </c>
      <c r="K44" s="1511" t="s">
        <v>905</v>
      </c>
      <c r="L44" s="1511" t="s">
        <v>57</v>
      </c>
      <c r="M44" s="1511" t="s">
        <v>902</v>
      </c>
      <c r="N44" s="1511" t="s">
        <v>903</v>
      </c>
      <c r="O44" s="137"/>
      <c r="P44" s="1511" t="s">
        <v>905</v>
      </c>
      <c r="Q44" s="1511" t="s">
        <v>57</v>
      </c>
      <c r="R44" s="1506" t="s">
        <v>208</v>
      </c>
      <c r="S44" s="390" t="s">
        <v>277</v>
      </c>
      <c r="T44" s="137"/>
      <c r="U44" s="1033" t="s">
        <v>916</v>
      </c>
      <c r="V44" s="1033" t="s">
        <v>911</v>
      </c>
      <c r="W44" s="1033" t="s">
        <v>912</v>
      </c>
      <c r="X44" s="1033" t="s">
        <v>905</v>
      </c>
      <c r="Y44" s="1033" t="s">
        <v>57</v>
      </c>
      <c r="Z44" s="1033" t="s">
        <v>902</v>
      </c>
      <c r="AA44" s="1033" t="s">
        <v>917</v>
      </c>
      <c r="AB44" s="1033" t="s">
        <v>915</v>
      </c>
      <c r="AC44" s="1033" t="s">
        <v>912</v>
      </c>
      <c r="AD44" s="1033" t="s">
        <v>905</v>
      </c>
      <c r="AE44" s="1033" t="s">
        <v>57</v>
      </c>
      <c r="AF44" s="1033" t="s">
        <v>902</v>
      </c>
      <c r="AG44" s="1033" t="s">
        <v>903</v>
      </c>
      <c r="AH44" s="17"/>
      <c r="AI44" s="1033" t="s">
        <v>905</v>
      </c>
      <c r="AJ44" s="1033" t="s">
        <v>57</v>
      </c>
      <c r="AK44" s="1507" t="s">
        <v>208</v>
      </c>
      <c r="AL44" s="390" t="s">
        <v>277</v>
      </c>
      <c r="AM44" s="17"/>
      <c r="AN44" s="17"/>
      <c r="AO44" s="17"/>
      <c r="AP44" s="17"/>
      <c r="AQ44" s="17"/>
      <c r="AR44" s="17"/>
      <c r="AS44" s="17"/>
      <c r="AT44" s="17"/>
      <c r="AU44" s="17"/>
      <c r="AV44" s="17"/>
      <c r="AW44" s="17"/>
      <c r="AX44" s="17"/>
      <c r="AY44" s="17"/>
      <c r="AZ44" s="17"/>
      <c r="BA44" s="17"/>
      <c r="BB44" s="17"/>
      <c r="BC44" s="17"/>
      <c r="BD44" s="17"/>
      <c r="BE44" s="17"/>
      <c r="BF44" s="17"/>
    </row>
    <row r="45" spans="1:58" s="184" customFormat="1" ht="13" x14ac:dyDescent="0.3">
      <c r="A45" s="356"/>
      <c r="B45" s="356"/>
      <c r="C45" s="1514"/>
      <c r="D45" s="356"/>
      <c r="E45" s="224"/>
      <c r="F45" s="356"/>
      <c r="G45" s="321"/>
      <c r="H45" s="383"/>
      <c r="I45" s="143"/>
      <c r="J45" s="143"/>
      <c r="K45" s="224"/>
      <c r="L45" s="356"/>
      <c r="M45" s="225"/>
      <c r="N45" s="225"/>
      <c r="O45" s="137"/>
      <c r="P45" s="224"/>
      <c r="Q45" s="225"/>
      <c r="R45" s="143"/>
      <c r="S45" s="155"/>
      <c r="T45" s="137"/>
      <c r="U45" s="356"/>
      <c r="V45" s="1514"/>
      <c r="W45" s="356"/>
      <c r="X45" s="224"/>
      <c r="Y45" s="356"/>
      <c r="Z45" s="321"/>
      <c r="AA45" s="383"/>
      <c r="AB45" s="143"/>
      <c r="AC45" s="143"/>
      <c r="AD45" s="224"/>
      <c r="AE45" s="356"/>
      <c r="AF45" s="225"/>
      <c r="AG45" s="225"/>
      <c r="AH45" s="3"/>
      <c r="AI45" s="224"/>
      <c r="AJ45" s="225"/>
      <c r="AK45" s="143"/>
      <c r="AL45" s="155"/>
      <c r="AM45" s="3"/>
      <c r="AN45" s="3"/>
      <c r="AO45" s="3"/>
      <c r="AP45" s="3"/>
      <c r="AQ45" s="3"/>
      <c r="AR45" s="3"/>
      <c r="AS45" s="3"/>
      <c r="AT45" s="3"/>
      <c r="AU45" s="3"/>
      <c r="AV45" s="3"/>
      <c r="AW45" s="3"/>
      <c r="AX45" s="3"/>
      <c r="AY45" s="3"/>
      <c r="AZ45" s="3"/>
      <c r="BA45" s="3"/>
      <c r="BB45" s="3"/>
      <c r="BC45" s="3"/>
      <c r="BD45" s="3"/>
      <c r="BE45" s="3"/>
      <c r="BF45" s="3"/>
    </row>
    <row r="46" spans="1:58" s="184" customFormat="1" ht="17.149999999999999" customHeight="1" x14ac:dyDescent="0.3">
      <c r="A46" s="1038" t="s">
        <v>434</v>
      </c>
      <c r="B46" s="1039">
        <f>SUM(B47:B48)</f>
        <v>0</v>
      </c>
      <c r="C46" s="1040">
        <f>SUM(C47:C48)</f>
        <v>0</v>
      </c>
      <c r="D46" s="1039"/>
      <c r="E46" s="1039">
        <f>SUM(E47:E48)</f>
        <v>0</v>
      </c>
      <c r="F46" s="1039">
        <f>SUM(F47:F48)</f>
        <v>0</v>
      </c>
      <c r="G46" s="1039">
        <f>SUM(G47:G48)</f>
        <v>0</v>
      </c>
      <c r="H46" s="1039">
        <f>SUM(H47:H48)</f>
        <v>0</v>
      </c>
      <c r="I46" s="1039">
        <f t="shared" ref="I46:N46" si="5">SUM(I47:I48)</f>
        <v>0</v>
      </c>
      <c r="J46" s="1039">
        <f t="shared" si="5"/>
        <v>0</v>
      </c>
      <c r="K46" s="1039">
        <f t="shared" si="5"/>
        <v>0</v>
      </c>
      <c r="L46" s="1039">
        <f t="shared" si="5"/>
        <v>0</v>
      </c>
      <c r="M46" s="1039">
        <f t="shared" si="5"/>
        <v>0</v>
      </c>
      <c r="N46" s="1039">
        <f t="shared" si="5"/>
        <v>0</v>
      </c>
      <c r="O46" s="137"/>
      <c r="P46" s="1039">
        <f>SUM(P47:P48)</f>
        <v>0</v>
      </c>
      <c r="Q46" s="1039">
        <f>SUM(Q47:Q48)</f>
        <v>0</v>
      </c>
      <c r="R46" s="1039">
        <f>SUM(R47:R48)</f>
        <v>0</v>
      </c>
      <c r="S46" s="1518">
        <f>SUM(S47:S48)</f>
        <v>0</v>
      </c>
      <c r="T46" s="137"/>
      <c r="U46" s="1041">
        <f>SUM(U47:U48)</f>
        <v>0</v>
      </c>
      <c r="V46" s="1041">
        <f>SUM(V47:V48)</f>
        <v>0</v>
      </c>
      <c r="W46" s="1041"/>
      <c r="X46" s="1041">
        <f>SUM(X47:X48)</f>
        <v>0</v>
      </c>
      <c r="Y46" s="1041">
        <f>SUM(Y47:Y48)</f>
        <v>0</v>
      </c>
      <c r="Z46" s="1041">
        <f t="shared" ref="Z46:AG46" si="6">SUM(Z47:Z48)</f>
        <v>0</v>
      </c>
      <c r="AA46" s="1041">
        <f t="shared" si="6"/>
        <v>0</v>
      </c>
      <c r="AB46" s="1042">
        <f t="shared" si="6"/>
        <v>0</v>
      </c>
      <c r="AC46" s="1042"/>
      <c r="AD46" s="1042">
        <f t="shared" si="6"/>
        <v>0</v>
      </c>
      <c r="AE46" s="1042">
        <f t="shared" si="6"/>
        <v>0</v>
      </c>
      <c r="AF46" s="1042">
        <f t="shared" si="6"/>
        <v>0</v>
      </c>
      <c r="AG46" s="1042">
        <f t="shared" si="6"/>
        <v>0</v>
      </c>
      <c r="AH46" s="3"/>
      <c r="AI46" s="1041">
        <f>SUM(AI47:AI48)</f>
        <v>0</v>
      </c>
      <c r="AJ46" s="1041">
        <f>SUM(AJ47:AJ48)</f>
        <v>0</v>
      </c>
      <c r="AK46" s="1041">
        <f>SUM(AK47:AK48)</f>
        <v>0</v>
      </c>
      <c r="AL46" s="1518">
        <f>SUM(AL47:AL48)</f>
        <v>0</v>
      </c>
      <c r="AM46" s="3"/>
      <c r="AN46" s="3"/>
      <c r="AO46" s="3"/>
      <c r="AP46" s="3"/>
      <c r="AQ46" s="3"/>
      <c r="AR46" s="3"/>
      <c r="AS46" s="3"/>
      <c r="AT46" s="3"/>
      <c r="AU46" s="3"/>
      <c r="AV46" s="3"/>
      <c r="AW46" s="3"/>
      <c r="AX46" s="3"/>
      <c r="AY46" s="3"/>
      <c r="AZ46" s="3"/>
      <c r="BA46" s="3"/>
      <c r="BB46" s="3"/>
      <c r="BC46" s="3"/>
      <c r="BD46" s="3"/>
    </row>
    <row r="47" spans="1:58" s="1045" customFormat="1" ht="17.149999999999999" customHeight="1" x14ac:dyDescent="0.3">
      <c r="A47" s="155" t="s">
        <v>817</v>
      </c>
      <c r="B47" s="1522">
        <f>'Capture volumes'!E95</f>
        <v>0</v>
      </c>
      <c r="C47" s="1020">
        <v>0</v>
      </c>
      <c r="D47" s="956">
        <f>'User interface_RES'!L34</f>
        <v>0</v>
      </c>
      <c r="E47" s="1522">
        <f>ROUND((C47*D47)/25,0)*25</f>
        <v>0</v>
      </c>
      <c r="F47" s="1522">
        <f>C47-E47</f>
        <v>0</v>
      </c>
      <c r="G47" s="1522">
        <f>ROUND((F47*'User interface_RES'!M77)/25,0)*25</f>
        <v>0</v>
      </c>
      <c r="H47" s="1522">
        <f>F47-G47</f>
        <v>0</v>
      </c>
      <c r="I47" s="1522">
        <f>B47-C47</f>
        <v>0</v>
      </c>
      <c r="J47" s="999">
        <f>D47</f>
        <v>0</v>
      </c>
      <c r="K47" s="1522">
        <f>ROUND((I47*J47)/25,0)*25</f>
        <v>0</v>
      </c>
      <c r="L47" s="1522">
        <f>I47-K47</f>
        <v>0</v>
      </c>
      <c r="M47" s="1522">
        <f>ROUND((L47*'User interface_RES'!M77)/25,0)*25</f>
        <v>0</v>
      </c>
      <c r="N47" s="1522">
        <f>L47-M47</f>
        <v>0</v>
      </c>
      <c r="O47" s="954"/>
      <c r="P47" s="1020">
        <f>E47+H47+K47</f>
        <v>0</v>
      </c>
      <c r="Q47" s="1020">
        <f>G47+L47</f>
        <v>0</v>
      </c>
      <c r="R47" s="368">
        <f>SUM(P47:Q47)</f>
        <v>0</v>
      </c>
      <c r="S47" s="1518">
        <f>B47-R47</f>
        <v>0</v>
      </c>
      <c r="T47" s="954"/>
      <c r="U47" s="1522">
        <f>'Capture volumes'!F95</f>
        <v>0</v>
      </c>
      <c r="V47" s="1522">
        <v>0</v>
      </c>
      <c r="W47" s="999">
        <f>'User interface_RES'!L56</f>
        <v>0</v>
      </c>
      <c r="X47" s="1522">
        <f>ROUND((V47*W47)/25,0)*25</f>
        <v>0</v>
      </c>
      <c r="Y47" s="1522">
        <f>ROUND((V47-X47)/25,0)*25</f>
        <v>0</v>
      </c>
      <c r="Z47" s="1522">
        <f>ROUND((Y47*'User interface_RES'!M77)/25,0)*25</f>
        <v>0</v>
      </c>
      <c r="AA47" s="1522">
        <f>Y47-Z47</f>
        <v>0</v>
      </c>
      <c r="AB47" s="1020">
        <f>U47-V47</f>
        <v>0</v>
      </c>
      <c r="AC47" s="964">
        <f>W47</f>
        <v>0</v>
      </c>
      <c r="AD47" s="1020">
        <f>ROUND((AB47*AC47)/25,0)*25</f>
        <v>0</v>
      </c>
      <c r="AE47" s="1020">
        <f>ROUND((AB47-AD47)/25,0)*25</f>
        <v>0</v>
      </c>
      <c r="AF47" s="1020">
        <f>ROUND((AE47*'User interface_RES'!M77)/25,0)*25</f>
        <v>0</v>
      </c>
      <c r="AG47" s="1020">
        <f>AE47-AF47</f>
        <v>0</v>
      </c>
      <c r="AH47" s="60"/>
      <c r="AI47" s="1020">
        <f>X47+AA47+AD47</f>
        <v>0</v>
      </c>
      <c r="AJ47" s="1020">
        <f>Z47+AE47</f>
        <v>0</v>
      </c>
      <c r="AK47" s="1518">
        <f>SUM(AI47:AJ47)</f>
        <v>0</v>
      </c>
      <c r="AL47" s="1518">
        <f>U47-AK47</f>
        <v>0</v>
      </c>
      <c r="AM47" s="60"/>
      <c r="AN47" s="60"/>
      <c r="AO47" s="60"/>
      <c r="AP47" s="60"/>
      <c r="AQ47" s="60"/>
      <c r="AR47" s="60"/>
      <c r="AS47" s="60"/>
      <c r="AT47" s="60"/>
      <c r="AU47" s="60"/>
      <c r="AV47" s="60"/>
      <c r="AW47" s="60"/>
      <c r="AX47" s="60"/>
      <c r="AY47" s="60"/>
      <c r="AZ47" s="60"/>
      <c r="BA47" s="60"/>
      <c r="BB47" s="60"/>
      <c r="BC47" s="60"/>
      <c r="BD47" s="60"/>
    </row>
    <row r="48" spans="1:58" s="1045" customFormat="1" ht="17.149999999999999" customHeight="1" x14ac:dyDescent="0.3">
      <c r="A48" s="155" t="s">
        <v>820</v>
      </c>
      <c r="B48" s="1522">
        <f>'Capture volumes'!E96</f>
        <v>0</v>
      </c>
      <c r="C48" s="1020">
        <v>0</v>
      </c>
      <c r="D48" s="956">
        <f>'User interface_RES'!L34</f>
        <v>0</v>
      </c>
      <c r="E48" s="1522">
        <f>ROUND((C48*D48)/25,0)*25</f>
        <v>0</v>
      </c>
      <c r="F48" s="1522">
        <f>C48-E48</f>
        <v>0</v>
      </c>
      <c r="G48" s="1522">
        <f>ROUND((F48*'User interface_RES'!M78)/25,0)*25</f>
        <v>0</v>
      </c>
      <c r="H48" s="1522">
        <f>F48-G48</f>
        <v>0</v>
      </c>
      <c r="I48" s="1522">
        <f>B48-C48</f>
        <v>0</v>
      </c>
      <c r="J48" s="999">
        <f>D48</f>
        <v>0</v>
      </c>
      <c r="K48" s="1522">
        <f>ROUND((I48*J48)/25,0)*25</f>
        <v>0</v>
      </c>
      <c r="L48" s="1522">
        <f>I48-K48</f>
        <v>0</v>
      </c>
      <c r="M48" s="1522">
        <f>ROUND((L48*'User interface_RES'!M78)/25,0)*25</f>
        <v>0</v>
      </c>
      <c r="N48" s="1522">
        <f>L48-M48</f>
        <v>0</v>
      </c>
      <c r="O48" s="954"/>
      <c r="P48" s="1020">
        <f>E48+H48+K48</f>
        <v>0</v>
      </c>
      <c r="Q48" s="1020">
        <f>G48+L48</f>
        <v>0</v>
      </c>
      <c r="R48" s="368">
        <f t="shared" ref="R48:R54" si="7">SUM(P48:Q48)</f>
        <v>0</v>
      </c>
      <c r="S48" s="1518">
        <f t="shared" ref="S48:S55" si="8">B48-R48</f>
        <v>0</v>
      </c>
      <c r="T48" s="954"/>
      <c r="U48" s="1522">
        <f>'Capture volumes'!F96</f>
        <v>0</v>
      </c>
      <c r="V48" s="1522">
        <v>0</v>
      </c>
      <c r="W48" s="999">
        <f>'User interface_RES'!L56</f>
        <v>0</v>
      </c>
      <c r="X48" s="1522">
        <f>ROUND((V48*W48)/25,0)*25</f>
        <v>0</v>
      </c>
      <c r="Y48" s="1522">
        <f>ROUND((V48-X48)/25,0)*25</f>
        <v>0</v>
      </c>
      <c r="Z48" s="1522">
        <f>ROUND((Y48*'User interface_RES'!M78)/25,0)*25</f>
        <v>0</v>
      </c>
      <c r="AA48" s="1522">
        <f>Y48-Z48</f>
        <v>0</v>
      </c>
      <c r="AB48" s="1020">
        <f>U48-V48</f>
        <v>0</v>
      </c>
      <c r="AC48" s="964">
        <f>W48</f>
        <v>0</v>
      </c>
      <c r="AD48" s="1020">
        <f>ROUND((AB48*AC48)/25,0)*25</f>
        <v>0</v>
      </c>
      <c r="AE48" s="1020">
        <f>ROUND((AB48-AD48)/25,0)*25</f>
        <v>0</v>
      </c>
      <c r="AF48" s="1020">
        <f>ROUND((AE48*'User interface_RES'!M78)/25,0)*25</f>
        <v>0</v>
      </c>
      <c r="AG48" s="1020">
        <f>AE48-AF48</f>
        <v>0</v>
      </c>
      <c r="AH48" s="60"/>
      <c r="AI48" s="1020">
        <f>X48+AA48+AD48</f>
        <v>0</v>
      </c>
      <c r="AJ48" s="1020">
        <f>Z48+AE48</f>
        <v>0</v>
      </c>
      <c r="AK48" s="1518">
        <f>SUM(AI48:AJ48)</f>
        <v>0</v>
      </c>
      <c r="AL48" s="1518">
        <f>U48-AK48</f>
        <v>0</v>
      </c>
      <c r="AM48" s="60"/>
      <c r="AN48" s="60"/>
      <c r="AO48" s="60"/>
      <c r="AP48" s="60"/>
      <c r="AQ48" s="60"/>
      <c r="AR48" s="60"/>
      <c r="AS48" s="60"/>
      <c r="AT48" s="60"/>
      <c r="AU48" s="60"/>
      <c r="AV48" s="60"/>
      <c r="AW48" s="60"/>
      <c r="AX48" s="60"/>
      <c r="AY48" s="60"/>
      <c r="AZ48" s="60"/>
      <c r="BA48" s="60"/>
      <c r="BB48" s="60"/>
      <c r="BC48" s="60"/>
      <c r="BD48" s="60"/>
    </row>
    <row r="49" spans="1:58" s="184" customFormat="1" ht="17.149999999999999" customHeight="1" x14ac:dyDescent="0.3">
      <c r="A49" s="1038" t="s">
        <v>821</v>
      </c>
      <c r="B49" s="1039">
        <f>SUM(B50:B51)</f>
        <v>6871450</v>
      </c>
      <c r="C49" s="1040">
        <f>SUM(C50:C51)</f>
        <v>1030725</v>
      </c>
      <c r="D49" s="1039"/>
      <c r="E49" s="1039">
        <f>SUM(E50:E51)</f>
        <v>0</v>
      </c>
      <c r="F49" s="1039">
        <f>SUM(F50:F51)</f>
        <v>1030725</v>
      </c>
      <c r="G49" s="1039">
        <f>SUM(G50:G51)</f>
        <v>9350</v>
      </c>
      <c r="H49" s="1039">
        <f>SUM(H50:H51)</f>
        <v>1021375</v>
      </c>
      <c r="I49" s="1039">
        <f t="shared" ref="I49:S49" si="9">SUM(I50:I51)</f>
        <v>5840725</v>
      </c>
      <c r="J49" s="1039">
        <f t="shared" si="9"/>
        <v>0</v>
      </c>
      <c r="K49" s="1039">
        <f t="shared" si="9"/>
        <v>0</v>
      </c>
      <c r="L49" s="1039">
        <f t="shared" si="9"/>
        <v>5840725</v>
      </c>
      <c r="M49" s="1039">
        <f t="shared" si="9"/>
        <v>53000</v>
      </c>
      <c r="N49" s="1039">
        <f t="shared" si="9"/>
        <v>5787725</v>
      </c>
      <c r="O49" s="137"/>
      <c r="P49" s="1039">
        <f t="shared" si="9"/>
        <v>1021375</v>
      </c>
      <c r="Q49" s="1039">
        <f t="shared" si="9"/>
        <v>5850075</v>
      </c>
      <c r="R49" s="1039">
        <f t="shared" si="9"/>
        <v>6871450</v>
      </c>
      <c r="S49" s="1518">
        <f t="shared" si="9"/>
        <v>0</v>
      </c>
      <c r="T49" s="137"/>
      <c r="U49" s="1041">
        <f>SUM(U50:U51)</f>
        <v>5082275</v>
      </c>
      <c r="V49" s="1041">
        <f>SUM(V50:V51)</f>
        <v>0</v>
      </c>
      <c r="W49" s="1041"/>
      <c r="X49" s="1041">
        <f>SUM(X50:X51)</f>
        <v>0</v>
      </c>
      <c r="Y49" s="1041">
        <f>SUM(Y50:Y51)</f>
        <v>0</v>
      </c>
      <c r="Z49" s="1041">
        <f t="shared" ref="Z49:AG49" si="10">SUM(Z50:Z51)</f>
        <v>0</v>
      </c>
      <c r="AA49" s="1041">
        <f t="shared" si="10"/>
        <v>0</v>
      </c>
      <c r="AB49" s="1042">
        <f t="shared" si="10"/>
        <v>5082275</v>
      </c>
      <c r="AC49" s="1042"/>
      <c r="AD49" s="1042">
        <f t="shared" si="10"/>
        <v>0</v>
      </c>
      <c r="AE49" s="1042">
        <f t="shared" si="10"/>
        <v>5082275</v>
      </c>
      <c r="AF49" s="1042">
        <f t="shared" si="10"/>
        <v>40925</v>
      </c>
      <c r="AG49" s="1042">
        <f t="shared" si="10"/>
        <v>5041350</v>
      </c>
      <c r="AH49" s="3"/>
      <c r="AI49" s="1041">
        <f>SUM(AI50:AI51)</f>
        <v>0</v>
      </c>
      <c r="AJ49" s="1041">
        <f>SUM(AJ50:AJ51)</f>
        <v>5082275</v>
      </c>
      <c r="AK49" s="1041">
        <f>SUM(AK50:AK51)</f>
        <v>5082275</v>
      </c>
      <c r="AL49" s="1518">
        <f>SUM(AL50:AL51)</f>
        <v>0</v>
      </c>
      <c r="AM49" s="3"/>
      <c r="AN49" s="3"/>
      <c r="AO49" s="3"/>
      <c r="AP49" s="3"/>
      <c r="AQ49" s="3"/>
      <c r="AR49" s="3"/>
      <c r="AS49" s="3"/>
      <c r="AT49" s="3"/>
      <c r="AU49" s="3"/>
      <c r="AV49" s="3"/>
      <c r="AW49" s="3"/>
      <c r="AX49" s="3"/>
      <c r="AY49" s="3"/>
      <c r="AZ49" s="3"/>
      <c r="BA49" s="3"/>
      <c r="BB49" s="3"/>
      <c r="BC49" s="3"/>
      <c r="BD49" s="3"/>
    </row>
    <row r="50" spans="1:58" s="1045" customFormat="1" ht="17.149999999999999" customHeight="1" x14ac:dyDescent="0.3">
      <c r="A50" s="155" t="s">
        <v>822</v>
      </c>
      <c r="B50" s="1522">
        <f>'Capture volumes'!E98</f>
        <v>5609350</v>
      </c>
      <c r="C50" s="1020">
        <f>ROUND((B50*'User interface_RES'!$M$36)/25,0)*25</f>
        <v>841400</v>
      </c>
      <c r="D50" s="956">
        <f>'User interface_RES'!L36</f>
        <v>0</v>
      </c>
      <c r="E50" s="1522">
        <f>ROUND((C50*D50)/25,0)*25</f>
        <v>0</v>
      </c>
      <c r="F50" s="1522">
        <f>C50-E50</f>
        <v>841400</v>
      </c>
      <c r="G50" s="1522">
        <f>ROUND((F50*'User interface_RES'!M80)/25,0)*25</f>
        <v>4675</v>
      </c>
      <c r="H50" s="1522">
        <f>F50-G50</f>
        <v>836725</v>
      </c>
      <c r="I50" s="1522">
        <f>B50-C50</f>
        <v>4767950</v>
      </c>
      <c r="J50" s="999">
        <f>D50</f>
        <v>0</v>
      </c>
      <c r="K50" s="1522">
        <f>ROUND((I50*J50)/25,0)*25</f>
        <v>0</v>
      </c>
      <c r="L50" s="1522">
        <f>I50-K50</f>
        <v>4767950</v>
      </c>
      <c r="M50" s="1522">
        <f>ROUND((L50*'User interface_RES'!M80)/25,0)*25</f>
        <v>26500</v>
      </c>
      <c r="N50" s="1522">
        <f>L50-M50</f>
        <v>4741450</v>
      </c>
      <c r="O50" s="954"/>
      <c r="P50" s="1020">
        <f>E50+H50+K50</f>
        <v>836725</v>
      </c>
      <c r="Q50" s="1020">
        <f>G50+L50</f>
        <v>4772625</v>
      </c>
      <c r="R50" s="368">
        <f t="shared" si="7"/>
        <v>5609350</v>
      </c>
      <c r="S50" s="1518">
        <f t="shared" si="8"/>
        <v>0</v>
      </c>
      <c r="T50" s="954"/>
      <c r="U50" s="1522">
        <f>'Capture volumes'!F98</f>
        <v>4419375</v>
      </c>
      <c r="V50" s="1522">
        <f>ROUND((U50*'User interface_RES'!$M$58)/25,0)*25</f>
        <v>0</v>
      </c>
      <c r="W50" s="999">
        <f>'User interface_RES'!L58</f>
        <v>0</v>
      </c>
      <c r="X50" s="1522">
        <f>ROUND((V50*W50)/25,0)*25</f>
        <v>0</v>
      </c>
      <c r="Y50" s="1522">
        <f>ROUND((V50-X50)/25,0)*25</f>
        <v>0</v>
      </c>
      <c r="Z50" s="1522">
        <f>ROUND((Y50*'User interface_RES'!M80)/25,0)*25</f>
        <v>0</v>
      </c>
      <c r="AA50" s="1522">
        <f>Y50-Z50</f>
        <v>0</v>
      </c>
      <c r="AB50" s="1020">
        <f>U50-V50</f>
        <v>4419375</v>
      </c>
      <c r="AC50" s="964">
        <f>W50</f>
        <v>0</v>
      </c>
      <c r="AD50" s="1020">
        <f>ROUND((AB50*AC50)/25,0)*25</f>
        <v>0</v>
      </c>
      <c r="AE50" s="1020">
        <f>ROUND((AB50-AD50)/25,0)*25</f>
        <v>4419375</v>
      </c>
      <c r="AF50" s="1020">
        <f>ROUND((AE50*'User interface_RES'!M80)/25,0)*25</f>
        <v>24550</v>
      </c>
      <c r="AG50" s="1020">
        <f>AE50-AF50</f>
        <v>4394825</v>
      </c>
      <c r="AH50" s="60"/>
      <c r="AI50" s="1020">
        <f>X50+AA50+AD50</f>
        <v>0</v>
      </c>
      <c r="AJ50" s="1020">
        <f>Z50+AE50</f>
        <v>4419375</v>
      </c>
      <c r="AK50" s="1518">
        <f>SUM(AI50:AJ50)</f>
        <v>4419375</v>
      </c>
      <c r="AL50" s="1518">
        <f>U50-AK50</f>
        <v>0</v>
      </c>
      <c r="AM50" s="60"/>
      <c r="AN50" s="60"/>
      <c r="AO50" s="60"/>
      <c r="AP50" s="60"/>
      <c r="AQ50" s="60"/>
      <c r="AR50" s="60"/>
      <c r="AS50" s="60"/>
      <c r="AT50" s="60"/>
      <c r="AU50" s="60"/>
      <c r="AV50" s="60"/>
      <c r="AW50" s="60"/>
      <c r="AX50" s="60"/>
      <c r="AY50" s="60"/>
      <c r="AZ50" s="60"/>
      <c r="BA50" s="60"/>
      <c r="BB50" s="60"/>
      <c r="BC50" s="60"/>
      <c r="BD50" s="60"/>
    </row>
    <row r="51" spans="1:58" s="1045" customFormat="1" ht="17.149999999999999" customHeight="1" x14ac:dyDescent="0.3">
      <c r="A51" s="155" t="s">
        <v>823</v>
      </c>
      <c r="B51" s="1522">
        <f>'Capture volumes'!E99</f>
        <v>1262100</v>
      </c>
      <c r="C51" s="1020">
        <f>ROUND((B51*'User interface_RES'!$M$36)/25,0)*25</f>
        <v>189325</v>
      </c>
      <c r="D51" s="956">
        <f>'User interface_RES'!L36</f>
        <v>0</v>
      </c>
      <c r="E51" s="1522">
        <f>ROUND((C51*D51)/25,0)*25</f>
        <v>0</v>
      </c>
      <c r="F51" s="1522">
        <f>C51-E51</f>
        <v>189325</v>
      </c>
      <c r="G51" s="1522">
        <f>ROUND((F51*'User interface_RES'!M81)/25,0)*25</f>
        <v>4675</v>
      </c>
      <c r="H51" s="1522">
        <f>F51-G51</f>
        <v>184650</v>
      </c>
      <c r="I51" s="1522">
        <f>B51-C51</f>
        <v>1072775</v>
      </c>
      <c r="J51" s="999">
        <f>D51</f>
        <v>0</v>
      </c>
      <c r="K51" s="1522">
        <f>ROUND((I51*J51)/25,0)*25</f>
        <v>0</v>
      </c>
      <c r="L51" s="1522">
        <f>I51-K51</f>
        <v>1072775</v>
      </c>
      <c r="M51" s="1522">
        <f>ROUND((L51*'User interface_RES'!M81)/25,0)*25</f>
        <v>26500</v>
      </c>
      <c r="N51" s="1522">
        <f>L51-M51</f>
        <v>1046275</v>
      </c>
      <c r="O51" s="954"/>
      <c r="P51" s="1020">
        <f>E51+H51+K51</f>
        <v>184650</v>
      </c>
      <c r="Q51" s="1020">
        <f>G51+L51</f>
        <v>1077450</v>
      </c>
      <c r="R51" s="368">
        <f t="shared" si="7"/>
        <v>1262100</v>
      </c>
      <c r="S51" s="1518">
        <f t="shared" si="8"/>
        <v>0</v>
      </c>
      <c r="T51" s="954"/>
      <c r="U51" s="1522">
        <f>'Capture volumes'!F99</f>
        <v>662900</v>
      </c>
      <c r="V51" s="1522">
        <f>ROUND((U51*'User interface_RES'!$M$58)/25,0)*25</f>
        <v>0</v>
      </c>
      <c r="W51" s="999">
        <f>'User interface_RES'!L58</f>
        <v>0</v>
      </c>
      <c r="X51" s="1522">
        <f>ROUND((V51*W51)/25,0)*25</f>
        <v>0</v>
      </c>
      <c r="Y51" s="1522">
        <f>ROUND((V51-X51)/25,0)*25</f>
        <v>0</v>
      </c>
      <c r="Z51" s="1522">
        <f>ROUND((Y51*'User interface_RES'!M81)/25,0)*25</f>
        <v>0</v>
      </c>
      <c r="AA51" s="1522">
        <f>Y51-Z51</f>
        <v>0</v>
      </c>
      <c r="AB51" s="1020">
        <f>U51-V51</f>
        <v>662900</v>
      </c>
      <c r="AC51" s="964">
        <f>W51</f>
        <v>0</v>
      </c>
      <c r="AD51" s="1020">
        <f>ROUND((AB51*AC51)/25,0)*25</f>
        <v>0</v>
      </c>
      <c r="AE51" s="1020">
        <f>ROUND((AB51-AD51)/25,0)*25</f>
        <v>662900</v>
      </c>
      <c r="AF51" s="1020">
        <f>ROUND((AE51*'User interface_RES'!M81)/25,0)*25</f>
        <v>16375</v>
      </c>
      <c r="AG51" s="1020">
        <f>AE51-AF51</f>
        <v>646525</v>
      </c>
      <c r="AH51" s="60"/>
      <c r="AI51" s="1020">
        <f>X51+AA51+AD51</f>
        <v>0</v>
      </c>
      <c r="AJ51" s="1020">
        <f>Z51+AE51</f>
        <v>662900</v>
      </c>
      <c r="AK51" s="1518">
        <f>SUM(AI51:AJ51)</f>
        <v>662900</v>
      </c>
      <c r="AL51" s="1518">
        <f>U51-AK51</f>
        <v>0</v>
      </c>
      <c r="AM51" s="60"/>
      <c r="AN51" s="60"/>
      <c r="AO51" s="60"/>
      <c r="AP51" s="60"/>
      <c r="AQ51" s="60"/>
      <c r="AR51" s="60"/>
      <c r="AS51" s="60"/>
      <c r="AT51" s="60"/>
      <c r="AU51" s="60"/>
      <c r="AV51" s="60"/>
      <c r="AW51" s="60"/>
      <c r="AX51" s="60"/>
      <c r="AY51" s="60"/>
      <c r="AZ51" s="60"/>
      <c r="BA51" s="60"/>
      <c r="BB51" s="60"/>
      <c r="BC51" s="60"/>
      <c r="BD51" s="60"/>
    </row>
    <row r="52" spans="1:58" s="184" customFormat="1" ht="17.149999999999999" customHeight="1" x14ac:dyDescent="0.3">
      <c r="A52" s="1038" t="s">
        <v>829</v>
      </c>
      <c r="B52" s="1039">
        <f>SUM(B53:B54)</f>
        <v>323600</v>
      </c>
      <c r="C52" s="1040">
        <f>SUM(C53:C54)</f>
        <v>0</v>
      </c>
      <c r="D52" s="1039"/>
      <c r="E52" s="1039">
        <f>SUM(E53:E54)</f>
        <v>0</v>
      </c>
      <c r="F52" s="1039">
        <f>SUM(F53:F54)</f>
        <v>0</v>
      </c>
      <c r="G52" s="1039">
        <f>SUM(G53:G54)</f>
        <v>0</v>
      </c>
      <c r="H52" s="1039">
        <f>SUM(H53:H54)</f>
        <v>0</v>
      </c>
      <c r="I52" s="1039">
        <f t="shared" ref="I52:N52" si="11">SUM(I53:I54)</f>
        <v>323600</v>
      </c>
      <c r="J52" s="1039">
        <f t="shared" si="11"/>
        <v>0</v>
      </c>
      <c r="K52" s="1039">
        <f t="shared" si="11"/>
        <v>0</v>
      </c>
      <c r="L52" s="1039">
        <f t="shared" si="11"/>
        <v>323600</v>
      </c>
      <c r="M52" s="1039">
        <f t="shared" si="11"/>
        <v>4950</v>
      </c>
      <c r="N52" s="1039">
        <f t="shared" si="11"/>
        <v>318650</v>
      </c>
      <c r="O52" s="137"/>
      <c r="P52" s="1039">
        <f>SUM(P53:P54)</f>
        <v>0</v>
      </c>
      <c r="Q52" s="1039">
        <f>SUM(Q53:Q54)</f>
        <v>323600</v>
      </c>
      <c r="R52" s="1039">
        <f>SUM(R53:R54)</f>
        <v>323600</v>
      </c>
      <c r="S52" s="1518">
        <f>SUM(S53:S54)</f>
        <v>0</v>
      </c>
      <c r="T52" s="137"/>
      <c r="U52" s="1041">
        <f>SUM(U53:U54)</f>
        <v>0</v>
      </c>
      <c r="V52" s="1041">
        <f>SUM(V53:V54)</f>
        <v>0</v>
      </c>
      <c r="W52" s="1041"/>
      <c r="X52" s="1041">
        <f>SUM(X53:X54)</f>
        <v>0</v>
      </c>
      <c r="Y52" s="1041">
        <f>SUM(Y53:Y54)</f>
        <v>0</v>
      </c>
      <c r="Z52" s="1041">
        <f t="shared" ref="Z52:AG52" si="12">SUM(Z53:Z54)</f>
        <v>0</v>
      </c>
      <c r="AA52" s="1041">
        <f t="shared" si="12"/>
        <v>0</v>
      </c>
      <c r="AB52" s="1042">
        <f t="shared" si="12"/>
        <v>0</v>
      </c>
      <c r="AC52" s="1042"/>
      <c r="AD52" s="1042">
        <f t="shared" si="12"/>
        <v>0</v>
      </c>
      <c r="AE52" s="1042">
        <f t="shared" si="12"/>
        <v>0</v>
      </c>
      <c r="AF52" s="1042">
        <f t="shared" si="12"/>
        <v>0</v>
      </c>
      <c r="AG52" s="1042">
        <f t="shared" si="12"/>
        <v>0</v>
      </c>
      <c r="AH52" s="3"/>
      <c r="AI52" s="1041">
        <f>SUM(AI53:AI54)</f>
        <v>0</v>
      </c>
      <c r="AJ52" s="1041">
        <f>SUM(AJ53:AJ54)</f>
        <v>0</v>
      </c>
      <c r="AK52" s="1041">
        <f>SUM(AK53:AK54)</f>
        <v>0</v>
      </c>
      <c r="AL52" s="1518">
        <f>SUM(AL53:AL54)</f>
        <v>0</v>
      </c>
      <c r="AM52" s="3"/>
      <c r="AN52" s="3"/>
      <c r="AO52" s="3"/>
      <c r="AP52" s="3"/>
      <c r="AQ52" s="3"/>
      <c r="AR52" s="3"/>
      <c r="AS52" s="3"/>
      <c r="AT52" s="3"/>
      <c r="AU52" s="3"/>
      <c r="AV52" s="3"/>
      <c r="AW52" s="3"/>
      <c r="AX52" s="3"/>
      <c r="AY52" s="3"/>
      <c r="AZ52" s="3"/>
      <c r="BA52" s="3"/>
      <c r="BB52" s="3"/>
      <c r="BC52" s="3"/>
      <c r="BD52" s="3"/>
    </row>
    <row r="53" spans="1:58" s="1045" customFormat="1" ht="17.149999999999999" customHeight="1" x14ac:dyDescent="0.3">
      <c r="A53" s="155" t="s">
        <v>827</v>
      </c>
      <c r="B53" s="1522">
        <f>'Capture volumes'!E108</f>
        <v>0</v>
      </c>
      <c r="C53" s="1020">
        <f>ROUND((B53*'User interface_RES'!$M$40)/25,0)*25</f>
        <v>0</v>
      </c>
      <c r="D53" s="956">
        <f>'User interface_RES'!L40</f>
        <v>0</v>
      </c>
      <c r="E53" s="1522">
        <f>ROUND((C53*D53)/25,0)*25</f>
        <v>0</v>
      </c>
      <c r="F53" s="1522">
        <f>C53-E53</f>
        <v>0</v>
      </c>
      <c r="G53" s="1522">
        <f>ROUND((F53*'User interface_RES'!M84)/25,0)*25</f>
        <v>0</v>
      </c>
      <c r="H53" s="1522">
        <f>F53-G53</f>
        <v>0</v>
      </c>
      <c r="I53" s="1522">
        <f>B53-C53</f>
        <v>0</v>
      </c>
      <c r="J53" s="999">
        <f>D53</f>
        <v>0</v>
      </c>
      <c r="K53" s="1522">
        <f>ROUND((I53*J53)/25,0)*25</f>
        <v>0</v>
      </c>
      <c r="L53" s="1522">
        <f>I53-K53</f>
        <v>0</v>
      </c>
      <c r="M53" s="1522">
        <f>ROUND((L53*'User interface_RES'!M84)/25,0)*25</f>
        <v>0</v>
      </c>
      <c r="N53" s="1522">
        <f>L53-M53</f>
        <v>0</v>
      </c>
      <c r="O53" s="954"/>
      <c r="P53" s="1020">
        <f>E53+H53+K53</f>
        <v>0</v>
      </c>
      <c r="Q53" s="1020">
        <f>G53+L53</f>
        <v>0</v>
      </c>
      <c r="R53" s="368">
        <f t="shared" si="7"/>
        <v>0</v>
      </c>
      <c r="S53" s="1518">
        <f t="shared" si="8"/>
        <v>0</v>
      </c>
      <c r="T53" s="954"/>
      <c r="U53" s="1522">
        <f>'Capture volumes'!F108</f>
        <v>0</v>
      </c>
      <c r="V53" s="1522">
        <f>ROUND((U53*'User interface_RES'!$M$62)/25,0)*25</f>
        <v>0</v>
      </c>
      <c r="W53" s="999">
        <f>'User interface_RES'!L62</f>
        <v>0</v>
      </c>
      <c r="X53" s="1522">
        <f>ROUND((V53*W53)/25,0)*25</f>
        <v>0</v>
      </c>
      <c r="Y53" s="1522">
        <f>ROUND((V53-X53)/25,0)*25</f>
        <v>0</v>
      </c>
      <c r="Z53" s="1522">
        <f>ROUND((Y53*'User interface_RES'!M84)/25,0)*25</f>
        <v>0</v>
      </c>
      <c r="AA53" s="1522">
        <f>Y53-Z53</f>
        <v>0</v>
      </c>
      <c r="AB53" s="1020">
        <f>U53-V53</f>
        <v>0</v>
      </c>
      <c r="AC53" s="964">
        <f>W53</f>
        <v>0</v>
      </c>
      <c r="AD53" s="1020">
        <f>ROUND((AB53*AC53)/25,0)*25</f>
        <v>0</v>
      </c>
      <c r="AE53" s="1020">
        <f>ROUND((AB53-AD53)/25,0)*25</f>
        <v>0</v>
      </c>
      <c r="AF53" s="1020">
        <f>ROUND((AE53*'User interface_RES'!M84)/25,0)*25</f>
        <v>0</v>
      </c>
      <c r="AG53" s="1020">
        <f>AE53-AF53</f>
        <v>0</v>
      </c>
      <c r="AH53" s="60"/>
      <c r="AI53" s="1020">
        <f>X53+AA53+AD53</f>
        <v>0</v>
      </c>
      <c r="AJ53" s="1020">
        <f>Z53+AE53</f>
        <v>0</v>
      </c>
      <c r="AK53" s="1518">
        <f>SUM(AI53:AJ53)</f>
        <v>0</v>
      </c>
      <c r="AL53" s="1518">
        <f>U53-AK53</f>
        <v>0</v>
      </c>
      <c r="AM53" s="60"/>
      <c r="AN53" s="60"/>
      <c r="AO53" s="60"/>
      <c r="AP53" s="60"/>
      <c r="AQ53" s="60"/>
      <c r="AR53" s="60"/>
      <c r="AS53" s="60"/>
      <c r="AT53" s="60"/>
      <c r="AU53" s="60"/>
      <c r="AV53" s="60"/>
      <c r="AW53" s="60"/>
      <c r="AX53" s="60"/>
      <c r="AY53" s="60"/>
      <c r="AZ53" s="60"/>
      <c r="BA53" s="60"/>
      <c r="BB53" s="60"/>
      <c r="BC53" s="60"/>
      <c r="BD53" s="60"/>
    </row>
    <row r="54" spans="1:58" s="1045" customFormat="1" ht="17.149999999999999" customHeight="1" x14ac:dyDescent="0.3">
      <c r="A54" s="155" t="s">
        <v>828</v>
      </c>
      <c r="B54" s="1522">
        <f>'Capture volumes'!E109</f>
        <v>323600</v>
      </c>
      <c r="C54" s="1020">
        <f>ROUND((B54*'User interface_RES'!$M$40)/25,0)*25</f>
        <v>0</v>
      </c>
      <c r="D54" s="956">
        <f>'User interface_RES'!L40</f>
        <v>0</v>
      </c>
      <c r="E54" s="1522">
        <f>ROUND((C54*D54)/25,0)*25</f>
        <v>0</v>
      </c>
      <c r="F54" s="1522">
        <f>C54-E54</f>
        <v>0</v>
      </c>
      <c r="G54" s="1522">
        <f>ROUND((F54*'User interface_RES'!M85)/25,0)*25</f>
        <v>0</v>
      </c>
      <c r="H54" s="1522">
        <f>F54-G54</f>
        <v>0</v>
      </c>
      <c r="I54" s="1522">
        <f>B54-C54</f>
        <v>323600</v>
      </c>
      <c r="J54" s="999">
        <f>D54</f>
        <v>0</v>
      </c>
      <c r="K54" s="1522">
        <f>ROUND((I54*J54)/25,0)*25</f>
        <v>0</v>
      </c>
      <c r="L54" s="1522">
        <f>I54-K54</f>
        <v>323600</v>
      </c>
      <c r="M54" s="1522">
        <f>ROUND((L54*'User interface_RES'!M85)/25,0)*25</f>
        <v>4950</v>
      </c>
      <c r="N54" s="1522">
        <f>L54-M54</f>
        <v>318650</v>
      </c>
      <c r="O54" s="954"/>
      <c r="P54" s="1020">
        <f>E54+H54+K54</f>
        <v>0</v>
      </c>
      <c r="Q54" s="1020">
        <f>G54+L54</f>
        <v>323600</v>
      </c>
      <c r="R54" s="368">
        <f t="shared" si="7"/>
        <v>323600</v>
      </c>
      <c r="S54" s="1518">
        <f t="shared" si="8"/>
        <v>0</v>
      </c>
      <c r="T54" s="954"/>
      <c r="U54" s="1522">
        <f>'Capture volumes'!F109</f>
        <v>0</v>
      </c>
      <c r="V54" s="1522">
        <f>ROUND((U54*'User interface_RES'!$M$62)/25,0)*25</f>
        <v>0</v>
      </c>
      <c r="W54" s="999">
        <f>'User interface_RES'!L62</f>
        <v>0</v>
      </c>
      <c r="X54" s="1522">
        <f>ROUND((V54*W54)/25,0)*25</f>
        <v>0</v>
      </c>
      <c r="Y54" s="1522">
        <f>ROUND((V54-X54)/25,0)*25</f>
        <v>0</v>
      </c>
      <c r="Z54" s="1522">
        <f>ROUND((Y54*'User interface_RES'!M85)/25,0)*25</f>
        <v>0</v>
      </c>
      <c r="AA54" s="1522">
        <f>Y54-Z54</f>
        <v>0</v>
      </c>
      <c r="AB54" s="1020">
        <f>U54-V54</f>
        <v>0</v>
      </c>
      <c r="AC54" s="964">
        <f>W54</f>
        <v>0</v>
      </c>
      <c r="AD54" s="1020">
        <f>ROUND((AB54*AC54)/25,0)*25</f>
        <v>0</v>
      </c>
      <c r="AE54" s="1020">
        <f>ROUND((AB54-AD54)/25,0)*25</f>
        <v>0</v>
      </c>
      <c r="AF54" s="1020">
        <f>ROUND((AE54*'User interface_RES'!M85)/25,0)*25</f>
        <v>0</v>
      </c>
      <c r="AG54" s="1020">
        <f>AE54-AF54</f>
        <v>0</v>
      </c>
      <c r="AH54" s="60"/>
      <c r="AI54" s="1020">
        <f>X54+AA54+AD54</f>
        <v>0</v>
      </c>
      <c r="AJ54" s="1020">
        <f>Z54+AE54</f>
        <v>0</v>
      </c>
      <c r="AK54" s="1518">
        <f>SUM(AI54:AJ54)</f>
        <v>0</v>
      </c>
      <c r="AL54" s="1518">
        <f>U54-AK54</f>
        <v>0</v>
      </c>
      <c r="AM54" s="60"/>
      <c r="AN54" s="60"/>
      <c r="AO54" s="60"/>
      <c r="AP54" s="60"/>
      <c r="AQ54" s="60"/>
      <c r="AR54" s="60"/>
      <c r="AS54" s="60"/>
      <c r="AT54" s="60"/>
      <c r="AU54" s="60"/>
      <c r="AV54" s="60"/>
      <c r="AW54" s="60"/>
      <c r="AX54" s="60"/>
      <c r="AY54" s="60"/>
      <c r="AZ54" s="60"/>
      <c r="BA54" s="60"/>
      <c r="BB54" s="60"/>
      <c r="BC54" s="60"/>
      <c r="BD54" s="60"/>
    </row>
    <row r="55" spans="1:58" s="27" customFormat="1" ht="17.149999999999999" customHeight="1" x14ac:dyDescent="0.3">
      <c r="A55" s="1036" t="s">
        <v>361</v>
      </c>
      <c r="B55" s="1037">
        <f>B46+B49+B52</f>
        <v>7195050</v>
      </c>
      <c r="C55" s="1037">
        <f t="shared" ref="C55:R55" si="13">C46+C49+C52</f>
        <v>1030725</v>
      </c>
      <c r="D55" s="1037"/>
      <c r="E55" s="1037">
        <f t="shared" si="13"/>
        <v>0</v>
      </c>
      <c r="F55" s="1037">
        <f t="shared" si="13"/>
        <v>1030725</v>
      </c>
      <c r="G55" s="1037">
        <f t="shared" si="13"/>
        <v>9350</v>
      </c>
      <c r="H55" s="1037">
        <f t="shared" si="13"/>
        <v>1021375</v>
      </c>
      <c r="I55" s="1037">
        <f t="shared" si="13"/>
        <v>6164325</v>
      </c>
      <c r="J55" s="1037"/>
      <c r="K55" s="1037">
        <f t="shared" si="13"/>
        <v>0</v>
      </c>
      <c r="L55" s="1037">
        <f t="shared" si="13"/>
        <v>6164325</v>
      </c>
      <c r="M55" s="1037">
        <f t="shared" si="13"/>
        <v>57950</v>
      </c>
      <c r="N55" s="1037">
        <f t="shared" si="13"/>
        <v>6106375</v>
      </c>
      <c r="O55" s="137"/>
      <c r="P55" s="1037">
        <f t="shared" si="13"/>
        <v>1021375</v>
      </c>
      <c r="Q55" s="1037">
        <f t="shared" si="13"/>
        <v>6173675</v>
      </c>
      <c r="R55" s="1037">
        <f t="shared" si="13"/>
        <v>7195050</v>
      </c>
      <c r="S55" s="1518">
        <f t="shared" si="8"/>
        <v>0</v>
      </c>
      <c r="T55" s="137"/>
      <c r="U55" s="1034">
        <f t="shared" ref="U55:AG55" si="14">U46+U49+U52</f>
        <v>5082275</v>
      </c>
      <c r="V55" s="1034">
        <f t="shared" si="14"/>
        <v>0</v>
      </c>
      <c r="W55" s="1034"/>
      <c r="X55" s="1034">
        <f t="shared" si="14"/>
        <v>0</v>
      </c>
      <c r="Y55" s="1034">
        <f t="shared" si="14"/>
        <v>0</v>
      </c>
      <c r="Z55" s="1034">
        <f t="shared" si="14"/>
        <v>0</v>
      </c>
      <c r="AA55" s="1034">
        <f t="shared" si="14"/>
        <v>0</v>
      </c>
      <c r="AB55" s="1034">
        <f t="shared" si="14"/>
        <v>5082275</v>
      </c>
      <c r="AC55" s="1034"/>
      <c r="AD55" s="1034">
        <f t="shared" si="14"/>
        <v>0</v>
      </c>
      <c r="AE55" s="1034">
        <f t="shared" si="14"/>
        <v>5082275</v>
      </c>
      <c r="AF55" s="1034">
        <f t="shared" si="14"/>
        <v>40925</v>
      </c>
      <c r="AG55" s="1034">
        <f t="shared" si="14"/>
        <v>5041350</v>
      </c>
      <c r="AH55" s="12"/>
      <c r="AI55" s="1034">
        <f>AI46+AI49+AI52</f>
        <v>0</v>
      </c>
      <c r="AJ55" s="1034">
        <f>AJ46+AJ49+AJ52</f>
        <v>5082275</v>
      </c>
      <c r="AK55" s="1035">
        <f>AI55+AJ55</f>
        <v>5082275</v>
      </c>
      <c r="AL55" s="1518">
        <f>U55-AK55</f>
        <v>0</v>
      </c>
      <c r="AM55" s="12"/>
      <c r="AN55" s="12"/>
      <c r="AO55" s="12"/>
      <c r="AP55" s="12"/>
      <c r="AQ55" s="12"/>
      <c r="AR55" s="12"/>
      <c r="AS55" s="12"/>
      <c r="AT55" s="12"/>
      <c r="AU55" s="12"/>
      <c r="AV55" s="12"/>
      <c r="AW55" s="12"/>
      <c r="AX55" s="12"/>
      <c r="AY55" s="12"/>
      <c r="AZ55" s="12"/>
      <c r="BA55" s="12"/>
      <c r="BB55" s="12"/>
      <c r="BC55" s="12"/>
      <c r="BD55" s="12"/>
    </row>
    <row r="56" spans="1:58" s="184" customFormat="1" ht="17.149999999999999" customHeight="1" x14ac:dyDescent="0.3">
      <c r="A56" s="122"/>
      <c r="B56" s="172">
        <f>IF(B55=0,0,B55/B55)</f>
        <v>1</v>
      </c>
      <c r="C56" s="370">
        <f>IF(B55=0,0,C55/B55)</f>
        <v>0.1432547376321221</v>
      </c>
      <c r="D56" s="172"/>
      <c r="E56" s="172">
        <f>IF(B55=0,0,E55/B55)</f>
        <v>0</v>
      </c>
      <c r="F56" s="172">
        <f>IF(B55=0,0,F55/B55)</f>
        <v>0.1432547376321221</v>
      </c>
      <c r="G56" s="172"/>
      <c r="H56" s="172"/>
      <c r="I56" s="172">
        <f>IF(B55=0,0,I55/B55)</f>
        <v>0.85674526236787796</v>
      </c>
      <c r="J56" s="172"/>
      <c r="K56" s="172">
        <f>IF(B55=0,0,K55/B55)</f>
        <v>0</v>
      </c>
      <c r="L56" s="172">
        <f>IF(B55=0,0,L55/B55)</f>
        <v>0.85674526236787796</v>
      </c>
      <c r="M56" s="143"/>
      <c r="N56" s="143"/>
      <c r="O56" s="3"/>
      <c r="P56" s="172">
        <f>IF(B55=0,0,P55/B55)</f>
        <v>0.14195523311165315</v>
      </c>
      <c r="Q56" s="370">
        <f>IF(B55=0,0,Q55/B55)</f>
        <v>0.85804476688834685</v>
      </c>
      <c r="R56" s="370">
        <f>IF(B55=0,0,R55/B55)</f>
        <v>1</v>
      </c>
      <c r="S56" s="391"/>
      <c r="T56" s="137"/>
      <c r="U56" s="172">
        <f>IF(U55=0,0,U55/U55)</f>
        <v>1</v>
      </c>
      <c r="V56" s="370">
        <f>IF(U55=0,0,V55/U55)</f>
        <v>0</v>
      </c>
      <c r="W56" s="172"/>
      <c r="X56" s="172">
        <f>IF(U55=0,0,X55/U55)</f>
        <v>0</v>
      </c>
      <c r="Y56" s="172">
        <f>IF(U55=0,0,Y55/U55)</f>
        <v>0</v>
      </c>
      <c r="Z56" s="172"/>
      <c r="AA56" s="172"/>
      <c r="AB56" s="172">
        <f>IF(U55=0,0,AB55/U55)</f>
        <v>1</v>
      </c>
      <c r="AC56" s="172"/>
      <c r="AD56" s="172">
        <f>IF(U55=0,0,AD55/U55)</f>
        <v>0</v>
      </c>
      <c r="AE56" s="172">
        <f>IF(U55=0,0,AE55/U55)</f>
        <v>1</v>
      </c>
      <c r="AF56" s="143"/>
      <c r="AG56" s="143"/>
      <c r="AH56" s="3"/>
      <c r="AI56" s="172">
        <f>IF(U55=0,0,AI55/U55)</f>
        <v>0</v>
      </c>
      <c r="AJ56" s="370">
        <f>IF(U55=0,0,AJ55/U55)</f>
        <v>1</v>
      </c>
      <c r="AK56" s="370">
        <f>IF(U55=0,0,AK55/U55)</f>
        <v>1</v>
      </c>
      <c r="AL56" s="391"/>
      <c r="AM56" s="3"/>
      <c r="AN56" s="3"/>
      <c r="AO56" s="3"/>
      <c r="AP56" s="3"/>
      <c r="AQ56" s="3"/>
      <c r="AR56" s="3"/>
      <c r="AS56" s="3"/>
      <c r="AT56" s="3"/>
      <c r="AU56" s="3"/>
      <c r="AV56" s="3"/>
      <c r="AW56" s="3"/>
      <c r="AX56" s="3"/>
      <c r="AY56" s="3"/>
      <c r="AZ56" s="3"/>
      <c r="BA56" s="3"/>
      <c r="BB56" s="3"/>
      <c r="BC56" s="3"/>
      <c r="BD56" s="3"/>
      <c r="BE56" s="3"/>
    </row>
    <row r="57" spans="1:58" s="184" customFormat="1" ht="17.149999999999999" customHeight="1" x14ac:dyDescent="0.3">
      <c r="A57" s="122"/>
      <c r="C57" s="370">
        <f>IF(C55=0,0,C55/C55)</f>
        <v>1</v>
      </c>
      <c r="D57" s="223"/>
      <c r="E57" s="370">
        <f>IF(C55=0,0,E55/C55)</f>
        <v>0</v>
      </c>
      <c r="F57" s="370">
        <f>IF(C55=0,0,F55/C55)</f>
        <v>1</v>
      </c>
      <c r="G57" s="172"/>
      <c r="H57" s="172"/>
      <c r="I57" s="370">
        <f>IF(I55=0,0,I55/I55)</f>
        <v>1</v>
      </c>
      <c r="J57" s="454"/>
      <c r="K57" s="370">
        <f>IF(I55=0,0,K55/I55)</f>
        <v>0</v>
      </c>
      <c r="L57" s="370">
        <f>IF(I55=0,0,L55/I55)</f>
        <v>1</v>
      </c>
      <c r="M57" s="143"/>
      <c r="N57" s="143"/>
      <c r="O57" s="3"/>
      <c r="T57" s="137"/>
      <c r="V57" s="370">
        <f>IF(V55=0,0,V55/V55)</f>
        <v>0</v>
      </c>
      <c r="W57" s="223"/>
      <c r="X57" s="370">
        <f>IF(V55=0,0,X55/V55)</f>
        <v>0</v>
      </c>
      <c r="Y57" s="370">
        <f>IF(V55=0,0,Y55/V55)</f>
        <v>0</v>
      </c>
      <c r="Z57" s="172"/>
      <c r="AA57" s="172"/>
      <c r="AB57" s="370">
        <f>IF(AB55=0,0,AB55/AB55)</f>
        <v>1</v>
      </c>
      <c r="AC57" s="454"/>
      <c r="AD57" s="370">
        <f>IF(AB55=0,0,AD55/AB55)</f>
        <v>0</v>
      </c>
      <c r="AE57" s="370">
        <f>IF(AB55=0,0,AE55/AB55)</f>
        <v>1</v>
      </c>
      <c r="AF57" s="143"/>
      <c r="AG57" s="143"/>
      <c r="AH57" s="3"/>
      <c r="AL57" s="3"/>
      <c r="AM57" s="3"/>
      <c r="AN57" s="3"/>
      <c r="AO57" s="3"/>
      <c r="AP57" s="3"/>
      <c r="AQ57" s="3"/>
      <c r="AR57" s="3"/>
      <c r="AS57" s="3"/>
      <c r="AT57" s="3"/>
      <c r="AU57" s="3"/>
      <c r="AV57" s="3"/>
      <c r="AW57" s="3"/>
      <c r="AX57" s="3"/>
      <c r="AY57" s="3"/>
      <c r="AZ57" s="3"/>
      <c r="BA57" s="3"/>
      <c r="BB57" s="3"/>
      <c r="BC57" s="3"/>
      <c r="BD57" s="3"/>
      <c r="BE57" s="3"/>
    </row>
    <row r="58" spans="1:58" s="184" customFormat="1" ht="17.149999999999999" customHeight="1" x14ac:dyDescent="0.3">
      <c r="A58" s="122"/>
      <c r="F58" s="454">
        <f>IF(F55=0,0,F55/F55)</f>
        <v>1</v>
      </c>
      <c r="G58" s="172">
        <f>IF(F55=0,0,G55/F55)</f>
        <v>9.0712847752795357E-3</v>
      </c>
      <c r="H58" s="454">
        <f>IF(F55=0,0,H55/F55)</f>
        <v>0.99092871522472048</v>
      </c>
      <c r="I58" s="3"/>
      <c r="J58" s="3"/>
      <c r="K58" s="3"/>
      <c r="L58" s="454">
        <f>IF(L55=0,0,L55/L55)</f>
        <v>1</v>
      </c>
      <c r="M58" s="172">
        <f>IF(L55=0,0,M55/L55)</f>
        <v>9.4008670860150946E-3</v>
      </c>
      <c r="N58" s="454">
        <f>IF(L55=0,0,N55/L55)</f>
        <v>0.99059913291398494</v>
      </c>
      <c r="O58" s="3"/>
      <c r="T58" s="137"/>
      <c r="Y58" s="454">
        <f>IF(Y55=0,0,Y55/Y55)</f>
        <v>0</v>
      </c>
      <c r="Z58" s="172">
        <f>IF(Y55=0,0,Z55/Y55)</f>
        <v>0</v>
      </c>
      <c r="AA58" s="454">
        <f>IF(Y55=0,0,AA55/Y55)</f>
        <v>0</v>
      </c>
      <c r="AB58" s="3"/>
      <c r="AC58" s="3"/>
      <c r="AD58" s="3"/>
      <c r="AE58" s="454">
        <f>IF(AE55=0,0,AE55/AE55)</f>
        <v>1</v>
      </c>
      <c r="AF58" s="172">
        <f>IF(AE55=0,0,AF55/AE55)</f>
        <v>8.0524961754332453E-3</v>
      </c>
      <c r="AG58" s="454">
        <f>IF(AE55=0,0,AG55/AE55)</f>
        <v>0.99194750382456676</v>
      </c>
      <c r="AH58" s="3"/>
      <c r="AL58" s="3"/>
      <c r="AM58" s="3"/>
      <c r="AN58" s="3"/>
      <c r="AO58" s="3"/>
      <c r="AP58" s="3"/>
      <c r="AQ58" s="3"/>
      <c r="AR58" s="3"/>
      <c r="AS58" s="3"/>
      <c r="AT58" s="3"/>
      <c r="AU58" s="3"/>
      <c r="AV58" s="3"/>
      <c r="AW58" s="3"/>
      <c r="AX58" s="3"/>
      <c r="AY58" s="3"/>
      <c r="AZ58" s="3"/>
      <c r="BA58" s="3"/>
      <c r="BB58" s="3"/>
    </row>
    <row r="59" spans="1:58" s="184" customFormat="1" ht="17.149999999999999" customHeight="1" x14ac:dyDescent="0.3">
      <c r="A59" s="122"/>
      <c r="E59" s="203"/>
      <c r="F59" s="177"/>
      <c r="G59" s="177"/>
      <c r="H59" s="189"/>
      <c r="I59" s="189"/>
      <c r="J59" s="189"/>
      <c r="K59" s="3"/>
      <c r="L59" s="3"/>
      <c r="M59" s="3"/>
      <c r="N59" s="3"/>
      <c r="O59" s="3"/>
      <c r="P59" s="3"/>
      <c r="Q59" s="3"/>
      <c r="R59" s="3"/>
      <c r="S59" s="3"/>
      <c r="T59" s="137"/>
      <c r="U59" s="43"/>
      <c r="V59" s="83"/>
      <c r="W59" s="95"/>
      <c r="X59" s="95"/>
      <c r="Y59" s="95"/>
      <c r="Z59" s="95"/>
      <c r="AA59" s="96"/>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row>
    <row r="60" spans="1:58" s="184" customFormat="1" ht="17.149999999999999" customHeight="1" x14ac:dyDescent="0.3">
      <c r="A60" s="122"/>
      <c r="E60" s="203"/>
      <c r="F60" s="177"/>
      <c r="G60" s="177"/>
      <c r="H60" s="189"/>
      <c r="I60" s="189"/>
      <c r="J60" s="189"/>
      <c r="K60" s="3"/>
      <c r="L60" s="3"/>
      <c r="M60" s="3"/>
      <c r="N60" s="3"/>
      <c r="O60" s="3"/>
      <c r="P60" s="3"/>
      <c r="Q60" s="3"/>
      <c r="R60" s="3"/>
      <c r="S60" s="3"/>
      <c r="T60" s="137"/>
      <c r="U60" s="43"/>
      <c r="V60" s="83"/>
      <c r="W60" s="95"/>
      <c r="X60" s="95"/>
      <c r="Y60" s="95"/>
      <c r="Z60" s="95"/>
      <c r="AA60" s="96"/>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row>
    <row r="61" spans="1:58" s="140" customFormat="1" ht="17.149999999999999" customHeight="1" x14ac:dyDescent="0.35">
      <c r="A61" s="949" t="s">
        <v>918</v>
      </c>
      <c r="B61" s="1776" t="s">
        <v>9</v>
      </c>
      <c r="C61" s="1776"/>
      <c r="D61" s="1776"/>
      <c r="E61" s="1776"/>
      <c r="F61" s="1776"/>
      <c r="G61" s="1776"/>
      <c r="H61" s="1776"/>
      <c r="I61" s="1776"/>
      <c r="J61" s="1776"/>
      <c r="K61" s="1776"/>
      <c r="L61" s="1776"/>
      <c r="M61" s="1776"/>
      <c r="N61" s="1776"/>
      <c r="O61" s="17"/>
      <c r="P61" s="1777" t="s">
        <v>9</v>
      </c>
      <c r="Q61" s="1777"/>
      <c r="R61" s="1777"/>
      <c r="S61" s="115"/>
      <c r="T61" s="115"/>
      <c r="U61" s="1778" t="s">
        <v>253</v>
      </c>
      <c r="V61" s="1778"/>
      <c r="W61" s="1778"/>
      <c r="X61" s="1778"/>
      <c r="Y61" s="1778"/>
      <c r="Z61" s="1778"/>
      <c r="AA61" s="1778"/>
      <c r="AB61" s="1778"/>
      <c r="AC61" s="1778"/>
      <c r="AD61" s="1778"/>
      <c r="AE61" s="1778"/>
      <c r="AF61" s="1778"/>
      <c r="AG61" s="1778"/>
      <c r="AH61" s="115"/>
      <c r="AI61" s="1779" t="s">
        <v>253</v>
      </c>
      <c r="AJ61" s="1779"/>
      <c r="AK61" s="1779"/>
      <c r="AL61" s="115"/>
      <c r="AM61" s="115"/>
      <c r="AN61" s="115"/>
      <c r="AO61" s="115"/>
      <c r="AP61" s="115"/>
      <c r="AQ61" s="115"/>
      <c r="AR61" s="115"/>
      <c r="AS61" s="115"/>
      <c r="AT61" s="115"/>
      <c r="AU61" s="115"/>
      <c r="AV61" s="115"/>
      <c r="AW61" s="115"/>
      <c r="AX61" s="115"/>
      <c r="AY61" s="115"/>
      <c r="AZ61" s="115"/>
      <c r="BA61" s="115"/>
      <c r="BB61" s="115"/>
    </row>
    <row r="62" spans="1:58" s="27" customFormat="1" ht="17.149999999999999" customHeight="1" x14ac:dyDescent="0.35">
      <c r="A62" s="371"/>
      <c r="F62" s="17"/>
      <c r="G62" s="17"/>
      <c r="H62" s="17"/>
      <c r="I62" s="17"/>
      <c r="J62" s="17"/>
      <c r="K62" s="17"/>
      <c r="L62" s="17"/>
      <c r="M62" s="17"/>
      <c r="N62" s="17"/>
      <c r="O62" s="17"/>
      <c r="P62" s="17"/>
      <c r="Q62" s="17"/>
      <c r="R62" s="115"/>
      <c r="S62" s="115"/>
      <c r="T62" s="17"/>
      <c r="W62" s="17"/>
      <c r="X62" s="17"/>
      <c r="Y62" s="95"/>
      <c r="Z62" s="10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row>
    <row r="63" spans="1:58" s="27" customFormat="1" ht="17.149999999999999" customHeight="1" x14ac:dyDescent="0.35">
      <c r="A63" s="191"/>
      <c r="B63" s="166"/>
      <c r="C63" s="1780" t="s">
        <v>919</v>
      </c>
      <c r="D63" s="1780"/>
      <c r="E63" s="1780"/>
      <c r="F63" s="1780"/>
      <c r="G63" s="1780"/>
      <c r="H63" s="1780"/>
      <c r="I63" s="1781" t="s">
        <v>910</v>
      </c>
      <c r="J63" s="1782"/>
      <c r="K63" s="1782"/>
      <c r="L63" s="1782"/>
      <c r="M63" s="1782"/>
      <c r="N63" s="1783"/>
      <c r="O63" s="17"/>
      <c r="P63" s="1784" t="s">
        <v>920</v>
      </c>
      <c r="Q63" s="1784"/>
      <c r="R63" s="1784"/>
      <c r="S63" s="309"/>
      <c r="T63" s="17"/>
      <c r="U63" s="1794" t="s">
        <v>919</v>
      </c>
      <c r="V63" s="1794"/>
      <c r="W63" s="1794"/>
      <c r="X63" s="1794"/>
      <c r="Y63" s="1794"/>
      <c r="Z63" s="1794"/>
      <c r="AA63" s="1794"/>
      <c r="AB63" s="1794" t="s">
        <v>910</v>
      </c>
      <c r="AC63" s="1794"/>
      <c r="AD63" s="1794"/>
      <c r="AE63" s="1794"/>
      <c r="AF63" s="1794"/>
      <c r="AG63" s="1794"/>
      <c r="AH63" s="17"/>
      <c r="AI63" s="1789" t="s">
        <v>920</v>
      </c>
      <c r="AJ63" s="1789"/>
      <c r="AK63" s="1789"/>
      <c r="AL63" s="300"/>
      <c r="AM63" s="17"/>
      <c r="AN63" s="17"/>
      <c r="AO63" s="17"/>
      <c r="AP63" s="17"/>
      <c r="AQ63" s="17"/>
      <c r="AR63" s="17"/>
      <c r="AS63" s="17"/>
      <c r="AT63" s="17"/>
      <c r="AU63" s="17"/>
      <c r="AV63" s="17"/>
      <c r="AW63" s="17"/>
      <c r="AX63" s="17"/>
      <c r="AY63" s="17"/>
      <c r="AZ63" s="17"/>
      <c r="BA63" s="17"/>
      <c r="BB63" s="17"/>
    </row>
    <row r="64" spans="1:58" s="27" customFormat="1" ht="58" x14ac:dyDescent="0.3">
      <c r="A64" s="355"/>
      <c r="B64" s="1511" t="s">
        <v>899</v>
      </c>
      <c r="C64" s="1513" t="s">
        <v>921</v>
      </c>
      <c r="D64" s="1511" t="s">
        <v>912</v>
      </c>
      <c r="E64" s="1511" t="s">
        <v>905</v>
      </c>
      <c r="F64" s="1511" t="s">
        <v>57</v>
      </c>
      <c r="G64" s="1511" t="s">
        <v>902</v>
      </c>
      <c r="H64" s="1511" t="s">
        <v>914</v>
      </c>
      <c r="I64" s="1511" t="s">
        <v>915</v>
      </c>
      <c r="J64" s="1511" t="s">
        <v>912</v>
      </c>
      <c r="K64" s="1511" t="s">
        <v>905</v>
      </c>
      <c r="L64" s="1511" t="s">
        <v>57</v>
      </c>
      <c r="M64" s="1511" t="s">
        <v>902</v>
      </c>
      <c r="N64" s="1511" t="s">
        <v>903</v>
      </c>
      <c r="O64" s="137"/>
      <c r="P64" s="1511" t="s">
        <v>905</v>
      </c>
      <c r="Q64" s="1511" t="s">
        <v>57</v>
      </c>
      <c r="R64" s="1506" t="s">
        <v>208</v>
      </c>
      <c r="S64" s="390" t="s">
        <v>277</v>
      </c>
      <c r="T64" s="137"/>
      <c r="U64" s="1033" t="s">
        <v>922</v>
      </c>
      <c r="V64" s="1033" t="s">
        <v>921</v>
      </c>
      <c r="W64" s="1033" t="s">
        <v>912</v>
      </c>
      <c r="X64" s="1033" t="s">
        <v>905</v>
      </c>
      <c r="Y64" s="1033" t="s">
        <v>57</v>
      </c>
      <c r="Z64" s="1033" t="s">
        <v>902</v>
      </c>
      <c r="AA64" s="1033" t="s">
        <v>914</v>
      </c>
      <c r="AB64" s="1033" t="s">
        <v>915</v>
      </c>
      <c r="AC64" s="1033" t="s">
        <v>912</v>
      </c>
      <c r="AD64" s="1033" t="s">
        <v>905</v>
      </c>
      <c r="AE64" s="1033" t="s">
        <v>57</v>
      </c>
      <c r="AF64" s="1033" t="s">
        <v>902</v>
      </c>
      <c r="AG64" s="1033" t="s">
        <v>903</v>
      </c>
      <c r="AH64" s="17"/>
      <c r="AI64" s="1033" t="s">
        <v>905</v>
      </c>
      <c r="AJ64" s="1033" t="s">
        <v>57</v>
      </c>
      <c r="AK64" s="1507" t="s">
        <v>208</v>
      </c>
      <c r="AL64" s="390" t="s">
        <v>277</v>
      </c>
      <c r="AM64" s="17"/>
      <c r="AN64" s="17"/>
      <c r="AO64" s="17"/>
      <c r="AP64" s="17"/>
      <c r="AQ64" s="17"/>
      <c r="AR64" s="17"/>
      <c r="AS64" s="17"/>
      <c r="AT64" s="17"/>
      <c r="AU64" s="17"/>
      <c r="AV64" s="17"/>
      <c r="AW64" s="17"/>
      <c r="AX64" s="17"/>
      <c r="AY64" s="17"/>
      <c r="AZ64" s="17"/>
      <c r="BA64" s="17"/>
      <c r="BB64" s="17"/>
      <c r="BC64" s="17"/>
      <c r="BD64" s="17"/>
      <c r="BE64" s="17"/>
      <c r="BF64" s="17"/>
    </row>
    <row r="65" spans="1:56" s="186" customFormat="1" ht="13" x14ac:dyDescent="0.35">
      <c r="A65" s="384"/>
      <c r="B65" s="384"/>
      <c r="C65" s="384"/>
      <c r="D65" s="384"/>
      <c r="E65" s="385"/>
      <c r="F65" s="384"/>
      <c r="G65" s="386"/>
      <c r="H65" s="387"/>
      <c r="I65" s="388"/>
      <c r="J65" s="388"/>
      <c r="K65" s="385"/>
      <c r="L65" s="384"/>
      <c r="M65" s="225"/>
      <c r="N65" s="225"/>
      <c r="O65" s="185"/>
      <c r="P65" s="224"/>
      <c r="Q65" s="225"/>
      <c r="R65" s="143"/>
      <c r="S65" s="155"/>
      <c r="T65" s="185"/>
      <c r="U65" s="356"/>
      <c r="V65" s="1514"/>
      <c r="W65" s="356"/>
      <c r="X65" s="224"/>
      <c r="Y65" s="356"/>
      <c r="Z65" s="321"/>
      <c r="AA65" s="383"/>
      <c r="AB65" s="143"/>
      <c r="AC65" s="143"/>
      <c r="AD65" s="224"/>
      <c r="AE65" s="356"/>
      <c r="AF65" s="225"/>
      <c r="AG65" s="225"/>
      <c r="AH65" s="185"/>
      <c r="AI65" s="224"/>
      <c r="AJ65" s="225"/>
      <c r="AK65" s="143"/>
      <c r="AL65" s="155"/>
      <c r="AM65" s="185"/>
      <c r="AN65" s="185"/>
      <c r="AO65" s="185"/>
      <c r="AP65" s="185"/>
      <c r="AQ65" s="185"/>
      <c r="AR65" s="185"/>
      <c r="AS65" s="185"/>
      <c r="AT65" s="185"/>
      <c r="AU65" s="185"/>
      <c r="AV65" s="185"/>
      <c r="AW65" s="185"/>
      <c r="AX65" s="185"/>
      <c r="AY65" s="185"/>
      <c r="AZ65" s="185"/>
      <c r="BA65" s="185"/>
      <c r="BB65" s="185"/>
      <c r="BC65" s="185"/>
    </row>
    <row r="66" spans="1:56" s="184" customFormat="1" ht="17.149999999999999" customHeight="1" x14ac:dyDescent="0.3">
      <c r="A66" s="1038" t="s">
        <v>824</v>
      </c>
      <c r="B66" s="1039">
        <f>SUM(B67:B69)</f>
        <v>1827875</v>
      </c>
      <c r="C66" s="1040">
        <f>SUM(C67:C69)</f>
        <v>913950</v>
      </c>
      <c r="D66" s="1039"/>
      <c r="E66" s="1039">
        <f>SUM(E67:E69)</f>
        <v>45700</v>
      </c>
      <c r="F66" s="1039">
        <f>SUM(F67:F69)</f>
        <v>868250</v>
      </c>
      <c r="G66" s="1039">
        <f>SUM(G67:G69)</f>
        <v>21450</v>
      </c>
      <c r="H66" s="1039">
        <f>SUM(H67:H69)</f>
        <v>846800</v>
      </c>
      <c r="I66" s="1039">
        <f>SUM(I67:I69)</f>
        <v>913925</v>
      </c>
      <c r="J66" s="1039"/>
      <c r="K66" s="1039">
        <f>SUM(K67:K69)</f>
        <v>45700</v>
      </c>
      <c r="L66" s="1039">
        <f>SUM(L67:L69)</f>
        <v>868225</v>
      </c>
      <c r="M66" s="1039">
        <f>SUM(M67:M69)</f>
        <v>21450</v>
      </c>
      <c r="N66" s="1039">
        <f>SUM(N67:N69)</f>
        <v>846775</v>
      </c>
      <c r="O66" s="137"/>
      <c r="P66" s="1039">
        <f>SUM(P67:P69)</f>
        <v>938200</v>
      </c>
      <c r="Q66" s="1039">
        <f>SUM(Q67:Q69)</f>
        <v>889675</v>
      </c>
      <c r="R66" s="1039">
        <f>SUM(R67:R69)</f>
        <v>1827875</v>
      </c>
      <c r="S66" s="1518">
        <f>SUM(S67:S69)</f>
        <v>0</v>
      </c>
      <c r="T66" s="137"/>
      <c r="U66" s="1041">
        <f>SUM(U67:U69)</f>
        <v>1657275</v>
      </c>
      <c r="V66" s="1041">
        <f>SUM(V67:V69)</f>
        <v>0</v>
      </c>
      <c r="W66" s="1041"/>
      <c r="X66" s="1041">
        <f>SUM(X67:X69)</f>
        <v>0</v>
      </c>
      <c r="Y66" s="1041">
        <f>SUM(Y67:Y69)</f>
        <v>0</v>
      </c>
      <c r="Z66" s="1041">
        <f>SUM(Z67:Z69)</f>
        <v>0</v>
      </c>
      <c r="AA66" s="1041">
        <f>SUM(AA67:AA69)</f>
        <v>0</v>
      </c>
      <c r="AB66" s="1042">
        <f>SUM(AB67:AB69)</f>
        <v>1657275</v>
      </c>
      <c r="AC66" s="1042"/>
      <c r="AD66" s="1042">
        <f>SUM(AD67:AD69)</f>
        <v>0</v>
      </c>
      <c r="AE66" s="1042">
        <f>SUM(AE67:AE69)</f>
        <v>1657275</v>
      </c>
      <c r="AF66" s="1042">
        <f>SUM(AF67:AF69)</f>
        <v>40925</v>
      </c>
      <c r="AG66" s="1042">
        <f>SUM(AG67:AG69)</f>
        <v>1616350</v>
      </c>
      <c r="AH66" s="3"/>
      <c r="AI66" s="1041">
        <f>SUM(AI67:AI69)</f>
        <v>0</v>
      </c>
      <c r="AJ66" s="1041">
        <f>SUM(AJ67:AJ69)</f>
        <v>1657275</v>
      </c>
      <c r="AK66" s="1041">
        <f>SUM(AK67:AK69)</f>
        <v>1657275</v>
      </c>
      <c r="AL66" s="1518">
        <f>SUM(AL67:AL69)</f>
        <v>0</v>
      </c>
      <c r="AM66" s="3"/>
      <c r="AN66" s="3"/>
      <c r="AO66" s="3"/>
      <c r="AP66" s="3"/>
      <c r="AQ66" s="3"/>
      <c r="AR66" s="3"/>
      <c r="AS66" s="3"/>
      <c r="AT66" s="3"/>
      <c r="AU66" s="3"/>
      <c r="AV66" s="3"/>
      <c r="AW66" s="3"/>
      <c r="AX66" s="3"/>
      <c r="AY66" s="3"/>
      <c r="AZ66" s="3"/>
      <c r="BA66" s="3"/>
      <c r="BB66" s="3"/>
      <c r="BC66" s="3"/>
      <c r="BD66" s="3"/>
    </row>
    <row r="67" spans="1:56" s="1045" customFormat="1" ht="17.149999999999999" customHeight="1" x14ac:dyDescent="0.35">
      <c r="A67" s="155" t="s">
        <v>822</v>
      </c>
      <c r="B67" s="1522">
        <f>'Capture volumes'!E101</f>
        <v>0</v>
      </c>
      <c r="C67" s="1020">
        <f>ROUND((B67*'User interface_RES'!M37)/25,0)*25</f>
        <v>0</v>
      </c>
      <c r="D67" s="999">
        <f>'User interface_RES'!L37</f>
        <v>0.05</v>
      </c>
      <c r="E67" s="1522">
        <f>ROUND((C67*D67)/25,0)*25</f>
        <v>0</v>
      </c>
      <c r="F67" s="1522">
        <f>C67-E67</f>
        <v>0</v>
      </c>
      <c r="G67" s="1522">
        <f>ROUND((F67*'User interface_RES'!M80)/25,0)*25</f>
        <v>0</v>
      </c>
      <c r="H67" s="1522">
        <f>F67-G67</f>
        <v>0</v>
      </c>
      <c r="I67" s="1522">
        <f>B67-C67</f>
        <v>0</v>
      </c>
      <c r="J67" s="999">
        <f>D67</f>
        <v>0.05</v>
      </c>
      <c r="K67" s="1522">
        <f>ROUND((I67*J67)/25,0)*25</f>
        <v>0</v>
      </c>
      <c r="L67" s="1522">
        <f>I67-K67</f>
        <v>0</v>
      </c>
      <c r="M67" s="1522">
        <f>IF((ROUND((L67*'User interface_RES'!M80)/25,0)*25)&gt;I67,I67-L67,ROUND((L67*'User interface_RES'!M80)/25,0)*25)</f>
        <v>0</v>
      </c>
      <c r="N67" s="1522">
        <f>L67-M67</f>
        <v>0</v>
      </c>
      <c r="O67" s="60"/>
      <c r="P67" s="1020">
        <f>E67+H67+K67</f>
        <v>0</v>
      </c>
      <c r="Q67" s="1020">
        <f>G67+L67</f>
        <v>0</v>
      </c>
      <c r="R67" s="1518">
        <f>SUM(P67:Q67)</f>
        <v>0</v>
      </c>
      <c r="S67" s="1518">
        <f>B67-R67</f>
        <v>0</v>
      </c>
      <c r="T67" s="60"/>
      <c r="U67" s="1522">
        <f>'Capture volumes'!F101</f>
        <v>0</v>
      </c>
      <c r="V67" s="1522">
        <f>ROUND((U67*'User interface_RES'!$M$59)/25,0)*25</f>
        <v>0</v>
      </c>
      <c r="W67" s="956">
        <f>'User interface_RES'!L58</f>
        <v>0</v>
      </c>
      <c r="X67" s="1522">
        <f>ROUND((V67*W67)/25,0)*25</f>
        <v>0</v>
      </c>
      <c r="Y67" s="1522">
        <f>V67-X67</f>
        <v>0</v>
      </c>
      <c r="Z67" s="1522">
        <f>ROUND((Y67*'User interface_RES'!M80)/25,0)*25</f>
        <v>0</v>
      </c>
      <c r="AA67" s="1522">
        <f>Y67-Z67</f>
        <v>0</v>
      </c>
      <c r="AB67" s="1522">
        <f>U67-V67</f>
        <v>0</v>
      </c>
      <c r="AC67" s="999">
        <f>'User interface_RES'!L59</f>
        <v>0</v>
      </c>
      <c r="AD67" s="1522">
        <f>ROUND((AB67*AC67)/25,0)*25</f>
        <v>0</v>
      </c>
      <c r="AE67" s="1522">
        <f>AB67-AD67</f>
        <v>0</v>
      </c>
      <c r="AF67" s="1522">
        <f>ROUND((AE67*'User interface_RES'!M80)/25,0)*25</f>
        <v>0</v>
      </c>
      <c r="AG67" s="1522">
        <f>AE67-AF67</f>
        <v>0</v>
      </c>
      <c r="AH67" s="60"/>
      <c r="AI67" s="1020">
        <f>X67+AA67+AD67</f>
        <v>0</v>
      </c>
      <c r="AJ67" s="1020">
        <f>Z67+AE67</f>
        <v>0</v>
      </c>
      <c r="AK67" s="1518">
        <f>SUM(AI67:AJ67)</f>
        <v>0</v>
      </c>
      <c r="AL67" s="1518">
        <f>U67-AK67</f>
        <v>0</v>
      </c>
      <c r="AM67" s="60"/>
      <c r="AN67" s="60"/>
      <c r="AO67" s="60"/>
      <c r="AP67" s="60"/>
      <c r="AQ67" s="60"/>
      <c r="AR67" s="60"/>
      <c r="AS67" s="60"/>
      <c r="AT67" s="60"/>
      <c r="AU67" s="60"/>
      <c r="AV67" s="60"/>
      <c r="AW67" s="60"/>
      <c r="AX67" s="60"/>
      <c r="AY67" s="60"/>
      <c r="AZ67" s="60"/>
      <c r="BA67" s="60"/>
      <c r="BB67" s="60"/>
      <c r="BC67" s="60"/>
    </row>
    <row r="68" spans="1:56" s="1045" customFormat="1" ht="17.149999999999999" customHeight="1" x14ac:dyDescent="0.35">
      <c r="A68" s="155" t="s">
        <v>823</v>
      </c>
      <c r="B68" s="1522">
        <f>'Capture volumes'!E102</f>
        <v>1827875</v>
      </c>
      <c r="C68" s="1020">
        <f>ROUND((B68*'User interface_RES'!M37)/25,0)*25</f>
        <v>913950</v>
      </c>
      <c r="D68" s="999">
        <f>'User interface_RES'!L37</f>
        <v>0.05</v>
      </c>
      <c r="E68" s="1522">
        <f>ROUND((C68*D68)/25,0)*25</f>
        <v>45700</v>
      </c>
      <c r="F68" s="1522">
        <f>C68-E68</f>
        <v>868250</v>
      </c>
      <c r="G68" s="1522">
        <f>ROUND((F68*'User interface_RES'!M81)/25,0)*25</f>
        <v>21450</v>
      </c>
      <c r="H68" s="1522">
        <f>F68-G68</f>
        <v>846800</v>
      </c>
      <c r="I68" s="1522">
        <f>B68-C68</f>
        <v>913925</v>
      </c>
      <c r="J68" s="999">
        <f>D68</f>
        <v>0.05</v>
      </c>
      <c r="K68" s="1522">
        <f>ROUND((I68*J68)/25,0)*25</f>
        <v>45700</v>
      </c>
      <c r="L68" s="1522">
        <f>I68-K68</f>
        <v>868225</v>
      </c>
      <c r="M68" s="1522">
        <f>IF((ROUND((L68*'User interface_RES'!M81)/25,0)*25)&gt;I68,I68-L68,ROUND((L68*'User interface_RES'!M81)/25,0)*25)</f>
        <v>21450</v>
      </c>
      <c r="N68" s="1522">
        <f>L68-M68</f>
        <v>846775</v>
      </c>
      <c r="O68" s="60"/>
      <c r="P68" s="1020">
        <f>E68+H68+K68</f>
        <v>938200</v>
      </c>
      <c r="Q68" s="1020">
        <f>G68+L68</f>
        <v>889675</v>
      </c>
      <c r="R68" s="1518">
        <f>SUM(P68:Q68)</f>
        <v>1827875</v>
      </c>
      <c r="S68" s="1518">
        <f>B68-R68</f>
        <v>0</v>
      </c>
      <c r="T68" s="60"/>
      <c r="U68" s="1522">
        <f>'Capture volumes'!F102</f>
        <v>1657275</v>
      </c>
      <c r="V68" s="1522">
        <f>ROUND((U68*'User interface_RES'!$M$59)/25,0)*25</f>
        <v>0</v>
      </c>
      <c r="W68" s="956">
        <f>'User interface_RES'!L58</f>
        <v>0</v>
      </c>
      <c r="X68" s="1522">
        <f>ROUND((V68*W68)/25,0)*25</f>
        <v>0</v>
      </c>
      <c r="Y68" s="1522">
        <f>V68-X68</f>
        <v>0</v>
      </c>
      <c r="Z68" s="1522">
        <f>ROUND((Y68*'User interface_RES'!M81)/25,0)*25</f>
        <v>0</v>
      </c>
      <c r="AA68" s="1522">
        <f>Y68-Z68</f>
        <v>0</v>
      </c>
      <c r="AB68" s="1522">
        <f>U68-V68</f>
        <v>1657275</v>
      </c>
      <c r="AC68" s="999">
        <f>'User interface_RES'!L59</f>
        <v>0</v>
      </c>
      <c r="AD68" s="1522">
        <f>ROUND((AB68*AC68)/25,0)*25</f>
        <v>0</v>
      </c>
      <c r="AE68" s="1522">
        <f>AB68-AD68</f>
        <v>1657275</v>
      </c>
      <c r="AF68" s="1522">
        <f>ROUND((AE68*'User interface_RES'!M81)/25,0)*25</f>
        <v>40925</v>
      </c>
      <c r="AG68" s="1522">
        <f>ROUND((AE68-AF68)/25,0)*25</f>
        <v>1616350</v>
      </c>
      <c r="AH68" s="60"/>
      <c r="AI68" s="1020">
        <f>X68+AA68+AD68</f>
        <v>0</v>
      </c>
      <c r="AJ68" s="1020">
        <f>Z68+AE68</f>
        <v>1657275</v>
      </c>
      <c r="AK68" s="1518">
        <f>SUM(AI68:AJ68)</f>
        <v>1657275</v>
      </c>
      <c r="AL68" s="1518">
        <f>U68-AK68</f>
        <v>0</v>
      </c>
      <c r="AM68" s="60"/>
      <c r="AN68" s="60"/>
      <c r="AO68" s="60"/>
      <c r="AP68" s="60"/>
      <c r="AQ68" s="60"/>
      <c r="AR68" s="60"/>
      <c r="AS68" s="60"/>
      <c r="AT68" s="60"/>
      <c r="AU68" s="60"/>
      <c r="AV68" s="60"/>
      <c r="AW68" s="60"/>
      <c r="AX68" s="60"/>
      <c r="AY68" s="60"/>
      <c r="AZ68" s="60"/>
      <c r="BA68" s="60"/>
      <c r="BB68" s="60"/>
      <c r="BC68" s="60"/>
    </row>
    <row r="69" spans="1:56" s="1045" customFormat="1" ht="17.149999999999999" customHeight="1" x14ac:dyDescent="0.35">
      <c r="A69" s="155" t="s">
        <v>825</v>
      </c>
      <c r="B69" s="1522">
        <f>'Capture volumes'!E103</f>
        <v>0</v>
      </c>
      <c r="C69" s="1020">
        <f>ROUND((B69*'User interface_RES'!M37)/25,0)*25</f>
        <v>0</v>
      </c>
      <c r="D69" s="999">
        <f>'User interface_RES'!L37</f>
        <v>0.05</v>
      </c>
      <c r="E69" s="1522">
        <f>ROUND((C69*D69)/25,0)*25</f>
        <v>0</v>
      </c>
      <c r="F69" s="1522">
        <f>C69-E69</f>
        <v>0</v>
      </c>
      <c r="G69" s="1522">
        <f>ROUND((F69*'User interface_RES'!M82)/25,0)*25</f>
        <v>0</v>
      </c>
      <c r="H69" s="1522">
        <f>F69-G69</f>
        <v>0</v>
      </c>
      <c r="I69" s="1522">
        <f>B69-C69</f>
        <v>0</v>
      </c>
      <c r="J69" s="999">
        <f>D69</f>
        <v>0.05</v>
      </c>
      <c r="K69" s="1522">
        <f>ROUND((I69*J69)/25,0)*25</f>
        <v>0</v>
      </c>
      <c r="L69" s="1522">
        <f>I69-K69</f>
        <v>0</v>
      </c>
      <c r="M69" s="1522">
        <f>IF((ROUND((L69*'User interface_RES'!M82)/25,0)*25)&gt;I69,I69-L69,ROUND((L69*'User interface_RES'!M82)/25,0)*25)</f>
        <v>0</v>
      </c>
      <c r="N69" s="1522">
        <f>L69-M69</f>
        <v>0</v>
      </c>
      <c r="O69" s="60"/>
      <c r="P69" s="1020">
        <f>E69+H69+K69</f>
        <v>0</v>
      </c>
      <c r="Q69" s="1020">
        <f>G69+L69</f>
        <v>0</v>
      </c>
      <c r="R69" s="1518">
        <f>SUM(P69:Q69)</f>
        <v>0</v>
      </c>
      <c r="S69" s="1518">
        <f>B69-R69</f>
        <v>0</v>
      </c>
      <c r="T69" s="60"/>
      <c r="U69" s="1522">
        <f>'Capture volumes'!F103</f>
        <v>0</v>
      </c>
      <c r="V69" s="1522">
        <f>ROUND((U69*'User interface_RES'!$M$59)/25,0)*25</f>
        <v>0</v>
      </c>
      <c r="W69" s="956">
        <f>'User interface_RES'!L58</f>
        <v>0</v>
      </c>
      <c r="X69" s="1522">
        <f>ROUND((V69*W69)/25,0)*25</f>
        <v>0</v>
      </c>
      <c r="Y69" s="1522">
        <f>V69-X69</f>
        <v>0</v>
      </c>
      <c r="Z69" s="1522">
        <f>ROUND((Y69*'User interface_RES'!M82)/25,0)*25</f>
        <v>0</v>
      </c>
      <c r="AA69" s="1522">
        <f>Y69-Z69</f>
        <v>0</v>
      </c>
      <c r="AB69" s="1522">
        <f>U69-V69</f>
        <v>0</v>
      </c>
      <c r="AC69" s="999">
        <f>'User interface_RES'!L59</f>
        <v>0</v>
      </c>
      <c r="AD69" s="1522">
        <f>ROUND((AB69*AC69)/25,0)*25</f>
        <v>0</v>
      </c>
      <c r="AE69" s="1522">
        <f>AB69-AD69</f>
        <v>0</v>
      </c>
      <c r="AF69" s="1522">
        <f>ROUND((AE69*'User interface_RES'!M82)/25,0)*25</f>
        <v>0</v>
      </c>
      <c r="AG69" s="1522">
        <f>AE69-AF69</f>
        <v>0</v>
      </c>
      <c r="AH69" s="60"/>
      <c r="AI69" s="1020">
        <f>X69+AA69+AD69</f>
        <v>0</v>
      </c>
      <c r="AJ69" s="1020">
        <f>Z69+AE69</f>
        <v>0</v>
      </c>
      <c r="AK69" s="1518">
        <f>SUM(AI69:AJ69)</f>
        <v>0</v>
      </c>
      <c r="AL69" s="1518">
        <f>U69-AK69</f>
        <v>0</v>
      </c>
      <c r="AM69" s="60"/>
      <c r="AN69" s="60"/>
      <c r="AO69" s="60"/>
      <c r="AP69" s="60"/>
      <c r="AQ69" s="60"/>
      <c r="AR69" s="60"/>
      <c r="AS69" s="60"/>
      <c r="AT69" s="60"/>
      <c r="AU69" s="60"/>
      <c r="AV69" s="60"/>
      <c r="AW69" s="60"/>
      <c r="AX69" s="60"/>
      <c r="AY69" s="60"/>
      <c r="AZ69" s="60"/>
      <c r="BA69" s="60"/>
      <c r="BB69" s="60"/>
      <c r="BC69" s="60"/>
    </row>
    <row r="70" spans="1:56" s="184" customFormat="1" ht="17.149999999999999" customHeight="1" x14ac:dyDescent="0.3">
      <c r="A70" s="1038" t="s">
        <v>830</v>
      </c>
      <c r="B70" s="1039">
        <f>SUM(B71:B73)</f>
        <v>0</v>
      </c>
      <c r="C70" s="1040">
        <f>SUM(C71:C73)</f>
        <v>0</v>
      </c>
      <c r="D70" s="1039"/>
      <c r="E70" s="1039">
        <f>SUM(E71:E73)</f>
        <v>0</v>
      </c>
      <c r="F70" s="1039">
        <f>SUM(F71:F73)</f>
        <v>0</v>
      </c>
      <c r="G70" s="1039">
        <f>SUM(G71:G73)</f>
        <v>0</v>
      </c>
      <c r="H70" s="1039">
        <f>SUM(H71:H73)</f>
        <v>0</v>
      </c>
      <c r="I70" s="1039">
        <f>SUM(I71:I73)</f>
        <v>0</v>
      </c>
      <c r="J70" s="1039"/>
      <c r="K70" s="1039">
        <f>SUM(K71:K73)</f>
        <v>0</v>
      </c>
      <c r="L70" s="1039">
        <f>SUM(L71:L73)</f>
        <v>0</v>
      </c>
      <c r="M70" s="1039">
        <f>SUM(M71:M73)</f>
        <v>0</v>
      </c>
      <c r="N70" s="1039">
        <f>SUM(N71:N73)</f>
        <v>0</v>
      </c>
      <c r="O70" s="137"/>
      <c r="P70" s="1039">
        <f>SUM(P71:P73)</f>
        <v>0</v>
      </c>
      <c r="Q70" s="1039">
        <f>SUM(Q71:Q73)</f>
        <v>0</v>
      </c>
      <c r="R70" s="1039">
        <f>SUM(R71:R73)</f>
        <v>0</v>
      </c>
      <c r="S70" s="1518">
        <f>SUM(S71:S73)</f>
        <v>0</v>
      </c>
      <c r="T70" s="137"/>
      <c r="U70" s="1041">
        <f>SUM(U71:U73)</f>
        <v>0</v>
      </c>
      <c r="V70" s="1041">
        <f>SUM(V71:V73)</f>
        <v>0</v>
      </c>
      <c r="W70" s="1041"/>
      <c r="X70" s="1041">
        <f>SUM(X71:X73)</f>
        <v>0</v>
      </c>
      <c r="Y70" s="1041">
        <f>SUM(Y71:Y73)</f>
        <v>0</v>
      </c>
      <c r="Z70" s="1041">
        <f>SUM(Z71:Z73)</f>
        <v>0</v>
      </c>
      <c r="AA70" s="1041">
        <f>SUM(AA71:AA73)</f>
        <v>0</v>
      </c>
      <c r="AB70" s="1042">
        <f>SUM(AB71:AB73)</f>
        <v>0</v>
      </c>
      <c r="AC70" s="1042"/>
      <c r="AD70" s="1042">
        <f>SUM(AD71:AD73)</f>
        <v>0</v>
      </c>
      <c r="AE70" s="1042">
        <f>SUM(AE71:AE73)</f>
        <v>0</v>
      </c>
      <c r="AF70" s="1042">
        <f>SUM(AF71:AF73)</f>
        <v>0</v>
      </c>
      <c r="AG70" s="1042">
        <f>SUM(AG71:AG73)</f>
        <v>0</v>
      </c>
      <c r="AH70" s="3"/>
      <c r="AI70" s="1041">
        <f>SUM(AI71:AI73)</f>
        <v>0</v>
      </c>
      <c r="AJ70" s="1041">
        <f>SUM(AJ71:AJ73)</f>
        <v>0</v>
      </c>
      <c r="AK70" s="1041">
        <f>SUM(AK71:AK73)</f>
        <v>0</v>
      </c>
      <c r="AL70" s="1518">
        <f>SUM(AL71:AL73)</f>
        <v>0</v>
      </c>
      <c r="AM70" s="3"/>
      <c r="AN70" s="3"/>
      <c r="AO70" s="3"/>
      <c r="AP70" s="3"/>
      <c r="AQ70" s="3"/>
      <c r="AR70" s="3"/>
      <c r="AS70" s="3"/>
      <c r="AT70" s="3"/>
      <c r="AU70" s="3"/>
      <c r="AV70" s="3"/>
      <c r="AW70" s="3"/>
      <c r="AX70" s="3"/>
      <c r="AY70" s="3"/>
      <c r="AZ70" s="3"/>
      <c r="BA70" s="3"/>
      <c r="BB70" s="3"/>
      <c r="BC70" s="3"/>
      <c r="BD70" s="3"/>
    </row>
    <row r="71" spans="1:56" s="1045" customFormat="1" ht="17.149999999999999" customHeight="1" x14ac:dyDescent="0.35">
      <c r="A71" s="155" t="s">
        <v>827</v>
      </c>
      <c r="B71" s="1522">
        <f>'Capture volumes'!E111</f>
        <v>0</v>
      </c>
      <c r="C71" s="1020">
        <f>ROUND((B71*'User interface_RES'!M41)/25,0)*25</f>
        <v>0</v>
      </c>
      <c r="D71" s="999">
        <f>'User interface_RES'!L41</f>
        <v>0</v>
      </c>
      <c r="E71" s="1522">
        <f>ROUND((C71*D71)/25,0)*25</f>
        <v>0</v>
      </c>
      <c r="F71" s="1522">
        <f>C71-E71</f>
        <v>0</v>
      </c>
      <c r="G71" s="1522">
        <f>ROUND((F71*'User interface_RES'!M84)/25,0)*25</f>
        <v>0</v>
      </c>
      <c r="H71" s="1522">
        <f>F71-G71</f>
        <v>0</v>
      </c>
      <c r="I71" s="1522">
        <f>B71-C71</f>
        <v>0</v>
      </c>
      <c r="J71" s="999">
        <f>D71</f>
        <v>0</v>
      </c>
      <c r="K71" s="1522">
        <f>ROUND((I71*J71)/25,0)*25</f>
        <v>0</v>
      </c>
      <c r="L71" s="1522">
        <f>I71-K71</f>
        <v>0</v>
      </c>
      <c r="M71" s="1522">
        <f>IF((ROUND((L71*'User interface_RES'!M84)/25,0)*25)&gt;I71,I71-L71,ROUND((L71*'User interface_RES'!M84)/25,0)*25)</f>
        <v>0</v>
      </c>
      <c r="N71" s="1522">
        <f>L71-M71</f>
        <v>0</v>
      </c>
      <c r="O71" s="60"/>
      <c r="P71" s="1020">
        <f>E71+H71+K71</f>
        <v>0</v>
      </c>
      <c r="Q71" s="1020">
        <f>G71+L71</f>
        <v>0</v>
      </c>
      <c r="R71" s="1518">
        <f>SUM(P71:Q71)</f>
        <v>0</v>
      </c>
      <c r="S71" s="1518">
        <f>B71-R71</f>
        <v>0</v>
      </c>
      <c r="T71" s="60"/>
      <c r="U71" s="1522">
        <f>'Capture volumes'!F111</f>
        <v>0</v>
      </c>
      <c r="V71" s="1522">
        <f>ROUND((U71*'User interface_RES'!$M$89)/25,0)*25</f>
        <v>0</v>
      </c>
      <c r="W71" s="956">
        <f>'User interface_RES'!L63</f>
        <v>0</v>
      </c>
      <c r="X71" s="1522">
        <f>ROUND((V71*W71)/25,0)*25</f>
        <v>0</v>
      </c>
      <c r="Y71" s="1522">
        <f>V71-X71</f>
        <v>0</v>
      </c>
      <c r="Z71" s="1522">
        <f>ROUND((Y71*'User interface_RES'!M84)/25,0)*25</f>
        <v>0</v>
      </c>
      <c r="AA71" s="1522">
        <f>Y71-Z71</f>
        <v>0</v>
      </c>
      <c r="AB71" s="1522">
        <f>U71-V71</f>
        <v>0</v>
      </c>
      <c r="AC71" s="999">
        <f>'User interface_RES'!L62</f>
        <v>0</v>
      </c>
      <c r="AD71" s="1522">
        <f>ROUND((AB71*AC71)/25,0)*25</f>
        <v>0</v>
      </c>
      <c r="AE71" s="1522">
        <f>AB71-AD71</f>
        <v>0</v>
      </c>
      <c r="AF71" s="1522">
        <f>ROUND((AE71*'User interface_RES'!M84)/25,0)*25</f>
        <v>0</v>
      </c>
      <c r="AG71" s="1522">
        <f>AE71-AF71</f>
        <v>0</v>
      </c>
      <c r="AH71" s="60"/>
      <c r="AI71" s="1020">
        <f>X71+AA71+AD71</f>
        <v>0</v>
      </c>
      <c r="AJ71" s="1020">
        <f>Z71+AE71</f>
        <v>0</v>
      </c>
      <c r="AK71" s="1518">
        <f>SUM(AI71:AJ71)</f>
        <v>0</v>
      </c>
      <c r="AL71" s="1518">
        <f>U71-AK71</f>
        <v>0</v>
      </c>
      <c r="AM71" s="60"/>
      <c r="AN71" s="60"/>
      <c r="AO71" s="60"/>
      <c r="AP71" s="60"/>
      <c r="AQ71" s="60"/>
      <c r="AR71" s="60"/>
      <c r="AS71" s="60"/>
      <c r="AT71" s="60"/>
      <c r="AU71" s="60"/>
      <c r="AV71" s="60"/>
      <c r="AW71" s="60"/>
      <c r="AX71" s="60"/>
      <c r="AY71" s="60"/>
      <c r="AZ71" s="60"/>
      <c r="BA71" s="60"/>
      <c r="BB71" s="60"/>
      <c r="BC71" s="60"/>
    </row>
    <row r="72" spans="1:56" s="1045" customFormat="1" ht="17.149999999999999" customHeight="1" x14ac:dyDescent="0.35">
      <c r="A72" s="155" t="s">
        <v>828</v>
      </c>
      <c r="B72" s="1522">
        <f>'Capture volumes'!E112</f>
        <v>0</v>
      </c>
      <c r="C72" s="1020">
        <f>ROUND((B72*'User interface_RES'!M41)/25,0)*25</f>
        <v>0</v>
      </c>
      <c r="D72" s="999">
        <f>'User interface_RES'!L41</f>
        <v>0</v>
      </c>
      <c r="E72" s="1522">
        <f>ROUND((C72*D72)/25,0)*25</f>
        <v>0</v>
      </c>
      <c r="F72" s="1522">
        <f>C72-E72</f>
        <v>0</v>
      </c>
      <c r="G72" s="1522">
        <f>ROUND((F72*'User interface_RES'!M85)/25,0)*25</f>
        <v>0</v>
      </c>
      <c r="H72" s="1522">
        <f>F72-G72</f>
        <v>0</v>
      </c>
      <c r="I72" s="1522">
        <f>B72-C72</f>
        <v>0</v>
      </c>
      <c r="J72" s="999">
        <f>D72</f>
        <v>0</v>
      </c>
      <c r="K72" s="1522">
        <f>ROUND((I72*J72)/25,0)*25</f>
        <v>0</v>
      </c>
      <c r="L72" s="1522">
        <f>I72-K72</f>
        <v>0</v>
      </c>
      <c r="M72" s="1522">
        <f>IF((ROUND((L72*'User interface_RES'!M85)/25,0)*25)&gt;I72,I72-L72,ROUND((L72*'User interface_RES'!M85)/25,0)*25)</f>
        <v>0</v>
      </c>
      <c r="N72" s="1522">
        <f>L72-M72</f>
        <v>0</v>
      </c>
      <c r="O72" s="60"/>
      <c r="P72" s="1020">
        <f>E72+H72+K72</f>
        <v>0</v>
      </c>
      <c r="Q72" s="1020">
        <f>G72+L72</f>
        <v>0</v>
      </c>
      <c r="R72" s="1518">
        <f>SUM(P72:Q72)</f>
        <v>0</v>
      </c>
      <c r="S72" s="1518">
        <f>B72-R72</f>
        <v>0</v>
      </c>
      <c r="T72" s="60"/>
      <c r="U72" s="1522">
        <f>'Capture volumes'!F112</f>
        <v>0</v>
      </c>
      <c r="V72" s="1522">
        <f>ROUND((U72*'User interface_Non-RES'!$M$58)/25,0)*25</f>
        <v>0</v>
      </c>
      <c r="W72" s="956">
        <f>'User interface_RES'!L63</f>
        <v>0</v>
      </c>
      <c r="X72" s="1522">
        <f>ROUND((V72*W72)/25,0)*25</f>
        <v>0</v>
      </c>
      <c r="Y72" s="1522">
        <f>V72-X72</f>
        <v>0</v>
      </c>
      <c r="Z72" s="1522">
        <f>ROUND((Y72*'User interface_RES'!M85)/25,0)*25</f>
        <v>0</v>
      </c>
      <c r="AA72" s="1522">
        <f>Y72-Z72</f>
        <v>0</v>
      </c>
      <c r="AB72" s="1522">
        <f>U72-V72</f>
        <v>0</v>
      </c>
      <c r="AC72" s="999">
        <f>'User interface_RES'!L62</f>
        <v>0</v>
      </c>
      <c r="AD72" s="1522">
        <f>ROUND((AB72*AC72)/25,0)*25</f>
        <v>0</v>
      </c>
      <c r="AE72" s="1522">
        <f>AB72-AD72</f>
        <v>0</v>
      </c>
      <c r="AF72" s="1522">
        <f>ROUND((AE72*'User interface_RES'!M85)/25,0)*25</f>
        <v>0</v>
      </c>
      <c r="AG72" s="1522">
        <f>AE72-AF72</f>
        <v>0</v>
      </c>
      <c r="AH72" s="60"/>
      <c r="AI72" s="1020">
        <f>X72+AA72+AD72</f>
        <v>0</v>
      </c>
      <c r="AJ72" s="1020">
        <f>Z72+AE72</f>
        <v>0</v>
      </c>
      <c r="AK72" s="1518">
        <f>SUM(AI72:AJ72)</f>
        <v>0</v>
      </c>
      <c r="AL72" s="1518">
        <f>U72-AK72</f>
        <v>0</v>
      </c>
      <c r="AM72" s="60"/>
      <c r="AN72" s="60"/>
      <c r="AO72" s="60"/>
      <c r="AP72" s="60"/>
      <c r="AQ72" s="60"/>
      <c r="AR72" s="60"/>
      <c r="AS72" s="60"/>
      <c r="AT72" s="60"/>
      <c r="AU72" s="60"/>
      <c r="AV72" s="60"/>
      <c r="AW72" s="60"/>
      <c r="AX72" s="60"/>
      <c r="AY72" s="60"/>
      <c r="AZ72" s="60"/>
      <c r="BA72" s="60"/>
      <c r="BB72" s="60"/>
      <c r="BC72" s="60"/>
    </row>
    <row r="73" spans="1:56" s="1045" customFormat="1" ht="17.149999999999999" customHeight="1" x14ac:dyDescent="0.35">
      <c r="A73" s="155" t="s">
        <v>831</v>
      </c>
      <c r="B73" s="1522">
        <f>'Capture volumes'!E113</f>
        <v>0</v>
      </c>
      <c r="C73" s="1020">
        <f>ROUND((B73*'User interface_RES'!M41)/25,0)*25</f>
        <v>0</v>
      </c>
      <c r="D73" s="999">
        <f>'User interface_RES'!L41</f>
        <v>0</v>
      </c>
      <c r="E73" s="1522">
        <f>ROUND((C73*D73)/25,0)*25</f>
        <v>0</v>
      </c>
      <c r="F73" s="1522">
        <f>C73-E73</f>
        <v>0</v>
      </c>
      <c r="G73" s="1522">
        <f>ROUND((F73*'User interface_RES'!M86)/25,0)*25</f>
        <v>0</v>
      </c>
      <c r="H73" s="1522">
        <f>F73-G73</f>
        <v>0</v>
      </c>
      <c r="I73" s="1522">
        <f>B73-C73</f>
        <v>0</v>
      </c>
      <c r="J73" s="999">
        <f>D73</f>
        <v>0</v>
      </c>
      <c r="K73" s="1522">
        <f>ROUND((I73*J73)/25,0)*25</f>
        <v>0</v>
      </c>
      <c r="L73" s="1522">
        <f>I73-K73</f>
        <v>0</v>
      </c>
      <c r="M73" s="1522">
        <f>IF((ROUND((L73*'User interface_RES'!M86)/25,0)*25)&gt;I73,I73-L73,ROUND((L73*'User interface_RES'!M86)/25,0)*25)</f>
        <v>0</v>
      </c>
      <c r="N73" s="1522">
        <f>L73-M73</f>
        <v>0</v>
      </c>
      <c r="O73" s="60"/>
      <c r="P73" s="1020">
        <f>E73+H73+K73</f>
        <v>0</v>
      </c>
      <c r="Q73" s="1020">
        <f>G73+L73</f>
        <v>0</v>
      </c>
      <c r="R73" s="1518">
        <f>SUM(P73:Q73)</f>
        <v>0</v>
      </c>
      <c r="S73" s="1518">
        <f>B73-R73</f>
        <v>0</v>
      </c>
      <c r="T73" s="60"/>
      <c r="U73" s="1522">
        <f>'Capture volumes'!F113</f>
        <v>0</v>
      </c>
      <c r="V73" s="1522">
        <f>ROUND((U73*'User interface_Non-RES'!$M$58)/25,0)*25</f>
        <v>0</v>
      </c>
      <c r="W73" s="956">
        <f>'User interface_RES'!L63</f>
        <v>0</v>
      </c>
      <c r="X73" s="1522">
        <f>ROUND((V73*W73)/25,0)*25</f>
        <v>0</v>
      </c>
      <c r="Y73" s="1522">
        <f>V73-X73</f>
        <v>0</v>
      </c>
      <c r="Z73" s="1522">
        <f>ROUND((Y73*'User interface_RES'!M86)/25,0)*25</f>
        <v>0</v>
      </c>
      <c r="AA73" s="1522">
        <f>Y73-Z73</f>
        <v>0</v>
      </c>
      <c r="AB73" s="1522">
        <f>U73-V73</f>
        <v>0</v>
      </c>
      <c r="AC73" s="999">
        <f>'User interface_RES'!L62</f>
        <v>0</v>
      </c>
      <c r="AD73" s="1522">
        <f>ROUND((AB73*AC73)/25,0)*25</f>
        <v>0</v>
      </c>
      <c r="AE73" s="1522">
        <f>AB73-AD73</f>
        <v>0</v>
      </c>
      <c r="AF73" s="1522">
        <f>ROUND((AE73*'User interface_RES'!M86)/25,0)*25</f>
        <v>0</v>
      </c>
      <c r="AG73" s="1522">
        <f>AE73-AF73</f>
        <v>0</v>
      </c>
      <c r="AH73" s="60"/>
      <c r="AI73" s="1020">
        <f>X73+AA73+AD73</f>
        <v>0</v>
      </c>
      <c r="AJ73" s="1020">
        <f>Z73+AE73</f>
        <v>0</v>
      </c>
      <c r="AK73" s="1518">
        <f>SUM(AI73:AJ73)</f>
        <v>0</v>
      </c>
      <c r="AL73" s="1518">
        <f>U73-AK73</f>
        <v>0</v>
      </c>
      <c r="AM73" s="60"/>
      <c r="AN73" s="60"/>
      <c r="AO73" s="60"/>
      <c r="AP73" s="60"/>
      <c r="AQ73" s="60"/>
      <c r="AR73" s="60"/>
      <c r="AS73" s="60"/>
      <c r="AT73" s="60"/>
      <c r="AU73" s="60"/>
      <c r="AV73" s="60"/>
      <c r="AW73" s="60"/>
      <c r="AX73" s="60"/>
      <c r="AY73" s="60"/>
      <c r="AZ73" s="60"/>
      <c r="BA73" s="60"/>
      <c r="BB73" s="60"/>
      <c r="BC73" s="60"/>
    </row>
    <row r="74" spans="1:56" s="27" customFormat="1" ht="17.149999999999999" customHeight="1" x14ac:dyDescent="0.3">
      <c r="A74" s="1036" t="s">
        <v>361</v>
      </c>
      <c r="B74" s="1037">
        <f>B70+B66</f>
        <v>1827875</v>
      </c>
      <c r="C74" s="1037">
        <f>C70+C66</f>
        <v>913950</v>
      </c>
      <c r="D74" s="1037"/>
      <c r="E74" s="1037">
        <f>E70+E66</f>
        <v>45700</v>
      </c>
      <c r="F74" s="1037">
        <f>F70+F66</f>
        <v>868250</v>
      </c>
      <c r="G74" s="1037">
        <f>G70+G66</f>
        <v>21450</v>
      </c>
      <c r="H74" s="1037">
        <f>H70+H66</f>
        <v>846800</v>
      </c>
      <c r="I74" s="1037">
        <f>I70+I66</f>
        <v>913925</v>
      </c>
      <c r="J74" s="1037"/>
      <c r="K74" s="1037">
        <f>K70+K66</f>
        <v>45700</v>
      </c>
      <c r="L74" s="1037">
        <f>L70+L66</f>
        <v>868225</v>
      </c>
      <c r="M74" s="1037">
        <f>M70+M66</f>
        <v>21450</v>
      </c>
      <c r="N74" s="1037">
        <f>N70+N66</f>
        <v>846775</v>
      </c>
      <c r="O74" s="137"/>
      <c r="P74" s="1037">
        <f>P70+P66</f>
        <v>938200</v>
      </c>
      <c r="Q74" s="1037">
        <f>Q70+Q66</f>
        <v>889675</v>
      </c>
      <c r="R74" s="1037">
        <f>R70+R66</f>
        <v>1827875</v>
      </c>
      <c r="S74" s="1518">
        <f>B74-R74</f>
        <v>0</v>
      </c>
      <c r="T74" s="137"/>
      <c r="U74" s="1034">
        <f>U70+U66</f>
        <v>1657275</v>
      </c>
      <c r="V74" s="1034">
        <f>V70+V66</f>
        <v>0</v>
      </c>
      <c r="W74" s="1034"/>
      <c r="X74" s="1034">
        <f>X70+X66</f>
        <v>0</v>
      </c>
      <c r="Y74" s="1034">
        <f>Y70+Y66</f>
        <v>0</v>
      </c>
      <c r="Z74" s="1034">
        <f>Z70+Z66</f>
        <v>0</v>
      </c>
      <c r="AA74" s="1034">
        <f>AA70+AA66</f>
        <v>0</v>
      </c>
      <c r="AB74" s="1034">
        <f>AB70+AB66</f>
        <v>1657275</v>
      </c>
      <c r="AC74" s="1034"/>
      <c r="AD74" s="1034">
        <f>AD70+AD66</f>
        <v>0</v>
      </c>
      <c r="AE74" s="1034">
        <f>AE70+AE66</f>
        <v>1657275</v>
      </c>
      <c r="AF74" s="1034">
        <f>AF70+AF66</f>
        <v>40925</v>
      </c>
      <c r="AG74" s="1034">
        <f>AG70+AG66</f>
        <v>1616350</v>
      </c>
      <c r="AH74" s="12"/>
      <c r="AI74" s="1034">
        <f>AI70+AI66</f>
        <v>0</v>
      </c>
      <c r="AJ74" s="1034">
        <f>AJ70+AJ66</f>
        <v>1657275</v>
      </c>
      <c r="AK74" s="1035">
        <f>AK70+AK66</f>
        <v>1657275</v>
      </c>
      <c r="AL74" s="1518">
        <f>U74-AK74</f>
        <v>0</v>
      </c>
      <c r="AM74" s="12"/>
      <c r="AN74" s="12"/>
      <c r="AO74" s="12"/>
      <c r="AP74" s="12"/>
      <c r="AQ74" s="12"/>
      <c r="AR74" s="12"/>
      <c r="AS74" s="12"/>
      <c r="AT74" s="12"/>
      <c r="AU74" s="12"/>
      <c r="AV74" s="12"/>
      <c r="AW74" s="12"/>
      <c r="AX74" s="12"/>
      <c r="AY74" s="12"/>
      <c r="AZ74" s="12"/>
      <c r="BA74" s="12"/>
      <c r="BB74" s="12"/>
      <c r="BC74" s="12"/>
      <c r="BD74" s="12"/>
    </row>
    <row r="75" spans="1:56" s="184" customFormat="1" ht="17.149999999999999" customHeight="1" x14ac:dyDescent="0.35">
      <c r="A75" s="122"/>
      <c r="B75" s="172">
        <f>IF(B74=0,0,B74/B74)</f>
        <v>1</v>
      </c>
      <c r="C75" s="370">
        <f>IF(B74=0,0,C74/B74)</f>
        <v>0.50000683854202288</v>
      </c>
      <c r="D75" s="172"/>
      <c r="E75" s="172">
        <f>IF(B74=0,0,E74/B74)</f>
        <v>2.5001709635505711E-2</v>
      </c>
      <c r="F75" s="172">
        <f>IF(B74=0,0,F74/B74)</f>
        <v>0.47500512890651714</v>
      </c>
      <c r="G75" s="172"/>
      <c r="H75" s="172"/>
      <c r="I75" s="172">
        <f>IF(B74=0,0,I74/B74)</f>
        <v>0.49999316145797718</v>
      </c>
      <c r="J75" s="172"/>
      <c r="K75" s="172">
        <f>IF(B74=0,0,K74/B74)</f>
        <v>2.5001709635505711E-2</v>
      </c>
      <c r="L75" s="172">
        <f>IF(B74=0,0,L74/B74)</f>
        <v>0.47499145182247143</v>
      </c>
      <c r="M75" s="143"/>
      <c r="N75" s="143"/>
      <c r="O75" s="3"/>
      <c r="P75" s="172">
        <f>IF(B74=0,0,P74/B74)</f>
        <v>0.51327361006633387</v>
      </c>
      <c r="Q75" s="370">
        <f>IF(B74=0,0,Q74/B74)</f>
        <v>0.48672638993366613</v>
      </c>
      <c r="R75" s="370">
        <f>IF(B74=0,0,R74/B74)</f>
        <v>1</v>
      </c>
      <c r="S75" s="391"/>
      <c r="T75" s="3"/>
      <c r="U75" s="172">
        <f>IF(U74=0,0,U74/U74)</f>
        <v>1</v>
      </c>
      <c r="V75" s="370">
        <f>IF(U74=0,0,V74/U74)</f>
        <v>0</v>
      </c>
      <c r="W75" s="172"/>
      <c r="X75" s="172">
        <f>IF(U74=0,0,X74/U74)</f>
        <v>0</v>
      </c>
      <c r="Y75" s="172">
        <f>IF(U74=0,0,Y74/U74)</f>
        <v>0</v>
      </c>
      <c r="Z75" s="172"/>
      <c r="AA75" s="172"/>
      <c r="AB75" s="172">
        <f>IF(U74=0,0,AB74/U74)</f>
        <v>1</v>
      </c>
      <c r="AC75" s="172"/>
      <c r="AD75" s="172">
        <f>IF(U74=0,0,AD74/U74)</f>
        <v>0</v>
      </c>
      <c r="AE75" s="172">
        <f>IF(U74=0,0,AE74/U74)</f>
        <v>1</v>
      </c>
      <c r="AF75" s="143"/>
      <c r="AG75" s="143"/>
      <c r="AH75" s="3"/>
      <c r="AI75" s="172">
        <f>IF(U74=0,0,AI74/U74)</f>
        <v>0</v>
      </c>
      <c r="AJ75" s="370">
        <f>IF(U74=0,0,AJ74/U74)</f>
        <v>1</v>
      </c>
      <c r="AK75" s="370">
        <f>IF(U74=0,0,AK74/U74)</f>
        <v>1</v>
      </c>
      <c r="AL75" s="391"/>
      <c r="AM75" s="3"/>
      <c r="AN75" s="3"/>
      <c r="AO75" s="3"/>
      <c r="AP75" s="3"/>
      <c r="AQ75" s="3"/>
      <c r="AR75" s="3"/>
      <c r="AS75" s="3"/>
      <c r="AT75" s="3"/>
      <c r="AU75" s="3"/>
      <c r="AV75" s="3"/>
      <c r="AW75" s="3"/>
      <c r="AX75" s="3"/>
      <c r="AY75" s="3"/>
      <c r="AZ75" s="3"/>
      <c r="BA75" s="3"/>
      <c r="BB75" s="3"/>
      <c r="BC75" s="3"/>
    </row>
    <row r="76" spans="1:56" s="184" customFormat="1" ht="17.149999999999999" customHeight="1" x14ac:dyDescent="0.35">
      <c r="A76" s="122"/>
      <c r="C76" s="370">
        <f>IF(C74=0,0,C74/C74)</f>
        <v>1</v>
      </c>
      <c r="D76" s="223"/>
      <c r="E76" s="370">
        <f>IF(C74=0,0,E74/C74)</f>
        <v>5.0002735379397124E-2</v>
      </c>
      <c r="F76" s="370">
        <f>IF(C74=0,0,F74/C74)</f>
        <v>0.94999726462060285</v>
      </c>
      <c r="G76" s="172"/>
      <c r="H76" s="172"/>
      <c r="I76" s="370">
        <f>IF(I74=0,0,I74/I74)</f>
        <v>1</v>
      </c>
      <c r="J76" s="454"/>
      <c r="K76" s="370">
        <f>IF(I74=0,0,K74/I74)</f>
        <v>5.0004103181333262E-2</v>
      </c>
      <c r="L76" s="370">
        <f>IF(I74=0,0,L74/I74)</f>
        <v>0.9499958968186667</v>
      </c>
      <c r="M76" s="143"/>
      <c r="N76" s="143"/>
      <c r="O76" s="3"/>
      <c r="T76" s="3"/>
      <c r="V76" s="370">
        <f>IF(V74=0,0,V74/V74)</f>
        <v>0</v>
      </c>
      <c r="W76" s="223"/>
      <c r="X76" s="370">
        <f>IF(V74=0,0,X74/V74)</f>
        <v>0</v>
      </c>
      <c r="Y76" s="370">
        <f>IF(V74=0,0,Y74/V74)</f>
        <v>0</v>
      </c>
      <c r="Z76" s="172"/>
      <c r="AA76" s="172"/>
      <c r="AB76" s="370">
        <f>IF(AB74=0,0,AB74/AB74)</f>
        <v>1</v>
      </c>
      <c r="AC76" s="454"/>
      <c r="AD76" s="370">
        <f>IF(AB74=0,0,AD74/AB74)</f>
        <v>0</v>
      </c>
      <c r="AE76" s="370">
        <f>IF(AB74=0,0,AE74/AB74)</f>
        <v>1</v>
      </c>
      <c r="AF76" s="143"/>
      <c r="AG76" s="143"/>
      <c r="AH76" s="3"/>
      <c r="AL76" s="3"/>
      <c r="AM76" s="3"/>
      <c r="AN76" s="3"/>
      <c r="AO76" s="3"/>
      <c r="AP76" s="3"/>
      <c r="AQ76" s="3"/>
      <c r="AR76" s="3"/>
      <c r="AS76" s="3"/>
      <c r="AT76" s="3"/>
      <c r="AU76" s="3"/>
      <c r="AV76" s="3"/>
      <c r="AW76" s="3"/>
      <c r="AX76" s="3"/>
      <c r="AY76" s="3"/>
      <c r="AZ76" s="3"/>
      <c r="BA76" s="3"/>
      <c r="BB76" s="3"/>
      <c r="BC76" s="3"/>
    </row>
    <row r="77" spans="1:56" s="3" customFormat="1" ht="17.149999999999999" customHeight="1" x14ac:dyDescent="0.35">
      <c r="A77" s="47"/>
      <c r="B77" s="184"/>
      <c r="C77" s="184"/>
      <c r="D77" s="184"/>
      <c r="E77" s="184"/>
      <c r="F77" s="454">
        <f>IF(F74=0,0,F74/F74)</f>
        <v>1</v>
      </c>
      <c r="G77" s="172">
        <f>IF(F74=0,0,G74/F74)</f>
        <v>2.4704866109991362E-2</v>
      </c>
      <c r="H77" s="454">
        <f>IF(F74=0,0,H74/F74)</f>
        <v>0.97529513389000866</v>
      </c>
      <c r="L77" s="454">
        <f>IF(L74=0,0,L74/L74)</f>
        <v>1</v>
      </c>
      <c r="M77" s="172">
        <f>IF(L74=0,0,M74/L74)</f>
        <v>2.4705577471277607E-2</v>
      </c>
      <c r="N77" s="454">
        <f>IF(L74=0,0,N74/L74)</f>
        <v>0.97529442252872234</v>
      </c>
      <c r="P77" s="184"/>
      <c r="Q77" s="184"/>
      <c r="R77" s="184"/>
      <c r="S77" s="184"/>
      <c r="U77" s="184"/>
      <c r="V77" s="184"/>
      <c r="W77" s="184"/>
      <c r="X77" s="184"/>
      <c r="Y77" s="454">
        <f>IF(Y74=0,0,Y74/Y74)</f>
        <v>0</v>
      </c>
      <c r="Z77" s="172">
        <f>IF(Y74=0,0,Z74/Y74)</f>
        <v>0</v>
      </c>
      <c r="AA77" s="454">
        <f>IF(Y74=0,0,AA74/Y74)</f>
        <v>0</v>
      </c>
      <c r="AE77" s="454">
        <f>IF(AE74=0,0,AE74/AE74)</f>
        <v>1</v>
      </c>
      <c r="AF77" s="172">
        <f>IF(AE74=0,0,AF74/AE74)</f>
        <v>2.469415154395016E-2</v>
      </c>
      <c r="AG77" s="454">
        <f>IF(AE74=0,0,AG74/AE74)</f>
        <v>0.97530584845604984</v>
      </c>
      <c r="AI77" s="184"/>
      <c r="AJ77" s="184"/>
      <c r="AK77" s="184"/>
    </row>
    <row r="78" spans="1:56" s="3" customFormat="1" ht="17.149999999999999" customHeight="1" x14ac:dyDescent="0.35">
      <c r="A78" s="47"/>
      <c r="B78" s="184"/>
      <c r="C78" s="184"/>
      <c r="D78" s="184"/>
      <c r="E78" s="184"/>
    </row>
    <row r="79" spans="1:56" s="3" customFormat="1" ht="17.149999999999999" customHeight="1" x14ac:dyDescent="0.35">
      <c r="A79" s="47"/>
      <c r="B79" s="184"/>
      <c r="C79" s="184"/>
      <c r="D79" s="184"/>
      <c r="E79" s="184"/>
      <c r="P79" s="381">
        <f>P55+P74</f>
        <v>1959575</v>
      </c>
      <c r="Q79" s="381">
        <f>Q55+Q74</f>
        <v>7063350</v>
      </c>
      <c r="R79" s="381">
        <f>SUM(P79:Q79)</f>
        <v>9022925</v>
      </c>
      <c r="AI79" s="190">
        <f>AI55+AI74</f>
        <v>0</v>
      </c>
      <c r="AJ79" s="190">
        <f>AJ55+AJ74</f>
        <v>6739550</v>
      </c>
      <c r="AK79" s="190">
        <f>SUM(AI79:AJ79)</f>
        <v>6739550</v>
      </c>
    </row>
    <row r="80" spans="1:56" s="12" customFormat="1" ht="17.149999999999999" customHeight="1" x14ac:dyDescent="0.35">
      <c r="A80" s="950" t="s">
        <v>923</v>
      </c>
      <c r="B80" s="1504" t="s">
        <v>9</v>
      </c>
      <c r="C80" s="1508" t="s">
        <v>253</v>
      </c>
      <c r="D80" s="27"/>
      <c r="E80" s="27"/>
    </row>
    <row r="81" spans="1:21" s="3" customFormat="1" ht="17.149999999999999" customHeight="1" x14ac:dyDescent="0.35">
      <c r="A81" s="143" t="s">
        <v>924</v>
      </c>
      <c r="B81" s="204">
        <f>B36</f>
        <v>25280025</v>
      </c>
      <c r="C81" s="204">
        <f>U36</f>
        <v>108520250</v>
      </c>
      <c r="D81" s="184"/>
      <c r="E81" s="1306"/>
    </row>
    <row r="82" spans="1:21" s="3" customFormat="1" ht="17.149999999999999" customHeight="1" x14ac:dyDescent="0.35">
      <c r="A82" s="143" t="s">
        <v>925</v>
      </c>
      <c r="B82" s="204">
        <f>B46</f>
        <v>0</v>
      </c>
      <c r="C82" s="204">
        <f>U46</f>
        <v>0</v>
      </c>
      <c r="D82" s="184"/>
      <c r="E82" s="1306"/>
    </row>
    <row r="83" spans="1:21" s="3" customFormat="1" ht="17.149999999999999" customHeight="1" x14ac:dyDescent="0.35">
      <c r="A83" s="143" t="s">
        <v>926</v>
      </c>
      <c r="B83" s="204">
        <f>B55</f>
        <v>7195050</v>
      </c>
      <c r="C83" s="204">
        <f>U55</f>
        <v>5082275</v>
      </c>
      <c r="D83" s="184"/>
      <c r="E83" s="184"/>
    </row>
    <row r="84" spans="1:21" s="3" customFormat="1" ht="17.149999999999999" customHeight="1" x14ac:dyDescent="0.35">
      <c r="A84" s="143" t="s">
        <v>927</v>
      </c>
      <c r="B84" s="204">
        <f>B74</f>
        <v>1827875</v>
      </c>
      <c r="C84" s="204">
        <f>U74</f>
        <v>1657275</v>
      </c>
      <c r="D84" s="184"/>
      <c r="E84" s="184"/>
    </row>
    <row r="85" spans="1:21" s="12" customFormat="1" ht="17.149999999999999" customHeight="1" x14ac:dyDescent="0.35">
      <c r="A85" s="950" t="s">
        <v>928</v>
      </c>
      <c r="B85" s="1021">
        <f>SUM(B81:B84)</f>
        <v>34302950</v>
      </c>
      <c r="C85" s="1022">
        <f>SUM(C81:C84)</f>
        <v>115259800</v>
      </c>
      <c r="D85" s="27"/>
      <c r="E85" s="27"/>
    </row>
    <row r="86" spans="1:21" s="3" customFormat="1" ht="17.149999999999999" customHeight="1" x14ac:dyDescent="0.35">
      <c r="A86" s="7"/>
      <c r="B86" s="204">
        <f>'Capture volumes'!E134</f>
        <v>34302950</v>
      </c>
      <c r="C86" s="204">
        <f>'Capture volumes'!F134</f>
        <v>115259800</v>
      </c>
      <c r="D86" s="184"/>
      <c r="E86" s="184"/>
    </row>
    <row r="87" spans="1:21" s="3" customFormat="1" ht="17.149999999999999" customHeight="1" x14ac:dyDescent="0.35">
      <c r="A87" s="7"/>
      <c r="B87" s="1519" t="str">
        <f>IF(B85=B86,"OK","Not OK")</f>
        <v>OK</v>
      </c>
      <c r="C87" s="1519" t="str">
        <f>IF(C85=C86,"OK","Not OK")</f>
        <v>OK</v>
      </c>
      <c r="D87" s="184"/>
      <c r="E87" s="184"/>
    </row>
    <row r="88" spans="1:21" s="3" customFormat="1" ht="17.149999999999999" customHeight="1" x14ac:dyDescent="0.35">
      <c r="A88" s="47"/>
      <c r="B88" s="184"/>
      <c r="C88" s="184"/>
      <c r="D88" s="184"/>
      <c r="E88" s="184"/>
    </row>
    <row r="89" spans="1:21" s="7" customFormat="1" ht="17.149999999999999" customHeight="1" x14ac:dyDescent="0.35">
      <c r="B89" s="200"/>
      <c r="C89" s="200"/>
      <c r="D89" s="200"/>
      <c r="E89" s="201"/>
      <c r="F89" s="67"/>
      <c r="G89" s="67"/>
      <c r="H89" s="67"/>
      <c r="I89" s="202"/>
      <c r="J89" s="202"/>
      <c r="K89" s="67"/>
      <c r="L89" s="113"/>
      <c r="M89" s="113"/>
      <c r="N89" s="113"/>
      <c r="O89" s="113"/>
      <c r="P89" s="113"/>
      <c r="Q89" s="113"/>
      <c r="R89" s="113"/>
      <c r="S89" s="113"/>
      <c r="T89" s="113"/>
      <c r="U89" s="54"/>
    </row>
    <row r="90" spans="1:21" s="194" customFormat="1" ht="17.149999999999999" customHeight="1" x14ac:dyDescent="0.35">
      <c r="A90" s="949" t="s">
        <v>929</v>
      </c>
      <c r="B90" s="1505" t="s">
        <v>9</v>
      </c>
      <c r="C90" s="200"/>
      <c r="D90" s="200"/>
      <c r="E90" s="31"/>
      <c r="F90" s="119"/>
      <c r="G90" s="1502" t="s">
        <v>253</v>
      </c>
      <c r="H90" s="119"/>
      <c r="I90" s="193"/>
      <c r="J90" s="193"/>
      <c r="K90" s="119"/>
      <c r="L90" s="192"/>
      <c r="M90" s="192"/>
      <c r="N90" s="192"/>
      <c r="O90" s="192"/>
      <c r="P90" s="192"/>
      <c r="Q90" s="192"/>
      <c r="R90" s="192"/>
      <c r="S90" s="192"/>
      <c r="T90" s="192"/>
      <c r="U90" s="119"/>
    </row>
    <row r="91" spans="1:21" s="20" customFormat="1" ht="17.149999999999999" customHeight="1" x14ac:dyDescent="0.35">
      <c r="B91" s="30"/>
      <c r="C91" s="200"/>
      <c r="D91" s="200"/>
      <c r="E91" s="31"/>
      <c r="F91" s="21"/>
      <c r="G91" s="30"/>
      <c r="H91" s="21"/>
      <c r="I91" s="22"/>
      <c r="J91" s="22"/>
      <c r="K91" s="21"/>
      <c r="L91" s="23"/>
      <c r="M91" s="23"/>
      <c r="N91" s="23"/>
      <c r="O91" s="23"/>
      <c r="P91" s="23"/>
      <c r="Q91" s="23"/>
      <c r="R91" s="23"/>
      <c r="S91" s="23"/>
      <c r="T91" s="23"/>
      <c r="U91" s="24"/>
    </row>
    <row r="92" spans="1:21" s="20" customFormat="1" ht="17.149999999999999" customHeight="1" x14ac:dyDescent="0.35">
      <c r="A92" s="1004" t="s">
        <v>810</v>
      </c>
      <c r="B92" s="1500">
        <f>'Capture volumes'!B31</f>
        <v>1692000</v>
      </c>
      <c r="C92" s="200"/>
      <c r="D92" s="200"/>
      <c r="E92" s="31"/>
      <c r="F92" s="21"/>
      <c r="G92" s="1500">
        <f>'Capture volumes'!C35</f>
        <v>3737000</v>
      </c>
      <c r="H92" s="21"/>
      <c r="I92" s="22"/>
      <c r="J92" s="22"/>
      <c r="K92" s="21"/>
      <c r="L92" s="23"/>
      <c r="M92" s="23"/>
      <c r="N92" s="23"/>
      <c r="O92" s="23"/>
      <c r="P92" s="23"/>
      <c r="Q92" s="23"/>
      <c r="R92" s="23"/>
      <c r="S92" s="23"/>
      <c r="T92" s="23"/>
      <c r="U92" s="24"/>
    </row>
    <row r="93" spans="1:21" s="20" customFormat="1" ht="17.149999999999999" customHeight="1" x14ac:dyDescent="0.35">
      <c r="B93" s="30"/>
      <c r="C93" s="200"/>
      <c r="D93" s="200"/>
      <c r="E93" s="31"/>
      <c r="F93" s="21"/>
      <c r="G93" s="21"/>
      <c r="H93" s="21"/>
      <c r="I93" s="22"/>
      <c r="J93" s="22"/>
      <c r="K93" s="21"/>
      <c r="L93" s="23"/>
      <c r="M93" s="23"/>
      <c r="N93" s="23"/>
      <c r="O93" s="23"/>
      <c r="P93" s="23"/>
      <c r="Q93" s="23"/>
      <c r="R93" s="23"/>
      <c r="S93" s="23"/>
      <c r="T93" s="23"/>
      <c r="U93" s="24"/>
    </row>
    <row r="94" spans="1:21" s="20" customFormat="1" ht="17.149999999999999" customHeight="1" x14ac:dyDescent="0.35">
      <c r="A94" s="977" t="s">
        <v>417</v>
      </c>
      <c r="B94" s="228">
        <f>'User interface_RES'!C19</f>
        <v>5</v>
      </c>
      <c r="C94" s="200"/>
      <c r="D94" s="200"/>
      <c r="E94" s="31"/>
      <c r="F94" s="21"/>
      <c r="G94" s="228">
        <f>B94</f>
        <v>5</v>
      </c>
      <c r="H94" s="24"/>
      <c r="I94" s="39"/>
      <c r="J94" s="39"/>
      <c r="K94" s="21"/>
      <c r="L94" s="23"/>
      <c r="M94" s="23"/>
      <c r="N94" s="23"/>
      <c r="O94" s="23"/>
      <c r="P94" s="23"/>
      <c r="Q94" s="23"/>
      <c r="R94" s="23"/>
      <c r="S94" s="23"/>
      <c r="T94" s="23"/>
      <c r="U94" s="24"/>
    </row>
    <row r="95" spans="1:21" s="20" customFormat="1" ht="17.149999999999999" customHeight="1" x14ac:dyDescent="0.35">
      <c r="A95" s="977" t="s">
        <v>930</v>
      </c>
      <c r="B95" s="228">
        <f>'User interface_RES'!C89</f>
        <v>50</v>
      </c>
      <c r="C95" s="200"/>
      <c r="D95" s="200"/>
      <c r="E95" s="31"/>
      <c r="F95" s="21"/>
      <c r="G95" s="228">
        <f>B95</f>
        <v>50</v>
      </c>
      <c r="H95" s="24"/>
      <c r="I95" s="39"/>
      <c r="J95" s="39"/>
      <c r="K95" s="21"/>
      <c r="L95" s="23"/>
      <c r="M95" s="23"/>
      <c r="N95" s="23"/>
      <c r="O95" s="23"/>
      <c r="P95" s="23"/>
      <c r="Q95" s="23"/>
      <c r="R95" s="23"/>
      <c r="S95" s="23"/>
      <c r="T95" s="23"/>
      <c r="U95" s="24"/>
    </row>
    <row r="96" spans="1:21" s="20" customFormat="1" ht="17.149999999999999" customHeight="1" x14ac:dyDescent="0.35">
      <c r="B96" s="30"/>
      <c r="C96" s="30"/>
      <c r="D96" s="30"/>
      <c r="E96" s="31"/>
      <c r="F96" s="21"/>
      <c r="G96" s="21"/>
      <c r="H96" s="21"/>
      <c r="I96" s="22"/>
      <c r="J96" s="22"/>
      <c r="K96" s="21"/>
      <c r="L96" s="23"/>
      <c r="M96" s="23"/>
      <c r="N96" s="23"/>
      <c r="O96" s="23"/>
      <c r="P96" s="23"/>
      <c r="Q96" s="23"/>
      <c r="R96" s="23"/>
      <c r="S96" s="23"/>
      <c r="T96" s="23"/>
      <c r="U96" s="24"/>
    </row>
    <row r="97" spans="1:52" s="20" customFormat="1" ht="30" customHeight="1" x14ac:dyDescent="0.35">
      <c r="A97" s="1043" t="s">
        <v>931</v>
      </c>
      <c r="B97" s="1003" t="s">
        <v>932</v>
      </c>
      <c r="C97" s="1003" t="s">
        <v>201</v>
      </c>
      <c r="D97" s="21"/>
      <c r="E97" s="1003" t="s">
        <v>933</v>
      </c>
      <c r="F97" s="21"/>
      <c r="G97" s="1350" t="s">
        <v>932</v>
      </c>
      <c r="H97" s="21"/>
      <c r="I97" s="23"/>
      <c r="J97" s="23"/>
      <c r="K97" s="23"/>
      <c r="L97" s="23"/>
      <c r="M97" s="23"/>
      <c r="N97" s="24"/>
    </row>
    <row r="98" spans="1:52" s="20" customFormat="1" ht="17.149999999999999" customHeight="1" x14ac:dyDescent="0.35">
      <c r="A98" s="155" t="s">
        <v>433</v>
      </c>
      <c r="B98" s="1044">
        <f>IF('Containment volumes'!B94=0,0,ROUND((('Capture volumes'!B41*'Containment volumes'!B92)/'Containment volumes'!B94)/10,0)*10)</f>
        <v>151940</v>
      </c>
      <c r="C98" s="964">
        <f t="shared" ref="C98:C104" si="15">IF($B$105=0,0,B98/$B$105)</f>
        <v>0.4954188268283935</v>
      </c>
      <c r="D98" s="21"/>
      <c r="E98" s="1044">
        <f>IF('Containment volumes'!B94=0,0,ROUND((('Capture volumes'!B41*'Containment volumes'!B92)/'Containment volumes'!B94)/1,0)*1)</f>
        <v>151942</v>
      </c>
      <c r="F98" s="21"/>
      <c r="G98" s="1044">
        <f>'User interface_RES'!C55*G92</f>
        <v>3176450</v>
      </c>
      <c r="H98" s="21"/>
      <c r="I98" s="23"/>
      <c r="J98" s="23"/>
      <c r="K98" s="23"/>
      <c r="L98" s="23"/>
      <c r="M98" s="23"/>
      <c r="N98" s="24"/>
    </row>
    <row r="99" spans="1:52" s="20" customFormat="1" ht="17.149999999999999" customHeight="1" x14ac:dyDescent="0.35">
      <c r="A99" s="155" t="s">
        <v>434</v>
      </c>
      <c r="B99" s="1044">
        <f>IF('Containment volumes'!B94=0,0,ROUND((('Capture volumes'!B44*'Containment volumes'!B92)/'Containment volumes'!B94)/10,0)*10)</f>
        <v>0</v>
      </c>
      <c r="C99" s="964">
        <f t="shared" si="15"/>
        <v>0</v>
      </c>
      <c r="D99" s="21"/>
      <c r="E99" s="1044">
        <f>IF('Containment volumes'!B94=0,0,ROUND((('Capture volumes'!B44*'Containment volumes'!B92)/'Containment volumes'!B94)/1,0)*1)</f>
        <v>0</v>
      </c>
      <c r="F99" s="21"/>
      <c r="G99" s="1044">
        <f>'User interface_RES'!C56*G92</f>
        <v>0</v>
      </c>
      <c r="H99" s="21"/>
      <c r="I99" s="23"/>
      <c r="J99" s="23"/>
      <c r="K99" s="23"/>
      <c r="L99" s="23"/>
      <c r="M99" s="23"/>
      <c r="N99" s="24"/>
    </row>
    <row r="100" spans="1:52" s="20" customFormat="1" ht="17.149999999999999" customHeight="1" x14ac:dyDescent="0.35">
      <c r="A100" s="155" t="s">
        <v>821</v>
      </c>
      <c r="B100" s="1044">
        <f>IF('Containment volumes'!B94=0,0,ROUND((('Capture volumes'!E47*'Containment volumes'!B92)/'Containment volumes'!B94)/10,0)*10)</f>
        <v>85380</v>
      </c>
      <c r="C100" s="964">
        <f t="shared" si="15"/>
        <v>0.27839186148879974</v>
      </c>
      <c r="D100" s="21"/>
      <c r="E100" s="1044">
        <f>IF('Containment volumes'!B94=0,0,ROUND((('Capture volumes'!E47*'Containment volumes'!B92)/'Containment volumes'!B94)/1,0)*1)</f>
        <v>85378</v>
      </c>
      <c r="F100" s="21"/>
      <c r="G100" s="1044">
        <f>'User interface_RES'!D58*'User interface_RES'!C57*G92</f>
        <v>280275</v>
      </c>
      <c r="H100" s="21"/>
      <c r="I100" s="23"/>
      <c r="J100" s="23"/>
      <c r="K100" s="23"/>
      <c r="L100" s="23"/>
      <c r="M100" s="23"/>
      <c r="N100" s="24"/>
    </row>
    <row r="101" spans="1:52" s="20" customFormat="1" ht="17.149999999999999" customHeight="1" x14ac:dyDescent="0.35">
      <c r="A101" s="155" t="s">
        <v>824</v>
      </c>
      <c r="B101" s="1044">
        <f>IF('Containment volumes'!B94=0,0,ROUND((('Capture volumes'!E50*'Containment volumes'!B92)/'Containment volumes'!B94)/10,0)*10)</f>
        <v>68010</v>
      </c>
      <c r="C101" s="964">
        <f t="shared" si="15"/>
        <v>0.22175486647755063</v>
      </c>
      <c r="D101" s="21"/>
      <c r="E101" s="1044">
        <f>IF('Containment volumes'!B94=0,0,ROUND((('Capture volumes'!E50*'Containment volumes'!B92)/'Containment volumes'!B94)/1,0)*1)</f>
        <v>68008</v>
      </c>
      <c r="F101" s="21"/>
      <c r="G101" s="1044">
        <f>('User interface_RES'!D59*'User interface_RES'!C57)*G92</f>
        <v>280275</v>
      </c>
      <c r="H101" s="21"/>
      <c r="I101" s="23"/>
      <c r="J101" s="23"/>
      <c r="K101" s="23"/>
      <c r="L101" s="23"/>
      <c r="M101" s="23"/>
      <c r="N101" s="24"/>
    </row>
    <row r="102" spans="1:52" s="20" customFormat="1" ht="17.149999999999999" customHeight="1" x14ac:dyDescent="0.35">
      <c r="A102" s="155" t="s">
        <v>934</v>
      </c>
      <c r="B102" s="1044">
        <f>IF('Containment volumes'!B95=0,0,ROUND((('Capture volumes'!B54*'Containment volumes'!B92)/'Containment volumes'!B95)/10,0)*10)</f>
        <v>680</v>
      </c>
      <c r="C102" s="964">
        <f t="shared" si="15"/>
        <v>2.2172226026280608E-3</v>
      </c>
      <c r="D102" s="21"/>
      <c r="E102" s="1044">
        <f>IF('Containment volumes'!B95=0,0,ROUND((('Capture volumes'!B54*'Containment volumes'!B92)/'Containment volumes'!B95)/1,0)*1)</f>
        <v>677</v>
      </c>
      <c r="F102" s="21"/>
      <c r="G102" s="1044">
        <f>('User interface_RES'!D61*'User interface_RES'!C60)*G92</f>
        <v>0</v>
      </c>
      <c r="H102" s="21"/>
      <c r="I102" s="23"/>
      <c r="J102" s="23"/>
      <c r="K102" s="23"/>
      <c r="L102" s="23"/>
      <c r="M102" s="23"/>
      <c r="N102" s="24"/>
    </row>
    <row r="103" spans="1:52" s="20" customFormat="1" ht="17.149999999999999" customHeight="1" x14ac:dyDescent="0.35">
      <c r="A103" s="155" t="s">
        <v>861</v>
      </c>
      <c r="B103" s="1044">
        <f>IF('Containment volumes'!B95=0,0,ROUND((('Capture volumes'!B57*'Containment volumes'!B92)/'Containment volumes'!B95)/10,0)*10)</f>
        <v>680</v>
      </c>
      <c r="C103" s="964">
        <f t="shared" si="15"/>
        <v>2.2172226026280608E-3</v>
      </c>
      <c r="D103" s="21"/>
      <c r="E103" s="1044">
        <f>IF('Containment volumes'!B95=0,0,ROUND((('Capture volumes'!B57*'Containment volumes'!B92)/'Containment volumes'!B95)/1,0)*1)</f>
        <v>677</v>
      </c>
      <c r="F103" s="21"/>
      <c r="G103" s="1044">
        <f>('User interface_RES'!D62*'User interface_RES'!C60)*G92</f>
        <v>0</v>
      </c>
      <c r="H103" s="21"/>
      <c r="I103" s="23"/>
      <c r="J103" s="23"/>
      <c r="K103" s="23"/>
      <c r="L103" s="23"/>
      <c r="M103" s="23"/>
      <c r="N103" s="24"/>
    </row>
    <row r="104" spans="1:52" s="20" customFormat="1" ht="17.149999999999999" customHeight="1" x14ac:dyDescent="0.35">
      <c r="A104" s="155" t="s">
        <v>862</v>
      </c>
      <c r="B104" s="1044">
        <f>IF('Containment volumes'!B95=0,0,ROUND((('Capture volumes'!B60*'Containment volumes'!B92)/'Containment volumes'!B95)/10,0)*10)</f>
        <v>0</v>
      </c>
      <c r="C104" s="964">
        <f t="shared" si="15"/>
        <v>0</v>
      </c>
      <c r="D104" s="21"/>
      <c r="E104" s="1044">
        <f>IF('Containment volumes'!B95=0,0,ROUND((('Capture volumes'!B60*'Containment volumes'!B92)/'Containment volumes'!B95)/1,0)*1)</f>
        <v>0</v>
      </c>
      <c r="F104" s="21"/>
      <c r="G104" s="1044">
        <f>('User interface_RES'!D63*'User interface_RES'!C60)*G92</f>
        <v>0</v>
      </c>
      <c r="H104" s="21"/>
      <c r="I104" s="23"/>
      <c r="J104" s="23"/>
      <c r="K104" s="23"/>
      <c r="L104" s="23"/>
      <c r="M104" s="23"/>
      <c r="N104" s="24"/>
    </row>
    <row r="105" spans="1:52" s="34" customFormat="1" ht="17.149999999999999" customHeight="1" x14ac:dyDescent="0.35">
      <c r="A105" s="950" t="s">
        <v>208</v>
      </c>
      <c r="B105" s="1019">
        <f>SUM(B98:B104)</f>
        <v>306690</v>
      </c>
      <c r="C105" s="1018">
        <f>SUM(C98:C104)</f>
        <v>0.99999999999999989</v>
      </c>
      <c r="D105" s="213"/>
      <c r="E105" s="1019">
        <f>SUM(E98:E104)</f>
        <v>306682</v>
      </c>
      <c r="F105" s="213"/>
      <c r="G105" s="1351">
        <f>SUM(G98:G104)</f>
        <v>3737000</v>
      </c>
      <c r="H105" s="213"/>
      <c r="I105" s="23"/>
      <c r="J105" s="23"/>
      <c r="K105" s="23"/>
      <c r="L105" s="23"/>
      <c r="M105" s="23"/>
      <c r="N105" s="24"/>
      <c r="O105" s="92"/>
      <c r="P105" s="92"/>
      <c r="Q105" s="92"/>
      <c r="R105" s="92"/>
      <c r="S105" s="92"/>
      <c r="T105" s="92"/>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2"/>
      <c r="AY105" s="92"/>
      <c r="AZ105" s="92"/>
    </row>
    <row r="106" spans="1:52" s="20" customFormat="1" ht="17.149999999999999" customHeight="1" x14ac:dyDescent="0.35">
      <c r="B106" s="30"/>
      <c r="C106" s="31"/>
      <c r="D106" s="21"/>
      <c r="E106" s="30"/>
      <c r="F106" s="21"/>
      <c r="G106" s="30"/>
      <c r="H106" s="21"/>
      <c r="I106" s="23"/>
      <c r="J106" s="23"/>
      <c r="K106" s="23"/>
      <c r="L106" s="113"/>
      <c r="M106" s="113"/>
      <c r="N106" s="54"/>
    </row>
    <row r="107" spans="1:52" s="20" customFormat="1" ht="17.149999999999999" customHeight="1" x14ac:dyDescent="0.35">
      <c r="A107" s="135" t="s">
        <v>935</v>
      </c>
      <c r="B107" s="1019">
        <f>IF(B94=0,0,ROUND((('Capture volumes'!B31/B94)-B105)/10,0)*10)</f>
        <v>31710</v>
      </c>
      <c r="C107" s="401"/>
      <c r="D107" s="21"/>
      <c r="E107" s="1026">
        <f>B107</f>
        <v>31710</v>
      </c>
      <c r="F107" s="21"/>
      <c r="G107" s="1331">
        <f>'User interface_RES'!C64*G92</f>
        <v>0</v>
      </c>
      <c r="H107" s="21"/>
      <c r="I107" s="23"/>
      <c r="J107" s="23"/>
      <c r="K107" s="23"/>
      <c r="L107" s="113"/>
      <c r="M107" s="113"/>
      <c r="N107" s="54"/>
    </row>
    <row r="108" spans="1:52" s="20" customFormat="1" ht="17.149999999999999" customHeight="1" x14ac:dyDescent="0.35">
      <c r="B108" s="30"/>
      <c r="C108" s="31"/>
      <c r="D108" s="21"/>
      <c r="E108" s="21"/>
      <c r="F108" s="21"/>
      <c r="G108" s="30"/>
      <c r="H108" s="21"/>
      <c r="I108" s="23"/>
      <c r="J108" s="23"/>
      <c r="K108" s="23"/>
      <c r="L108" s="113"/>
      <c r="M108" s="113"/>
      <c r="N108" s="54"/>
    </row>
    <row r="109" spans="1:52" s="20" customFormat="1" ht="17.149999999999999" customHeight="1" x14ac:dyDescent="0.35">
      <c r="A109" s="950" t="s">
        <v>936</v>
      </c>
      <c r="B109" s="1019">
        <f>B105+B107</f>
        <v>338400</v>
      </c>
      <c r="C109" s="31"/>
      <c r="D109" s="21"/>
      <c r="E109" s="21"/>
      <c r="F109" s="21"/>
      <c r="G109" s="1351">
        <f>G105+G107</f>
        <v>3737000</v>
      </c>
      <c r="H109" s="21"/>
      <c r="I109" s="23"/>
      <c r="J109" s="23"/>
      <c r="K109" s="23"/>
      <c r="L109" s="113"/>
      <c r="M109" s="113"/>
      <c r="N109" s="54"/>
    </row>
    <row r="110" spans="1:52" s="20" customFormat="1" ht="17.149999999999999" customHeight="1" x14ac:dyDescent="0.35">
      <c r="B110" s="30"/>
      <c r="C110" s="31"/>
      <c r="D110" s="21"/>
      <c r="E110" s="21"/>
      <c r="F110" s="21"/>
      <c r="G110" s="22"/>
      <c r="H110" s="21"/>
      <c r="I110" s="23"/>
      <c r="J110" s="23"/>
      <c r="K110" s="23"/>
      <c r="L110" s="113"/>
      <c r="M110" s="113"/>
      <c r="N110" s="54"/>
    </row>
    <row r="111" spans="1:52" s="20" customFormat="1" ht="17.149999999999999" customHeight="1" x14ac:dyDescent="0.35">
      <c r="B111" s="30"/>
      <c r="C111" s="31"/>
      <c r="D111" s="21"/>
      <c r="E111" s="21"/>
      <c r="F111" s="21"/>
      <c r="G111" s="22"/>
      <c r="H111" s="21"/>
      <c r="I111" s="23"/>
      <c r="J111" s="23"/>
      <c r="K111" s="23"/>
      <c r="L111" s="113"/>
      <c r="M111" s="113"/>
      <c r="N111" s="54"/>
    </row>
    <row r="112" spans="1:52" s="194" customFormat="1" ht="17.149999999999999" customHeight="1" x14ac:dyDescent="0.35">
      <c r="A112" s="1055" t="s">
        <v>937</v>
      </c>
      <c r="B112" s="1790" t="s">
        <v>9</v>
      </c>
      <c r="C112" s="1790"/>
      <c r="D112" s="1790"/>
      <c r="E112" s="1790"/>
      <c r="F112" s="1790"/>
      <c r="G112" s="1790"/>
      <c r="H112" s="1791" t="s">
        <v>253</v>
      </c>
      <c r="I112" s="1791"/>
      <c r="J112" s="1791"/>
      <c r="K112" s="1791"/>
      <c r="L112" s="1791"/>
      <c r="M112" s="1791"/>
      <c r="N112" s="119"/>
    </row>
    <row r="113" spans="1:14" s="120" customFormat="1" ht="17.149999999999999" customHeight="1" x14ac:dyDescent="0.35">
      <c r="A113" s="404"/>
      <c r="B113" s="405"/>
      <c r="C113" s="405"/>
      <c r="D113" s="405"/>
      <c r="E113" s="405"/>
      <c r="F113" s="405"/>
      <c r="G113" s="405"/>
      <c r="H113" s="405"/>
      <c r="I113" s="405"/>
      <c r="J113" s="405"/>
      <c r="K113" s="405"/>
      <c r="L113" s="405"/>
      <c r="M113" s="405"/>
      <c r="N113" s="406"/>
    </row>
    <row r="114" spans="1:14" s="20" customFormat="1" ht="17.149999999999999" customHeight="1" x14ac:dyDescent="0.35">
      <c r="A114" s="403"/>
      <c r="B114" s="1792" t="s">
        <v>938</v>
      </c>
      <c r="C114" s="1792"/>
      <c r="D114" s="1792"/>
      <c r="E114" s="1792" t="s">
        <v>939</v>
      </c>
      <c r="F114" s="1792"/>
      <c r="G114" s="1792"/>
      <c r="H114" s="1793" t="s">
        <v>938</v>
      </c>
      <c r="I114" s="1793"/>
      <c r="J114" s="1793"/>
      <c r="K114" s="1793" t="s">
        <v>939</v>
      </c>
      <c r="L114" s="1793"/>
      <c r="M114" s="1793"/>
      <c r="N114" s="54"/>
    </row>
    <row r="115" spans="1:14" s="20" customFormat="1" ht="43.5" x14ac:dyDescent="0.35">
      <c r="A115" s="355"/>
      <c r="B115" s="1511" t="s">
        <v>905</v>
      </c>
      <c r="C115" s="1511" t="s">
        <v>914</v>
      </c>
      <c r="D115" s="1511" t="s">
        <v>902</v>
      </c>
      <c r="E115" s="1511" t="s">
        <v>905</v>
      </c>
      <c r="F115" s="1511" t="s">
        <v>902</v>
      </c>
      <c r="G115" s="1511" t="s">
        <v>940</v>
      </c>
      <c r="H115" s="1033" t="s">
        <v>905</v>
      </c>
      <c r="I115" s="1033" t="s">
        <v>914</v>
      </c>
      <c r="J115" s="1033" t="s">
        <v>902</v>
      </c>
      <c r="K115" s="1033" t="s">
        <v>905</v>
      </c>
      <c r="L115" s="1033" t="s">
        <v>902</v>
      </c>
      <c r="M115" s="1033" t="s">
        <v>940</v>
      </c>
      <c r="N115" s="54"/>
    </row>
    <row r="116" spans="1:14" s="255" customFormat="1" ht="10.5" x14ac:dyDescent="0.35">
      <c r="A116" s="402"/>
      <c r="B116" s="387"/>
      <c r="C116" s="387"/>
      <c r="D116" s="386"/>
      <c r="E116" s="387"/>
      <c r="F116" s="386"/>
      <c r="G116" s="386"/>
      <c r="H116" s="387"/>
      <c r="I116" s="387"/>
      <c r="J116" s="386"/>
      <c r="K116" s="387"/>
      <c r="L116" s="386"/>
      <c r="M116" s="386"/>
      <c r="N116" s="254"/>
    </row>
    <row r="117" spans="1:14" s="20" customFormat="1" ht="17.149999999999999" customHeight="1" x14ac:dyDescent="0.35">
      <c r="A117" s="977" t="s">
        <v>941</v>
      </c>
      <c r="B117" s="1023">
        <f>B118</f>
        <v>0</v>
      </c>
      <c r="C117" s="1023">
        <f t="shared" ref="C117:M119" si="16">C118</f>
        <v>0</v>
      </c>
      <c r="D117" s="1023">
        <f t="shared" si="16"/>
        <v>0</v>
      </c>
      <c r="E117" s="1023">
        <f t="shared" si="16"/>
        <v>0</v>
      </c>
      <c r="F117" s="1023">
        <f t="shared" si="16"/>
        <v>0</v>
      </c>
      <c r="G117" s="1023">
        <f t="shared" si="16"/>
        <v>25280025</v>
      </c>
      <c r="H117" s="1024">
        <f t="shared" si="16"/>
        <v>0</v>
      </c>
      <c r="I117" s="1024">
        <f t="shared" si="16"/>
        <v>0</v>
      </c>
      <c r="J117" s="1024">
        <f t="shared" si="16"/>
        <v>0</v>
      </c>
      <c r="K117" s="1024">
        <f t="shared" si="16"/>
        <v>0</v>
      </c>
      <c r="L117" s="1024">
        <f t="shared" si="16"/>
        <v>0</v>
      </c>
      <c r="M117" s="1024">
        <f t="shared" si="16"/>
        <v>108520250</v>
      </c>
      <c r="N117" s="54"/>
    </row>
    <row r="118" spans="1:14" s="107" customFormat="1" ht="17.149999999999999" customHeight="1" x14ac:dyDescent="0.35">
      <c r="A118" s="168" t="s">
        <v>906</v>
      </c>
      <c r="B118" s="1056">
        <f>E36</f>
        <v>0</v>
      </c>
      <c r="C118" s="1056">
        <v>0</v>
      </c>
      <c r="D118" s="1056">
        <f>G36</f>
        <v>0</v>
      </c>
      <c r="E118" s="1056">
        <f>K36</f>
        <v>0</v>
      </c>
      <c r="F118" s="1056">
        <f>M36</f>
        <v>0</v>
      </c>
      <c r="G118" s="1056">
        <f>N36+H36</f>
        <v>25280025</v>
      </c>
      <c r="H118" s="1056">
        <f>X36</f>
        <v>0</v>
      </c>
      <c r="I118" s="1056">
        <v>0</v>
      </c>
      <c r="J118" s="1056">
        <f>Z36</f>
        <v>0</v>
      </c>
      <c r="K118" s="1056">
        <f>AD36</f>
        <v>0</v>
      </c>
      <c r="L118" s="1056">
        <f>AF36</f>
        <v>0</v>
      </c>
      <c r="M118" s="1056">
        <f>AA36+AG36</f>
        <v>108520250</v>
      </c>
      <c r="N118" s="10"/>
    </row>
    <row r="119" spans="1:14" s="20" customFormat="1" ht="17.149999999999999" customHeight="1" x14ac:dyDescent="0.35">
      <c r="A119" s="977" t="s">
        <v>942</v>
      </c>
      <c r="B119" s="1023">
        <f>B120</f>
        <v>0</v>
      </c>
      <c r="C119" s="1023">
        <f t="shared" si="16"/>
        <v>0</v>
      </c>
      <c r="D119" s="1023">
        <f t="shared" si="16"/>
        <v>0</v>
      </c>
      <c r="E119" s="1023">
        <f t="shared" si="16"/>
        <v>0</v>
      </c>
      <c r="F119" s="1023">
        <f t="shared" si="16"/>
        <v>0</v>
      </c>
      <c r="G119" s="1023">
        <f t="shared" si="16"/>
        <v>0</v>
      </c>
      <c r="H119" s="1024">
        <f t="shared" si="16"/>
        <v>0</v>
      </c>
      <c r="I119" s="1024">
        <f t="shared" si="16"/>
        <v>0</v>
      </c>
      <c r="J119" s="1024">
        <f t="shared" si="16"/>
        <v>0</v>
      </c>
      <c r="K119" s="1024">
        <f t="shared" si="16"/>
        <v>0</v>
      </c>
      <c r="L119" s="1024">
        <f t="shared" si="16"/>
        <v>0</v>
      </c>
      <c r="M119" s="1024">
        <f t="shared" si="16"/>
        <v>0</v>
      </c>
      <c r="N119" s="54"/>
    </row>
    <row r="120" spans="1:14" s="107" customFormat="1" ht="17.149999999999999" customHeight="1" x14ac:dyDescent="0.35">
      <c r="A120" s="168" t="s">
        <v>434</v>
      </c>
      <c r="B120" s="1056">
        <f>E46</f>
        <v>0</v>
      </c>
      <c r="C120" s="1056">
        <f>H46</f>
        <v>0</v>
      </c>
      <c r="D120" s="1056">
        <f>G46</f>
        <v>0</v>
      </c>
      <c r="E120" s="1056">
        <f>K46</f>
        <v>0</v>
      </c>
      <c r="F120" s="1056">
        <f>M46</f>
        <v>0</v>
      </c>
      <c r="G120" s="1056">
        <f>N46</f>
        <v>0</v>
      </c>
      <c r="H120" s="1056">
        <f>X46</f>
        <v>0</v>
      </c>
      <c r="I120" s="1056">
        <f>AA46</f>
        <v>0</v>
      </c>
      <c r="J120" s="1056">
        <f>Z46</f>
        <v>0</v>
      </c>
      <c r="K120" s="1056">
        <f>AD46</f>
        <v>0</v>
      </c>
      <c r="L120" s="1056">
        <f>AF46</f>
        <v>0</v>
      </c>
      <c r="M120" s="1056">
        <f>AG46</f>
        <v>0</v>
      </c>
      <c r="N120" s="10"/>
    </row>
    <row r="121" spans="1:14" s="20" customFormat="1" ht="17.149999999999999" customHeight="1" x14ac:dyDescent="0.35">
      <c r="A121" s="977" t="s">
        <v>943</v>
      </c>
      <c r="B121" s="1023">
        <f>SUM(B122:B123)</f>
        <v>0</v>
      </c>
      <c r="C121" s="1023">
        <f t="shared" ref="C121:M121" si="17">SUM(C122:C123)</f>
        <v>1021375</v>
      </c>
      <c r="D121" s="1023">
        <f t="shared" si="17"/>
        <v>9350</v>
      </c>
      <c r="E121" s="1023">
        <f t="shared" si="17"/>
        <v>0</v>
      </c>
      <c r="F121" s="1023">
        <f t="shared" si="17"/>
        <v>57950</v>
      </c>
      <c r="G121" s="1023">
        <f t="shared" si="17"/>
        <v>6106375</v>
      </c>
      <c r="H121" s="1024">
        <f t="shared" si="17"/>
        <v>0</v>
      </c>
      <c r="I121" s="1024">
        <f t="shared" si="17"/>
        <v>0</v>
      </c>
      <c r="J121" s="1024">
        <f t="shared" si="17"/>
        <v>0</v>
      </c>
      <c r="K121" s="1024">
        <f t="shared" si="17"/>
        <v>0</v>
      </c>
      <c r="L121" s="1024">
        <f t="shared" si="17"/>
        <v>40925</v>
      </c>
      <c r="M121" s="1024">
        <f t="shared" si="17"/>
        <v>5041350</v>
      </c>
      <c r="N121" s="54"/>
    </row>
    <row r="122" spans="1:14" s="107" customFormat="1" ht="17.149999999999999" customHeight="1" x14ac:dyDescent="0.35">
      <c r="A122" s="168" t="s">
        <v>821</v>
      </c>
      <c r="B122" s="1056">
        <f>E49</f>
        <v>0</v>
      </c>
      <c r="C122" s="1056">
        <f>H49</f>
        <v>1021375</v>
      </c>
      <c r="D122" s="1056">
        <f>G49</f>
        <v>9350</v>
      </c>
      <c r="E122" s="1056">
        <f>K49</f>
        <v>0</v>
      </c>
      <c r="F122" s="1056">
        <f>M49</f>
        <v>53000</v>
      </c>
      <c r="G122" s="1056">
        <f>N49</f>
        <v>5787725</v>
      </c>
      <c r="H122" s="1056">
        <f>X49</f>
        <v>0</v>
      </c>
      <c r="I122" s="1056">
        <f>AA49</f>
        <v>0</v>
      </c>
      <c r="J122" s="1056">
        <f>Z49</f>
        <v>0</v>
      </c>
      <c r="K122" s="1056">
        <f>AD49</f>
        <v>0</v>
      </c>
      <c r="L122" s="1056">
        <f>AF49</f>
        <v>40925</v>
      </c>
      <c r="M122" s="1056">
        <f>AG49</f>
        <v>5041350</v>
      </c>
      <c r="N122" s="10"/>
    </row>
    <row r="123" spans="1:14" s="107" customFormat="1" ht="17.149999999999999" customHeight="1" x14ac:dyDescent="0.35">
      <c r="A123" s="168" t="s">
        <v>829</v>
      </c>
      <c r="B123" s="1056">
        <f>E52</f>
        <v>0</v>
      </c>
      <c r="C123" s="1056">
        <f>H52</f>
        <v>0</v>
      </c>
      <c r="D123" s="1056">
        <f>G52</f>
        <v>0</v>
      </c>
      <c r="E123" s="1056">
        <f>K52</f>
        <v>0</v>
      </c>
      <c r="F123" s="1056">
        <f>M52</f>
        <v>4950</v>
      </c>
      <c r="G123" s="1056">
        <f>N52</f>
        <v>318650</v>
      </c>
      <c r="H123" s="1056">
        <f>X52</f>
        <v>0</v>
      </c>
      <c r="I123" s="1056">
        <f>AA52</f>
        <v>0</v>
      </c>
      <c r="J123" s="1056">
        <f>Z52</f>
        <v>0</v>
      </c>
      <c r="K123" s="1056">
        <f>AD52</f>
        <v>0</v>
      </c>
      <c r="L123" s="1056">
        <f>AF52</f>
        <v>0</v>
      </c>
      <c r="M123" s="1056">
        <f>AG52</f>
        <v>0</v>
      </c>
      <c r="N123" s="10"/>
    </row>
    <row r="124" spans="1:14" s="20" customFormat="1" ht="17.149999999999999" customHeight="1" x14ac:dyDescent="0.35">
      <c r="A124" s="977" t="s">
        <v>927</v>
      </c>
      <c r="B124" s="1023">
        <f t="shared" ref="B124:M124" si="18">SUM(B125:B126)</f>
        <v>45700</v>
      </c>
      <c r="C124" s="1023">
        <f t="shared" si="18"/>
        <v>846800</v>
      </c>
      <c r="D124" s="1023">
        <f t="shared" si="18"/>
        <v>21450</v>
      </c>
      <c r="E124" s="1023">
        <f t="shared" si="18"/>
        <v>45700</v>
      </c>
      <c r="F124" s="1023">
        <f t="shared" si="18"/>
        <v>21450</v>
      </c>
      <c r="G124" s="1023">
        <f t="shared" si="18"/>
        <v>846775</v>
      </c>
      <c r="H124" s="1024">
        <f t="shared" si="18"/>
        <v>0</v>
      </c>
      <c r="I124" s="1024">
        <f t="shared" si="18"/>
        <v>0</v>
      </c>
      <c r="J124" s="1024">
        <f t="shared" si="18"/>
        <v>0</v>
      </c>
      <c r="K124" s="1024">
        <f t="shared" si="18"/>
        <v>0</v>
      </c>
      <c r="L124" s="1024">
        <f t="shared" si="18"/>
        <v>40925</v>
      </c>
      <c r="M124" s="1024">
        <f t="shared" si="18"/>
        <v>1616350</v>
      </c>
      <c r="N124" s="54"/>
    </row>
    <row r="125" spans="1:14" s="107" customFormat="1" ht="17.149999999999999" customHeight="1" x14ac:dyDescent="0.35">
      <c r="A125" s="168" t="s">
        <v>824</v>
      </c>
      <c r="B125" s="1056">
        <f>E66</f>
        <v>45700</v>
      </c>
      <c r="C125" s="1056">
        <f>H66</f>
        <v>846800</v>
      </c>
      <c r="D125" s="1056">
        <f>G66</f>
        <v>21450</v>
      </c>
      <c r="E125" s="1056">
        <f>K66</f>
        <v>45700</v>
      </c>
      <c r="F125" s="1056">
        <f>M66</f>
        <v>21450</v>
      </c>
      <c r="G125" s="1056">
        <f>N66</f>
        <v>846775</v>
      </c>
      <c r="H125" s="1056">
        <f>X66</f>
        <v>0</v>
      </c>
      <c r="I125" s="1056">
        <f>AA66</f>
        <v>0</v>
      </c>
      <c r="J125" s="1056">
        <f>Z66</f>
        <v>0</v>
      </c>
      <c r="K125" s="1056">
        <f>AD66</f>
        <v>0</v>
      </c>
      <c r="L125" s="1056">
        <f>AF66</f>
        <v>40925</v>
      </c>
      <c r="M125" s="1056">
        <f>AG66</f>
        <v>1616350</v>
      </c>
      <c r="N125" s="10"/>
    </row>
    <row r="126" spans="1:14" s="107" customFormat="1" ht="17.149999999999999" customHeight="1" x14ac:dyDescent="0.35">
      <c r="A126" s="168" t="s">
        <v>830</v>
      </c>
      <c r="B126" s="1056">
        <f>E70</f>
        <v>0</v>
      </c>
      <c r="C126" s="1056">
        <f>H70</f>
        <v>0</v>
      </c>
      <c r="D126" s="1056">
        <f>G70</f>
        <v>0</v>
      </c>
      <c r="E126" s="1056">
        <f>K70</f>
        <v>0</v>
      </c>
      <c r="F126" s="1056">
        <f>M70</f>
        <v>0</v>
      </c>
      <c r="G126" s="1056">
        <f>N70</f>
        <v>0</v>
      </c>
      <c r="H126" s="1056">
        <f>X70</f>
        <v>0</v>
      </c>
      <c r="I126" s="1056">
        <f>AA70</f>
        <v>0</v>
      </c>
      <c r="J126" s="1056">
        <f>Z70</f>
        <v>0</v>
      </c>
      <c r="K126" s="1056">
        <f>AD70</f>
        <v>0</v>
      </c>
      <c r="L126" s="1056">
        <f>AF70</f>
        <v>0</v>
      </c>
      <c r="M126" s="1056">
        <f>AG70</f>
        <v>0</v>
      </c>
      <c r="N126" s="10"/>
    </row>
    <row r="127" spans="1:14" s="80" customFormat="1" ht="17.149999999999999" customHeight="1" x14ac:dyDescent="0.35">
      <c r="A127" s="950" t="s">
        <v>208</v>
      </c>
      <c r="B127" s="1021">
        <f>B117+B119+B121+B124</f>
        <v>45700</v>
      </c>
      <c r="C127" s="1021">
        <f t="shared" ref="C127:M127" si="19">C117+C119+C121+C124</f>
        <v>1868175</v>
      </c>
      <c r="D127" s="1021">
        <f t="shared" si="19"/>
        <v>30800</v>
      </c>
      <c r="E127" s="1021">
        <f t="shared" si="19"/>
        <v>45700</v>
      </c>
      <c r="F127" s="1021">
        <f t="shared" si="19"/>
        <v>79400</v>
      </c>
      <c r="G127" s="1021">
        <f t="shared" si="19"/>
        <v>32233175</v>
      </c>
      <c r="H127" s="1022">
        <f t="shared" si="19"/>
        <v>0</v>
      </c>
      <c r="I127" s="1022">
        <f t="shared" si="19"/>
        <v>0</v>
      </c>
      <c r="J127" s="1022">
        <f t="shared" si="19"/>
        <v>0</v>
      </c>
      <c r="K127" s="1022">
        <f t="shared" si="19"/>
        <v>0</v>
      </c>
      <c r="L127" s="1022">
        <f t="shared" si="19"/>
        <v>81850</v>
      </c>
      <c r="M127" s="1022">
        <f t="shared" si="19"/>
        <v>115177950</v>
      </c>
      <c r="N127" s="24"/>
    </row>
    <row r="128" spans="1:14" s="20" customFormat="1" ht="17.149999999999999" customHeight="1" x14ac:dyDescent="0.35">
      <c r="B128" s="204">
        <f>E55+E74</f>
        <v>45700</v>
      </c>
      <c r="C128" s="204">
        <f>H55+H74</f>
        <v>1868175</v>
      </c>
      <c r="D128" s="1520">
        <f>G36+G55+G74</f>
        <v>30800</v>
      </c>
      <c r="E128" s="1520">
        <f>K55+K74</f>
        <v>45700</v>
      </c>
      <c r="F128" s="1520">
        <f>G55+M55+M74</f>
        <v>88750</v>
      </c>
      <c r="G128" s="1520">
        <f>N36+N55+N74</f>
        <v>32233175</v>
      </c>
      <c r="H128" s="204">
        <f>X55+X74</f>
        <v>0</v>
      </c>
      <c r="I128" s="204">
        <f>AA55+AA74</f>
        <v>0</v>
      </c>
      <c r="J128" s="1520">
        <f>Z55+Z74</f>
        <v>0</v>
      </c>
      <c r="K128" s="1520">
        <f>AD55+AD74</f>
        <v>0</v>
      </c>
      <c r="L128" s="1520">
        <f>AF55+AF74</f>
        <v>81850</v>
      </c>
      <c r="M128" s="1520">
        <f>AG55+AG74</f>
        <v>6657700</v>
      </c>
      <c r="N128" s="54"/>
    </row>
    <row r="129" spans="1:14" s="20" customFormat="1" ht="17.149999999999999" customHeight="1" x14ac:dyDescent="0.35">
      <c r="B129" s="401">
        <f>B127-B128</f>
        <v>0</v>
      </c>
      <c r="C129" s="401">
        <f t="shared" ref="C129:M129" si="20">C127-C128</f>
        <v>0</v>
      </c>
      <c r="D129" s="401">
        <f t="shared" si="20"/>
        <v>0</v>
      </c>
      <c r="E129" s="401">
        <f t="shared" si="20"/>
        <v>0</v>
      </c>
      <c r="F129" s="401">
        <f t="shared" si="20"/>
        <v>-9350</v>
      </c>
      <c r="G129" s="401">
        <f t="shared" si="20"/>
        <v>0</v>
      </c>
      <c r="H129" s="401">
        <f t="shared" si="20"/>
        <v>0</v>
      </c>
      <c r="I129" s="401">
        <f t="shared" si="20"/>
        <v>0</v>
      </c>
      <c r="J129" s="401">
        <f t="shared" si="20"/>
        <v>0</v>
      </c>
      <c r="K129" s="401">
        <f t="shared" si="20"/>
        <v>0</v>
      </c>
      <c r="L129" s="401">
        <f t="shared" si="20"/>
        <v>0</v>
      </c>
      <c r="M129" s="401">
        <f t="shared" si="20"/>
        <v>108520250</v>
      </c>
      <c r="N129" s="54"/>
    </row>
    <row r="130" spans="1:14" s="20" customFormat="1" ht="17.149999999999999" customHeight="1" x14ac:dyDescent="0.35">
      <c r="B130" s="30"/>
      <c r="C130" s="31"/>
      <c r="D130" s="21"/>
      <c r="E130" s="21"/>
      <c r="F130" s="21"/>
      <c r="G130" s="22"/>
      <c r="H130" s="21"/>
      <c r="I130" s="23"/>
      <c r="J130" s="23"/>
      <c r="K130" s="23"/>
      <c r="L130" s="113"/>
      <c r="M130" s="113"/>
      <c r="N130" s="54"/>
    </row>
    <row r="131" spans="1:14" s="20" customFormat="1" ht="17.149999999999999" customHeight="1" x14ac:dyDescent="0.35">
      <c r="B131" s="30"/>
      <c r="C131" s="31"/>
      <c r="D131" s="21"/>
      <c r="E131" s="21"/>
      <c r="F131" s="21"/>
      <c r="G131" s="22"/>
      <c r="H131" s="21"/>
      <c r="I131" s="23"/>
      <c r="J131" s="23"/>
      <c r="K131" s="23"/>
      <c r="L131" s="113"/>
      <c r="M131" s="113"/>
      <c r="N131" s="54"/>
    </row>
    <row r="132" spans="1:14" s="20" customFormat="1" ht="17.149999999999999" customHeight="1" x14ac:dyDescent="0.35">
      <c r="A132" s="949" t="s">
        <v>944</v>
      </c>
      <c r="B132" s="1504" t="s">
        <v>9</v>
      </c>
      <c r="C132" s="1508" t="s">
        <v>253</v>
      </c>
      <c r="D132" s="21"/>
      <c r="E132" s="21"/>
      <c r="F132" s="21"/>
      <c r="G132" s="1504" t="s">
        <v>9</v>
      </c>
      <c r="H132" s="1508" t="s">
        <v>253</v>
      </c>
      <c r="I132" s="23"/>
      <c r="J132" s="1504" t="s">
        <v>9</v>
      </c>
      <c r="K132" s="1508" t="s">
        <v>253</v>
      </c>
      <c r="L132" s="7"/>
      <c r="M132" s="113"/>
      <c r="N132" s="54"/>
    </row>
    <row r="133" spans="1:14" s="255" customFormat="1" ht="10.5" x14ac:dyDescent="0.35">
      <c r="A133" s="237"/>
      <c r="B133" s="222"/>
      <c r="C133" s="222"/>
      <c r="D133" s="252"/>
      <c r="E133" s="252"/>
      <c r="F133" s="252"/>
      <c r="G133" s="222"/>
      <c r="H133" s="222"/>
      <c r="I133" s="253"/>
      <c r="J133" s="222"/>
      <c r="K133" s="222"/>
      <c r="M133" s="253"/>
      <c r="N133" s="254"/>
    </row>
    <row r="134" spans="1:14" s="20" customFormat="1" ht="17.149999999999999" customHeight="1" x14ac:dyDescent="0.35">
      <c r="A134" s="80"/>
      <c r="B134" s="1513" t="s">
        <v>841</v>
      </c>
      <c r="C134" s="1508" t="s">
        <v>841</v>
      </c>
      <c r="D134" s="21"/>
      <c r="E134" s="21"/>
      <c r="F134" s="21"/>
      <c r="G134" s="1513" t="s">
        <v>841</v>
      </c>
      <c r="H134" s="1508" t="s">
        <v>841</v>
      </c>
      <c r="I134" s="23"/>
      <c r="J134" s="1513" t="s">
        <v>465</v>
      </c>
      <c r="K134" s="1508" t="s">
        <v>465</v>
      </c>
      <c r="L134" s="7"/>
      <c r="M134" s="113"/>
      <c r="N134" s="54"/>
    </row>
    <row r="135" spans="1:14" s="255" customFormat="1" ht="10.5" x14ac:dyDescent="0.35">
      <c r="A135" s="237"/>
      <c r="B135" s="222"/>
      <c r="C135" s="222"/>
      <c r="D135" s="252"/>
      <c r="E135" s="252"/>
      <c r="F135" s="252"/>
      <c r="G135" s="222"/>
      <c r="H135" s="222"/>
      <c r="I135" s="253"/>
      <c r="J135" s="222"/>
      <c r="K135" s="222"/>
      <c r="M135" s="253"/>
      <c r="N135" s="254"/>
    </row>
    <row r="136" spans="1:14" s="216" customFormat="1" ht="17.149999999999999" customHeight="1" x14ac:dyDescent="0.35">
      <c r="A136" s="206" t="s">
        <v>945</v>
      </c>
      <c r="B136" s="207">
        <f>SUM(B137:B140)</f>
        <v>7063350</v>
      </c>
      <c r="C136" s="207">
        <f>SUM(C137:C140)</f>
        <v>6739550</v>
      </c>
      <c r="D136" s="214"/>
      <c r="E136" s="1046" t="s">
        <v>946</v>
      </c>
      <c r="F136" s="1047"/>
      <c r="G136" s="1048">
        <f>SUM(G137:G140)</f>
        <v>110200</v>
      </c>
      <c r="H136" s="1052">
        <f>SUM(H137:H140)</f>
        <v>81850</v>
      </c>
      <c r="I136" s="192"/>
      <c r="J136" s="1053">
        <f>IF(B136=0,0,G136/B136)</f>
        <v>1.56016621008445E-2</v>
      </c>
      <c r="K136" s="1054">
        <f>IF(C136=0,0,H136/C136)</f>
        <v>1.2144727763723098E-2</v>
      </c>
      <c r="L136" s="7"/>
      <c r="M136" s="113"/>
      <c r="N136" s="54"/>
    </row>
    <row r="137" spans="1:14" s="216" customFormat="1" ht="17.149999999999999" customHeight="1" x14ac:dyDescent="0.35">
      <c r="A137" s="135" t="s">
        <v>947</v>
      </c>
      <c r="B137" s="1523">
        <f>D117</f>
        <v>0</v>
      </c>
      <c r="C137" s="1523">
        <f>J117</f>
        <v>0</v>
      </c>
      <c r="D137" s="214"/>
      <c r="E137" s="258" t="s">
        <v>948</v>
      </c>
      <c r="F137" s="259"/>
      <c r="G137" s="260">
        <f>D117</f>
        <v>0</v>
      </c>
      <c r="H137" s="1523">
        <f>J117</f>
        <v>0</v>
      </c>
      <c r="I137" s="23"/>
      <c r="J137" s="261">
        <f>IF(J143=0,0,G137/J143)</f>
        <v>0</v>
      </c>
      <c r="K137" s="261">
        <f>IF(K143=0,0,H137/K143)</f>
        <v>0</v>
      </c>
      <c r="L137" s="7"/>
      <c r="M137" s="113"/>
      <c r="N137" s="54"/>
    </row>
    <row r="138" spans="1:14" s="92" customFormat="1" ht="17.149999999999999" customHeight="1" x14ac:dyDescent="0.35">
      <c r="A138" s="135" t="s">
        <v>949</v>
      </c>
      <c r="B138" s="1523">
        <f>D119+F119+G119</f>
        <v>0</v>
      </c>
      <c r="C138" s="1523">
        <f>J119+L119+M119</f>
        <v>0</v>
      </c>
      <c r="D138" s="213"/>
      <c r="E138" s="258" t="s">
        <v>949</v>
      </c>
      <c r="F138" s="259"/>
      <c r="G138" s="260">
        <f>G46+M46</f>
        <v>0</v>
      </c>
      <c r="H138" s="1523">
        <f>Z46+AF46</f>
        <v>0</v>
      </c>
      <c r="I138" s="23"/>
      <c r="J138" s="261">
        <f t="shared" ref="J138:K140" si="21">IF(B138=0,0,G138/B138)</f>
        <v>0</v>
      </c>
      <c r="K138" s="261">
        <f t="shared" si="21"/>
        <v>0</v>
      </c>
      <c r="L138" s="7"/>
      <c r="M138" s="113"/>
      <c r="N138" s="54"/>
    </row>
    <row r="139" spans="1:14" s="92" customFormat="1" ht="17.149999999999999" customHeight="1" x14ac:dyDescent="0.35">
      <c r="A139" s="135" t="s">
        <v>950</v>
      </c>
      <c r="B139" s="1523">
        <f>D121+F121+G121</f>
        <v>6173675</v>
      </c>
      <c r="C139" s="1523">
        <f>J121+L121+M121</f>
        <v>5082275</v>
      </c>
      <c r="D139" s="213"/>
      <c r="E139" s="258" t="s">
        <v>951</v>
      </c>
      <c r="F139" s="259"/>
      <c r="G139" s="260">
        <f>G49+G52+M49+M52</f>
        <v>67300</v>
      </c>
      <c r="H139" s="260">
        <f>Z49+Z52+AF49+AF52</f>
        <v>40925</v>
      </c>
      <c r="I139" s="23"/>
      <c r="J139" s="261">
        <f t="shared" si="21"/>
        <v>1.0901124532794485E-2</v>
      </c>
      <c r="K139" s="261">
        <f t="shared" si="21"/>
        <v>8.0524961754332453E-3</v>
      </c>
      <c r="L139" s="7"/>
      <c r="M139" s="113"/>
      <c r="N139" s="54"/>
    </row>
    <row r="140" spans="1:14" s="92" customFormat="1" ht="17.149999999999999" customHeight="1" x14ac:dyDescent="0.35">
      <c r="A140" s="135" t="s">
        <v>952</v>
      </c>
      <c r="B140" s="1523">
        <f>D124+F124+G124</f>
        <v>889675</v>
      </c>
      <c r="C140" s="1523">
        <f>J124+L124+M124</f>
        <v>1657275</v>
      </c>
      <c r="D140" s="213"/>
      <c r="E140" s="258" t="s">
        <v>952</v>
      </c>
      <c r="F140" s="259"/>
      <c r="G140" s="260">
        <f>G74+M74</f>
        <v>42900</v>
      </c>
      <c r="H140" s="1523">
        <f>Z74+AF74</f>
        <v>40925</v>
      </c>
      <c r="I140" s="23"/>
      <c r="J140" s="261">
        <f t="shared" si="21"/>
        <v>4.8219855565234497E-2</v>
      </c>
      <c r="K140" s="261">
        <f t="shared" si="21"/>
        <v>2.469415154395016E-2</v>
      </c>
      <c r="L140" s="7"/>
      <c r="M140" s="113"/>
      <c r="N140" s="54"/>
    </row>
    <row r="141" spans="1:14" s="20" customFormat="1" ht="17.149999999999999" customHeight="1" x14ac:dyDescent="0.35">
      <c r="A141" s="11"/>
      <c r="B141" s="179"/>
      <c r="C141" s="179"/>
      <c r="D141" s="21"/>
      <c r="E141" s="1049" t="s">
        <v>208</v>
      </c>
      <c r="F141" s="1050"/>
      <c r="G141" s="1051">
        <f>SUM(G137:G140)</f>
        <v>110200</v>
      </c>
      <c r="H141" s="1022">
        <f>SUM(H137:H140)</f>
        <v>81850</v>
      </c>
      <c r="I141" s="23"/>
      <c r="J141" s="1053"/>
      <c r="K141" s="1054"/>
      <c r="L141" s="113"/>
      <c r="M141" s="113"/>
      <c r="N141" s="54"/>
    </row>
    <row r="142" spans="1:14" s="20" customFormat="1" ht="17.149999999999999" customHeight="1" x14ac:dyDescent="0.3">
      <c r="A142" s="206" t="s">
        <v>892</v>
      </c>
      <c r="B142" s="207">
        <f>SUM(B143)</f>
        <v>25280025</v>
      </c>
      <c r="C142" s="207">
        <f>SUM(C143)</f>
        <v>108520250</v>
      </c>
      <c r="D142" s="21"/>
      <c r="E142" s="137"/>
      <c r="F142" s="137"/>
      <c r="G142" s="137"/>
      <c r="H142" s="137"/>
      <c r="I142" s="137"/>
      <c r="J142" s="137"/>
      <c r="K142" s="137"/>
      <c r="L142" s="113"/>
      <c r="M142" s="113"/>
      <c r="N142" s="54"/>
    </row>
    <row r="143" spans="1:14" s="20" customFormat="1" ht="17.149999999999999" customHeight="1" x14ac:dyDescent="0.3">
      <c r="A143" s="135" t="s">
        <v>846</v>
      </c>
      <c r="B143" s="1523">
        <f>'Capture volumes'!E135-B137</f>
        <v>25280025</v>
      </c>
      <c r="C143" s="1523">
        <f>'Capture volumes'!F135-C137</f>
        <v>108520250</v>
      </c>
      <c r="D143" s="21"/>
      <c r="E143" s="137"/>
      <c r="F143" s="137"/>
      <c r="G143" s="137"/>
      <c r="H143" s="137"/>
      <c r="I143" s="137"/>
      <c r="J143" s="1523">
        <f>'Capture volumes'!E135</f>
        <v>25280025</v>
      </c>
      <c r="K143" s="1523">
        <f>'Capture volumes'!F135</f>
        <v>108520250</v>
      </c>
      <c r="L143" s="23"/>
      <c r="M143" s="23"/>
      <c r="N143" s="24"/>
    </row>
    <row r="144" spans="1:14" s="20" customFormat="1" ht="17.149999999999999" customHeight="1" x14ac:dyDescent="0.3">
      <c r="A144" s="11"/>
      <c r="B144" s="179"/>
      <c r="C144" s="179"/>
      <c r="D144" s="21"/>
      <c r="E144" s="137"/>
      <c r="F144" s="137"/>
      <c r="G144" s="137"/>
      <c r="H144" s="137"/>
      <c r="I144" s="137"/>
      <c r="J144" s="137"/>
      <c r="K144" s="137"/>
      <c r="L144" s="23"/>
      <c r="M144" s="23"/>
      <c r="N144" s="24"/>
    </row>
    <row r="145" spans="1:54" s="216" customFormat="1" ht="17.149999999999999" customHeight="1" x14ac:dyDescent="0.35">
      <c r="A145" s="208" t="s">
        <v>953</v>
      </c>
      <c r="B145" s="209">
        <f>SUM(B146:B151)</f>
        <v>1959575</v>
      </c>
      <c r="C145" s="209">
        <f>SUM(C146:C151)</f>
        <v>0</v>
      </c>
      <c r="D145" s="214"/>
      <c r="E145" s="214"/>
      <c r="F145" s="214"/>
      <c r="G145" s="214"/>
      <c r="H145" s="214"/>
      <c r="I145" s="192"/>
      <c r="J145" s="192"/>
      <c r="K145" s="192"/>
      <c r="L145" s="192"/>
      <c r="M145" s="192"/>
      <c r="N145" s="119"/>
    </row>
    <row r="146" spans="1:54" s="216" customFormat="1" ht="17.149999999999999" customHeight="1" x14ac:dyDescent="0.35">
      <c r="A146" s="135" t="s">
        <v>954</v>
      </c>
      <c r="B146" s="211">
        <f>B119+E119</f>
        <v>0</v>
      </c>
      <c r="C146" s="211">
        <f>H119+K119</f>
        <v>0</v>
      </c>
      <c r="D146" s="214"/>
      <c r="E146" s="214"/>
      <c r="F146" s="214"/>
      <c r="G146" s="1151"/>
      <c r="H146" s="1151"/>
      <c r="I146" s="192"/>
      <c r="J146" s="192"/>
      <c r="K146" s="192"/>
      <c r="L146" s="192"/>
      <c r="M146" s="192"/>
      <c r="N146" s="119"/>
    </row>
    <row r="147" spans="1:54" s="92" customFormat="1" ht="16.5" customHeight="1" x14ac:dyDescent="0.35">
      <c r="A147" s="135" t="s">
        <v>955</v>
      </c>
      <c r="B147" s="211">
        <f>C119</f>
        <v>0</v>
      </c>
      <c r="C147" s="211">
        <f>I119</f>
        <v>0</v>
      </c>
      <c r="D147" s="213"/>
      <c r="E147" s="213"/>
      <c r="F147" s="213"/>
      <c r="G147" s="22"/>
      <c r="H147" s="213"/>
      <c r="I147" s="23"/>
      <c r="J147" s="23"/>
      <c r="K147" s="23"/>
      <c r="L147" s="23"/>
      <c r="M147" s="23"/>
      <c r="N147" s="24"/>
    </row>
    <row r="148" spans="1:54" s="92" customFormat="1" ht="16.5" customHeight="1" x14ac:dyDescent="0.35">
      <c r="A148" s="135" t="s">
        <v>956</v>
      </c>
      <c r="B148" s="211">
        <f>B121+E121</f>
        <v>0</v>
      </c>
      <c r="C148" s="211">
        <f>H121+K121</f>
        <v>0</v>
      </c>
      <c r="D148" s="213"/>
      <c r="E148" s="213"/>
      <c r="F148" s="213"/>
      <c r="G148" s="22"/>
      <c r="H148" s="213"/>
      <c r="I148" s="23"/>
      <c r="J148" s="23"/>
      <c r="K148" s="23"/>
      <c r="L148" s="23"/>
      <c r="M148" s="23"/>
      <c r="N148" s="24"/>
    </row>
    <row r="149" spans="1:54" s="92" customFormat="1" ht="16.5" customHeight="1" x14ac:dyDescent="0.35">
      <c r="A149" s="135" t="s">
        <v>957</v>
      </c>
      <c r="B149" s="211">
        <f>C121</f>
        <v>1021375</v>
      </c>
      <c r="C149" s="211">
        <f>I121</f>
        <v>0</v>
      </c>
      <c r="D149" s="213"/>
      <c r="E149" s="213"/>
      <c r="F149" s="213"/>
      <c r="G149" s="22"/>
      <c r="H149" s="213"/>
      <c r="I149" s="23"/>
      <c r="J149" s="23"/>
      <c r="K149" s="23"/>
      <c r="L149" s="23"/>
      <c r="M149" s="23"/>
      <c r="N149" s="24"/>
    </row>
    <row r="150" spans="1:54" s="92" customFormat="1" ht="16.5" customHeight="1" x14ac:dyDescent="0.35">
      <c r="A150" s="135" t="s">
        <v>958</v>
      </c>
      <c r="B150" s="211">
        <f>B124+E124</f>
        <v>91400</v>
      </c>
      <c r="C150" s="211">
        <f>H124+K124</f>
        <v>0</v>
      </c>
      <c r="D150" s="213"/>
      <c r="E150" s="213"/>
      <c r="F150" s="213"/>
      <c r="G150" s="22"/>
      <c r="H150" s="213"/>
      <c r="I150" s="23"/>
      <c r="J150" s="23"/>
      <c r="K150" s="23"/>
      <c r="L150" s="23"/>
      <c r="M150" s="23"/>
      <c r="N150" s="24"/>
    </row>
    <row r="151" spans="1:54" s="92" customFormat="1" ht="17.149999999999999" customHeight="1" x14ac:dyDescent="0.35">
      <c r="A151" s="135" t="s">
        <v>959</v>
      </c>
      <c r="B151" s="211">
        <f>C124</f>
        <v>846800</v>
      </c>
      <c r="C151" s="211">
        <f>I124</f>
        <v>0</v>
      </c>
      <c r="D151" s="213"/>
      <c r="E151" s="213"/>
      <c r="F151" s="213"/>
      <c r="G151" s="22"/>
      <c r="H151" s="213"/>
      <c r="I151" s="23"/>
      <c r="J151" s="23"/>
      <c r="K151" s="23"/>
      <c r="L151" s="23"/>
      <c r="M151" s="23"/>
      <c r="N151" s="24"/>
    </row>
    <row r="152" spans="1:54" s="20" customFormat="1" ht="17.149999999999999" customHeight="1" x14ac:dyDescent="0.35">
      <c r="A152" s="11"/>
      <c r="B152" s="179"/>
      <c r="C152" s="179"/>
      <c r="D152" s="21"/>
      <c r="E152" s="21"/>
      <c r="F152" s="21"/>
      <c r="G152" s="22"/>
      <c r="H152" s="21"/>
      <c r="I152" s="23"/>
      <c r="J152" s="23"/>
      <c r="K152" s="23"/>
      <c r="L152" s="23"/>
      <c r="M152" s="23"/>
      <c r="N152" s="24"/>
    </row>
    <row r="153" spans="1:54" s="216" customFormat="1" ht="17.149999999999999" customHeight="1" x14ac:dyDescent="0.35">
      <c r="A153" s="212" t="s">
        <v>960</v>
      </c>
      <c r="B153" s="28">
        <f>B136+B142+B145</f>
        <v>34302950</v>
      </c>
      <c r="C153" s="28">
        <f>C136+C142+C145</f>
        <v>115259800</v>
      </c>
      <c r="D153" s="214"/>
      <c r="E153" s="214"/>
      <c r="F153" s="214"/>
      <c r="G153" s="215"/>
      <c r="H153" s="214"/>
      <c r="I153" s="192"/>
      <c r="J153" s="192"/>
      <c r="K153" s="192"/>
      <c r="L153" s="192"/>
      <c r="M153" s="192"/>
      <c r="N153" s="119"/>
    </row>
    <row r="154" spans="1:54" s="216" customFormat="1" ht="17.149999999999999" customHeight="1" x14ac:dyDescent="0.35">
      <c r="A154" s="194"/>
      <c r="B154" s="205">
        <f>'Capture volumes'!E134</f>
        <v>34302950</v>
      </c>
      <c r="C154" s="205">
        <f>'Capture volumes'!F134</f>
        <v>115259800</v>
      </c>
      <c r="D154" s="214"/>
      <c r="E154" s="214"/>
      <c r="F154" s="214"/>
      <c r="G154" s="215"/>
      <c r="H154" s="214"/>
      <c r="I154" s="192"/>
      <c r="J154" s="192"/>
      <c r="K154" s="192"/>
      <c r="L154" s="192"/>
      <c r="M154" s="192"/>
      <c r="N154" s="119"/>
    </row>
    <row r="155" spans="1:54" s="20" customFormat="1" ht="17.149999999999999" customHeight="1" x14ac:dyDescent="0.35">
      <c r="A155" s="11"/>
      <c r="B155" s="1519" t="str">
        <f>IF(B153=B154,"OK","Not OK")</f>
        <v>OK</v>
      </c>
      <c r="C155" s="1519" t="str">
        <f>IF(C153=C154,"OK","Not OK")</f>
        <v>OK</v>
      </c>
      <c r="D155" s="21"/>
      <c r="E155" s="21"/>
      <c r="F155" s="21"/>
      <c r="G155" s="22"/>
      <c r="H155" s="21"/>
      <c r="I155" s="23"/>
      <c r="J155" s="23"/>
      <c r="K155" s="23"/>
      <c r="L155" s="23"/>
      <c r="M155" s="23"/>
      <c r="N155" s="24"/>
    </row>
    <row r="156" spans="1:54" s="20" customFormat="1" ht="17.149999999999999" customHeight="1" x14ac:dyDescent="0.35">
      <c r="B156" s="30"/>
      <c r="C156" s="30"/>
      <c r="D156" s="30"/>
      <c r="E156" s="31"/>
      <c r="F156" s="21"/>
      <c r="G156" s="21"/>
      <c r="H156" s="21"/>
      <c r="I156" s="22"/>
      <c r="J156" s="22"/>
      <c r="K156" s="21"/>
      <c r="L156" s="23"/>
      <c r="M156" s="23"/>
      <c r="N156" s="23"/>
      <c r="O156" s="23"/>
      <c r="P156" s="23"/>
      <c r="Q156" s="23"/>
      <c r="R156" s="23"/>
      <c r="S156" s="23"/>
      <c r="T156" s="23"/>
      <c r="U156" s="24"/>
    </row>
    <row r="157" spans="1:54" s="20" customFormat="1" ht="17.149999999999999" customHeight="1" x14ac:dyDescent="0.35">
      <c r="B157" s="31">
        <f>B153-B154</f>
        <v>0</v>
      </c>
      <c r="C157" s="30"/>
      <c r="D157" s="30"/>
      <c r="E157" s="31"/>
      <c r="F157" s="21"/>
      <c r="G157" s="21"/>
      <c r="H157" s="21"/>
      <c r="I157" s="22"/>
      <c r="J157" s="22"/>
      <c r="K157" s="21"/>
      <c r="L157" s="23"/>
      <c r="M157" s="23"/>
      <c r="N157" s="23"/>
      <c r="O157" s="23"/>
      <c r="P157" s="23"/>
      <c r="Q157" s="23"/>
      <c r="R157" s="23"/>
      <c r="S157" s="23"/>
      <c r="T157" s="23"/>
      <c r="U157" s="24"/>
    </row>
    <row r="159" spans="1:54" s="27" customFormat="1" ht="17.149999999999999" customHeight="1" x14ac:dyDescent="0.35">
      <c r="A159" s="183" t="s">
        <v>852</v>
      </c>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row>
    <row r="160" spans="1:54" s="27" customFormat="1" ht="17.149999999999999" customHeight="1" x14ac:dyDescent="0.35">
      <c r="A160" s="120"/>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row>
    <row r="161" spans="1:58" s="140" customFormat="1" ht="17.149999999999999" customHeight="1" x14ac:dyDescent="0.35">
      <c r="A161" s="949" t="s">
        <v>961</v>
      </c>
      <c r="B161" s="1776" t="s">
        <v>9</v>
      </c>
      <c r="C161" s="1776"/>
      <c r="D161" s="1776"/>
      <c r="E161" s="1776"/>
      <c r="F161" s="1776"/>
      <c r="G161" s="1776"/>
      <c r="H161" s="1776"/>
      <c r="I161" s="1776"/>
      <c r="J161" s="1776"/>
      <c r="K161" s="1776"/>
      <c r="L161" s="1776"/>
      <c r="M161" s="1776"/>
      <c r="N161" s="1776"/>
      <c r="O161" s="17"/>
      <c r="P161" s="1777" t="s">
        <v>9</v>
      </c>
      <c r="Q161" s="1777"/>
      <c r="R161" s="1777"/>
      <c r="S161" s="115"/>
      <c r="T161" s="115"/>
      <c r="U161" s="1778" t="s">
        <v>253</v>
      </c>
      <c r="V161" s="1778"/>
      <c r="W161" s="1778"/>
      <c r="X161" s="1778"/>
      <c r="Y161" s="1778"/>
      <c r="Z161" s="1778"/>
      <c r="AA161" s="1778"/>
      <c r="AB161" s="1778"/>
      <c r="AC161" s="1778"/>
      <c r="AD161" s="1778"/>
      <c r="AE161" s="1778"/>
      <c r="AF161" s="1778"/>
      <c r="AG161" s="1778"/>
      <c r="AH161" s="115"/>
      <c r="AI161" s="1779" t="s">
        <v>253</v>
      </c>
      <c r="AJ161" s="1779"/>
      <c r="AK161" s="1779"/>
      <c r="AL161" s="115"/>
      <c r="AM161" s="115"/>
      <c r="AN161" s="115"/>
      <c r="AO161" s="115"/>
      <c r="AP161" s="115"/>
      <c r="AQ161" s="115"/>
      <c r="AR161" s="115"/>
      <c r="AS161" s="115"/>
      <c r="AT161" s="115"/>
      <c r="AU161" s="115"/>
      <c r="AV161" s="115"/>
      <c r="AW161" s="115"/>
      <c r="AX161" s="115"/>
      <c r="AY161" s="115"/>
      <c r="AZ161" s="115"/>
      <c r="BA161" s="115"/>
      <c r="BB161" s="115"/>
    </row>
    <row r="162" spans="1:58" s="27" customFormat="1" ht="17.149999999999999" customHeight="1" x14ac:dyDescent="0.35">
      <c r="A162" s="371"/>
      <c r="F162" s="17"/>
      <c r="G162" s="17"/>
      <c r="H162" s="17"/>
      <c r="I162" s="17"/>
      <c r="J162" s="17"/>
      <c r="K162" s="17"/>
      <c r="L162" s="17"/>
      <c r="M162" s="17"/>
      <c r="N162" s="17"/>
      <c r="O162" s="17"/>
      <c r="P162" s="17"/>
      <c r="Q162" s="17"/>
      <c r="R162" s="115"/>
      <c r="S162" s="115"/>
      <c r="T162" s="17"/>
      <c r="W162" s="17"/>
      <c r="X162" s="17"/>
      <c r="Y162" s="95"/>
      <c r="Z162" s="10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row>
    <row r="163" spans="1:58" s="27" customFormat="1" ht="17.149999999999999" customHeight="1" x14ac:dyDescent="0.35">
      <c r="A163" s="191"/>
      <c r="B163" s="166"/>
      <c r="C163" s="1780" t="s">
        <v>896</v>
      </c>
      <c r="D163" s="1780"/>
      <c r="E163" s="1780"/>
      <c r="F163" s="1780"/>
      <c r="G163" s="1780"/>
      <c r="H163" s="1780"/>
      <c r="I163" s="1781" t="s">
        <v>897</v>
      </c>
      <c r="J163" s="1782"/>
      <c r="K163" s="1782"/>
      <c r="L163" s="1782"/>
      <c r="M163" s="1782"/>
      <c r="N163" s="1783"/>
      <c r="O163" s="17"/>
      <c r="P163" s="1784" t="s">
        <v>898</v>
      </c>
      <c r="Q163" s="1784"/>
      <c r="R163" s="1784"/>
      <c r="S163" s="309"/>
      <c r="T163" s="17"/>
      <c r="U163" s="1150"/>
      <c r="V163" s="1785" t="s">
        <v>896</v>
      </c>
      <c r="W163" s="1785"/>
      <c r="X163" s="1785"/>
      <c r="Y163" s="1785"/>
      <c r="Z163" s="1785"/>
      <c r="AA163" s="1785"/>
      <c r="AB163" s="1786" t="s">
        <v>897</v>
      </c>
      <c r="AC163" s="1787"/>
      <c r="AD163" s="1787"/>
      <c r="AE163" s="1787"/>
      <c r="AF163" s="1787"/>
      <c r="AG163" s="1788"/>
      <c r="AH163" s="17"/>
      <c r="AI163" s="1789" t="s">
        <v>898</v>
      </c>
      <c r="AJ163" s="1789"/>
      <c r="AK163" s="1789"/>
      <c r="AL163" s="300"/>
      <c r="AM163" s="17"/>
      <c r="AN163" s="17"/>
      <c r="AO163" s="17"/>
      <c r="AP163" s="17"/>
      <c r="AQ163" s="17"/>
      <c r="AR163" s="17"/>
      <c r="AS163" s="17"/>
      <c r="AT163" s="17"/>
      <c r="AU163" s="17"/>
      <c r="AV163" s="17"/>
      <c r="AW163" s="17"/>
      <c r="AX163" s="17"/>
      <c r="AY163" s="17"/>
      <c r="AZ163" s="17"/>
      <c r="BA163" s="17"/>
      <c r="BB163" s="17"/>
    </row>
    <row r="164" spans="1:58" s="27" customFormat="1" ht="58" x14ac:dyDescent="0.3">
      <c r="A164" s="355"/>
      <c r="B164" s="1511" t="s">
        <v>899</v>
      </c>
      <c r="C164" s="1513"/>
      <c r="D164" s="1511" t="s">
        <v>900</v>
      </c>
      <c r="E164" s="1511"/>
      <c r="F164" s="1511" t="s">
        <v>901</v>
      </c>
      <c r="G164" s="1511" t="s">
        <v>902</v>
      </c>
      <c r="H164" s="1511" t="s">
        <v>903</v>
      </c>
      <c r="I164" s="1511" t="s">
        <v>904</v>
      </c>
      <c r="J164" s="1511"/>
      <c r="K164" s="1511"/>
      <c r="L164" s="1511"/>
      <c r="M164" s="1511"/>
      <c r="N164" s="1511" t="s">
        <v>903</v>
      </c>
      <c r="O164" s="137"/>
      <c r="P164" s="1511" t="s">
        <v>905</v>
      </c>
      <c r="Q164" s="1511" t="s">
        <v>57</v>
      </c>
      <c r="R164" s="1506" t="s">
        <v>208</v>
      </c>
      <c r="S164" s="390" t="s">
        <v>277</v>
      </c>
      <c r="T164" s="137"/>
      <c r="U164" s="1033" t="s">
        <v>899</v>
      </c>
      <c r="V164" s="1149"/>
      <c r="W164" s="1033" t="s">
        <v>900</v>
      </c>
      <c r="X164" s="1033"/>
      <c r="Y164" s="1033" t="s">
        <v>901</v>
      </c>
      <c r="Z164" s="1033" t="s">
        <v>902</v>
      </c>
      <c r="AA164" s="1033" t="s">
        <v>903</v>
      </c>
      <c r="AB164" s="1033" t="s">
        <v>904</v>
      </c>
      <c r="AC164" s="1033"/>
      <c r="AD164" s="1033"/>
      <c r="AE164" s="1033"/>
      <c r="AF164" s="1033"/>
      <c r="AG164" s="1033" t="s">
        <v>903</v>
      </c>
      <c r="AH164" s="17"/>
      <c r="AI164" s="1033" t="s">
        <v>905</v>
      </c>
      <c r="AJ164" s="1033" t="s">
        <v>57</v>
      </c>
      <c r="AK164" s="1507" t="s">
        <v>208</v>
      </c>
      <c r="AL164" s="390" t="s">
        <v>277</v>
      </c>
      <c r="AM164" s="17"/>
      <c r="AN164" s="17"/>
      <c r="AO164" s="17"/>
      <c r="AP164" s="17"/>
      <c r="AQ164" s="17"/>
      <c r="AR164" s="17"/>
      <c r="AS164" s="17"/>
      <c r="AT164" s="17"/>
      <c r="AU164" s="17"/>
      <c r="AV164" s="17"/>
      <c r="AW164" s="17"/>
      <c r="AX164" s="17"/>
      <c r="AY164" s="17"/>
      <c r="AZ164" s="17"/>
      <c r="BA164" s="17"/>
      <c r="BB164" s="17"/>
      <c r="BC164" s="17"/>
      <c r="BD164" s="17"/>
      <c r="BE164" s="17"/>
      <c r="BF164" s="17"/>
    </row>
    <row r="165" spans="1:58" s="184" customFormat="1" ht="13" x14ac:dyDescent="0.3">
      <c r="A165" s="356"/>
      <c r="B165" s="356"/>
      <c r="C165" s="1514"/>
      <c r="D165" s="356"/>
      <c r="E165" s="356"/>
      <c r="F165" s="356"/>
      <c r="G165" s="321"/>
      <c r="H165" s="321"/>
      <c r="I165" s="143"/>
      <c r="J165" s="143"/>
      <c r="K165" s="143"/>
      <c r="L165" s="356"/>
      <c r="M165" s="356"/>
      <c r="N165" s="225"/>
      <c r="O165" s="137"/>
      <c r="P165" s="224"/>
      <c r="Q165" s="225"/>
      <c r="R165" s="143"/>
      <c r="S165" s="155"/>
      <c r="T165" s="137"/>
      <c r="U165" s="356"/>
      <c r="V165" s="1514"/>
      <c r="W165" s="356"/>
      <c r="X165" s="224"/>
      <c r="Y165" s="356"/>
      <c r="Z165" s="321"/>
      <c r="AA165" s="321"/>
      <c r="AB165" s="143"/>
      <c r="AC165" s="143"/>
      <c r="AD165" s="143"/>
      <c r="AE165" s="143"/>
      <c r="AF165" s="143"/>
      <c r="AG165" s="225"/>
      <c r="AH165" s="3"/>
      <c r="AI165" s="224"/>
      <c r="AJ165" s="225"/>
      <c r="AK165" s="143"/>
      <c r="AL165" s="155"/>
      <c r="AM165" s="3"/>
      <c r="AN165" s="3"/>
      <c r="AO165" s="3"/>
      <c r="AP165" s="3"/>
      <c r="AQ165" s="3"/>
      <c r="AR165" s="3"/>
      <c r="AS165" s="3"/>
      <c r="AT165" s="3"/>
      <c r="AU165" s="3"/>
      <c r="AV165" s="3"/>
      <c r="AW165" s="3"/>
      <c r="AX165" s="3"/>
      <c r="AY165" s="3"/>
      <c r="AZ165" s="3"/>
      <c r="BA165" s="3"/>
      <c r="BB165" s="3"/>
      <c r="BC165" s="3"/>
      <c r="BD165" s="3"/>
      <c r="BE165" s="3"/>
      <c r="BF165" s="3"/>
    </row>
    <row r="166" spans="1:58" s="184" customFormat="1" ht="17.149999999999999" customHeight="1" x14ac:dyDescent="0.3">
      <c r="A166" s="1038" t="s">
        <v>906</v>
      </c>
      <c r="B166" s="1039">
        <f>SUM(B167:B168)</f>
        <v>251825</v>
      </c>
      <c r="C166" s="1040"/>
      <c r="D166" s="1039"/>
      <c r="E166" s="1039"/>
      <c r="F166" s="1039">
        <f>SUM(F167:F168)</f>
        <v>0</v>
      </c>
      <c r="G166" s="1039">
        <f>SUM(G167:G168)</f>
        <v>0</v>
      </c>
      <c r="H166" s="1039">
        <f>SUM(H167:H168)</f>
        <v>0</v>
      </c>
      <c r="I166" s="1039">
        <f>SUM(I167:I168)</f>
        <v>251825</v>
      </c>
      <c r="J166" s="1039"/>
      <c r="K166" s="1039"/>
      <c r="L166" s="1039"/>
      <c r="M166" s="1039"/>
      <c r="N166" s="1039">
        <f>SUM(N167:N168)</f>
        <v>251825</v>
      </c>
      <c r="O166" s="137"/>
      <c r="P166" s="1039">
        <f>SUM(P167:P168)</f>
        <v>0</v>
      </c>
      <c r="Q166" s="1039">
        <f>SUM(Q167:Q168)</f>
        <v>168925</v>
      </c>
      <c r="R166" s="1039">
        <f>SUM(R167:R168)</f>
        <v>168925</v>
      </c>
      <c r="S166" s="1518">
        <f>SUM(S167:S168)</f>
        <v>82900</v>
      </c>
      <c r="T166" s="137"/>
      <c r="U166" s="1041">
        <f>SUM(U167:U168)</f>
        <v>1638050</v>
      </c>
      <c r="V166" s="1041"/>
      <c r="W166" s="1041"/>
      <c r="X166" s="1041"/>
      <c r="Y166" s="1041">
        <f>SUM(Y167:Y168)</f>
        <v>0</v>
      </c>
      <c r="Z166" s="1041">
        <f>SUM(Z167:Z168)</f>
        <v>0</v>
      </c>
      <c r="AA166" s="1041">
        <f>SUM(AA167:AA168)</f>
        <v>0</v>
      </c>
      <c r="AB166" s="1042">
        <f>SUM(AB167:AB168)</f>
        <v>1638050</v>
      </c>
      <c r="AC166" s="1042"/>
      <c r="AD166" s="1042"/>
      <c r="AE166" s="1042"/>
      <c r="AF166" s="1042"/>
      <c r="AG166" s="1042">
        <f>SUM(AG167:AG168)</f>
        <v>1638050</v>
      </c>
      <c r="AH166" s="3"/>
      <c r="AI166" s="1041">
        <f>SUM(AI167:AI168)</f>
        <v>0</v>
      </c>
      <c r="AJ166" s="1041">
        <f>SUM(AJ167:AJ168)</f>
        <v>1491650</v>
      </c>
      <c r="AK166" s="1041">
        <f>SUM(AK167:AK168)</f>
        <v>1491650</v>
      </c>
      <c r="AL166" s="1518">
        <f>SUM(AL167:AL168)</f>
        <v>146400</v>
      </c>
      <c r="AM166" s="3"/>
      <c r="AN166" s="3"/>
      <c r="AO166" s="3"/>
      <c r="AP166" s="3"/>
      <c r="AQ166" s="3"/>
      <c r="AR166" s="3"/>
      <c r="AS166" s="3"/>
      <c r="AT166" s="3"/>
      <c r="AU166" s="3"/>
      <c r="AV166" s="3"/>
      <c r="AW166" s="3"/>
      <c r="AX166" s="3"/>
      <c r="AY166" s="3"/>
      <c r="AZ166" s="3"/>
      <c r="BA166" s="3"/>
      <c r="BB166" s="3"/>
      <c r="BC166" s="3"/>
      <c r="BD166" s="3"/>
    </row>
    <row r="167" spans="1:58" s="1045" customFormat="1" ht="17.149999999999999" customHeight="1" x14ac:dyDescent="0.3">
      <c r="A167" s="155" t="s">
        <v>814</v>
      </c>
      <c r="B167" s="1522">
        <f>'Capture volumes'!E220+'Capture volumes'!E233</f>
        <v>168925</v>
      </c>
      <c r="C167" s="1020"/>
      <c r="D167" s="956">
        <f>'User interface_Non-RES'!K33</f>
        <v>0</v>
      </c>
      <c r="E167" s="1522"/>
      <c r="F167" s="1522">
        <f>ROUND((B167*D167)/25,0)*25</f>
        <v>0</v>
      </c>
      <c r="G167" s="1522">
        <f>ROUND((F167*'User interface_Non-RES'!M70)/25,0)*25</f>
        <v>0</v>
      </c>
      <c r="H167" s="1522">
        <f>F167-G167</f>
        <v>0</v>
      </c>
      <c r="I167" s="1522">
        <f>B167-F167</f>
        <v>168925</v>
      </c>
      <c r="J167" s="999"/>
      <c r="K167" s="1522"/>
      <c r="L167" s="1522"/>
      <c r="M167" s="1522"/>
      <c r="N167" s="1522">
        <f>I167</f>
        <v>168925</v>
      </c>
      <c r="O167" s="954"/>
      <c r="P167" s="1020"/>
      <c r="Q167" s="1020">
        <f>G167+H167+N167</f>
        <v>168925</v>
      </c>
      <c r="R167" s="368">
        <f>SUM(P167:Q167)</f>
        <v>168925</v>
      </c>
      <c r="S167" s="1518">
        <f>B167-R167</f>
        <v>0</v>
      </c>
      <c r="T167" s="954"/>
      <c r="U167" s="1522">
        <f>'Capture volumes'!F220+'Capture volumes'!F233</f>
        <v>1491650</v>
      </c>
      <c r="V167" s="1020"/>
      <c r="W167" s="956">
        <f>'User interface_Non-RES'!K55</f>
        <v>0</v>
      </c>
      <c r="X167" s="1522"/>
      <c r="Y167" s="1522">
        <f>ROUND((U167*W167)/25,0)*25</f>
        <v>0</v>
      </c>
      <c r="Z167" s="1522">
        <f>ROUND((Y167*'User interface_Non-RES'!M70)/25,0)*25</f>
        <v>0</v>
      </c>
      <c r="AA167" s="1522">
        <f>Y167-Z167</f>
        <v>0</v>
      </c>
      <c r="AB167" s="1522">
        <f>U167-Y167</f>
        <v>1491650</v>
      </c>
      <c r="AC167" s="999"/>
      <c r="AD167" s="1522"/>
      <c r="AE167" s="1522"/>
      <c r="AF167" s="1522"/>
      <c r="AG167" s="1522">
        <f>AB167</f>
        <v>1491650</v>
      </c>
      <c r="AH167" s="954"/>
      <c r="AI167" s="1020"/>
      <c r="AJ167" s="1020">
        <f>Z167+AA167+AG167</f>
        <v>1491650</v>
      </c>
      <c r="AK167" s="368">
        <f>SUM(AI167:AJ167)</f>
        <v>1491650</v>
      </c>
      <c r="AL167" s="1518">
        <f>U167-AK167</f>
        <v>0</v>
      </c>
      <c r="AM167" s="60"/>
      <c r="AN167" s="60"/>
      <c r="AO167" s="60"/>
      <c r="AP167" s="60"/>
      <c r="AQ167" s="60"/>
      <c r="AR167" s="60"/>
      <c r="AS167" s="60"/>
      <c r="AT167" s="60"/>
      <c r="AU167" s="60"/>
      <c r="AV167" s="60"/>
      <c r="AW167" s="60"/>
      <c r="AX167" s="60"/>
      <c r="AY167" s="60"/>
      <c r="AZ167" s="60"/>
      <c r="BA167" s="60"/>
      <c r="BB167" s="60"/>
      <c r="BC167" s="60"/>
      <c r="BD167" s="60"/>
    </row>
    <row r="168" spans="1:58" s="1045" customFormat="1" ht="17.149999999999999" customHeight="1" x14ac:dyDescent="0.3">
      <c r="A168" s="155" t="s">
        <v>815</v>
      </c>
      <c r="B168" s="1522">
        <f>'Capture volumes'!E221+'Capture volumes'!E234</f>
        <v>82900</v>
      </c>
      <c r="C168" s="1020"/>
      <c r="D168" s="956">
        <f>D167</f>
        <v>0</v>
      </c>
      <c r="E168" s="1522"/>
      <c r="F168" s="1522">
        <f>ROUND((B168*D168)/25,0)*25</f>
        <v>0</v>
      </c>
      <c r="G168" s="1522">
        <f>ROUND((F168*'User interface_Non-RES'!M71)/25,0)*25</f>
        <v>0</v>
      </c>
      <c r="H168" s="1522">
        <f>F168-G168</f>
        <v>0</v>
      </c>
      <c r="I168" s="1522">
        <f>B168-F168</f>
        <v>82900</v>
      </c>
      <c r="J168" s="999"/>
      <c r="K168" s="1522"/>
      <c r="L168" s="1522"/>
      <c r="M168" s="1522"/>
      <c r="N168" s="1522">
        <f>I168</f>
        <v>82900</v>
      </c>
      <c r="O168" s="954"/>
      <c r="P168" s="1020"/>
      <c r="Q168" s="1020">
        <f>G168+L168</f>
        <v>0</v>
      </c>
      <c r="R168" s="368">
        <f>SUM(P168:Q168)</f>
        <v>0</v>
      </c>
      <c r="S168" s="1518">
        <f>B168-R168</f>
        <v>82900</v>
      </c>
      <c r="T168" s="954"/>
      <c r="U168" s="1522">
        <f>'Capture volumes'!F221+'Capture volumes'!F234</f>
        <v>146400</v>
      </c>
      <c r="V168" s="1020"/>
      <c r="W168" s="956">
        <f>W167</f>
        <v>0</v>
      </c>
      <c r="X168" s="1522"/>
      <c r="Y168" s="1522">
        <f>ROUND((U168*W168)/25,0)*25</f>
        <v>0</v>
      </c>
      <c r="Z168" s="1522">
        <f>ROUND((Y168*'User interface_Non-RES'!M71)/25,0)*25</f>
        <v>0</v>
      </c>
      <c r="AA168" s="1522">
        <f>Y168-Z168</f>
        <v>0</v>
      </c>
      <c r="AB168" s="1522">
        <f>U168-Y168</f>
        <v>146400</v>
      </c>
      <c r="AC168" s="999"/>
      <c r="AD168" s="1522"/>
      <c r="AE168" s="1522"/>
      <c r="AF168" s="1522"/>
      <c r="AG168" s="1522">
        <f>AB168</f>
        <v>146400</v>
      </c>
      <c r="AH168" s="954"/>
      <c r="AI168" s="1020"/>
      <c r="AJ168" s="1020">
        <f>Z168+AE168</f>
        <v>0</v>
      </c>
      <c r="AK168" s="368">
        <f>SUM(AI168:AJ168)</f>
        <v>0</v>
      </c>
      <c r="AL168" s="1518">
        <f>U168-AK168</f>
        <v>146400</v>
      </c>
      <c r="AM168" s="60"/>
      <c r="AN168" s="60"/>
      <c r="AO168" s="60"/>
      <c r="AP168" s="60"/>
      <c r="AQ168" s="60"/>
      <c r="AR168" s="60"/>
      <c r="AS168" s="60"/>
      <c r="AT168" s="60"/>
      <c r="AU168" s="60"/>
      <c r="AV168" s="60"/>
      <c r="AW168" s="60"/>
      <c r="AX168" s="60"/>
      <c r="AY168" s="60"/>
      <c r="AZ168" s="60"/>
      <c r="BA168" s="60"/>
      <c r="BB168" s="60"/>
      <c r="BC168" s="60"/>
      <c r="BD168" s="60"/>
    </row>
    <row r="169" spans="1:58" s="27" customFormat="1" ht="17.149999999999999" customHeight="1" x14ac:dyDescent="0.3">
      <c r="A169" s="1036" t="s">
        <v>361</v>
      </c>
      <c r="B169" s="1037">
        <f>B166</f>
        <v>251825</v>
      </c>
      <c r="C169" s="1037"/>
      <c r="D169" s="1037"/>
      <c r="E169" s="1037"/>
      <c r="F169" s="1037">
        <f>F166</f>
        <v>0</v>
      </c>
      <c r="G169" s="1037">
        <f>G166</f>
        <v>0</v>
      </c>
      <c r="H169" s="1037">
        <f>H166</f>
        <v>0</v>
      </c>
      <c r="I169" s="1037">
        <f>I166</f>
        <v>251825</v>
      </c>
      <c r="J169" s="1037"/>
      <c r="K169" s="1037"/>
      <c r="L169" s="1037"/>
      <c r="M169" s="1037"/>
      <c r="N169" s="1037">
        <f>N166</f>
        <v>251825</v>
      </c>
      <c r="O169" s="137"/>
      <c r="P169" s="1037">
        <f>P166</f>
        <v>0</v>
      </c>
      <c r="Q169" s="1037">
        <f>Q166</f>
        <v>168925</v>
      </c>
      <c r="R169" s="1037">
        <f>R166</f>
        <v>168925</v>
      </c>
      <c r="S169" s="1518">
        <f>B169-R169</f>
        <v>82900</v>
      </c>
      <c r="T169" s="137"/>
      <c r="U169" s="1034">
        <f>U166</f>
        <v>1638050</v>
      </c>
      <c r="V169" s="1034"/>
      <c r="W169" s="1034"/>
      <c r="X169" s="1034"/>
      <c r="Y169" s="1034">
        <f>Y166</f>
        <v>0</v>
      </c>
      <c r="Z169" s="1034">
        <f>Z166</f>
        <v>0</v>
      </c>
      <c r="AA169" s="1034">
        <f>AA166</f>
        <v>0</v>
      </c>
      <c r="AB169" s="1034">
        <f>AB166</f>
        <v>1638050</v>
      </c>
      <c r="AC169" s="1034"/>
      <c r="AD169" s="1034"/>
      <c r="AE169" s="1034"/>
      <c r="AF169" s="1034"/>
      <c r="AG169" s="1034">
        <f>AG166</f>
        <v>1638050</v>
      </c>
      <c r="AH169" s="12"/>
      <c r="AI169" s="1034">
        <f>AI166</f>
        <v>0</v>
      </c>
      <c r="AJ169" s="1034">
        <f>AJ166</f>
        <v>1491650</v>
      </c>
      <c r="AK169" s="1034">
        <f>AK166</f>
        <v>1491650</v>
      </c>
      <c r="AL169" s="1518">
        <f>U169-AK169</f>
        <v>146400</v>
      </c>
      <c r="AM169" s="12"/>
      <c r="AN169" s="12"/>
      <c r="AO169" s="12"/>
      <c r="AP169" s="12"/>
      <c r="AQ169" s="12"/>
      <c r="AR169" s="12"/>
      <c r="AS169" s="12"/>
      <c r="AT169" s="12"/>
      <c r="AU169" s="12"/>
      <c r="AV169" s="12"/>
      <c r="AW169" s="12"/>
      <c r="AX169" s="12"/>
      <c r="AY169" s="12"/>
      <c r="AZ169" s="12"/>
      <c r="BA169" s="12"/>
      <c r="BB169" s="12"/>
      <c r="BC169" s="12"/>
      <c r="BD169" s="12"/>
    </row>
    <row r="170" spans="1:58" s="184" customFormat="1" ht="17.149999999999999" customHeight="1" x14ac:dyDescent="0.3">
      <c r="A170" s="122"/>
      <c r="B170" s="172">
        <f>IF(B169=0,0,B169/B169)</f>
        <v>1</v>
      </c>
      <c r="C170" s="370"/>
      <c r="D170" s="172"/>
      <c r="E170" s="172"/>
      <c r="F170" s="172">
        <f>IF(B169=0,0,F169/B169)</f>
        <v>0</v>
      </c>
      <c r="G170" s="172"/>
      <c r="H170" s="172"/>
      <c r="I170" s="172">
        <f>IF(B169=0,0,I169/B169)</f>
        <v>1</v>
      </c>
      <c r="J170" s="172"/>
      <c r="K170" s="172"/>
      <c r="L170" s="172"/>
      <c r="M170" s="143"/>
      <c r="N170" s="143"/>
      <c r="O170" s="3"/>
      <c r="P170" s="172">
        <f>IF(B169=0,0,P169/B169)</f>
        <v>0</v>
      </c>
      <c r="Q170" s="370">
        <f>IF(B169=0,0,Q169/B169)</f>
        <v>0.67080313709917605</v>
      </c>
      <c r="R170" s="370">
        <f>IF(B169=0,0,R169/B169)</f>
        <v>0.67080313709917605</v>
      </c>
      <c r="S170" s="391"/>
      <c r="T170" s="137"/>
      <c r="U170" s="172">
        <f>IF(U169=0,0,U169/U169)</f>
        <v>1</v>
      </c>
      <c r="V170" s="370"/>
      <c r="W170" s="172"/>
      <c r="X170" s="172"/>
      <c r="Y170" s="172">
        <f>IF(U169=0,0,Y169/U169)</f>
        <v>0</v>
      </c>
      <c r="Z170" s="172"/>
      <c r="AA170" s="172"/>
      <c r="AB170" s="172">
        <f>IF(U169=0,0,AB169/U169)</f>
        <v>1</v>
      </c>
      <c r="AC170" s="172"/>
      <c r="AD170" s="172"/>
      <c r="AE170" s="172"/>
      <c r="AF170" s="143"/>
      <c r="AG170" s="143"/>
      <c r="AH170" s="3"/>
      <c r="AI170" s="172">
        <f>IF(U169=0,0,AI169/U169)</f>
        <v>0</v>
      </c>
      <c r="AJ170" s="370">
        <f>IF(U169=0,0,AJ169/U169)</f>
        <v>0.91062543878391988</v>
      </c>
      <c r="AK170" s="370">
        <f>IF(U169=0,0,AK169/U169)</f>
        <v>0.91062543878391988</v>
      </c>
      <c r="AL170" s="391"/>
      <c r="AM170" s="3"/>
      <c r="AN170" s="3"/>
      <c r="AO170" s="3"/>
      <c r="AP170" s="3"/>
      <c r="AQ170" s="3"/>
      <c r="AR170" s="3"/>
      <c r="AS170" s="3"/>
      <c r="AT170" s="3"/>
      <c r="AU170" s="3"/>
      <c r="AV170" s="3"/>
      <c r="AW170" s="3"/>
      <c r="AX170" s="3"/>
      <c r="AY170" s="3"/>
      <c r="AZ170" s="3"/>
      <c r="BA170" s="3"/>
      <c r="BB170" s="3"/>
      <c r="BC170" s="3"/>
      <c r="BD170" s="3"/>
      <c r="BE170" s="3"/>
    </row>
    <row r="171" spans="1:58" s="184" customFormat="1" ht="17.149999999999999" customHeight="1" x14ac:dyDescent="0.3">
      <c r="A171" s="122"/>
      <c r="F171" s="454">
        <f>IF(F169=0,0,F169/F169)</f>
        <v>0</v>
      </c>
      <c r="G171" s="172">
        <f>IF(F169=0,0,G169/F169)</f>
        <v>0</v>
      </c>
      <c r="H171" s="172">
        <f>IF(F169=0,0,H169/F169)</f>
        <v>0</v>
      </c>
      <c r="I171" s="3"/>
      <c r="J171" s="3"/>
      <c r="K171" s="3"/>
      <c r="L171" s="3"/>
      <c r="M171" s="3"/>
      <c r="N171" s="3"/>
      <c r="O171" s="3"/>
      <c r="T171" s="137"/>
      <c r="Y171" s="454">
        <f>IF(Y169=0,0,Y169/Y169)</f>
        <v>0</v>
      </c>
      <c r="Z171" s="172">
        <f>IF(Y169=0,0,Z169/Y169)</f>
        <v>0</v>
      </c>
      <c r="AA171" s="454">
        <f>IF(Y169=0,0,AA169/Y169)</f>
        <v>0</v>
      </c>
      <c r="AB171" s="3"/>
      <c r="AC171" s="3"/>
      <c r="AD171" s="3"/>
      <c r="AE171" s="3"/>
      <c r="AF171" s="3"/>
      <c r="AG171" s="3"/>
      <c r="AH171" s="3"/>
      <c r="AL171" s="3"/>
      <c r="AM171" s="3"/>
      <c r="AN171" s="3"/>
      <c r="AO171" s="3"/>
      <c r="AP171" s="3"/>
      <c r="AQ171" s="3"/>
      <c r="AR171" s="3"/>
      <c r="AS171" s="3"/>
      <c r="AT171" s="3"/>
      <c r="AU171" s="3"/>
      <c r="AV171" s="3"/>
      <c r="AW171" s="3"/>
      <c r="AX171" s="3"/>
      <c r="AY171" s="3"/>
      <c r="AZ171" s="3"/>
      <c r="BA171" s="3"/>
      <c r="BB171" s="3"/>
    </row>
    <row r="172" spans="1:58" s="27" customFormat="1" ht="17.149999999999999" customHeight="1" x14ac:dyDescent="0.35">
      <c r="A172" s="120"/>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row>
    <row r="173" spans="1:58" s="27" customFormat="1" ht="17.149999999999999" customHeight="1" x14ac:dyDescent="0.35">
      <c r="A173" s="120"/>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row>
    <row r="174" spans="1:58" s="140" customFormat="1" ht="17.149999999999999" customHeight="1" x14ac:dyDescent="0.35">
      <c r="A174" s="949" t="s">
        <v>962</v>
      </c>
      <c r="B174" s="1776" t="s">
        <v>9</v>
      </c>
      <c r="C174" s="1776"/>
      <c r="D174" s="1776"/>
      <c r="E174" s="1776"/>
      <c r="F174" s="1776"/>
      <c r="G174" s="1776"/>
      <c r="H174" s="1776"/>
      <c r="I174" s="1776"/>
      <c r="J174" s="1776"/>
      <c r="K174" s="1776"/>
      <c r="L174" s="1776"/>
      <c r="M174" s="1776"/>
      <c r="N174" s="1776"/>
      <c r="O174" s="17"/>
      <c r="P174" s="1777" t="s">
        <v>9</v>
      </c>
      <c r="Q174" s="1777"/>
      <c r="R174" s="1777"/>
      <c r="S174" s="115"/>
      <c r="T174" s="115"/>
      <c r="U174" s="1778" t="s">
        <v>253</v>
      </c>
      <c r="V174" s="1778"/>
      <c r="W174" s="1778"/>
      <c r="X174" s="1778"/>
      <c r="Y174" s="1778"/>
      <c r="Z174" s="1778"/>
      <c r="AA174" s="1778"/>
      <c r="AB174" s="1778"/>
      <c r="AC174" s="1778"/>
      <c r="AD174" s="1778"/>
      <c r="AE174" s="1778"/>
      <c r="AF174" s="1778"/>
      <c r="AG174" s="1778"/>
      <c r="AH174" s="115"/>
      <c r="AI174" s="1779" t="s">
        <v>253</v>
      </c>
      <c r="AJ174" s="1779"/>
      <c r="AK174" s="1779"/>
      <c r="AL174" s="115"/>
      <c r="AM174" s="115"/>
      <c r="AN174" s="115"/>
      <c r="AO174" s="115"/>
      <c r="AP174" s="115"/>
      <c r="AQ174" s="115"/>
      <c r="AR174" s="115"/>
      <c r="AS174" s="115"/>
      <c r="AT174" s="115"/>
      <c r="AU174" s="115"/>
      <c r="AV174" s="115"/>
      <c r="AW174" s="115"/>
      <c r="AX174" s="115"/>
      <c r="AY174" s="115"/>
      <c r="AZ174" s="115"/>
      <c r="BA174" s="115"/>
      <c r="BB174" s="115"/>
    </row>
    <row r="175" spans="1:58" s="27" customFormat="1" ht="17.149999999999999" customHeight="1" x14ac:dyDescent="0.35">
      <c r="A175" s="371"/>
      <c r="F175" s="17"/>
      <c r="G175" s="17"/>
      <c r="H175" s="17"/>
      <c r="I175" s="17"/>
      <c r="J175" s="17"/>
      <c r="K175" s="17"/>
      <c r="L175" s="17"/>
      <c r="M175" s="17"/>
      <c r="N175" s="17"/>
      <c r="O175" s="17"/>
      <c r="P175" s="17"/>
      <c r="Q175" s="17"/>
      <c r="R175" s="115"/>
      <c r="S175" s="115"/>
      <c r="T175" s="17"/>
      <c r="W175" s="17"/>
      <c r="X175" s="17"/>
      <c r="Y175" s="95"/>
      <c r="Z175" s="10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row>
    <row r="176" spans="1:58" s="27" customFormat="1" ht="17.149999999999999" customHeight="1" x14ac:dyDescent="0.35">
      <c r="A176" s="191"/>
      <c r="B176" s="166"/>
      <c r="C176" s="1780" t="s">
        <v>908</v>
      </c>
      <c r="D176" s="1780"/>
      <c r="E176" s="1780"/>
      <c r="F176" s="1780"/>
      <c r="G176" s="1780"/>
      <c r="H176" s="1780"/>
      <c r="I176" s="1781" t="s">
        <v>909</v>
      </c>
      <c r="J176" s="1782"/>
      <c r="K176" s="1782"/>
      <c r="L176" s="1782"/>
      <c r="M176" s="1782"/>
      <c r="N176" s="1783"/>
      <c r="O176" s="17"/>
      <c r="P176" s="1784" t="s">
        <v>898</v>
      </c>
      <c r="Q176" s="1784"/>
      <c r="R176" s="1784"/>
      <c r="S176" s="309"/>
      <c r="T176" s="17"/>
      <c r="U176" s="1794" t="s">
        <v>908</v>
      </c>
      <c r="V176" s="1794"/>
      <c r="W176" s="1794"/>
      <c r="X176" s="1794"/>
      <c r="Y176" s="1794"/>
      <c r="Z176" s="1794"/>
      <c r="AA176" s="1794"/>
      <c r="AB176" s="1794" t="s">
        <v>910</v>
      </c>
      <c r="AC176" s="1794"/>
      <c r="AD176" s="1794"/>
      <c r="AE176" s="1794"/>
      <c r="AF176" s="1794"/>
      <c r="AG176" s="1794"/>
      <c r="AH176" s="17"/>
      <c r="AI176" s="1789" t="s">
        <v>898</v>
      </c>
      <c r="AJ176" s="1789"/>
      <c r="AK176" s="1789"/>
      <c r="AL176" s="300"/>
      <c r="AM176" s="17"/>
      <c r="AN176" s="17"/>
      <c r="AO176" s="17"/>
      <c r="AP176" s="17"/>
      <c r="AQ176" s="17"/>
      <c r="AR176" s="17"/>
      <c r="AS176" s="17"/>
      <c r="AT176" s="17"/>
      <c r="AU176" s="17"/>
      <c r="AV176" s="17"/>
      <c r="AW176" s="17"/>
      <c r="AX176" s="17"/>
      <c r="AY176" s="17"/>
      <c r="AZ176" s="17"/>
      <c r="BA176" s="17"/>
      <c r="BB176" s="17"/>
    </row>
    <row r="177" spans="1:58" s="27" customFormat="1" ht="58" x14ac:dyDescent="0.3">
      <c r="A177" s="355"/>
      <c r="B177" s="1511" t="s">
        <v>899</v>
      </c>
      <c r="C177" s="1513" t="s">
        <v>911</v>
      </c>
      <c r="D177" s="1511" t="s">
        <v>912</v>
      </c>
      <c r="E177" s="1511" t="s">
        <v>905</v>
      </c>
      <c r="F177" s="1511" t="s">
        <v>913</v>
      </c>
      <c r="G177" s="1511" t="s">
        <v>902</v>
      </c>
      <c r="H177" s="1511" t="s">
        <v>914</v>
      </c>
      <c r="I177" s="1511" t="s">
        <v>915</v>
      </c>
      <c r="J177" s="1511" t="s">
        <v>912</v>
      </c>
      <c r="K177" s="1511" t="s">
        <v>905</v>
      </c>
      <c r="L177" s="1511" t="s">
        <v>57</v>
      </c>
      <c r="M177" s="1511" t="s">
        <v>902</v>
      </c>
      <c r="N177" s="1511" t="s">
        <v>903</v>
      </c>
      <c r="O177" s="137"/>
      <c r="P177" s="1511" t="s">
        <v>905</v>
      </c>
      <c r="Q177" s="1511" t="s">
        <v>57</v>
      </c>
      <c r="R177" s="1506" t="s">
        <v>208</v>
      </c>
      <c r="S177" s="390" t="s">
        <v>277</v>
      </c>
      <c r="T177" s="137"/>
      <c r="U177" s="1033" t="s">
        <v>916</v>
      </c>
      <c r="V177" s="1033" t="s">
        <v>911</v>
      </c>
      <c r="W177" s="1033" t="s">
        <v>912</v>
      </c>
      <c r="X177" s="1033" t="s">
        <v>905</v>
      </c>
      <c r="Y177" s="1033" t="s">
        <v>57</v>
      </c>
      <c r="Z177" s="1033" t="s">
        <v>902</v>
      </c>
      <c r="AA177" s="1033" t="s">
        <v>917</v>
      </c>
      <c r="AB177" s="1033" t="s">
        <v>915</v>
      </c>
      <c r="AC177" s="1033" t="s">
        <v>912</v>
      </c>
      <c r="AD177" s="1033" t="s">
        <v>905</v>
      </c>
      <c r="AE177" s="1033" t="s">
        <v>57</v>
      </c>
      <c r="AF177" s="1033" t="s">
        <v>902</v>
      </c>
      <c r="AG177" s="1033" t="s">
        <v>903</v>
      </c>
      <c r="AH177" s="17"/>
      <c r="AI177" s="1033" t="s">
        <v>905</v>
      </c>
      <c r="AJ177" s="1033" t="s">
        <v>57</v>
      </c>
      <c r="AK177" s="1507" t="s">
        <v>208</v>
      </c>
      <c r="AL177" s="390" t="s">
        <v>277</v>
      </c>
      <c r="AM177" s="17"/>
      <c r="AN177" s="17"/>
      <c r="AO177" s="17"/>
      <c r="AP177" s="17"/>
      <c r="AQ177" s="17"/>
      <c r="AR177" s="17"/>
      <c r="AS177" s="17"/>
      <c r="AT177" s="17"/>
      <c r="AU177" s="17"/>
      <c r="AV177" s="17"/>
      <c r="AW177" s="17"/>
      <c r="AX177" s="17"/>
      <c r="AY177" s="17"/>
      <c r="AZ177" s="17"/>
      <c r="BA177" s="17"/>
      <c r="BB177" s="17"/>
      <c r="BC177" s="17"/>
      <c r="BD177" s="17"/>
      <c r="BE177" s="17"/>
      <c r="BF177" s="17"/>
    </row>
    <row r="178" spans="1:58" s="184" customFormat="1" ht="13" x14ac:dyDescent="0.3">
      <c r="A178" s="356"/>
      <c r="B178" s="356"/>
      <c r="C178" s="1514"/>
      <c r="D178" s="356"/>
      <c r="E178" s="224"/>
      <c r="F178" s="356"/>
      <c r="G178" s="321"/>
      <c r="H178" s="383"/>
      <c r="I178" s="143"/>
      <c r="J178" s="143"/>
      <c r="K178" s="224"/>
      <c r="L178" s="356"/>
      <c r="M178" s="225"/>
      <c r="N178" s="225"/>
      <c r="O178" s="137"/>
      <c r="P178" s="224"/>
      <c r="Q178" s="225"/>
      <c r="R178" s="143"/>
      <c r="S178" s="155"/>
      <c r="T178" s="137"/>
      <c r="U178" s="356"/>
      <c r="V178" s="1514"/>
      <c r="W178" s="356"/>
      <c r="X178" s="224"/>
      <c r="Y178" s="356"/>
      <c r="Z178" s="321"/>
      <c r="AA178" s="383"/>
      <c r="AB178" s="143"/>
      <c r="AC178" s="143"/>
      <c r="AD178" s="224"/>
      <c r="AE178" s="356"/>
      <c r="AF178" s="225"/>
      <c r="AG178" s="225"/>
      <c r="AH178" s="3"/>
      <c r="AI178" s="224"/>
      <c r="AJ178" s="225"/>
      <c r="AK178" s="143"/>
      <c r="AL178" s="155"/>
      <c r="AM178" s="3"/>
      <c r="AN178" s="3"/>
      <c r="AO178" s="3"/>
      <c r="AP178" s="3"/>
      <c r="AQ178" s="3"/>
      <c r="AR178" s="3"/>
      <c r="AS178" s="3"/>
      <c r="AT178" s="3"/>
      <c r="AU178" s="3"/>
      <c r="AV178" s="3"/>
      <c r="AW178" s="3"/>
      <c r="AX178" s="3"/>
      <c r="AY178" s="3"/>
      <c r="AZ178" s="3"/>
      <c r="BA178" s="3"/>
      <c r="BB178" s="3"/>
      <c r="BC178" s="3"/>
      <c r="BD178" s="3"/>
      <c r="BE178" s="3"/>
      <c r="BF178" s="3"/>
    </row>
    <row r="179" spans="1:58" s="184" customFormat="1" ht="17.149999999999999" customHeight="1" x14ac:dyDescent="0.3">
      <c r="A179" s="1038" t="s">
        <v>434</v>
      </c>
      <c r="B179" s="1039">
        <f>SUM(B180:B181)</f>
        <v>0</v>
      </c>
      <c r="C179" s="1040">
        <f>SUM(C180:C181)</f>
        <v>0</v>
      </c>
      <c r="D179" s="1039"/>
      <c r="E179" s="1039">
        <f>SUM(E180:E181)</f>
        <v>0</v>
      </c>
      <c r="F179" s="1039">
        <f t="shared" ref="F179:N179" si="22">SUM(F180:F181)</f>
        <v>0</v>
      </c>
      <c r="G179" s="1039">
        <f t="shared" si="22"/>
        <v>0</v>
      </c>
      <c r="H179" s="1039">
        <f t="shared" si="22"/>
        <v>0</v>
      </c>
      <c r="I179" s="1039">
        <f t="shared" si="22"/>
        <v>0</v>
      </c>
      <c r="J179" s="1039"/>
      <c r="K179" s="1039">
        <f t="shared" si="22"/>
        <v>0</v>
      </c>
      <c r="L179" s="1039">
        <f t="shared" si="22"/>
        <v>0</v>
      </c>
      <c r="M179" s="1039">
        <f t="shared" si="22"/>
        <v>0</v>
      </c>
      <c r="N179" s="1039">
        <f t="shared" si="22"/>
        <v>0</v>
      </c>
      <c r="O179" s="137"/>
      <c r="P179" s="1039">
        <f>SUM(P180:P181)</f>
        <v>0</v>
      </c>
      <c r="Q179" s="1039">
        <f>SUM(Q180:Q181)</f>
        <v>0</v>
      </c>
      <c r="R179" s="1039">
        <f>SUM(R180:R181)</f>
        <v>0</v>
      </c>
      <c r="S179" s="1518">
        <f>SUM(S180:S181)</f>
        <v>0</v>
      </c>
      <c r="T179" s="137"/>
      <c r="U179" s="1041">
        <f>SUM(U180:U181)</f>
        <v>0</v>
      </c>
      <c r="V179" s="1041">
        <f>SUM(V180:V181)</f>
        <v>0</v>
      </c>
      <c r="W179" s="1041"/>
      <c r="X179" s="1041">
        <f>SUM(X180:X181)</f>
        <v>0</v>
      </c>
      <c r="Y179" s="1041">
        <f>SUM(Y180:Y181)</f>
        <v>0</v>
      </c>
      <c r="Z179" s="1041">
        <f>SUM(Z180:Z181)</f>
        <v>0</v>
      </c>
      <c r="AA179" s="1041">
        <f>SUM(AA180:AA181)</f>
        <v>0</v>
      </c>
      <c r="AB179" s="1042">
        <f>SUM(AB180:AB181)</f>
        <v>0</v>
      </c>
      <c r="AC179" s="1042"/>
      <c r="AD179" s="1042">
        <f>SUM(AD180:AD181)</f>
        <v>0</v>
      </c>
      <c r="AE179" s="1042">
        <f>SUM(AE180:AE181)</f>
        <v>0</v>
      </c>
      <c r="AF179" s="1042">
        <f>SUM(AF180:AF181)</f>
        <v>0</v>
      </c>
      <c r="AG179" s="1042">
        <f>SUM(AG180:AG181)</f>
        <v>0</v>
      </c>
      <c r="AH179" s="3"/>
      <c r="AI179" s="1041">
        <f>SUM(AI180:AI181)</f>
        <v>0</v>
      </c>
      <c r="AJ179" s="1041">
        <f>SUM(AJ180:AJ181)</f>
        <v>0</v>
      </c>
      <c r="AK179" s="1041">
        <f>SUM(AK180:AK181)</f>
        <v>0</v>
      </c>
      <c r="AL179" s="1518">
        <f>SUM(AL180:AL181)</f>
        <v>0</v>
      </c>
      <c r="AM179" s="3"/>
      <c r="AN179" s="3"/>
      <c r="AO179" s="3"/>
      <c r="AP179" s="3"/>
      <c r="AQ179" s="3"/>
      <c r="AR179" s="3"/>
      <c r="AS179" s="3"/>
      <c r="AT179" s="3"/>
      <c r="AU179" s="3"/>
      <c r="AV179" s="3"/>
      <c r="AW179" s="3"/>
      <c r="AX179" s="3"/>
      <c r="AY179" s="3"/>
      <c r="AZ179" s="3"/>
      <c r="BA179" s="3"/>
      <c r="BB179" s="3"/>
      <c r="BC179" s="3"/>
      <c r="BD179" s="3"/>
    </row>
    <row r="180" spans="1:58" s="1045" customFormat="1" ht="17.149999999999999" customHeight="1" x14ac:dyDescent="0.3">
      <c r="A180" s="155" t="s">
        <v>817</v>
      </c>
      <c r="B180" s="1522">
        <f>'Capture volumes'!E223</f>
        <v>0</v>
      </c>
      <c r="C180" s="1020">
        <v>0</v>
      </c>
      <c r="D180" s="956">
        <f>'User interface_Non-RES'!L51</f>
        <v>0</v>
      </c>
      <c r="E180" s="1522">
        <f>ROUND((C180*D180)/25,0)*25</f>
        <v>0</v>
      </c>
      <c r="F180" s="1522">
        <f>C180-E180</f>
        <v>0</v>
      </c>
      <c r="G180" s="1522">
        <f>ROUND((F180*'User interface_Non-RES'!M73)/25,0)*25</f>
        <v>0</v>
      </c>
      <c r="H180" s="1522">
        <f>F180-G180</f>
        <v>0</v>
      </c>
      <c r="I180" s="1522">
        <f>B180-C180</f>
        <v>0</v>
      </c>
      <c r="J180" s="999">
        <f>D180</f>
        <v>0</v>
      </c>
      <c r="K180" s="1522">
        <f>ROUND((I180*J180)/25,0)*25</f>
        <v>0</v>
      </c>
      <c r="L180" s="1522">
        <f>I180-K180</f>
        <v>0</v>
      </c>
      <c r="M180" s="1522">
        <f>ROUND((L180*'User interface_Non-RES'!M73)/25,0)*25</f>
        <v>0</v>
      </c>
      <c r="N180" s="1522">
        <f>L180-M180</f>
        <v>0</v>
      </c>
      <c r="O180" s="954"/>
      <c r="P180" s="1020">
        <f>E180+H180+K180</f>
        <v>0</v>
      </c>
      <c r="Q180" s="1020">
        <f>G180+L180</f>
        <v>0</v>
      </c>
      <c r="R180" s="368">
        <f>SUM(P180:Q180)</f>
        <v>0</v>
      </c>
      <c r="S180" s="1518">
        <f>B180-R180</f>
        <v>0</v>
      </c>
      <c r="T180" s="954"/>
      <c r="U180" s="1522">
        <f>'Capture volumes'!F223</f>
        <v>0</v>
      </c>
      <c r="V180" s="1522">
        <v>0</v>
      </c>
      <c r="W180" s="999">
        <f>'User interface_Non-RES'!$L$51</f>
        <v>0</v>
      </c>
      <c r="X180" s="1522">
        <f>ROUND((V180*W180)/25,0)*25</f>
        <v>0</v>
      </c>
      <c r="Y180" s="1522">
        <f>ROUND((V180-X180)/25,0)*25</f>
        <v>0</v>
      </c>
      <c r="Z180" s="1522">
        <f>ROUND((Y180*'User interface_Non-RES'!M73)/25,0)*25</f>
        <v>0</v>
      </c>
      <c r="AA180" s="1522">
        <f>Y180-Z180</f>
        <v>0</v>
      </c>
      <c r="AB180" s="1020">
        <f>U180-V180</f>
        <v>0</v>
      </c>
      <c r="AC180" s="964">
        <f>W180</f>
        <v>0</v>
      </c>
      <c r="AD180" s="1020">
        <f>ROUND((AB180*AC180)/25,0)*25</f>
        <v>0</v>
      </c>
      <c r="AE180" s="1020">
        <f>ROUND((AB180-AD180)/25,0)*25</f>
        <v>0</v>
      </c>
      <c r="AF180" s="1020">
        <f>ROUND((AE180*'User interface_Non-RES'!M73)/25,0)*25</f>
        <v>0</v>
      </c>
      <c r="AG180" s="1020">
        <f>AE180-AF180</f>
        <v>0</v>
      </c>
      <c r="AH180" s="60"/>
      <c r="AI180" s="1020">
        <f>X180+AA180+AD180</f>
        <v>0</v>
      </c>
      <c r="AJ180" s="1020">
        <f>Z180+AE180</f>
        <v>0</v>
      </c>
      <c r="AK180" s="1518">
        <f>SUM(AI180:AJ180)</f>
        <v>0</v>
      </c>
      <c r="AL180" s="1518">
        <f>U180-AK180</f>
        <v>0</v>
      </c>
      <c r="AM180" s="60"/>
      <c r="AN180" s="60"/>
      <c r="AO180" s="60"/>
      <c r="AP180" s="60"/>
      <c r="AQ180" s="60"/>
      <c r="AR180" s="60"/>
      <c r="AS180" s="60"/>
      <c r="AT180" s="60"/>
      <c r="AU180" s="60"/>
      <c r="AV180" s="60"/>
      <c r="AW180" s="60"/>
      <c r="AX180" s="60"/>
      <c r="AY180" s="60"/>
      <c r="AZ180" s="60"/>
      <c r="BA180" s="60"/>
      <c r="BB180" s="60"/>
      <c r="BC180" s="60"/>
      <c r="BD180" s="60"/>
    </row>
    <row r="181" spans="1:58" s="1045" customFormat="1" ht="17.149999999999999" customHeight="1" x14ac:dyDescent="0.3">
      <c r="A181" s="155" t="s">
        <v>820</v>
      </c>
      <c r="B181" s="1522">
        <f>'Capture volumes'!E224</f>
        <v>0</v>
      </c>
      <c r="C181" s="1020">
        <v>0</v>
      </c>
      <c r="D181" s="956">
        <f>'User interface_Non-RES'!L51</f>
        <v>0</v>
      </c>
      <c r="E181" s="1522">
        <f>ROUND((C181*D181)/25,0)*25</f>
        <v>0</v>
      </c>
      <c r="F181" s="1522">
        <f>C181-E181</f>
        <v>0</v>
      </c>
      <c r="G181" s="1522">
        <f>ROUND((F181*'User interface_Non-RES'!M74)/25,0)*25</f>
        <v>0</v>
      </c>
      <c r="H181" s="1522">
        <f>F181-G181</f>
        <v>0</v>
      </c>
      <c r="I181" s="1522">
        <f>B181-C181</f>
        <v>0</v>
      </c>
      <c r="J181" s="999">
        <f>D181</f>
        <v>0</v>
      </c>
      <c r="K181" s="1522">
        <f>ROUND((I181*J181)/25,0)*25</f>
        <v>0</v>
      </c>
      <c r="L181" s="1522">
        <f>I181-K181</f>
        <v>0</v>
      </c>
      <c r="M181" s="1522">
        <f>ROUND((L181*'User interface_Non-RES'!M74)/25,0)*25</f>
        <v>0</v>
      </c>
      <c r="N181" s="1522">
        <f>L181-M181</f>
        <v>0</v>
      </c>
      <c r="O181" s="954"/>
      <c r="P181" s="1020">
        <f>E181+H181+K181</f>
        <v>0</v>
      </c>
      <c r="Q181" s="1020">
        <f>G181+L181</f>
        <v>0</v>
      </c>
      <c r="R181" s="368">
        <f>SUM(P181:Q181)</f>
        <v>0</v>
      </c>
      <c r="S181" s="1518">
        <f>B181-R181</f>
        <v>0</v>
      </c>
      <c r="T181" s="954"/>
      <c r="U181" s="1522">
        <f>'Capture volumes'!F224</f>
        <v>0</v>
      </c>
      <c r="V181" s="1522">
        <v>0</v>
      </c>
      <c r="W181" s="999">
        <f>'User interface_Non-RES'!$L$51</f>
        <v>0</v>
      </c>
      <c r="X181" s="1522">
        <f>ROUND((V181*W181)/25,0)*25</f>
        <v>0</v>
      </c>
      <c r="Y181" s="1522">
        <f>ROUND((V181-X181)/25,0)*25</f>
        <v>0</v>
      </c>
      <c r="Z181" s="1522">
        <f>ROUND((Y181*'User interface_Non-RES'!M74)/25,0)*25</f>
        <v>0</v>
      </c>
      <c r="AA181" s="1522">
        <f>Y181-Z181</f>
        <v>0</v>
      </c>
      <c r="AB181" s="1020">
        <f>U181-V181</f>
        <v>0</v>
      </c>
      <c r="AC181" s="964">
        <f>W181</f>
        <v>0</v>
      </c>
      <c r="AD181" s="1020">
        <f>ROUND((AB181*AC181)/25,0)*25</f>
        <v>0</v>
      </c>
      <c r="AE181" s="1020">
        <f>ROUND((AB181-AD181)/25,0)*25</f>
        <v>0</v>
      </c>
      <c r="AF181" s="1020">
        <f>ROUND((AE181*'User interface_Non-RES'!M74)/25,0)*25</f>
        <v>0</v>
      </c>
      <c r="AG181" s="1020">
        <f>AE181-AF181</f>
        <v>0</v>
      </c>
      <c r="AH181" s="60"/>
      <c r="AI181" s="1020">
        <f>X181+AA181+AD181</f>
        <v>0</v>
      </c>
      <c r="AJ181" s="1020">
        <f>Z181+AE181</f>
        <v>0</v>
      </c>
      <c r="AK181" s="1518">
        <f>SUM(AI181:AJ181)</f>
        <v>0</v>
      </c>
      <c r="AL181" s="1518">
        <f>U181-AK181</f>
        <v>0</v>
      </c>
      <c r="AM181" s="60"/>
      <c r="AN181" s="60"/>
      <c r="AO181" s="60"/>
      <c r="AP181" s="60"/>
      <c r="AQ181" s="60"/>
      <c r="AR181" s="60"/>
      <c r="AS181" s="60"/>
      <c r="AT181" s="60"/>
      <c r="AU181" s="60"/>
      <c r="AV181" s="60"/>
      <c r="AW181" s="60"/>
      <c r="AX181" s="60"/>
      <c r="AY181" s="60"/>
      <c r="AZ181" s="60"/>
      <c r="BA181" s="60"/>
      <c r="BB181" s="60"/>
      <c r="BC181" s="60"/>
      <c r="BD181" s="60"/>
    </row>
    <row r="182" spans="1:58" s="184" customFormat="1" ht="17.149999999999999" customHeight="1" x14ac:dyDescent="0.3">
      <c r="A182" s="1038" t="s">
        <v>821</v>
      </c>
      <c r="B182" s="1039">
        <f>SUM(B183:B184)</f>
        <v>0</v>
      </c>
      <c r="C182" s="1040">
        <f>SUM(C183:C184)</f>
        <v>0</v>
      </c>
      <c r="D182" s="1039"/>
      <c r="E182" s="1039">
        <f>SUM(E183:E184)</f>
        <v>0</v>
      </c>
      <c r="F182" s="1039">
        <f t="shared" ref="F182:N182" si="23">SUM(F183:F184)</f>
        <v>0</v>
      </c>
      <c r="G182" s="1039">
        <f t="shared" si="23"/>
        <v>0</v>
      </c>
      <c r="H182" s="1039">
        <f t="shared" si="23"/>
        <v>0</v>
      </c>
      <c r="I182" s="1039">
        <f t="shared" si="23"/>
        <v>0</v>
      </c>
      <c r="J182" s="1039"/>
      <c r="K182" s="1039">
        <f t="shared" si="23"/>
        <v>0</v>
      </c>
      <c r="L182" s="1039">
        <f t="shared" si="23"/>
        <v>0</v>
      </c>
      <c r="M182" s="1039">
        <f t="shared" si="23"/>
        <v>0</v>
      </c>
      <c r="N182" s="1039">
        <f t="shared" si="23"/>
        <v>0</v>
      </c>
      <c r="O182" s="137"/>
      <c r="P182" s="1039">
        <f>SUM(P183:P184)</f>
        <v>0</v>
      </c>
      <c r="Q182" s="1039">
        <f>SUM(Q183:Q184)</f>
        <v>0</v>
      </c>
      <c r="R182" s="1039">
        <f>SUM(R183:R184)</f>
        <v>0</v>
      </c>
      <c r="S182" s="1518">
        <f>SUM(S183:S184)</f>
        <v>0</v>
      </c>
      <c r="T182" s="137"/>
      <c r="U182" s="1041">
        <f>SUM(U183:U184)</f>
        <v>83900</v>
      </c>
      <c r="V182" s="1041">
        <f>SUM(V183:V184)</f>
        <v>0</v>
      </c>
      <c r="W182" s="1041"/>
      <c r="X182" s="1041">
        <f>SUM(X183:X184)</f>
        <v>0</v>
      </c>
      <c r="Y182" s="1041">
        <f>SUM(Y183:Y184)</f>
        <v>0</v>
      </c>
      <c r="Z182" s="1041">
        <f>SUM(Z183:Z184)</f>
        <v>0</v>
      </c>
      <c r="AA182" s="1041">
        <f>SUM(AA183:AA184)</f>
        <v>0</v>
      </c>
      <c r="AB182" s="1042">
        <f>SUM(AB183:AB184)</f>
        <v>83900</v>
      </c>
      <c r="AC182" s="1042"/>
      <c r="AD182" s="1042">
        <f>SUM(AD183:AD184)</f>
        <v>0</v>
      </c>
      <c r="AE182" s="1042">
        <f>SUM(AE183:AE184)</f>
        <v>83900</v>
      </c>
      <c r="AF182" s="1042">
        <f>SUM(AF183:AF184)</f>
        <v>2075</v>
      </c>
      <c r="AG182" s="1042">
        <f>SUM(AG183:AG184)</f>
        <v>81825</v>
      </c>
      <c r="AH182" s="3"/>
      <c r="AI182" s="1041">
        <f>SUM(AI183:AI184)</f>
        <v>0</v>
      </c>
      <c r="AJ182" s="1041">
        <f>SUM(AJ183:AJ184)</f>
        <v>83900</v>
      </c>
      <c r="AK182" s="1041">
        <f>SUM(AK183:AK184)</f>
        <v>83900</v>
      </c>
      <c r="AL182" s="1518">
        <f>SUM(AL183:AL184)</f>
        <v>0</v>
      </c>
      <c r="AM182" s="3"/>
      <c r="AN182" s="3"/>
      <c r="AO182" s="3"/>
      <c r="AP182" s="3"/>
      <c r="AQ182" s="3"/>
      <c r="AR182" s="3"/>
      <c r="AS182" s="3"/>
      <c r="AT182" s="3"/>
      <c r="AU182" s="3"/>
      <c r="AV182" s="3"/>
      <c r="AW182" s="3"/>
      <c r="AX182" s="3"/>
      <c r="AY182" s="3"/>
      <c r="AZ182" s="3"/>
      <c r="BA182" s="3"/>
      <c r="BB182" s="3"/>
      <c r="BC182" s="3"/>
      <c r="BD182" s="3"/>
    </row>
    <row r="183" spans="1:58" s="1045" customFormat="1" ht="17.149999999999999" customHeight="1" x14ac:dyDescent="0.3">
      <c r="A183" s="155" t="s">
        <v>822</v>
      </c>
      <c r="B183" s="1522">
        <f>'Capture volumes'!E226</f>
        <v>0</v>
      </c>
      <c r="C183" s="1020">
        <f>ROUND((B183*'User interface_Non-RES'!$M$36)/25,0)*25</f>
        <v>0</v>
      </c>
      <c r="D183" s="956">
        <f>'User interface_Non-RES'!L36</f>
        <v>0</v>
      </c>
      <c r="E183" s="1522">
        <f>ROUND((C183*D183)/25,0)*25</f>
        <v>0</v>
      </c>
      <c r="F183" s="1522">
        <f>C183-E183</f>
        <v>0</v>
      </c>
      <c r="G183" s="1522">
        <f>ROUND((F183*'User interface_Non-RES'!M76)/25,0)*25</f>
        <v>0</v>
      </c>
      <c r="H183" s="1522">
        <f>F183-G183</f>
        <v>0</v>
      </c>
      <c r="I183" s="1522">
        <f>B183-C183</f>
        <v>0</v>
      </c>
      <c r="J183" s="999">
        <f>D183</f>
        <v>0</v>
      </c>
      <c r="K183" s="1522">
        <f>ROUND((I183*J183)/25,0)*25</f>
        <v>0</v>
      </c>
      <c r="L183" s="1522">
        <f>I183-K183</f>
        <v>0</v>
      </c>
      <c r="M183" s="1522">
        <f>ROUND((L183*'User interface_Non-RES'!M76)/25,0)*25</f>
        <v>0</v>
      </c>
      <c r="N183" s="1522">
        <f>L183-M183</f>
        <v>0</v>
      </c>
      <c r="O183" s="954"/>
      <c r="P183" s="1020">
        <f>E183+H183+K183</f>
        <v>0</v>
      </c>
      <c r="Q183" s="1020">
        <f>G183+L183</f>
        <v>0</v>
      </c>
      <c r="R183" s="368">
        <f>SUM(P183:Q183)</f>
        <v>0</v>
      </c>
      <c r="S183" s="1518">
        <f>B183-R183</f>
        <v>0</v>
      </c>
      <c r="T183" s="954"/>
      <c r="U183" s="1522">
        <f>'Capture volumes'!F226</f>
        <v>0</v>
      </c>
      <c r="V183" s="1522">
        <f>ROUND((U183*'User interface_Non-RES'!$M$53)/25,0)*25</f>
        <v>0</v>
      </c>
      <c r="W183" s="999">
        <f>'User interface_Non-RES'!$L$53</f>
        <v>0</v>
      </c>
      <c r="X183" s="1522">
        <f>ROUND((V183*W183)/25,0)*25</f>
        <v>0</v>
      </c>
      <c r="Y183" s="1522">
        <f>ROUND((V183-X183)/25,0)*25</f>
        <v>0</v>
      </c>
      <c r="Z183" s="1522">
        <f>ROUND((Y183*'User interface_Non-RES'!M76)/25,0)*25</f>
        <v>0</v>
      </c>
      <c r="AA183" s="1522">
        <f>Y183-Z183</f>
        <v>0</v>
      </c>
      <c r="AB183" s="1020">
        <f>U183-V183</f>
        <v>0</v>
      </c>
      <c r="AC183" s="964">
        <f>W183</f>
        <v>0</v>
      </c>
      <c r="AD183" s="1020">
        <f>ROUND((AB183*AC183)/25,0)*25</f>
        <v>0</v>
      </c>
      <c r="AE183" s="1020">
        <f>ROUND((AB183-AD183)/25,0)*25</f>
        <v>0</v>
      </c>
      <c r="AF183" s="1020">
        <f>ROUND((AE183*'User interface_Non-RES'!M76)/25,0)*25</f>
        <v>0</v>
      </c>
      <c r="AG183" s="1020">
        <f>AE183-AF183</f>
        <v>0</v>
      </c>
      <c r="AH183" s="60"/>
      <c r="AI183" s="1020">
        <f>X183+AA183+AD183</f>
        <v>0</v>
      </c>
      <c r="AJ183" s="1020">
        <f>Z183+AE183</f>
        <v>0</v>
      </c>
      <c r="AK183" s="1518">
        <f>SUM(AI183:AJ183)</f>
        <v>0</v>
      </c>
      <c r="AL183" s="1518">
        <f>U183-AK183</f>
        <v>0</v>
      </c>
      <c r="AM183" s="60"/>
      <c r="AN183" s="60"/>
      <c r="AO183" s="60"/>
      <c r="AP183" s="60"/>
      <c r="AQ183" s="60"/>
      <c r="AR183" s="60"/>
      <c r="AS183" s="60"/>
      <c r="AT183" s="60"/>
      <c r="AU183" s="60"/>
      <c r="AV183" s="60"/>
      <c r="AW183" s="60"/>
      <c r="AX183" s="60"/>
      <c r="AY183" s="60"/>
      <c r="AZ183" s="60"/>
      <c r="BA183" s="60"/>
      <c r="BB183" s="60"/>
      <c r="BC183" s="60"/>
      <c r="BD183" s="60"/>
    </row>
    <row r="184" spans="1:58" s="1045" customFormat="1" ht="17.149999999999999" customHeight="1" x14ac:dyDescent="0.3">
      <c r="A184" s="155" t="s">
        <v>823</v>
      </c>
      <c r="B184" s="1522">
        <f>'Capture volumes'!E227</f>
        <v>0</v>
      </c>
      <c r="C184" s="1020">
        <f>ROUND((B184*'User interface_Non-RES'!$M$36)/25,0)*25</f>
        <v>0</v>
      </c>
      <c r="D184" s="956">
        <f>'User interface_Non-RES'!L36</f>
        <v>0</v>
      </c>
      <c r="E184" s="1522">
        <f>ROUND((C184*D184)/25,0)*25</f>
        <v>0</v>
      </c>
      <c r="F184" s="1522">
        <f>C184-E184</f>
        <v>0</v>
      </c>
      <c r="G184" s="1522">
        <f>ROUND((F184*'User interface_Non-RES'!M77)/25,0)*25</f>
        <v>0</v>
      </c>
      <c r="H184" s="1522">
        <f>F184-G184</f>
        <v>0</v>
      </c>
      <c r="I184" s="1522">
        <f>B184-C184</f>
        <v>0</v>
      </c>
      <c r="J184" s="999">
        <f>D184</f>
        <v>0</v>
      </c>
      <c r="K184" s="1522">
        <f>ROUND((I184*J184)/25,0)*25</f>
        <v>0</v>
      </c>
      <c r="L184" s="1522">
        <f>I184-K184</f>
        <v>0</v>
      </c>
      <c r="M184" s="1522">
        <f>ROUND((L184*'User interface_Non-RES'!M77)/25,0)*25</f>
        <v>0</v>
      </c>
      <c r="N184" s="1522">
        <f>L184-M184</f>
        <v>0</v>
      </c>
      <c r="O184" s="954"/>
      <c r="P184" s="1020">
        <f>E184+H184+K184</f>
        <v>0</v>
      </c>
      <c r="Q184" s="1020">
        <f>G184+L184</f>
        <v>0</v>
      </c>
      <c r="R184" s="368">
        <f>SUM(P184:Q184)</f>
        <v>0</v>
      </c>
      <c r="S184" s="1518">
        <f>B184-R184</f>
        <v>0</v>
      </c>
      <c r="T184" s="954"/>
      <c r="U184" s="1522">
        <f>'Capture volumes'!F227</f>
        <v>83900</v>
      </c>
      <c r="V184" s="1522">
        <f>ROUND((U184*'User interface_Non-RES'!$M$53)/25,0)*25</f>
        <v>0</v>
      </c>
      <c r="W184" s="999">
        <f>'User interface_Non-RES'!$L$53</f>
        <v>0</v>
      </c>
      <c r="X184" s="1522">
        <f>ROUND((V184*W184)/25,0)*25</f>
        <v>0</v>
      </c>
      <c r="Y184" s="1522">
        <f>ROUND((V184-X184)/25,0)*25</f>
        <v>0</v>
      </c>
      <c r="Z184" s="1522">
        <f>ROUND((Y184*'User interface_Non-RES'!M77)/25,0)*25</f>
        <v>0</v>
      </c>
      <c r="AA184" s="1522">
        <f>Y184-Z184</f>
        <v>0</v>
      </c>
      <c r="AB184" s="1020">
        <f>U184-V184</f>
        <v>83900</v>
      </c>
      <c r="AC184" s="964">
        <f>W184</f>
        <v>0</v>
      </c>
      <c r="AD184" s="1020">
        <f>ROUND((AB184*AC184)/25,0)*25</f>
        <v>0</v>
      </c>
      <c r="AE184" s="1020">
        <f>ROUND((AB184-AD184)/25,0)*25</f>
        <v>83900</v>
      </c>
      <c r="AF184" s="1020">
        <f>ROUND((AE184*'User interface_Non-RES'!M77)/25,0)*25</f>
        <v>2075</v>
      </c>
      <c r="AG184" s="1020">
        <f>AE184-AF184</f>
        <v>81825</v>
      </c>
      <c r="AH184" s="60"/>
      <c r="AI184" s="1020">
        <f>X184+AA184+AD184</f>
        <v>0</v>
      </c>
      <c r="AJ184" s="1020">
        <f>Z184+AE184</f>
        <v>83900</v>
      </c>
      <c r="AK184" s="1518">
        <f>SUM(AI184:AJ184)</f>
        <v>83900</v>
      </c>
      <c r="AL184" s="1518">
        <f>U184-AK184</f>
        <v>0</v>
      </c>
      <c r="AM184" s="60"/>
      <c r="AN184" s="60"/>
      <c r="AO184" s="60"/>
      <c r="AP184" s="60"/>
      <c r="AQ184" s="60"/>
      <c r="AR184" s="60"/>
      <c r="AS184" s="60"/>
      <c r="AT184" s="60"/>
      <c r="AU184" s="60"/>
      <c r="AV184" s="60"/>
      <c r="AW184" s="60"/>
      <c r="AX184" s="60"/>
      <c r="AY184" s="60"/>
      <c r="AZ184" s="60"/>
      <c r="BA184" s="60"/>
      <c r="BB184" s="60"/>
      <c r="BC184" s="60"/>
      <c r="BD184" s="60"/>
    </row>
    <row r="185" spans="1:58" s="184" customFormat="1" ht="17.149999999999999" customHeight="1" x14ac:dyDescent="0.3">
      <c r="A185" s="1038" t="s">
        <v>861</v>
      </c>
      <c r="B185" s="1039">
        <f>SUM(B186:B187)</f>
        <v>82900</v>
      </c>
      <c r="C185" s="1040">
        <f>SUM(C186:C187)</f>
        <v>0</v>
      </c>
      <c r="D185" s="1039"/>
      <c r="E185" s="1039">
        <f>SUM(E186:E187)</f>
        <v>0</v>
      </c>
      <c r="F185" s="1039">
        <f t="shared" ref="F185:N185" si="24">SUM(F186:F187)</f>
        <v>0</v>
      </c>
      <c r="G185" s="1039">
        <f t="shared" si="24"/>
        <v>0</v>
      </c>
      <c r="H185" s="1039">
        <f t="shared" si="24"/>
        <v>0</v>
      </c>
      <c r="I185" s="1039">
        <f t="shared" si="24"/>
        <v>82900</v>
      </c>
      <c r="J185" s="1039"/>
      <c r="K185" s="1039">
        <f t="shared" si="24"/>
        <v>0</v>
      </c>
      <c r="L185" s="1039">
        <f t="shared" si="24"/>
        <v>82900</v>
      </c>
      <c r="M185" s="1039">
        <f t="shared" si="24"/>
        <v>31275</v>
      </c>
      <c r="N185" s="1039">
        <f t="shared" si="24"/>
        <v>51625</v>
      </c>
      <c r="O185" s="137"/>
      <c r="P185" s="1039">
        <f>SUM(P186:P187)</f>
        <v>0</v>
      </c>
      <c r="Q185" s="1039">
        <f>SUM(Q186:Q187)</f>
        <v>82900</v>
      </c>
      <c r="R185" s="1039">
        <f>SUM(R186:R187)</f>
        <v>82900</v>
      </c>
      <c r="S185" s="1518">
        <f>SUM(S186:S187)</f>
        <v>0</v>
      </c>
      <c r="T185" s="137"/>
      <c r="U185" s="1041">
        <f>SUM(U186:U187)</f>
        <v>146400</v>
      </c>
      <c r="V185" s="1041">
        <f>SUM(V186:V187)</f>
        <v>0</v>
      </c>
      <c r="W185" s="1041"/>
      <c r="X185" s="1041">
        <f>SUM(X186:X187)</f>
        <v>0</v>
      </c>
      <c r="Y185" s="1041">
        <f>SUM(Y186:Y187)</f>
        <v>0</v>
      </c>
      <c r="Z185" s="1041">
        <f>SUM(Z186:Z187)</f>
        <v>0</v>
      </c>
      <c r="AA185" s="1041">
        <f>SUM(AA186:AA187)</f>
        <v>0</v>
      </c>
      <c r="AB185" s="1042">
        <f>SUM(AB186:AB187)</f>
        <v>146400</v>
      </c>
      <c r="AC185" s="1042"/>
      <c r="AD185" s="1042">
        <f>SUM(AD186:AD187)</f>
        <v>0</v>
      </c>
      <c r="AE185" s="1042">
        <f>SUM(AE186:AE187)</f>
        <v>146400</v>
      </c>
      <c r="AF185" s="1042">
        <f>SUM(AF186:AF187)</f>
        <v>55250</v>
      </c>
      <c r="AG185" s="1042">
        <f>SUM(AG186:AG187)</f>
        <v>91150</v>
      </c>
      <c r="AH185" s="3"/>
      <c r="AI185" s="1041">
        <f>SUM(AI186:AI187)</f>
        <v>0</v>
      </c>
      <c r="AJ185" s="1041">
        <f>SUM(AJ186:AJ187)</f>
        <v>146400</v>
      </c>
      <c r="AK185" s="1041">
        <f>SUM(AK186:AK187)</f>
        <v>146400</v>
      </c>
      <c r="AL185" s="1518">
        <f>SUM(AL186:AL187)</f>
        <v>0</v>
      </c>
      <c r="AM185" s="3"/>
      <c r="AN185" s="3"/>
      <c r="AO185" s="3"/>
      <c r="AP185" s="3"/>
      <c r="AQ185" s="3"/>
      <c r="AR185" s="3"/>
      <c r="AS185" s="3"/>
      <c r="AT185" s="3"/>
      <c r="AU185" s="3"/>
      <c r="AV185" s="3"/>
      <c r="AW185" s="3"/>
      <c r="AX185" s="3"/>
      <c r="AY185" s="3"/>
      <c r="AZ185" s="3"/>
      <c r="BA185" s="3"/>
      <c r="BB185" s="3"/>
      <c r="BC185" s="3"/>
      <c r="BD185" s="3"/>
    </row>
    <row r="186" spans="1:58" s="1045" customFormat="1" ht="17.149999999999999" customHeight="1" x14ac:dyDescent="0.3">
      <c r="A186" s="155" t="s">
        <v>827</v>
      </c>
      <c r="B186" s="1522">
        <f>'Capture volumes'!E236</f>
        <v>0</v>
      </c>
      <c r="C186" s="1020">
        <f>ROUND((B186*'User interface_Non-RES'!$M$40)/25,0)*25</f>
        <v>0</v>
      </c>
      <c r="D186" s="956">
        <f>'User interface_Non-RES'!L40</f>
        <v>0</v>
      </c>
      <c r="E186" s="1522">
        <f>ROUND((C186*D186)/25,0)*25</f>
        <v>0</v>
      </c>
      <c r="F186" s="1522">
        <f>C186-E186</f>
        <v>0</v>
      </c>
      <c r="G186" s="1522">
        <f>ROUND((F186*'User interface_Non-RES'!M80)/25,0)*25</f>
        <v>0</v>
      </c>
      <c r="H186" s="1522">
        <f>F186-G186</f>
        <v>0</v>
      </c>
      <c r="I186" s="1522">
        <f>B186-C186</f>
        <v>0</v>
      </c>
      <c r="J186" s="999">
        <f>D186</f>
        <v>0</v>
      </c>
      <c r="K186" s="1522">
        <f>ROUND((I186*J186)/25,0)*25</f>
        <v>0</v>
      </c>
      <c r="L186" s="1522">
        <f>I186-K186</f>
        <v>0</v>
      </c>
      <c r="M186" s="1522">
        <f>ROUND((L186*'User interface_Non-RES'!M80)/25,0)*25</f>
        <v>0</v>
      </c>
      <c r="N186" s="1522">
        <f>L186-M186</f>
        <v>0</v>
      </c>
      <c r="O186" s="954"/>
      <c r="P186" s="1020">
        <f>E186+H186+K186</f>
        <v>0</v>
      </c>
      <c r="Q186" s="1020">
        <f>G186+L186</f>
        <v>0</v>
      </c>
      <c r="R186" s="368">
        <f>SUM(P186:Q186)</f>
        <v>0</v>
      </c>
      <c r="S186" s="1518">
        <f>B186-R186</f>
        <v>0</v>
      </c>
      <c r="T186" s="954"/>
      <c r="U186" s="1522">
        <f>'Capture volumes'!F236</f>
        <v>0</v>
      </c>
      <c r="V186" s="1522">
        <f>ROUND((U186*'User interface_Non-RES'!$M$57)/25,0)*25</f>
        <v>0</v>
      </c>
      <c r="W186" s="999">
        <f>'User interface_Non-RES'!$L$57</f>
        <v>0</v>
      </c>
      <c r="X186" s="1522">
        <f>ROUND((V186*W186)/25,0)*25</f>
        <v>0</v>
      </c>
      <c r="Y186" s="1522">
        <f>ROUND((V186-X186)/25,0)*25</f>
        <v>0</v>
      </c>
      <c r="Z186" s="1522">
        <f>ROUND((Y186*'User interface_Non-RES'!M80)/25,0)*25</f>
        <v>0</v>
      </c>
      <c r="AA186" s="1522">
        <f>Y186-Z186</f>
        <v>0</v>
      </c>
      <c r="AB186" s="1020">
        <f>U186-V186</f>
        <v>0</v>
      </c>
      <c r="AC186" s="964">
        <f>W186</f>
        <v>0</v>
      </c>
      <c r="AD186" s="1020">
        <f>ROUND((AB186*AC186)/25,0)*25</f>
        <v>0</v>
      </c>
      <c r="AE186" s="1020">
        <f>ROUND((AB186-AD186)/25,0)*25</f>
        <v>0</v>
      </c>
      <c r="AF186" s="1020">
        <f>ROUND((AE186*'User interface_Non-RES'!M80)/25,0)*25</f>
        <v>0</v>
      </c>
      <c r="AG186" s="1020">
        <f>AE186-AF186</f>
        <v>0</v>
      </c>
      <c r="AH186" s="60"/>
      <c r="AI186" s="1020">
        <f>X186+AA186+AD186</f>
        <v>0</v>
      </c>
      <c r="AJ186" s="1020">
        <f>Z186+AE186</f>
        <v>0</v>
      </c>
      <c r="AK186" s="1518">
        <f>SUM(AI186:AJ186)</f>
        <v>0</v>
      </c>
      <c r="AL186" s="1518">
        <f>U186-AK186</f>
        <v>0</v>
      </c>
      <c r="AM186" s="60"/>
      <c r="AN186" s="60"/>
      <c r="AO186" s="60"/>
      <c r="AP186" s="60"/>
      <c r="AQ186" s="60"/>
      <c r="AR186" s="60"/>
      <c r="AS186" s="60"/>
      <c r="AT186" s="60"/>
      <c r="AU186" s="60"/>
      <c r="AV186" s="60"/>
      <c r="AW186" s="60"/>
      <c r="AX186" s="60"/>
      <c r="AY186" s="60"/>
      <c r="AZ186" s="60"/>
      <c r="BA186" s="60"/>
      <c r="BB186" s="60"/>
      <c r="BC186" s="60"/>
      <c r="BD186" s="60"/>
    </row>
    <row r="187" spans="1:58" s="1045" customFormat="1" ht="17.149999999999999" customHeight="1" x14ac:dyDescent="0.3">
      <c r="A187" s="155" t="s">
        <v>828</v>
      </c>
      <c r="B187" s="1522">
        <f>'Capture volumes'!E237</f>
        <v>82900</v>
      </c>
      <c r="C187" s="1020">
        <f>ROUND((B187*'User interface_Non-RES'!$M$40)/25,0)*25</f>
        <v>0</v>
      </c>
      <c r="D187" s="956">
        <f>'User interface_Non-RES'!L40</f>
        <v>0</v>
      </c>
      <c r="E187" s="1522">
        <f>ROUND((C187*D187)/25,0)*25</f>
        <v>0</v>
      </c>
      <c r="F187" s="1522">
        <f>C187-E187</f>
        <v>0</v>
      </c>
      <c r="G187" s="1522">
        <f>ROUND((F187*'User interface_Non-RES'!M81)/25,0)*25</f>
        <v>0</v>
      </c>
      <c r="H187" s="1522">
        <f>F187-G187</f>
        <v>0</v>
      </c>
      <c r="I187" s="1522">
        <f>B187-C187</f>
        <v>82900</v>
      </c>
      <c r="J187" s="999">
        <f>D187</f>
        <v>0</v>
      </c>
      <c r="K187" s="1522">
        <f>ROUND((I187*J187)/25,0)*25</f>
        <v>0</v>
      </c>
      <c r="L187" s="1522">
        <f>I187-K187</f>
        <v>82900</v>
      </c>
      <c r="M187" s="1522">
        <f>ROUND((L187*'User interface_Non-RES'!M81)/25,0)*25</f>
        <v>31275</v>
      </c>
      <c r="N187" s="1522">
        <f>L187-M187</f>
        <v>51625</v>
      </c>
      <c r="O187" s="954"/>
      <c r="P187" s="1020">
        <f>E187+H187+K187</f>
        <v>0</v>
      </c>
      <c r="Q187" s="1020">
        <f>G187+L187</f>
        <v>82900</v>
      </c>
      <c r="R187" s="368">
        <f>SUM(P187:Q187)</f>
        <v>82900</v>
      </c>
      <c r="S187" s="1518">
        <f>B187-R187</f>
        <v>0</v>
      </c>
      <c r="T187" s="954"/>
      <c r="U187" s="1522">
        <f>'Capture volumes'!F237</f>
        <v>146400</v>
      </c>
      <c r="V187" s="1522">
        <f>ROUND((U187*'User interface_Non-RES'!$M$57)/25,0)*25</f>
        <v>0</v>
      </c>
      <c r="W187" s="999">
        <f>'User interface_Non-RES'!$L$57</f>
        <v>0</v>
      </c>
      <c r="X187" s="1522">
        <f>ROUND((V187*W187)/25,0)*25</f>
        <v>0</v>
      </c>
      <c r="Y187" s="1522">
        <f>ROUND((V187-X187)/25,0)*25</f>
        <v>0</v>
      </c>
      <c r="Z187" s="1522">
        <f>ROUND((Y187*'User interface_Non-RES'!M81)/25,0)*25</f>
        <v>0</v>
      </c>
      <c r="AA187" s="1522">
        <f>Y187-Z187</f>
        <v>0</v>
      </c>
      <c r="AB187" s="1020">
        <f>U187-V187</f>
        <v>146400</v>
      </c>
      <c r="AC187" s="964">
        <f>W187</f>
        <v>0</v>
      </c>
      <c r="AD187" s="1020">
        <f>ROUND((AB187*AC187)/25,0)*25</f>
        <v>0</v>
      </c>
      <c r="AE187" s="1020">
        <f>ROUND((AB187-AD187)/25,0)*25</f>
        <v>146400</v>
      </c>
      <c r="AF187" s="1020">
        <f>ROUND((AE187*'User interface_Non-RES'!M81)/25,0)*25</f>
        <v>55250</v>
      </c>
      <c r="AG187" s="1020">
        <f>AE187-AF187</f>
        <v>91150</v>
      </c>
      <c r="AH187" s="60"/>
      <c r="AI187" s="1020">
        <f>X187+AA187+AD187</f>
        <v>0</v>
      </c>
      <c r="AJ187" s="1020">
        <f>Z187+AE187</f>
        <v>146400</v>
      </c>
      <c r="AK187" s="1518">
        <f>SUM(AI187:AJ187)</f>
        <v>146400</v>
      </c>
      <c r="AL187" s="1518">
        <f>U187-AK187</f>
        <v>0</v>
      </c>
      <c r="AM187" s="60"/>
      <c r="AN187" s="60"/>
      <c r="AO187" s="60"/>
      <c r="AP187" s="60"/>
      <c r="AQ187" s="60"/>
      <c r="AR187" s="60"/>
      <c r="AS187" s="60"/>
      <c r="AT187" s="60"/>
      <c r="AU187" s="60"/>
      <c r="AV187" s="60"/>
      <c r="AW187" s="60"/>
      <c r="AX187" s="60"/>
      <c r="AY187" s="60"/>
      <c r="AZ187" s="60"/>
      <c r="BA187" s="60"/>
      <c r="BB187" s="60"/>
      <c r="BC187" s="60"/>
      <c r="BD187" s="60"/>
    </row>
    <row r="188" spans="1:58" s="27" customFormat="1" ht="17.149999999999999" customHeight="1" x14ac:dyDescent="0.3">
      <c r="A188" s="1036" t="s">
        <v>361</v>
      </c>
      <c r="B188" s="1037">
        <f>SUM(B180:B181)+SUM(B183:B184)+SUM(B186:B187)</f>
        <v>82900</v>
      </c>
      <c r="C188" s="1037">
        <f>SUM(C180:C181)+SUM(C183:C184)+SUM(C186:C187)</f>
        <v>0</v>
      </c>
      <c r="D188" s="1037"/>
      <c r="E188" s="1037">
        <f>SUM(E180:E181)+SUM(E183:E184)+SUM(E186:E187)</f>
        <v>0</v>
      </c>
      <c r="F188" s="1037">
        <f>SUM(F180:F181)+SUM(F183:F184)+SUM(F186:F187)</f>
        <v>0</v>
      </c>
      <c r="G188" s="1037">
        <f>SUM(G180:G181)+SUM(G183:G184)+SUM(G186:G187)</f>
        <v>0</v>
      </c>
      <c r="H188" s="1037">
        <f>SUM(H180:H181)+SUM(H183:H184)+SUM(H186:H187)</f>
        <v>0</v>
      </c>
      <c r="I188" s="1037">
        <f t="shared" ref="I188:N188" si="25">SUM(I180:I181)+SUM(I183:I184)+SUM(I186:I187)</f>
        <v>82900</v>
      </c>
      <c r="J188" s="1037"/>
      <c r="K188" s="1037">
        <f t="shared" si="25"/>
        <v>0</v>
      </c>
      <c r="L188" s="1037">
        <f t="shared" si="25"/>
        <v>82900</v>
      </c>
      <c r="M188" s="1037">
        <f t="shared" si="25"/>
        <v>31275</v>
      </c>
      <c r="N188" s="1037">
        <f t="shared" si="25"/>
        <v>51625</v>
      </c>
      <c r="O188" s="137"/>
      <c r="P188" s="1037">
        <f>P179+P182+P185</f>
        <v>0</v>
      </c>
      <c r="Q188" s="1037">
        <f>Q179+Q182+Q185</f>
        <v>82900</v>
      </c>
      <c r="R188" s="1037">
        <f>P188+Q188</f>
        <v>82900</v>
      </c>
      <c r="S188" s="1518">
        <f>B188-R188</f>
        <v>0</v>
      </c>
      <c r="T188" s="137"/>
      <c r="U188" s="1034">
        <f>SUM(U180:U181)+SUM(U183:U184)+SUM(U186:U187)</f>
        <v>230300</v>
      </c>
      <c r="V188" s="1034">
        <f>SUM(V180:V181)+SUM(V183:V184)+SUM(V186:V187)</f>
        <v>0</v>
      </c>
      <c r="W188" s="1034"/>
      <c r="X188" s="1034">
        <f>SUM(X180:X181)+SUM(X183:X184)+SUM(X186:X187)</f>
        <v>0</v>
      </c>
      <c r="Y188" s="1034">
        <f>SUM(Y180:Y181)+SUM(Y183:Y184)+SUM(Y186:Y187)</f>
        <v>0</v>
      </c>
      <c r="Z188" s="1034">
        <f>SUM(Z180:Z181)+SUM(Z183:Z184)+SUM(Z186:Z187)</f>
        <v>0</v>
      </c>
      <c r="AA188" s="1034">
        <f>SUM(AA180:AA181)+SUM(AA183:AA184)+SUM(AA186:AA187)</f>
        <v>0</v>
      </c>
      <c r="AB188" s="1034">
        <f>SUM(AB180:AB181)+SUM(AB183:AB184)+SUM(AB186:AB187)</f>
        <v>230300</v>
      </c>
      <c r="AC188" s="1034"/>
      <c r="AD188" s="1034">
        <f>SUM(AD180:AD181)+SUM(AD183:AD184)+SUM(AD186:AD187)</f>
        <v>0</v>
      </c>
      <c r="AE188" s="1034">
        <f>SUM(AE180:AE181)+SUM(AE183:AE184)+SUM(AE186:AE187)</f>
        <v>230300</v>
      </c>
      <c r="AF188" s="1034">
        <f>SUM(AF180:AF181)+SUM(AF183:AF184)+SUM(AF186:AF187)</f>
        <v>57325</v>
      </c>
      <c r="AG188" s="1034">
        <f>SUM(AG180:AG181)+SUM(AG183:AG184)+SUM(AG186:AG187)</f>
        <v>172975</v>
      </c>
      <c r="AH188" s="12"/>
      <c r="AI188" s="1034">
        <f>AI179+AI182+AI185</f>
        <v>0</v>
      </c>
      <c r="AJ188" s="1034">
        <f>AJ179+AJ182+AJ185</f>
        <v>230300</v>
      </c>
      <c r="AK188" s="1035">
        <f>AI188+AJ188</f>
        <v>230300</v>
      </c>
      <c r="AL188" s="1518">
        <f>U188-AK188</f>
        <v>0</v>
      </c>
      <c r="AM188" s="12"/>
      <c r="AN188" s="12"/>
      <c r="AO188" s="12"/>
      <c r="AP188" s="12"/>
      <c r="AQ188" s="12"/>
      <c r="AR188" s="12"/>
      <c r="AS188" s="12"/>
      <c r="AT188" s="12"/>
      <c r="AU188" s="12"/>
      <c r="AV188" s="12"/>
      <c r="AW188" s="12"/>
      <c r="AX188" s="12"/>
      <c r="AY188" s="12"/>
      <c r="AZ188" s="12"/>
      <c r="BA188" s="12"/>
      <c r="BB188" s="12"/>
      <c r="BC188" s="12"/>
      <c r="BD188" s="12"/>
    </row>
    <row r="189" spans="1:58" s="184" customFormat="1" ht="17.149999999999999" customHeight="1" x14ac:dyDescent="0.3">
      <c r="A189" s="122"/>
      <c r="B189" s="172">
        <f>IF(B188=0,0,B188/B188)</f>
        <v>1</v>
      </c>
      <c r="C189" s="370">
        <f>IF(B188=0,0,C188/B188)</f>
        <v>0</v>
      </c>
      <c r="D189" s="172"/>
      <c r="E189" s="172">
        <f>IF(B188=0,0,E188/B188)</f>
        <v>0</v>
      </c>
      <c r="F189" s="172">
        <f>IF(B188=0,0,F188/B188)</f>
        <v>0</v>
      </c>
      <c r="G189" s="172"/>
      <c r="H189" s="172"/>
      <c r="I189" s="172">
        <f>IF(B188=0,0,I188/B188)</f>
        <v>1</v>
      </c>
      <c r="J189" s="172"/>
      <c r="K189" s="172">
        <f>IF(B188=0,0,K188/B188)</f>
        <v>0</v>
      </c>
      <c r="L189" s="172">
        <f>IF(B188=0,0,L188/B188)</f>
        <v>1</v>
      </c>
      <c r="M189" s="143"/>
      <c r="N189" s="143"/>
      <c r="O189" s="3"/>
      <c r="P189" s="172">
        <f>IF(B188=0,0,P188/B188)</f>
        <v>0</v>
      </c>
      <c r="Q189" s="370">
        <f>IF(B188=0,0,Q188/B188)</f>
        <v>1</v>
      </c>
      <c r="R189" s="370">
        <f>IF(B188=0,0,R188/B188)</f>
        <v>1</v>
      </c>
      <c r="S189" s="391"/>
      <c r="T189" s="137"/>
      <c r="U189" s="172">
        <f>IF(U188=0,0,U188/U188)</f>
        <v>1</v>
      </c>
      <c r="V189" s="370">
        <f>IF(U188=0,0,V188/U188)</f>
        <v>0</v>
      </c>
      <c r="W189" s="172"/>
      <c r="X189" s="172">
        <f>IF(U188=0,0,X188/U188)</f>
        <v>0</v>
      </c>
      <c r="Y189" s="172">
        <f>IF(U188=0,0,Y188/U188)</f>
        <v>0</v>
      </c>
      <c r="Z189" s="172"/>
      <c r="AA189" s="172"/>
      <c r="AB189" s="172">
        <f>IF(U188=0,0,AB188/U188)</f>
        <v>1</v>
      </c>
      <c r="AC189" s="172"/>
      <c r="AD189" s="172">
        <f>IF(U188=0,0,AD188/U188)</f>
        <v>0</v>
      </c>
      <c r="AE189" s="172">
        <f>IF(U188=0,0,AE188/U188)</f>
        <v>1</v>
      </c>
      <c r="AF189" s="143"/>
      <c r="AG189" s="143"/>
      <c r="AH189" s="3"/>
      <c r="AI189" s="172">
        <f>IF(U188=0,0,AI188/U188)</f>
        <v>0</v>
      </c>
      <c r="AJ189" s="370">
        <f>IF(U188=0,0,AJ188/U188)</f>
        <v>1</v>
      </c>
      <c r="AK189" s="370">
        <f>IF(U188=0,0,AK188/U188)</f>
        <v>1</v>
      </c>
      <c r="AL189" s="391"/>
      <c r="AM189" s="3"/>
      <c r="AN189" s="3"/>
      <c r="AO189" s="3"/>
      <c r="AP189" s="3"/>
      <c r="AQ189" s="3"/>
      <c r="AR189" s="3"/>
      <c r="AS189" s="3"/>
      <c r="AT189" s="3"/>
      <c r="AU189" s="3"/>
      <c r="AV189" s="3"/>
      <c r="AW189" s="3"/>
      <c r="AX189" s="3"/>
      <c r="AY189" s="3"/>
      <c r="AZ189" s="3"/>
      <c r="BA189" s="3"/>
      <c r="BB189" s="3"/>
      <c r="BC189" s="3"/>
      <c r="BD189" s="3"/>
      <c r="BE189" s="3"/>
    </row>
    <row r="190" spans="1:58" s="184" customFormat="1" ht="17.149999999999999" customHeight="1" x14ac:dyDescent="0.3">
      <c r="A190" s="122"/>
      <c r="C190" s="370">
        <f>IF(C188=0,0,C188/C188)</f>
        <v>0</v>
      </c>
      <c r="D190" s="223"/>
      <c r="E190" s="370">
        <f>IF(C188=0,0,E188/C188)</f>
        <v>0</v>
      </c>
      <c r="F190" s="370">
        <f>IF(C188=0,0,F188/C188)</f>
        <v>0</v>
      </c>
      <c r="G190" s="172"/>
      <c r="H190" s="172"/>
      <c r="I190" s="370">
        <f>IF(I188=0,0,I188/I188)</f>
        <v>1</v>
      </c>
      <c r="J190" s="454"/>
      <c r="K190" s="370">
        <f>IF(I188=0,0,K188/I188)</f>
        <v>0</v>
      </c>
      <c r="L190" s="370">
        <f>IF(I188=0,0,L188/I188)</f>
        <v>1</v>
      </c>
      <c r="M190" s="143"/>
      <c r="N190" s="143"/>
      <c r="O190" s="3"/>
      <c r="T190" s="137"/>
      <c r="V190" s="370">
        <f>IF(V188=0,0,V188/V188)</f>
        <v>0</v>
      </c>
      <c r="W190" s="223"/>
      <c r="X190" s="370">
        <f>IF(V188=0,0,X188/V188)</f>
        <v>0</v>
      </c>
      <c r="Y190" s="370">
        <f>IF(V188=0,0,Y188/V188)</f>
        <v>0</v>
      </c>
      <c r="Z190" s="172"/>
      <c r="AA190" s="172"/>
      <c r="AB190" s="370">
        <f>IF(AB188=0,0,AB188/AB188)</f>
        <v>1</v>
      </c>
      <c r="AC190" s="454"/>
      <c r="AD190" s="370">
        <f>IF(AB188=0,0,AD188/AB188)</f>
        <v>0</v>
      </c>
      <c r="AE190" s="370">
        <f>IF(AB188=0,0,AE188/AB188)</f>
        <v>1</v>
      </c>
      <c r="AF190" s="143"/>
      <c r="AG190" s="143"/>
      <c r="AH190" s="3"/>
      <c r="AL190" s="3"/>
      <c r="AM190" s="3"/>
      <c r="AN190" s="3"/>
      <c r="AO190" s="3"/>
      <c r="AP190" s="3"/>
      <c r="AQ190" s="3"/>
      <c r="AR190" s="3"/>
      <c r="AS190" s="3"/>
      <c r="AT190" s="3"/>
      <c r="AU190" s="3"/>
      <c r="AV190" s="3"/>
      <c r="AW190" s="3"/>
      <c r="AX190" s="3"/>
      <c r="AY190" s="3"/>
      <c r="AZ190" s="3"/>
      <c r="BA190" s="3"/>
      <c r="BB190" s="3"/>
      <c r="BC190" s="3"/>
      <c r="BD190" s="3"/>
      <c r="BE190" s="3"/>
    </row>
    <row r="191" spans="1:58" s="184" customFormat="1" ht="17.149999999999999" customHeight="1" x14ac:dyDescent="0.3">
      <c r="A191" s="122"/>
      <c r="F191" s="454">
        <f>IF(F188=0,0,F188/F188)</f>
        <v>0</v>
      </c>
      <c r="G191" s="172">
        <f>IF(F188=0,0,G188/F188)</f>
        <v>0</v>
      </c>
      <c r="H191" s="454">
        <f>IF(F188=0,0,H188/F188)</f>
        <v>0</v>
      </c>
      <c r="I191" s="3"/>
      <c r="J191" s="3"/>
      <c r="K191" s="3"/>
      <c r="L191" s="454">
        <f>IF(L188=0,0,L188/L188)</f>
        <v>1</v>
      </c>
      <c r="M191" s="172">
        <f>IF(L188=0,0,M188/L188)</f>
        <v>0.37726176115802174</v>
      </c>
      <c r="N191" s="454">
        <f>IF(L188=0,0,N188/L188)</f>
        <v>0.62273823884197832</v>
      </c>
      <c r="O191" s="3"/>
      <c r="T191" s="137"/>
      <c r="Y191" s="454">
        <f>IF(Y188=0,0,Y188/Y188)</f>
        <v>0</v>
      </c>
      <c r="Z191" s="172">
        <f>IF(Y188=0,0,Z188/Y188)</f>
        <v>0</v>
      </c>
      <c r="AA191" s="454">
        <f>IF(Y188=0,0,AA188/Y188)</f>
        <v>0</v>
      </c>
      <c r="AB191" s="3"/>
      <c r="AC191" s="3"/>
      <c r="AD191" s="3"/>
      <c r="AE191" s="454">
        <f>IF(AE188=0,0,AE188/AE188)</f>
        <v>1</v>
      </c>
      <c r="AF191" s="172">
        <f>IF(AE188=0,0,AF188/AE188)</f>
        <v>0.24891445940078158</v>
      </c>
      <c r="AG191" s="454">
        <f>IF(AE188=0,0,AG188/AE188)</f>
        <v>0.75108554059921839</v>
      </c>
      <c r="AH191" s="3"/>
      <c r="AL191" s="3"/>
      <c r="AM191" s="3"/>
      <c r="AN191" s="3"/>
      <c r="AO191" s="3"/>
      <c r="AP191" s="3"/>
      <c r="AQ191" s="3"/>
      <c r="AR191" s="3"/>
      <c r="AS191" s="3"/>
      <c r="AT191" s="3"/>
      <c r="AU191" s="3"/>
      <c r="AV191" s="3"/>
      <c r="AW191" s="3"/>
      <c r="AX191" s="3"/>
      <c r="AY191" s="3"/>
      <c r="AZ191" s="3"/>
      <c r="BA191" s="3"/>
      <c r="BB191" s="3"/>
    </row>
    <row r="192" spans="1:58" s="184" customFormat="1" ht="17.149999999999999" customHeight="1" x14ac:dyDescent="0.3">
      <c r="A192" s="122"/>
      <c r="E192" s="203"/>
      <c r="F192" s="177"/>
      <c r="G192" s="177"/>
      <c r="H192" s="189"/>
      <c r="I192" s="189"/>
      <c r="J192" s="189"/>
      <c r="K192" s="3"/>
      <c r="L192" s="3"/>
      <c r="M192" s="3"/>
      <c r="N192" s="3"/>
      <c r="O192" s="3"/>
      <c r="P192" s="3"/>
      <c r="Q192" s="3"/>
      <c r="R192" s="3"/>
      <c r="S192" s="3"/>
      <c r="T192" s="137"/>
      <c r="U192" s="43"/>
      <c r="V192" s="83"/>
      <c r="W192" s="95"/>
      <c r="X192" s="95"/>
      <c r="Y192" s="95"/>
      <c r="Z192" s="95"/>
      <c r="AA192" s="96"/>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row>
    <row r="193" spans="1:58" s="184" customFormat="1" ht="17.149999999999999" customHeight="1" x14ac:dyDescent="0.3">
      <c r="A193" s="122"/>
      <c r="E193" s="203"/>
      <c r="F193" s="177"/>
      <c r="G193" s="177"/>
      <c r="H193" s="189"/>
      <c r="I193" s="189"/>
      <c r="J193" s="189"/>
      <c r="K193" s="3"/>
      <c r="L193" s="3"/>
      <c r="M193" s="3"/>
      <c r="N193" s="3"/>
      <c r="O193" s="3"/>
      <c r="P193" s="3"/>
      <c r="Q193" s="3"/>
      <c r="R193" s="3"/>
      <c r="S193" s="3"/>
      <c r="T193" s="137"/>
      <c r="U193" s="43"/>
      <c r="V193" s="83"/>
      <c r="W193" s="95"/>
      <c r="X193" s="95"/>
      <c r="Y193" s="95"/>
      <c r="Z193" s="95"/>
      <c r="AA193" s="96"/>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row>
    <row r="194" spans="1:58" s="140" customFormat="1" ht="17.149999999999999" customHeight="1" x14ac:dyDescent="0.35">
      <c r="A194" s="949" t="s">
        <v>963</v>
      </c>
      <c r="B194" s="1776" t="s">
        <v>9</v>
      </c>
      <c r="C194" s="1776"/>
      <c r="D194" s="1776"/>
      <c r="E194" s="1776"/>
      <c r="F194" s="1776"/>
      <c r="G194" s="1776"/>
      <c r="H194" s="1776"/>
      <c r="I194" s="1776"/>
      <c r="J194" s="1776"/>
      <c r="K194" s="1776"/>
      <c r="L194" s="1776"/>
      <c r="M194" s="1776"/>
      <c r="N194" s="1776"/>
      <c r="O194" s="17"/>
      <c r="P194" s="1777" t="s">
        <v>9</v>
      </c>
      <c r="Q194" s="1777"/>
      <c r="R194" s="1777"/>
      <c r="S194" s="115"/>
      <c r="T194" s="115"/>
      <c r="U194" s="1778" t="s">
        <v>253</v>
      </c>
      <c r="V194" s="1778"/>
      <c r="W194" s="1778"/>
      <c r="X194" s="1778"/>
      <c r="Y194" s="1778"/>
      <c r="Z194" s="1778"/>
      <c r="AA194" s="1778"/>
      <c r="AB194" s="1778"/>
      <c r="AC194" s="1778"/>
      <c r="AD194" s="1778"/>
      <c r="AE194" s="1778"/>
      <c r="AF194" s="1778"/>
      <c r="AG194" s="1778"/>
      <c r="AH194" s="115"/>
      <c r="AI194" s="1779" t="s">
        <v>253</v>
      </c>
      <c r="AJ194" s="1779"/>
      <c r="AK194" s="1779"/>
      <c r="AL194" s="115"/>
      <c r="AM194" s="115"/>
      <c r="AN194" s="115"/>
      <c r="AO194" s="115"/>
      <c r="AP194" s="115"/>
      <c r="AQ194" s="115"/>
      <c r="AR194" s="115"/>
      <c r="AS194" s="115"/>
      <c r="AT194" s="115"/>
      <c r="AU194" s="115"/>
      <c r="AV194" s="115"/>
      <c r="AW194" s="115"/>
      <c r="AX194" s="115"/>
      <c r="AY194" s="115"/>
      <c r="AZ194" s="115"/>
      <c r="BA194" s="115"/>
      <c r="BB194" s="115"/>
    </row>
    <row r="195" spans="1:58" s="27" customFormat="1" ht="17.149999999999999" customHeight="1" x14ac:dyDescent="0.35">
      <c r="A195" s="371"/>
      <c r="F195" s="17"/>
      <c r="G195" s="17"/>
      <c r="H195" s="17"/>
      <c r="I195" s="17"/>
      <c r="J195" s="17"/>
      <c r="K195" s="17"/>
      <c r="L195" s="17"/>
      <c r="M195" s="17"/>
      <c r="N195" s="17"/>
      <c r="O195" s="17"/>
      <c r="P195" s="17"/>
      <c r="Q195" s="17"/>
      <c r="R195" s="115"/>
      <c r="S195" s="115"/>
      <c r="T195" s="17"/>
      <c r="W195" s="17"/>
      <c r="X195" s="17"/>
      <c r="Y195" s="95"/>
      <c r="Z195" s="10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row>
    <row r="196" spans="1:58" s="27" customFormat="1" ht="17.149999999999999" customHeight="1" x14ac:dyDescent="0.35">
      <c r="A196" s="191"/>
      <c r="B196" s="166"/>
      <c r="C196" s="1780" t="s">
        <v>919</v>
      </c>
      <c r="D196" s="1780"/>
      <c r="E196" s="1780"/>
      <c r="F196" s="1780"/>
      <c r="G196" s="1780"/>
      <c r="H196" s="1780"/>
      <c r="I196" s="1781" t="s">
        <v>910</v>
      </c>
      <c r="J196" s="1782"/>
      <c r="K196" s="1782"/>
      <c r="L196" s="1782"/>
      <c r="M196" s="1782"/>
      <c r="N196" s="1783"/>
      <c r="O196" s="17"/>
      <c r="P196" s="1784" t="s">
        <v>920</v>
      </c>
      <c r="Q196" s="1784"/>
      <c r="R196" s="1784"/>
      <c r="S196" s="309"/>
      <c r="T196" s="17"/>
      <c r="U196" s="1794" t="s">
        <v>919</v>
      </c>
      <c r="V196" s="1794"/>
      <c r="W196" s="1794"/>
      <c r="X196" s="1794"/>
      <c r="Y196" s="1794"/>
      <c r="Z196" s="1794"/>
      <c r="AA196" s="1794"/>
      <c r="AB196" s="1794" t="s">
        <v>910</v>
      </c>
      <c r="AC196" s="1794"/>
      <c r="AD196" s="1794"/>
      <c r="AE196" s="1794"/>
      <c r="AF196" s="1794"/>
      <c r="AG196" s="1794"/>
      <c r="AH196" s="17"/>
      <c r="AI196" s="1789" t="s">
        <v>920</v>
      </c>
      <c r="AJ196" s="1789"/>
      <c r="AK196" s="1789"/>
      <c r="AL196" s="300"/>
      <c r="AM196" s="17"/>
      <c r="AN196" s="17"/>
      <c r="AO196" s="17"/>
      <c r="AP196" s="17"/>
      <c r="AQ196" s="17"/>
      <c r="AR196" s="17"/>
      <c r="AS196" s="17"/>
      <c r="AT196" s="17"/>
      <c r="AU196" s="17"/>
      <c r="AV196" s="17"/>
      <c r="AW196" s="17"/>
      <c r="AX196" s="17"/>
      <c r="AY196" s="17"/>
      <c r="AZ196" s="17"/>
      <c r="BA196" s="17"/>
      <c r="BB196" s="17"/>
    </row>
    <row r="197" spans="1:58" s="27" customFormat="1" ht="58" x14ac:dyDescent="0.3">
      <c r="A197" s="355"/>
      <c r="B197" s="1511" t="s">
        <v>899</v>
      </c>
      <c r="C197" s="1513" t="s">
        <v>921</v>
      </c>
      <c r="D197" s="1511" t="s">
        <v>912</v>
      </c>
      <c r="E197" s="1511" t="s">
        <v>905</v>
      </c>
      <c r="F197" s="1511" t="s">
        <v>57</v>
      </c>
      <c r="G197" s="1511" t="s">
        <v>902</v>
      </c>
      <c r="H197" s="1511" t="s">
        <v>914</v>
      </c>
      <c r="I197" s="1511" t="s">
        <v>915</v>
      </c>
      <c r="J197" s="1511" t="s">
        <v>912</v>
      </c>
      <c r="K197" s="1511" t="s">
        <v>905</v>
      </c>
      <c r="L197" s="1511" t="s">
        <v>57</v>
      </c>
      <c r="M197" s="1511" t="s">
        <v>902</v>
      </c>
      <c r="N197" s="1511" t="s">
        <v>903</v>
      </c>
      <c r="O197" s="137"/>
      <c r="P197" s="1511" t="s">
        <v>905</v>
      </c>
      <c r="Q197" s="1511" t="s">
        <v>57</v>
      </c>
      <c r="R197" s="1506" t="s">
        <v>208</v>
      </c>
      <c r="S197" s="390" t="s">
        <v>277</v>
      </c>
      <c r="T197" s="137"/>
      <c r="U197" s="1033" t="s">
        <v>922</v>
      </c>
      <c r="V197" s="1033" t="s">
        <v>921</v>
      </c>
      <c r="W197" s="1033" t="s">
        <v>912</v>
      </c>
      <c r="X197" s="1033" t="s">
        <v>905</v>
      </c>
      <c r="Y197" s="1033" t="s">
        <v>57</v>
      </c>
      <c r="Z197" s="1033" t="s">
        <v>902</v>
      </c>
      <c r="AA197" s="1033" t="s">
        <v>914</v>
      </c>
      <c r="AB197" s="1033" t="s">
        <v>915</v>
      </c>
      <c r="AC197" s="1033" t="s">
        <v>912</v>
      </c>
      <c r="AD197" s="1033" t="s">
        <v>905</v>
      </c>
      <c r="AE197" s="1033" t="s">
        <v>57</v>
      </c>
      <c r="AF197" s="1033" t="s">
        <v>902</v>
      </c>
      <c r="AG197" s="1033" t="s">
        <v>903</v>
      </c>
      <c r="AH197" s="17"/>
      <c r="AI197" s="1033" t="s">
        <v>905</v>
      </c>
      <c r="AJ197" s="1033" t="s">
        <v>57</v>
      </c>
      <c r="AK197" s="1507" t="s">
        <v>208</v>
      </c>
      <c r="AL197" s="390" t="s">
        <v>277</v>
      </c>
      <c r="AM197" s="17"/>
      <c r="AN197" s="17"/>
      <c r="AO197" s="17"/>
      <c r="AP197" s="17"/>
      <c r="AQ197" s="17"/>
      <c r="AR197" s="17"/>
      <c r="AS197" s="17"/>
      <c r="AT197" s="17"/>
      <c r="AU197" s="17"/>
      <c r="AV197" s="17"/>
      <c r="AW197" s="17"/>
      <c r="AX197" s="17"/>
      <c r="AY197" s="17"/>
      <c r="AZ197" s="17"/>
      <c r="BA197" s="17"/>
      <c r="BB197" s="17"/>
      <c r="BC197" s="17"/>
      <c r="BD197" s="17"/>
      <c r="BE197" s="17"/>
      <c r="BF197" s="17"/>
    </row>
    <row r="198" spans="1:58" s="186" customFormat="1" ht="13" x14ac:dyDescent="0.35">
      <c r="A198" s="384"/>
      <c r="B198" s="384"/>
      <c r="C198" s="384"/>
      <c r="D198" s="384"/>
      <c r="E198" s="385"/>
      <c r="F198" s="384"/>
      <c r="G198" s="386"/>
      <c r="H198" s="387"/>
      <c r="I198" s="388"/>
      <c r="J198" s="388"/>
      <c r="K198" s="385"/>
      <c r="L198" s="384"/>
      <c r="M198" s="225"/>
      <c r="N198" s="225"/>
      <c r="O198" s="185"/>
      <c r="P198" s="224"/>
      <c r="Q198" s="225"/>
      <c r="R198" s="143"/>
      <c r="S198" s="155"/>
      <c r="T198" s="185"/>
      <c r="U198" s="356"/>
      <c r="V198" s="1514"/>
      <c r="W198" s="356"/>
      <c r="X198" s="224"/>
      <c r="Y198" s="356"/>
      <c r="Z198" s="321"/>
      <c r="AA198" s="383"/>
      <c r="AB198" s="143"/>
      <c r="AC198" s="143"/>
      <c r="AD198" s="224"/>
      <c r="AE198" s="356"/>
      <c r="AF198" s="225"/>
      <c r="AG198" s="225"/>
      <c r="AH198" s="185"/>
      <c r="AI198" s="224"/>
      <c r="AJ198" s="225"/>
      <c r="AK198" s="143"/>
      <c r="AL198" s="155"/>
      <c r="AM198" s="185"/>
      <c r="AN198" s="185"/>
      <c r="AO198" s="185"/>
      <c r="AP198" s="185"/>
      <c r="AQ198" s="185"/>
      <c r="AR198" s="185"/>
      <c r="AS198" s="185"/>
      <c r="AT198" s="185"/>
      <c r="AU198" s="185"/>
      <c r="AV198" s="185"/>
      <c r="AW198" s="185"/>
      <c r="AX198" s="185"/>
      <c r="AY198" s="185"/>
      <c r="AZ198" s="185"/>
      <c r="BA198" s="185"/>
      <c r="BB198" s="185"/>
      <c r="BC198" s="185"/>
    </row>
    <row r="199" spans="1:58" s="184" customFormat="1" ht="17.149999999999999" customHeight="1" x14ac:dyDescent="0.3">
      <c r="A199" s="1038" t="s">
        <v>824</v>
      </c>
      <c r="B199" s="1039">
        <f>SUM(B200:B202)</f>
        <v>253375</v>
      </c>
      <c r="C199" s="1040">
        <f>SUM(C200:C202)</f>
        <v>240700</v>
      </c>
      <c r="D199" s="1039"/>
      <c r="E199" s="1039">
        <f>SUM(E200:E202)</f>
        <v>0</v>
      </c>
      <c r="F199" s="1039">
        <f>SUM(F200:F202)</f>
        <v>240700</v>
      </c>
      <c r="G199" s="1039">
        <f>SUM(G200:G202)</f>
        <v>5950</v>
      </c>
      <c r="H199" s="1039">
        <f>SUM(H200:H202)</f>
        <v>234750</v>
      </c>
      <c r="I199" s="1039">
        <f>SUM(I200:I202)</f>
        <v>12675</v>
      </c>
      <c r="J199" s="1039"/>
      <c r="K199" s="1039">
        <f>SUM(K200:K202)</f>
        <v>0</v>
      </c>
      <c r="L199" s="1039">
        <f>SUM(L200:L202)</f>
        <v>12675</v>
      </c>
      <c r="M199" s="1039">
        <f>SUM(M200:M202)</f>
        <v>325</v>
      </c>
      <c r="N199" s="1039">
        <f>SUM(N200:N202)</f>
        <v>12350</v>
      </c>
      <c r="O199" s="137"/>
      <c r="P199" s="1039">
        <f>SUM(P200:P202)</f>
        <v>234750</v>
      </c>
      <c r="Q199" s="1039">
        <f>SUM(Q200:Q202)</f>
        <v>18625</v>
      </c>
      <c r="R199" s="1039">
        <f>SUM(R200:R202)</f>
        <v>253375</v>
      </c>
      <c r="S199" s="1518">
        <f>SUM(S200:S202)</f>
        <v>0</v>
      </c>
      <c r="T199" s="137"/>
      <c r="U199" s="1041">
        <f>SUM(U200:U202)</f>
        <v>503425</v>
      </c>
      <c r="V199" s="1041">
        <f>SUM(V200:V202)</f>
        <v>0</v>
      </c>
      <c r="W199" s="1041"/>
      <c r="X199" s="1041">
        <f>SUM(X200:X202)</f>
        <v>0</v>
      </c>
      <c r="Y199" s="1041">
        <f>SUM(Y200:Y202)</f>
        <v>0</v>
      </c>
      <c r="Z199" s="1041">
        <f>SUM(Z200:Z202)</f>
        <v>0</v>
      </c>
      <c r="AA199" s="1041">
        <f>SUM(AA200:AA202)</f>
        <v>0</v>
      </c>
      <c r="AB199" s="1042">
        <f>SUM(AB200:AB202)</f>
        <v>503425</v>
      </c>
      <c r="AC199" s="1042"/>
      <c r="AD199" s="1042">
        <f>SUM(AD200:AD202)</f>
        <v>0</v>
      </c>
      <c r="AE199" s="1042">
        <f>SUM(AE200:AE202)</f>
        <v>503425</v>
      </c>
      <c r="AF199" s="1042">
        <f>SUM(AF200:AF202)</f>
        <v>12425</v>
      </c>
      <c r="AG199" s="1042">
        <f>SUM(AG200:AG202)</f>
        <v>491000</v>
      </c>
      <c r="AH199" s="3"/>
      <c r="AI199" s="1041">
        <f>SUM(AI200:AI202)</f>
        <v>0</v>
      </c>
      <c r="AJ199" s="1041">
        <f>SUM(AJ200:AJ202)</f>
        <v>503425</v>
      </c>
      <c r="AK199" s="1041">
        <f>SUM(AK200:AK202)</f>
        <v>503425</v>
      </c>
      <c r="AL199" s="1518">
        <f>SUM(AL200:AL202)</f>
        <v>0</v>
      </c>
      <c r="AM199" s="3"/>
      <c r="AN199" s="3"/>
      <c r="AO199" s="3"/>
      <c r="AP199" s="3"/>
      <c r="AQ199" s="3"/>
      <c r="AR199" s="3"/>
      <c r="AS199" s="3"/>
      <c r="AT199" s="3"/>
      <c r="AU199" s="3"/>
      <c r="AV199" s="3"/>
      <c r="AW199" s="3"/>
      <c r="AX199" s="3"/>
      <c r="AY199" s="3"/>
      <c r="AZ199" s="3"/>
      <c r="BA199" s="3"/>
      <c r="BB199" s="3"/>
      <c r="BC199" s="3"/>
      <c r="BD199" s="3"/>
    </row>
    <row r="200" spans="1:58" s="1045" customFormat="1" ht="17.149999999999999" customHeight="1" x14ac:dyDescent="0.35">
      <c r="A200" s="155" t="s">
        <v>822</v>
      </c>
      <c r="B200" s="1522">
        <f>'Capture volumes'!E229</f>
        <v>0</v>
      </c>
      <c r="C200" s="1020">
        <f>ROUND((B200*'User interface_Non-RES'!$M$37)/25,0)*25</f>
        <v>0</v>
      </c>
      <c r="D200" s="999">
        <f>'User interface_Non-RES'!L54</f>
        <v>0</v>
      </c>
      <c r="E200" s="1522">
        <f>ROUND((C200*D200)/25,0)*25</f>
        <v>0</v>
      </c>
      <c r="F200" s="1522">
        <f>C200-E200</f>
        <v>0</v>
      </c>
      <c r="G200" s="1522">
        <f>ROUND((F200*'User interface_Non-RES'!M76)/25,0)*25</f>
        <v>0</v>
      </c>
      <c r="H200" s="1522">
        <f>F200-G200</f>
        <v>0</v>
      </c>
      <c r="I200" s="1522">
        <f>B200-C200</f>
        <v>0</v>
      </c>
      <c r="J200" s="999">
        <f>D200</f>
        <v>0</v>
      </c>
      <c r="K200" s="1522">
        <f>ROUND((I200*J200)/25,0)*25</f>
        <v>0</v>
      </c>
      <c r="L200" s="1522">
        <f>I200-K200</f>
        <v>0</v>
      </c>
      <c r="M200" s="1522">
        <f>ROUND((L200*'User interface_Non-RES'!M76)/25,0)*25</f>
        <v>0</v>
      </c>
      <c r="N200" s="1522">
        <f>L200-M200</f>
        <v>0</v>
      </c>
      <c r="O200" s="60"/>
      <c r="P200" s="1020">
        <f>E200+H200+K200</f>
        <v>0</v>
      </c>
      <c r="Q200" s="1020">
        <f>G200+L200</f>
        <v>0</v>
      </c>
      <c r="R200" s="1518">
        <f>SUM(P200:Q200)</f>
        <v>0</v>
      </c>
      <c r="S200" s="1518">
        <f>B200-R200</f>
        <v>0</v>
      </c>
      <c r="T200" s="60"/>
      <c r="U200" s="1522">
        <f>'Capture volumes'!F229</f>
        <v>0</v>
      </c>
      <c r="V200" s="1522">
        <f>ROUND((U200*'User interface_Non-RES'!$M$54)/25,0)*25</f>
        <v>0</v>
      </c>
      <c r="W200" s="956">
        <f>'User interface_Non-RES'!$L$54</f>
        <v>0</v>
      </c>
      <c r="X200" s="1522">
        <f>ROUND((V200*W200)/25,0)*25</f>
        <v>0</v>
      </c>
      <c r="Y200" s="1522">
        <f>V200-X200</f>
        <v>0</v>
      </c>
      <c r="Z200" s="1522">
        <f>ROUND((Y200*'User interface_Non-RES'!M76)/25,0)*25</f>
        <v>0</v>
      </c>
      <c r="AA200" s="1522">
        <f>Y200-Z200</f>
        <v>0</v>
      </c>
      <c r="AB200" s="1522">
        <f>U200-V200</f>
        <v>0</v>
      </c>
      <c r="AC200" s="999">
        <f>W200</f>
        <v>0</v>
      </c>
      <c r="AD200" s="1522">
        <f>ROUND((AB200*AC200)/25,0)*25</f>
        <v>0</v>
      </c>
      <c r="AE200" s="1522">
        <f>AB200-AD200</f>
        <v>0</v>
      </c>
      <c r="AF200" s="1522">
        <f>ROUND((AE200*'User interface_Non-RES'!M76)/25,0)*25</f>
        <v>0</v>
      </c>
      <c r="AG200" s="1522">
        <f>AE200-AF200</f>
        <v>0</v>
      </c>
      <c r="AH200" s="60"/>
      <c r="AI200" s="1020">
        <f>X200+AA200+AD200</f>
        <v>0</v>
      </c>
      <c r="AJ200" s="1020">
        <f>Z200+AE200</f>
        <v>0</v>
      </c>
      <c r="AK200" s="1518">
        <f>SUM(AI200:AJ200)</f>
        <v>0</v>
      </c>
      <c r="AL200" s="1518">
        <f>U200-AK200</f>
        <v>0</v>
      </c>
      <c r="AM200" s="60"/>
      <c r="AN200" s="60"/>
      <c r="AO200" s="60"/>
      <c r="AP200" s="60"/>
      <c r="AQ200" s="60"/>
      <c r="AR200" s="60"/>
      <c r="AS200" s="60"/>
      <c r="AT200" s="60"/>
      <c r="AU200" s="60"/>
      <c r="AV200" s="60"/>
      <c r="AW200" s="60"/>
      <c r="AX200" s="60"/>
      <c r="AY200" s="60"/>
      <c r="AZ200" s="60"/>
      <c r="BA200" s="60"/>
      <c r="BB200" s="60"/>
      <c r="BC200" s="60"/>
    </row>
    <row r="201" spans="1:58" s="1045" customFormat="1" ht="17.149999999999999" customHeight="1" x14ac:dyDescent="0.35">
      <c r="A201" s="155" t="s">
        <v>823</v>
      </c>
      <c r="B201" s="1522">
        <f>'Capture volumes'!E230</f>
        <v>253375</v>
      </c>
      <c r="C201" s="1020">
        <f>ROUND((B201*'User interface_Non-RES'!$M$37)/25,0)*25</f>
        <v>240700</v>
      </c>
      <c r="D201" s="999">
        <f>'User interface_Non-RES'!L54</f>
        <v>0</v>
      </c>
      <c r="E201" s="1522">
        <f>ROUND((C201*D201)/25,0)*25</f>
        <v>0</v>
      </c>
      <c r="F201" s="1522">
        <f>C201-E201</f>
        <v>240700</v>
      </c>
      <c r="G201" s="1522">
        <f>ROUND((F201*'User interface_Non-RES'!M77)/25,0)*25</f>
        <v>5950</v>
      </c>
      <c r="H201" s="1522">
        <f>F201-G201</f>
        <v>234750</v>
      </c>
      <c r="I201" s="1522">
        <f>B201-C201</f>
        <v>12675</v>
      </c>
      <c r="J201" s="999">
        <f>D201</f>
        <v>0</v>
      </c>
      <c r="K201" s="1522">
        <f>ROUND((I201*J201)/25,0)*25</f>
        <v>0</v>
      </c>
      <c r="L201" s="1522">
        <f>I201-K201</f>
        <v>12675</v>
      </c>
      <c r="M201" s="1522">
        <f>ROUND((L201*'User interface_Non-RES'!M77)/25,0)*25</f>
        <v>325</v>
      </c>
      <c r="N201" s="1522">
        <f>L201-M201</f>
        <v>12350</v>
      </c>
      <c r="O201" s="60"/>
      <c r="P201" s="1020">
        <f>E201+H201+K201</f>
        <v>234750</v>
      </c>
      <c r="Q201" s="1020">
        <f>G201+L201</f>
        <v>18625</v>
      </c>
      <c r="R201" s="1518">
        <f>SUM(P201:Q201)</f>
        <v>253375</v>
      </c>
      <c r="S201" s="1518">
        <f>B201-R201</f>
        <v>0</v>
      </c>
      <c r="T201" s="60"/>
      <c r="U201" s="1522">
        <f>'Capture volumes'!F230</f>
        <v>503425</v>
      </c>
      <c r="V201" s="1522">
        <f>ROUND((U201*'User interface_Non-RES'!$M$54)/25,0)*25</f>
        <v>0</v>
      </c>
      <c r="W201" s="956">
        <f>'User interface_Non-RES'!$L$54</f>
        <v>0</v>
      </c>
      <c r="X201" s="1522">
        <f>ROUND((V201*W201)/25,0)*25</f>
        <v>0</v>
      </c>
      <c r="Y201" s="1522">
        <f>V201-X201</f>
        <v>0</v>
      </c>
      <c r="Z201" s="1522">
        <f>ROUND((Y201*'User interface_Non-RES'!M77)/25,0)*25</f>
        <v>0</v>
      </c>
      <c r="AA201" s="1522">
        <f>Y201-Z201</f>
        <v>0</v>
      </c>
      <c r="AB201" s="1522">
        <f>U201-V201</f>
        <v>503425</v>
      </c>
      <c r="AC201" s="999">
        <f>W201</f>
        <v>0</v>
      </c>
      <c r="AD201" s="1522">
        <f>ROUND((AB201*AC201)/25,0)*25</f>
        <v>0</v>
      </c>
      <c r="AE201" s="1522">
        <f>AB201-AD201</f>
        <v>503425</v>
      </c>
      <c r="AF201" s="1522">
        <f>ROUND((AE201*'User interface_Non-RES'!M77)/25,0)*25</f>
        <v>12425</v>
      </c>
      <c r="AG201" s="1522">
        <f>AE201-AF201</f>
        <v>491000</v>
      </c>
      <c r="AH201" s="60"/>
      <c r="AI201" s="1020">
        <f>X201+AA201+AD201</f>
        <v>0</v>
      </c>
      <c r="AJ201" s="1020">
        <f>Z201+AE201</f>
        <v>503425</v>
      </c>
      <c r="AK201" s="1518">
        <f>SUM(AI201:AJ201)</f>
        <v>503425</v>
      </c>
      <c r="AL201" s="1518">
        <f>U201-AK201</f>
        <v>0</v>
      </c>
      <c r="AM201" s="60"/>
      <c r="AN201" s="60"/>
      <c r="AO201" s="60"/>
      <c r="AP201" s="60"/>
      <c r="AQ201" s="60"/>
      <c r="AR201" s="60"/>
      <c r="AS201" s="60"/>
      <c r="AT201" s="60"/>
      <c r="AU201" s="60"/>
      <c r="AV201" s="60"/>
      <c r="AW201" s="60"/>
      <c r="AX201" s="60"/>
      <c r="AY201" s="60"/>
      <c r="AZ201" s="60"/>
      <c r="BA201" s="60"/>
      <c r="BB201" s="60"/>
      <c r="BC201" s="60"/>
    </row>
    <row r="202" spans="1:58" s="1045" customFormat="1" ht="17.149999999999999" customHeight="1" x14ac:dyDescent="0.35">
      <c r="A202" s="155" t="s">
        <v>825</v>
      </c>
      <c r="B202" s="1522">
        <f>'Capture volumes'!E231</f>
        <v>0</v>
      </c>
      <c r="C202" s="1020">
        <f>ROUND((B202*'User interface_Non-RES'!$M$37)/25,0)*25</f>
        <v>0</v>
      </c>
      <c r="D202" s="999">
        <f>'User interface_Non-RES'!L54</f>
        <v>0</v>
      </c>
      <c r="E202" s="1522">
        <f>ROUND((C202*D202)/25,0)*25</f>
        <v>0</v>
      </c>
      <c r="F202" s="1522">
        <f>C202-E202</f>
        <v>0</v>
      </c>
      <c r="G202" s="1522">
        <f>ROUND((F202*'User interface_Non-RES'!M78)/25,0)*25</f>
        <v>0</v>
      </c>
      <c r="H202" s="1522">
        <f>F202-G202</f>
        <v>0</v>
      </c>
      <c r="I202" s="1522">
        <f>B202-C202</f>
        <v>0</v>
      </c>
      <c r="J202" s="999">
        <f>D202</f>
        <v>0</v>
      </c>
      <c r="K202" s="1522">
        <f>ROUND((I202*J202)/25,0)*25</f>
        <v>0</v>
      </c>
      <c r="L202" s="1522">
        <f>I202-K202</f>
        <v>0</v>
      </c>
      <c r="M202" s="1522">
        <f>ROUND((L202*'User interface_Non-RES'!M78)/25,0)*25</f>
        <v>0</v>
      </c>
      <c r="N202" s="1522">
        <f>L202-M202</f>
        <v>0</v>
      </c>
      <c r="O202" s="60"/>
      <c r="P202" s="1020">
        <f>E202+H202+K202</f>
        <v>0</v>
      </c>
      <c r="Q202" s="1020">
        <f>G202+L202</f>
        <v>0</v>
      </c>
      <c r="R202" s="1518">
        <f>SUM(P202:Q202)</f>
        <v>0</v>
      </c>
      <c r="S202" s="1518">
        <f>B202-R202</f>
        <v>0</v>
      </c>
      <c r="T202" s="60"/>
      <c r="U202" s="1522">
        <f>'Capture volumes'!F231</f>
        <v>0</v>
      </c>
      <c r="V202" s="1522">
        <f>ROUND((U202*'User interface_Non-RES'!$M$54)/25,0)*25</f>
        <v>0</v>
      </c>
      <c r="W202" s="956">
        <f>'User interface_Non-RES'!$L$54</f>
        <v>0</v>
      </c>
      <c r="X202" s="1522">
        <f>ROUND((V202*W202)/25,0)*25</f>
        <v>0</v>
      </c>
      <c r="Y202" s="1522">
        <f>V202-X202</f>
        <v>0</v>
      </c>
      <c r="Z202" s="1522">
        <f>ROUND((Y202*'User interface_Non-RES'!M78)/25,0)*25</f>
        <v>0</v>
      </c>
      <c r="AA202" s="1522">
        <f>Y202-Z202</f>
        <v>0</v>
      </c>
      <c r="AB202" s="1522">
        <f>U202-V202</f>
        <v>0</v>
      </c>
      <c r="AC202" s="999">
        <f>W202</f>
        <v>0</v>
      </c>
      <c r="AD202" s="1522">
        <f>ROUND((AB202*AC202)/25,0)*25</f>
        <v>0</v>
      </c>
      <c r="AE202" s="1522">
        <f>AB202-AD202</f>
        <v>0</v>
      </c>
      <c r="AF202" s="1522">
        <f>ROUND((AE202*'User interface_Non-RES'!M78)/25,0)*25</f>
        <v>0</v>
      </c>
      <c r="AG202" s="1522">
        <f>AE202-AF202</f>
        <v>0</v>
      </c>
      <c r="AH202" s="60"/>
      <c r="AI202" s="1020">
        <f>X202+AA202+AD202</f>
        <v>0</v>
      </c>
      <c r="AJ202" s="1020">
        <f>Z202+AE202</f>
        <v>0</v>
      </c>
      <c r="AK202" s="1518">
        <f>SUM(AI202:AJ202)</f>
        <v>0</v>
      </c>
      <c r="AL202" s="1518">
        <f>U202-AK202</f>
        <v>0</v>
      </c>
      <c r="AM202" s="60"/>
      <c r="AN202" s="60"/>
      <c r="AO202" s="60"/>
      <c r="AP202" s="60"/>
      <c r="AQ202" s="60"/>
      <c r="AR202" s="60"/>
      <c r="AS202" s="60"/>
      <c r="AT202" s="60"/>
      <c r="AU202" s="60"/>
      <c r="AV202" s="60"/>
      <c r="AW202" s="60"/>
      <c r="AX202" s="60"/>
      <c r="AY202" s="60"/>
      <c r="AZ202" s="60"/>
      <c r="BA202" s="60"/>
      <c r="BB202" s="60"/>
      <c r="BC202" s="60"/>
    </row>
    <row r="203" spans="1:58" s="184" customFormat="1" ht="17.149999999999999" customHeight="1" x14ac:dyDescent="0.3">
      <c r="A203" s="1038" t="s">
        <v>862</v>
      </c>
      <c r="B203" s="1039">
        <f>SUM(B204:B206)</f>
        <v>0</v>
      </c>
      <c r="C203" s="1040">
        <f>SUM(C204:C206)</f>
        <v>0</v>
      </c>
      <c r="D203" s="1039"/>
      <c r="E203" s="1039">
        <f>SUM(E204:E206)</f>
        <v>0</v>
      </c>
      <c r="F203" s="1039">
        <f>SUM(F204:F206)</f>
        <v>0</v>
      </c>
      <c r="G203" s="1039">
        <f>SUM(G204:G206)</f>
        <v>0</v>
      </c>
      <c r="H203" s="1039">
        <f>SUM(H204:H206)</f>
        <v>0</v>
      </c>
      <c r="I203" s="1039">
        <f>SUM(I204:I206)</f>
        <v>0</v>
      </c>
      <c r="J203" s="1039"/>
      <c r="K203" s="1039">
        <f>SUM(K204:K206)</f>
        <v>0</v>
      </c>
      <c r="L203" s="1039">
        <f>SUM(L204:L206)</f>
        <v>0</v>
      </c>
      <c r="M203" s="1039">
        <f>SUM(M204:M206)</f>
        <v>0</v>
      </c>
      <c r="N203" s="1039">
        <f>SUM(N204:N206)</f>
        <v>0</v>
      </c>
      <c r="O203" s="137"/>
      <c r="P203" s="1039">
        <f>SUM(P204:P206)</f>
        <v>0</v>
      </c>
      <c r="Q203" s="1039">
        <f>SUM(Q204:Q206)</f>
        <v>0</v>
      </c>
      <c r="R203" s="1039">
        <f>SUM(R204:R206)</f>
        <v>0</v>
      </c>
      <c r="S203" s="1518">
        <f>SUM(S204:S206)</f>
        <v>0</v>
      </c>
      <c r="T203" s="137"/>
      <c r="U203" s="1041">
        <f>SUM(U204:U206)</f>
        <v>0</v>
      </c>
      <c r="V203" s="1041">
        <f>SUM(V204:V206)</f>
        <v>0</v>
      </c>
      <c r="W203" s="1041"/>
      <c r="X203" s="1041">
        <f>SUM(X204:X206)</f>
        <v>0</v>
      </c>
      <c r="Y203" s="1041">
        <f>SUM(Y204:Y206)</f>
        <v>0</v>
      </c>
      <c r="Z203" s="1041">
        <f>SUM(Z204:Z206)</f>
        <v>0</v>
      </c>
      <c r="AA203" s="1041">
        <f>SUM(AA204:AA206)</f>
        <v>0</v>
      </c>
      <c r="AB203" s="1042">
        <f>SUM(AB204:AB206)</f>
        <v>0</v>
      </c>
      <c r="AC203" s="1042"/>
      <c r="AD203" s="1042">
        <f>SUM(AD204:AD206)</f>
        <v>0</v>
      </c>
      <c r="AE203" s="1042">
        <f>SUM(AE204:AE206)</f>
        <v>0</v>
      </c>
      <c r="AF203" s="1042">
        <f>SUM(AF204:AF206)</f>
        <v>0</v>
      </c>
      <c r="AG203" s="1042">
        <f>SUM(AG204:AG206)</f>
        <v>0</v>
      </c>
      <c r="AH203" s="3"/>
      <c r="AI203" s="1041">
        <f>SUM(AI204:AI206)</f>
        <v>0</v>
      </c>
      <c r="AJ203" s="1041">
        <f>SUM(AJ204:AJ206)</f>
        <v>0</v>
      </c>
      <c r="AK203" s="1041">
        <f>SUM(AK204:AK206)</f>
        <v>0</v>
      </c>
      <c r="AL203" s="1518">
        <f>SUM(AL204:AL206)</f>
        <v>0</v>
      </c>
      <c r="AM203" s="3"/>
      <c r="AN203" s="3"/>
      <c r="AO203" s="3"/>
      <c r="AP203" s="3"/>
      <c r="AQ203" s="3"/>
      <c r="AR203" s="3"/>
      <c r="AS203" s="3"/>
      <c r="AT203" s="3"/>
      <c r="AU203" s="3"/>
      <c r="AV203" s="3"/>
      <c r="AW203" s="3"/>
      <c r="AX203" s="3"/>
      <c r="AY203" s="3"/>
      <c r="AZ203" s="3"/>
      <c r="BA203" s="3"/>
      <c r="BB203" s="3"/>
      <c r="BC203" s="3"/>
      <c r="BD203" s="3"/>
    </row>
    <row r="204" spans="1:58" s="1045" customFormat="1" ht="17.149999999999999" customHeight="1" x14ac:dyDescent="0.35">
      <c r="A204" s="155" t="s">
        <v>827</v>
      </c>
      <c r="B204" s="1522">
        <f>'Capture volumes'!E239</f>
        <v>0</v>
      </c>
      <c r="C204" s="1020">
        <v>0</v>
      </c>
      <c r="D204" s="999">
        <f>'User interface_Non-RES'!L58</f>
        <v>0</v>
      </c>
      <c r="E204" s="1522">
        <f>ROUND((C204*D204)/25,0)*25</f>
        <v>0</v>
      </c>
      <c r="F204" s="1522">
        <f>C204-E204</f>
        <v>0</v>
      </c>
      <c r="G204" s="1522">
        <f>ROUND((F204*'User interface_Non-RES'!M80)/25,0)*25</f>
        <v>0</v>
      </c>
      <c r="H204" s="1522">
        <f>F204-G204</f>
        <v>0</v>
      </c>
      <c r="I204" s="1522">
        <f>B204-C204</f>
        <v>0</v>
      </c>
      <c r="J204" s="999">
        <f>D204</f>
        <v>0</v>
      </c>
      <c r="K204" s="1522">
        <f>ROUND((I204*J204)/25,0)*25</f>
        <v>0</v>
      </c>
      <c r="L204" s="1522">
        <f>I204-K204</f>
        <v>0</v>
      </c>
      <c r="M204" s="1522">
        <f>ROUND((L204*'User interface_Non-RES'!M80)/25,0)*25</f>
        <v>0</v>
      </c>
      <c r="N204" s="1522">
        <f>L204-M204</f>
        <v>0</v>
      </c>
      <c r="O204" s="60"/>
      <c r="P204" s="1020">
        <f>E204+H204+K204</f>
        <v>0</v>
      </c>
      <c r="Q204" s="1020">
        <f>G204+L204</f>
        <v>0</v>
      </c>
      <c r="R204" s="1518">
        <f>SUM(P204:Q204)</f>
        <v>0</v>
      </c>
      <c r="S204" s="1518">
        <f>B204-R204</f>
        <v>0</v>
      </c>
      <c r="T204" s="60"/>
      <c r="U204" s="1522">
        <f>'Capture volumes'!F239</f>
        <v>0</v>
      </c>
      <c r="V204" s="1522">
        <f>ROUND((U204*'User interface_Non-RES'!$M$58)/25,0)*25</f>
        <v>0</v>
      </c>
      <c r="W204" s="956">
        <f>'User interface_Non-RES'!$L$58</f>
        <v>0</v>
      </c>
      <c r="X204" s="1522">
        <f>ROUND((V204*W204)/25,0)*25</f>
        <v>0</v>
      </c>
      <c r="Y204" s="1522">
        <f>V204-X204</f>
        <v>0</v>
      </c>
      <c r="Z204" s="1522">
        <f>ROUND((Y204*'User interface_Non-RES'!M80)/25,0)*25</f>
        <v>0</v>
      </c>
      <c r="AA204" s="1522">
        <f>Y204-Z204</f>
        <v>0</v>
      </c>
      <c r="AB204" s="1522">
        <f>U204-V204</f>
        <v>0</v>
      </c>
      <c r="AC204" s="999">
        <f>W204</f>
        <v>0</v>
      </c>
      <c r="AD204" s="1522">
        <f>ROUND((AB204*AC204)/25,0)*25</f>
        <v>0</v>
      </c>
      <c r="AE204" s="1522">
        <f>AB204-AD204</f>
        <v>0</v>
      </c>
      <c r="AF204" s="1522">
        <f>ROUND((AE204*'User interface_Non-RES'!M80)/25,0)*25</f>
        <v>0</v>
      </c>
      <c r="AG204" s="1522">
        <f>AE204-AF204</f>
        <v>0</v>
      </c>
      <c r="AH204" s="60"/>
      <c r="AI204" s="1020">
        <f>X204+AA204+AD204</f>
        <v>0</v>
      </c>
      <c r="AJ204" s="1020">
        <f>Z204+AE204</f>
        <v>0</v>
      </c>
      <c r="AK204" s="1518">
        <f>SUM(AI204:AJ204)</f>
        <v>0</v>
      </c>
      <c r="AL204" s="1518">
        <f>U204-AK204</f>
        <v>0</v>
      </c>
      <c r="AM204" s="60"/>
      <c r="AN204" s="60"/>
      <c r="AO204" s="60"/>
      <c r="AP204" s="60"/>
      <c r="AQ204" s="60"/>
      <c r="AR204" s="60"/>
      <c r="AS204" s="60"/>
      <c r="AT204" s="60"/>
      <c r="AU204" s="60"/>
      <c r="AV204" s="60"/>
      <c r="AW204" s="60"/>
      <c r="AX204" s="60"/>
      <c r="AY204" s="60"/>
      <c r="AZ204" s="60"/>
      <c r="BA204" s="60"/>
      <c r="BB204" s="60"/>
      <c r="BC204" s="60"/>
    </row>
    <row r="205" spans="1:58" s="1045" customFormat="1" ht="17.149999999999999" customHeight="1" x14ac:dyDescent="0.35">
      <c r="A205" s="155" t="s">
        <v>828</v>
      </c>
      <c r="B205" s="1522">
        <f>'Capture volumes'!E240</f>
        <v>0</v>
      </c>
      <c r="C205" s="1020">
        <v>0</v>
      </c>
      <c r="D205" s="999">
        <f>'User interface_Non-RES'!L58</f>
        <v>0</v>
      </c>
      <c r="E205" s="1522">
        <f>ROUND((C205*D205)/25,0)*25</f>
        <v>0</v>
      </c>
      <c r="F205" s="1522">
        <f>C205-E205</f>
        <v>0</v>
      </c>
      <c r="G205" s="1522">
        <f>ROUND((F205*'User interface_Non-RES'!M81)/25,0)*25</f>
        <v>0</v>
      </c>
      <c r="H205" s="1522">
        <f>F205-G205</f>
        <v>0</v>
      </c>
      <c r="I205" s="1522">
        <f>B205-C205</f>
        <v>0</v>
      </c>
      <c r="J205" s="999">
        <f>D205</f>
        <v>0</v>
      </c>
      <c r="K205" s="1522">
        <f>ROUND((I205*J205)/25,0)*25</f>
        <v>0</v>
      </c>
      <c r="L205" s="1522">
        <f>I205-K205</f>
        <v>0</v>
      </c>
      <c r="M205" s="1522">
        <f>ROUND((L205*'User interface_Non-RES'!M81)/25,0)*25</f>
        <v>0</v>
      </c>
      <c r="N205" s="1522">
        <f>L205-M205</f>
        <v>0</v>
      </c>
      <c r="O205" s="60"/>
      <c r="P205" s="1020">
        <f>E205+H205+K205</f>
        <v>0</v>
      </c>
      <c r="Q205" s="1020">
        <f>G205+L205</f>
        <v>0</v>
      </c>
      <c r="R205" s="1518">
        <f>SUM(P205:Q205)</f>
        <v>0</v>
      </c>
      <c r="S205" s="1518">
        <f>B205-R205</f>
        <v>0</v>
      </c>
      <c r="T205" s="60"/>
      <c r="U205" s="1522">
        <f>'Capture volumes'!F240</f>
        <v>0</v>
      </c>
      <c r="V205" s="1522">
        <f>ROUND((U205*'User interface_Non-RES'!$M$58)/25,0)*25</f>
        <v>0</v>
      </c>
      <c r="W205" s="956">
        <f>'User interface_Non-RES'!$L$58</f>
        <v>0</v>
      </c>
      <c r="X205" s="1522">
        <f>ROUND((V205*W205)/25,0)*25</f>
        <v>0</v>
      </c>
      <c r="Y205" s="1522">
        <f>V205-X205</f>
        <v>0</v>
      </c>
      <c r="Z205" s="1522">
        <f>ROUND((Y205*'User interface_Non-RES'!M81)/25,0)*25</f>
        <v>0</v>
      </c>
      <c r="AA205" s="1522">
        <f>Y205-Z205</f>
        <v>0</v>
      </c>
      <c r="AB205" s="1522">
        <f>U205-V205</f>
        <v>0</v>
      </c>
      <c r="AC205" s="999">
        <f>W205</f>
        <v>0</v>
      </c>
      <c r="AD205" s="1522">
        <f>ROUND((AB205*AC205)/25,0)*25</f>
        <v>0</v>
      </c>
      <c r="AE205" s="1522">
        <f>AB205-AD205</f>
        <v>0</v>
      </c>
      <c r="AF205" s="1522">
        <f>ROUND((AE205*'User interface_Non-RES'!M81)/25,0)*25</f>
        <v>0</v>
      </c>
      <c r="AG205" s="1522">
        <f>AE205-AF205</f>
        <v>0</v>
      </c>
      <c r="AH205" s="60"/>
      <c r="AI205" s="1020">
        <f>X205+AA205+AD205</f>
        <v>0</v>
      </c>
      <c r="AJ205" s="1020">
        <f>Z205+AE205</f>
        <v>0</v>
      </c>
      <c r="AK205" s="1518">
        <f>SUM(AI205:AJ205)</f>
        <v>0</v>
      </c>
      <c r="AL205" s="1518">
        <f>U205-AK205</f>
        <v>0</v>
      </c>
      <c r="AM205" s="60"/>
      <c r="AN205" s="60"/>
      <c r="AO205" s="60"/>
      <c r="AP205" s="60"/>
      <c r="AQ205" s="60"/>
      <c r="AR205" s="60"/>
      <c r="AS205" s="60"/>
      <c r="AT205" s="60"/>
      <c r="AU205" s="60"/>
      <c r="AV205" s="60"/>
      <c r="AW205" s="60"/>
      <c r="AX205" s="60"/>
      <c r="AY205" s="60"/>
      <c r="AZ205" s="60"/>
      <c r="BA205" s="60"/>
      <c r="BB205" s="60"/>
      <c r="BC205" s="60"/>
    </row>
    <row r="206" spans="1:58" s="1045" customFormat="1" ht="17.149999999999999" customHeight="1" x14ac:dyDescent="0.35">
      <c r="A206" s="155" t="s">
        <v>831</v>
      </c>
      <c r="B206" s="1522">
        <f>'Capture volumes'!E241</f>
        <v>0</v>
      </c>
      <c r="C206" s="1020">
        <v>0</v>
      </c>
      <c r="D206" s="999">
        <f>'User interface_Non-RES'!L58</f>
        <v>0</v>
      </c>
      <c r="E206" s="1522">
        <f>ROUND((C206*D206)/25,0)*25</f>
        <v>0</v>
      </c>
      <c r="F206" s="1522">
        <f>C206-E206</f>
        <v>0</v>
      </c>
      <c r="G206" s="1522">
        <f>ROUND((F206*'User interface_Non-RES'!M82)/25,0)*25</f>
        <v>0</v>
      </c>
      <c r="H206" s="1522">
        <f>F206-G206</f>
        <v>0</v>
      </c>
      <c r="I206" s="1522">
        <f>B206-C206</f>
        <v>0</v>
      </c>
      <c r="J206" s="999">
        <f>D206</f>
        <v>0</v>
      </c>
      <c r="K206" s="1522">
        <f>ROUND((I206*J206)/25,0)*25</f>
        <v>0</v>
      </c>
      <c r="L206" s="1522">
        <f>I206-K206</f>
        <v>0</v>
      </c>
      <c r="M206" s="1522">
        <f>ROUND((L206*'User interface_Non-RES'!M82)/25,0)*25</f>
        <v>0</v>
      </c>
      <c r="N206" s="1522">
        <f>L206-M206</f>
        <v>0</v>
      </c>
      <c r="O206" s="60"/>
      <c r="P206" s="1020">
        <f>E206+H206+K206</f>
        <v>0</v>
      </c>
      <c r="Q206" s="1020">
        <f>G206+L206</f>
        <v>0</v>
      </c>
      <c r="R206" s="1518">
        <f>SUM(P206:Q206)</f>
        <v>0</v>
      </c>
      <c r="S206" s="1518">
        <f>B206-R206</f>
        <v>0</v>
      </c>
      <c r="T206" s="60"/>
      <c r="U206" s="1522">
        <f>'Capture volumes'!F241</f>
        <v>0</v>
      </c>
      <c r="V206" s="1522">
        <f>ROUND((U206*'User interface_Non-RES'!$M$58)/25,0)*25</f>
        <v>0</v>
      </c>
      <c r="W206" s="956">
        <f>'User interface_Non-RES'!$L$58</f>
        <v>0</v>
      </c>
      <c r="X206" s="1522">
        <f>ROUND((V206*W206)/25,0)*25</f>
        <v>0</v>
      </c>
      <c r="Y206" s="1522">
        <f>V206-X206</f>
        <v>0</v>
      </c>
      <c r="Z206" s="1522">
        <f>ROUND((Y206*'User interface_Non-RES'!M82)/25,0)*25</f>
        <v>0</v>
      </c>
      <c r="AA206" s="1522">
        <f>Y206-Z206</f>
        <v>0</v>
      </c>
      <c r="AB206" s="1522">
        <f>U206-V206</f>
        <v>0</v>
      </c>
      <c r="AC206" s="999">
        <f>W206</f>
        <v>0</v>
      </c>
      <c r="AD206" s="1522">
        <f>ROUND((AB206*AC206)/25,0)*25</f>
        <v>0</v>
      </c>
      <c r="AE206" s="1522">
        <f>AB206-AD206</f>
        <v>0</v>
      </c>
      <c r="AF206" s="1522">
        <f>ROUND((AE206*'User interface_Non-RES'!M82)/25,0)*25</f>
        <v>0</v>
      </c>
      <c r="AG206" s="1522">
        <f>AE206-AF206</f>
        <v>0</v>
      </c>
      <c r="AH206" s="60"/>
      <c r="AI206" s="1020">
        <f>X206+AA206+AD206</f>
        <v>0</v>
      </c>
      <c r="AJ206" s="1020">
        <f>Z206+AE206</f>
        <v>0</v>
      </c>
      <c r="AK206" s="1518">
        <f>SUM(AI206:AJ206)</f>
        <v>0</v>
      </c>
      <c r="AL206" s="1518">
        <f>U206-AK206</f>
        <v>0</v>
      </c>
      <c r="AM206" s="60"/>
      <c r="AN206" s="60"/>
      <c r="AO206" s="60"/>
      <c r="AP206" s="60"/>
      <c r="AQ206" s="60"/>
      <c r="AR206" s="60"/>
      <c r="AS206" s="60"/>
      <c r="AT206" s="60"/>
      <c r="AU206" s="60"/>
      <c r="AV206" s="60"/>
      <c r="AW206" s="60"/>
      <c r="AX206" s="60"/>
      <c r="AY206" s="60"/>
      <c r="AZ206" s="60"/>
      <c r="BA206" s="60"/>
      <c r="BB206" s="60"/>
      <c r="BC206" s="60"/>
    </row>
    <row r="207" spans="1:58" s="27" customFormat="1" ht="17.149999999999999" customHeight="1" x14ac:dyDescent="0.3">
      <c r="A207" s="1036" t="s">
        <v>361</v>
      </c>
      <c r="B207" s="1037">
        <f>B203+B199</f>
        <v>253375</v>
      </c>
      <c r="C207" s="1037">
        <f>C203+C199</f>
        <v>240700</v>
      </c>
      <c r="D207" s="1037"/>
      <c r="E207" s="1037">
        <f>E203+E199</f>
        <v>0</v>
      </c>
      <c r="F207" s="1037">
        <f>F203+F199</f>
        <v>240700</v>
      </c>
      <c r="G207" s="1037">
        <f>G203+G199</f>
        <v>5950</v>
      </c>
      <c r="H207" s="1037">
        <f>H203+H199</f>
        <v>234750</v>
      </c>
      <c r="I207" s="1037">
        <f>I203+I199</f>
        <v>12675</v>
      </c>
      <c r="J207" s="1037"/>
      <c r="K207" s="1037">
        <f>K203+K199</f>
        <v>0</v>
      </c>
      <c r="L207" s="1037">
        <f>L203+L199</f>
        <v>12675</v>
      </c>
      <c r="M207" s="1037">
        <f>M203+M199</f>
        <v>325</v>
      </c>
      <c r="N207" s="1037">
        <f>N203+N199</f>
        <v>12350</v>
      </c>
      <c r="O207" s="137"/>
      <c r="P207" s="1037">
        <f>P203+P199</f>
        <v>234750</v>
      </c>
      <c r="Q207" s="1037">
        <f>Q203+Q199</f>
        <v>18625</v>
      </c>
      <c r="R207" s="1037">
        <f>R203+R199</f>
        <v>253375</v>
      </c>
      <c r="S207" s="1518">
        <f>B207-R207</f>
        <v>0</v>
      </c>
      <c r="T207" s="137"/>
      <c r="U207" s="1034">
        <f>U203+U199</f>
        <v>503425</v>
      </c>
      <c r="V207" s="1034">
        <f>V203+V199</f>
        <v>0</v>
      </c>
      <c r="W207" s="1034"/>
      <c r="X207" s="1034">
        <f>X203+X199</f>
        <v>0</v>
      </c>
      <c r="Y207" s="1034">
        <f>Y203+Y199</f>
        <v>0</v>
      </c>
      <c r="Z207" s="1034">
        <f>Z203+Z199</f>
        <v>0</v>
      </c>
      <c r="AA207" s="1034">
        <f>AA203+AA199</f>
        <v>0</v>
      </c>
      <c r="AB207" s="1034">
        <f>AB203+AB199</f>
        <v>503425</v>
      </c>
      <c r="AC207" s="1034"/>
      <c r="AD207" s="1034">
        <f>AD203+AD199</f>
        <v>0</v>
      </c>
      <c r="AE207" s="1034">
        <f>AE203+AE199</f>
        <v>503425</v>
      </c>
      <c r="AF207" s="1034">
        <f>AF203+AF199</f>
        <v>12425</v>
      </c>
      <c r="AG207" s="1034">
        <f>AG203+AG199</f>
        <v>491000</v>
      </c>
      <c r="AH207" s="12"/>
      <c r="AI207" s="1034">
        <f>AI203+AI199</f>
        <v>0</v>
      </c>
      <c r="AJ207" s="1034">
        <f>AJ203+AJ199</f>
        <v>503425</v>
      </c>
      <c r="AK207" s="1035">
        <f>AK203+AK199</f>
        <v>503425</v>
      </c>
      <c r="AL207" s="1518">
        <f>U207-AK207</f>
        <v>0</v>
      </c>
      <c r="AM207" s="12"/>
      <c r="AN207" s="12"/>
      <c r="AO207" s="12"/>
      <c r="AP207" s="12"/>
      <c r="AQ207" s="12"/>
      <c r="AR207" s="12"/>
      <c r="AS207" s="12"/>
      <c r="AT207" s="12"/>
      <c r="AU207" s="12"/>
      <c r="AV207" s="12"/>
      <c r="AW207" s="12"/>
      <c r="AX207" s="12"/>
      <c r="AY207" s="12"/>
      <c r="AZ207" s="12"/>
      <c r="BA207" s="12"/>
      <c r="BB207" s="12"/>
      <c r="BC207" s="12"/>
      <c r="BD207" s="12"/>
    </row>
    <row r="208" spans="1:58" s="184" customFormat="1" ht="17.149999999999999" customHeight="1" x14ac:dyDescent="0.3">
      <c r="A208" s="122"/>
      <c r="B208" s="172">
        <f>IF(B207=0,0,B207/B207)</f>
        <v>1</v>
      </c>
      <c r="C208" s="370">
        <f>IF(B207=0,0,C207/B207)</f>
        <v>0.94997533300444004</v>
      </c>
      <c r="D208" s="172"/>
      <c r="E208" s="172">
        <f>IF(B207=0,0,E207/B207)</f>
        <v>0</v>
      </c>
      <c r="F208" s="172">
        <f>IF(B207=0,0,F207/B207)</f>
        <v>0.94997533300444004</v>
      </c>
      <c r="G208" s="172"/>
      <c r="H208" s="172"/>
      <c r="I208" s="172">
        <f>IF(B207=0,0,I207/B207)</f>
        <v>5.0024666995559942E-2</v>
      </c>
      <c r="J208" s="172"/>
      <c r="K208" s="172">
        <f>IF(B207=0,0,K207/B207)</f>
        <v>0</v>
      </c>
      <c r="L208" s="172">
        <f>IF(B207=0,0,L207/B207)</f>
        <v>5.0024666995559942E-2</v>
      </c>
      <c r="M208" s="143"/>
      <c r="N208" s="143"/>
      <c r="O208" s="3"/>
      <c r="P208" s="172">
        <f>IF(B207=0,0,P207/B207)</f>
        <v>0.92649235323137646</v>
      </c>
      <c r="Q208" s="370">
        <f>IF(B207=0,0,Q207/B207)</f>
        <v>7.3507646768623577E-2</v>
      </c>
      <c r="R208" s="370">
        <f>IF(B207=0,0,R207/B207)</f>
        <v>1</v>
      </c>
      <c r="S208" s="391"/>
      <c r="T208" s="137"/>
      <c r="U208" s="172">
        <f>IF(U207=0,0,U207/U207)</f>
        <v>1</v>
      </c>
      <c r="V208" s="370">
        <f>IF(U207=0,0,V207/U207)</f>
        <v>0</v>
      </c>
      <c r="W208" s="172"/>
      <c r="X208" s="172">
        <f>IF(U207=0,0,X207/U207)</f>
        <v>0</v>
      </c>
      <c r="Y208" s="172">
        <f>IF(U207=0,0,Y207/U207)</f>
        <v>0</v>
      </c>
      <c r="Z208" s="172"/>
      <c r="AA208" s="172"/>
      <c r="AB208" s="172">
        <f>IF(U207=0,0,AB207/U207)</f>
        <v>1</v>
      </c>
      <c r="AC208" s="172"/>
      <c r="AD208" s="172">
        <f>IF(U207=0,0,AD207/U207)</f>
        <v>0</v>
      </c>
      <c r="AE208" s="172">
        <f>IF(U207=0,0,AE207/U207)</f>
        <v>1</v>
      </c>
      <c r="AF208" s="143"/>
      <c r="AG208" s="143"/>
      <c r="AH208" s="3"/>
      <c r="AI208" s="172">
        <f>IF(U207=0,0,AI207/U207)</f>
        <v>0</v>
      </c>
      <c r="AJ208" s="370">
        <f>IF(U207=0,0,AJ207/U207)</f>
        <v>1</v>
      </c>
      <c r="AK208" s="370">
        <f>IF(U207=0,0,AK207/U207)</f>
        <v>1</v>
      </c>
      <c r="AL208" s="391"/>
      <c r="AM208" s="3"/>
      <c r="AN208" s="3"/>
      <c r="AO208" s="3"/>
      <c r="AP208" s="3"/>
      <c r="AQ208" s="3"/>
      <c r="AR208" s="3"/>
      <c r="AS208" s="3"/>
      <c r="AT208" s="3"/>
      <c r="AU208" s="3"/>
      <c r="AV208" s="3"/>
      <c r="AW208" s="3"/>
      <c r="AX208" s="3"/>
      <c r="AY208" s="3"/>
      <c r="AZ208" s="3"/>
      <c r="BA208" s="3"/>
      <c r="BB208" s="3"/>
      <c r="BC208" s="3"/>
    </row>
    <row r="209" spans="1:55" s="184" customFormat="1" ht="17.149999999999999" customHeight="1" x14ac:dyDescent="0.3">
      <c r="A209" s="122"/>
      <c r="C209" s="370">
        <f>IF(C207=0,0,C207/C207)</f>
        <v>1</v>
      </c>
      <c r="D209" s="223"/>
      <c r="E209" s="370">
        <f>IF(C207=0,0,E207/C207)</f>
        <v>0</v>
      </c>
      <c r="F209" s="370">
        <f>IF(C207=0,0,F207/C207)</f>
        <v>1</v>
      </c>
      <c r="G209" s="172"/>
      <c r="H209" s="172"/>
      <c r="I209" s="370">
        <f>IF(I207=0,0,I207/I207)</f>
        <v>1</v>
      </c>
      <c r="J209" s="454"/>
      <c r="K209" s="370">
        <f>IF(I207=0,0,K207/I207)</f>
        <v>0</v>
      </c>
      <c r="L209" s="370">
        <f>IF(I207=0,0,L207/I207)</f>
        <v>1</v>
      </c>
      <c r="M209" s="143"/>
      <c r="N209" s="143"/>
      <c r="O209" s="3"/>
      <c r="T209" s="137"/>
      <c r="V209" s="370">
        <f>IF(V207=0,0,V207/V207)</f>
        <v>0</v>
      </c>
      <c r="W209" s="223"/>
      <c r="X209" s="370">
        <f>IF(V207=0,0,X207/V207)</f>
        <v>0</v>
      </c>
      <c r="Y209" s="370">
        <f>IF(V207=0,0,Y207/V207)</f>
        <v>0</v>
      </c>
      <c r="Z209" s="172"/>
      <c r="AA209" s="172"/>
      <c r="AB209" s="370">
        <f>IF(AB207=0,0,AB207/AB207)</f>
        <v>1</v>
      </c>
      <c r="AC209" s="454"/>
      <c r="AD209" s="370">
        <f>IF(AB207=0,0,AD207/AB207)</f>
        <v>0</v>
      </c>
      <c r="AE209" s="370">
        <f>IF(AB207=0,0,AE207/AB207)</f>
        <v>1</v>
      </c>
      <c r="AF209" s="143"/>
      <c r="AG209" s="143"/>
      <c r="AH209" s="3"/>
      <c r="AL209" s="3"/>
      <c r="AM209" s="3"/>
      <c r="AN209" s="3"/>
      <c r="AO209" s="3"/>
      <c r="AP209" s="3"/>
      <c r="AQ209" s="3"/>
      <c r="AR209" s="3"/>
      <c r="AS209" s="3"/>
      <c r="AT209" s="3"/>
      <c r="AU209" s="3"/>
      <c r="AV209" s="3"/>
      <c r="AW209" s="3"/>
      <c r="AX209" s="3"/>
      <c r="AY209" s="3"/>
      <c r="AZ209" s="3"/>
      <c r="BA209" s="3"/>
      <c r="BB209" s="3"/>
      <c r="BC209" s="3"/>
    </row>
    <row r="210" spans="1:55" s="3" customFormat="1" ht="17.149999999999999" customHeight="1" x14ac:dyDescent="0.3">
      <c r="A210" s="47"/>
      <c r="B210" s="184"/>
      <c r="C210" s="184"/>
      <c r="D210" s="184"/>
      <c r="E210" s="184"/>
      <c r="F210" s="454">
        <f>IF(F207=0,0,F207/F207)</f>
        <v>1</v>
      </c>
      <c r="G210" s="172">
        <f>IF(F207=0,0,G207/F207)</f>
        <v>2.4719567926879935E-2</v>
      </c>
      <c r="H210" s="454">
        <f>IF(F207=0,0,H207/F207)</f>
        <v>0.9752804320731201</v>
      </c>
      <c r="L210" s="454">
        <f>IF(L207=0,0,L207/L207)</f>
        <v>1</v>
      </c>
      <c r="M210" s="172">
        <f>IF(L207=0,0,M207/L207)</f>
        <v>2.564102564102564E-2</v>
      </c>
      <c r="N210" s="454">
        <f>IF(L207=0,0,N207/L207)</f>
        <v>0.97435897435897434</v>
      </c>
      <c r="P210" s="184"/>
      <c r="Q210" s="184"/>
      <c r="R210" s="184"/>
      <c r="S210" s="184"/>
      <c r="T210" s="137"/>
      <c r="U210" s="184"/>
      <c r="V210" s="184"/>
      <c r="W210" s="184"/>
      <c r="X210" s="184"/>
      <c r="Y210" s="454">
        <f>IF(Y207=0,0,Y207/Y207)</f>
        <v>0</v>
      </c>
      <c r="Z210" s="172">
        <f>IF(Y207=0,0,Z207/Y207)</f>
        <v>0</v>
      </c>
      <c r="AA210" s="454">
        <f>IF(Y207=0,0,AA207/Y207)</f>
        <v>0</v>
      </c>
      <c r="AE210" s="454">
        <f>IF(AE207=0,0,AE207/AE207)</f>
        <v>1</v>
      </c>
      <c r="AF210" s="172">
        <f>IF(AE207=0,0,AF207/AE207)</f>
        <v>2.4680935591200277E-2</v>
      </c>
      <c r="AG210" s="454">
        <f>IF(AE207=0,0,AG207/AE207)</f>
        <v>0.97531906440879967</v>
      </c>
      <c r="AI210" s="184"/>
      <c r="AJ210" s="184"/>
      <c r="AK210" s="184"/>
    </row>
    <row r="211" spans="1:55" s="3" customFormat="1" ht="17.149999999999999" customHeight="1" x14ac:dyDescent="0.35">
      <c r="A211" s="47"/>
      <c r="B211" s="184"/>
      <c r="C211" s="184"/>
      <c r="D211" s="184"/>
      <c r="E211" s="184"/>
    </row>
    <row r="212" spans="1:55" s="3" customFormat="1" ht="17.149999999999999" customHeight="1" x14ac:dyDescent="0.35">
      <c r="A212" s="47"/>
      <c r="B212" s="184"/>
      <c r="C212" s="184"/>
      <c r="D212" s="184"/>
      <c r="E212" s="184"/>
      <c r="P212" s="381">
        <f>P188+P207</f>
        <v>234750</v>
      </c>
      <c r="Q212" s="381">
        <f>Q188+Q207</f>
        <v>101525</v>
      </c>
      <c r="R212" s="381">
        <f>SUM(P212:Q212)</f>
        <v>336275</v>
      </c>
      <c r="AI212" s="190">
        <f>AI188+AI207</f>
        <v>0</v>
      </c>
      <c r="AJ212" s="190">
        <f>AJ188+AJ207</f>
        <v>733725</v>
      </c>
      <c r="AK212" s="190">
        <f>SUM(AI212:AJ212)</f>
        <v>733725</v>
      </c>
    </row>
    <row r="213" spans="1:55" s="12" customFormat="1" ht="17.149999999999999" customHeight="1" x14ac:dyDescent="0.35">
      <c r="A213" s="950" t="s">
        <v>923</v>
      </c>
      <c r="B213" s="1504" t="s">
        <v>9</v>
      </c>
      <c r="C213" s="1508" t="s">
        <v>253</v>
      </c>
      <c r="D213" s="27"/>
      <c r="E213" s="27"/>
    </row>
    <row r="214" spans="1:55" s="3" customFormat="1" ht="17.149999999999999" customHeight="1" x14ac:dyDescent="0.35">
      <c r="A214" s="143" t="s">
        <v>924</v>
      </c>
      <c r="B214" s="204">
        <f>B169</f>
        <v>251825</v>
      </c>
      <c r="C214" s="204">
        <f>'Capture volumes'!F263</f>
        <v>1638050</v>
      </c>
      <c r="D214" s="184"/>
      <c r="E214" s="184"/>
      <c r="P214" s="53">
        <f>P79+P212</f>
        <v>2194325</v>
      </c>
      <c r="Q214" s="53">
        <f>Q79+Q212</f>
        <v>7164875</v>
      </c>
      <c r="R214" s="53">
        <f>R79+R212</f>
        <v>9359200</v>
      </c>
    </row>
    <row r="215" spans="1:55" s="3" customFormat="1" ht="17.149999999999999" customHeight="1" x14ac:dyDescent="0.35">
      <c r="A215" s="143" t="s">
        <v>925</v>
      </c>
      <c r="B215" s="204">
        <f>B179</f>
        <v>0</v>
      </c>
      <c r="C215" s="204">
        <f>U179</f>
        <v>0</v>
      </c>
      <c r="D215" s="184"/>
      <c r="E215" s="184"/>
      <c r="P215" s="54"/>
      <c r="Q215" s="54"/>
      <c r="R215" s="54"/>
    </row>
    <row r="216" spans="1:55" s="3" customFormat="1" ht="17.149999999999999" customHeight="1" x14ac:dyDescent="0.35">
      <c r="A216" s="143" t="s">
        <v>926</v>
      </c>
      <c r="B216" s="204">
        <f>B182+B185</f>
        <v>82900</v>
      </c>
      <c r="C216" s="204">
        <f>U188</f>
        <v>230300</v>
      </c>
      <c r="D216" s="184"/>
      <c r="E216" s="184"/>
    </row>
    <row r="217" spans="1:55" s="3" customFormat="1" ht="17.149999999999999" customHeight="1" x14ac:dyDescent="0.35">
      <c r="A217" s="143" t="s">
        <v>927</v>
      </c>
      <c r="B217" s="204">
        <f>B207</f>
        <v>253375</v>
      </c>
      <c r="C217" s="204">
        <f>U207</f>
        <v>503425</v>
      </c>
      <c r="D217" s="184"/>
      <c r="E217" s="184"/>
    </row>
    <row r="218" spans="1:55" s="12" customFormat="1" ht="17.149999999999999" customHeight="1" x14ac:dyDescent="0.35">
      <c r="A218" s="950" t="s">
        <v>928</v>
      </c>
      <c r="B218" s="1021">
        <f>SUM(B214:B217)</f>
        <v>588100</v>
      </c>
      <c r="C218" s="1022">
        <f>SUM(C214:C217)</f>
        <v>2371775</v>
      </c>
      <c r="D218" s="27"/>
      <c r="E218" s="27"/>
    </row>
    <row r="219" spans="1:55" s="3" customFormat="1" ht="17.149999999999999" customHeight="1" x14ac:dyDescent="0.35">
      <c r="A219" s="7"/>
      <c r="B219" s="204">
        <f>'Capture volumes'!E262</f>
        <v>588100</v>
      </c>
      <c r="C219" s="204">
        <f>'Capture volumes'!F262</f>
        <v>2371775</v>
      </c>
      <c r="D219" s="184"/>
      <c r="E219" s="184"/>
    </row>
    <row r="220" spans="1:55" s="3" customFormat="1" ht="17.149999999999999" customHeight="1" x14ac:dyDescent="0.35">
      <c r="A220" s="7"/>
      <c r="B220" s="1519" t="str">
        <f>IF(B218=B219,"OK","Not OK")</f>
        <v>OK</v>
      </c>
      <c r="C220" s="1519" t="str">
        <f>IF(C218=C219,"OK","Not OK")</f>
        <v>OK</v>
      </c>
      <c r="D220" s="184"/>
      <c r="E220" s="184"/>
    </row>
    <row r="221" spans="1:55" s="3" customFormat="1" ht="17.149999999999999" customHeight="1" x14ac:dyDescent="0.35">
      <c r="A221" s="47"/>
      <c r="B221" s="1306">
        <f>B218-B219</f>
        <v>0</v>
      </c>
      <c r="C221" s="184"/>
      <c r="D221" s="184"/>
      <c r="E221" s="184"/>
    </row>
    <row r="222" spans="1:55" s="3" customFormat="1" ht="17.149999999999999" customHeight="1" x14ac:dyDescent="0.35">
      <c r="A222" s="47"/>
      <c r="B222" s="184"/>
      <c r="C222" s="184"/>
      <c r="D222" s="184"/>
      <c r="E222" s="184"/>
    </row>
    <row r="223" spans="1:55" s="194" customFormat="1" ht="17.149999999999999" customHeight="1" x14ac:dyDescent="0.35">
      <c r="A223" s="1055" t="s">
        <v>937</v>
      </c>
      <c r="B223" s="1790" t="s">
        <v>9</v>
      </c>
      <c r="C223" s="1790"/>
      <c r="D223" s="1790"/>
      <c r="E223" s="1790"/>
      <c r="F223" s="1790"/>
      <c r="G223" s="1790"/>
      <c r="H223" s="1791" t="s">
        <v>253</v>
      </c>
      <c r="I223" s="1791"/>
      <c r="J223" s="1791"/>
      <c r="K223" s="1791"/>
      <c r="L223" s="1791"/>
      <c r="M223" s="1791"/>
      <c r="N223" s="119"/>
    </row>
    <row r="224" spans="1:55" s="120" customFormat="1" ht="17.149999999999999" customHeight="1" x14ac:dyDescent="0.35">
      <c r="A224" s="404"/>
      <c r="B224" s="405"/>
      <c r="C224" s="405"/>
      <c r="D224" s="405"/>
      <c r="E224" s="405"/>
      <c r="F224" s="405"/>
      <c r="G224" s="405"/>
      <c r="H224" s="405"/>
      <c r="I224" s="405"/>
      <c r="J224" s="405"/>
      <c r="K224" s="405"/>
      <c r="L224" s="405"/>
      <c r="M224" s="405"/>
      <c r="N224" s="406"/>
    </row>
    <row r="225" spans="1:14" s="20" customFormat="1" ht="17.149999999999999" customHeight="1" x14ac:dyDescent="0.35">
      <c r="A225" s="403"/>
      <c r="B225" s="1792" t="s">
        <v>938</v>
      </c>
      <c r="C225" s="1792"/>
      <c r="D225" s="1792"/>
      <c r="E225" s="1792" t="s">
        <v>939</v>
      </c>
      <c r="F225" s="1792"/>
      <c r="G225" s="1792"/>
      <c r="H225" s="1793" t="s">
        <v>938</v>
      </c>
      <c r="I225" s="1793"/>
      <c r="J225" s="1793"/>
      <c r="K225" s="1793" t="s">
        <v>939</v>
      </c>
      <c r="L225" s="1793"/>
      <c r="M225" s="1793"/>
      <c r="N225" s="54"/>
    </row>
    <row r="226" spans="1:14" s="20" customFormat="1" ht="43.5" x14ac:dyDescent="0.35">
      <c r="A226" s="355"/>
      <c r="B226" s="1511" t="s">
        <v>905</v>
      </c>
      <c r="C226" s="1511" t="s">
        <v>914</v>
      </c>
      <c r="D226" s="1511" t="s">
        <v>902</v>
      </c>
      <c r="E226" s="1511" t="s">
        <v>905</v>
      </c>
      <c r="F226" s="1511" t="s">
        <v>902</v>
      </c>
      <c r="G226" s="1511" t="s">
        <v>940</v>
      </c>
      <c r="H226" s="1033" t="s">
        <v>905</v>
      </c>
      <c r="I226" s="1033" t="s">
        <v>914</v>
      </c>
      <c r="J226" s="1033" t="s">
        <v>902</v>
      </c>
      <c r="K226" s="1033" t="s">
        <v>905</v>
      </c>
      <c r="L226" s="1033" t="s">
        <v>902</v>
      </c>
      <c r="M226" s="1033" t="s">
        <v>940</v>
      </c>
      <c r="N226" s="54"/>
    </row>
    <row r="227" spans="1:14" s="255" customFormat="1" ht="10.5" x14ac:dyDescent="0.35">
      <c r="A227" s="402"/>
      <c r="B227" s="387"/>
      <c r="C227" s="387"/>
      <c r="D227" s="386"/>
      <c r="E227" s="387"/>
      <c r="F227" s="386"/>
      <c r="G227" s="386"/>
      <c r="H227" s="387"/>
      <c r="I227" s="387"/>
      <c r="J227" s="386"/>
      <c r="K227" s="387"/>
      <c r="L227" s="386"/>
      <c r="M227" s="386"/>
      <c r="N227" s="254"/>
    </row>
    <row r="228" spans="1:14" s="20" customFormat="1" ht="17.149999999999999" customHeight="1" x14ac:dyDescent="0.35">
      <c r="A228" s="977" t="s">
        <v>941</v>
      </c>
      <c r="B228" s="1023">
        <f>B229</f>
        <v>0</v>
      </c>
      <c r="C228" s="1023">
        <f t="shared" ref="C228:M228" si="26">C229</f>
        <v>0</v>
      </c>
      <c r="D228" s="1023">
        <f t="shared" si="26"/>
        <v>0</v>
      </c>
      <c r="E228" s="1023">
        <f t="shared" si="26"/>
        <v>0</v>
      </c>
      <c r="F228" s="1023">
        <f t="shared" si="26"/>
        <v>0</v>
      </c>
      <c r="G228" s="1023">
        <f t="shared" si="26"/>
        <v>251825</v>
      </c>
      <c r="H228" s="1024">
        <f t="shared" si="26"/>
        <v>0</v>
      </c>
      <c r="I228" s="1024">
        <f t="shared" si="26"/>
        <v>0</v>
      </c>
      <c r="J228" s="1024">
        <f t="shared" si="26"/>
        <v>0</v>
      </c>
      <c r="K228" s="1024">
        <f t="shared" si="26"/>
        <v>0</v>
      </c>
      <c r="L228" s="1024">
        <f t="shared" si="26"/>
        <v>0</v>
      </c>
      <c r="M228" s="1024">
        <f t="shared" si="26"/>
        <v>1638050</v>
      </c>
      <c r="N228" s="54"/>
    </row>
    <row r="229" spans="1:14" s="107" customFormat="1" ht="17.149999999999999" customHeight="1" x14ac:dyDescent="0.35">
      <c r="A229" s="168" t="s">
        <v>906</v>
      </c>
      <c r="B229" s="1056">
        <f>E169</f>
        <v>0</v>
      </c>
      <c r="C229" s="1056">
        <v>0</v>
      </c>
      <c r="D229" s="1056">
        <f>G169</f>
        <v>0</v>
      </c>
      <c r="E229" s="1056">
        <f>K169</f>
        <v>0</v>
      </c>
      <c r="F229" s="1056">
        <f>M169</f>
        <v>0</v>
      </c>
      <c r="G229" s="1056">
        <f>N169+H169</f>
        <v>251825</v>
      </c>
      <c r="H229" s="1056">
        <f>X169</f>
        <v>0</v>
      </c>
      <c r="I229" s="1056">
        <v>0</v>
      </c>
      <c r="J229" s="1056">
        <f>Z169</f>
        <v>0</v>
      </c>
      <c r="K229" s="1056">
        <f>AD169</f>
        <v>0</v>
      </c>
      <c r="L229" s="1056">
        <f>AF169</f>
        <v>0</v>
      </c>
      <c r="M229" s="1056">
        <f>AA169+AG169</f>
        <v>1638050</v>
      </c>
      <c r="N229" s="10"/>
    </row>
    <row r="230" spans="1:14" s="20" customFormat="1" ht="17.149999999999999" customHeight="1" x14ac:dyDescent="0.35">
      <c r="A230" s="977" t="s">
        <v>942</v>
      </c>
      <c r="B230" s="1023">
        <f t="shared" ref="B230:M230" si="27">B231</f>
        <v>0</v>
      </c>
      <c r="C230" s="1023">
        <f t="shared" si="27"/>
        <v>0</v>
      </c>
      <c r="D230" s="1023">
        <f t="shared" si="27"/>
        <v>0</v>
      </c>
      <c r="E230" s="1023">
        <f t="shared" si="27"/>
        <v>0</v>
      </c>
      <c r="F230" s="1023">
        <f t="shared" si="27"/>
        <v>0</v>
      </c>
      <c r="G230" s="1023">
        <f t="shared" si="27"/>
        <v>0</v>
      </c>
      <c r="H230" s="1024">
        <f t="shared" si="27"/>
        <v>0</v>
      </c>
      <c r="I230" s="1024">
        <f t="shared" si="27"/>
        <v>0</v>
      </c>
      <c r="J230" s="1024">
        <f t="shared" si="27"/>
        <v>0</v>
      </c>
      <c r="K230" s="1024">
        <f t="shared" si="27"/>
        <v>0</v>
      </c>
      <c r="L230" s="1024">
        <f t="shared" si="27"/>
        <v>0</v>
      </c>
      <c r="M230" s="1024">
        <f t="shared" si="27"/>
        <v>0</v>
      </c>
      <c r="N230" s="54"/>
    </row>
    <row r="231" spans="1:14" s="20" customFormat="1" ht="17.149999999999999" customHeight="1" x14ac:dyDescent="0.35">
      <c r="A231" s="168" t="s">
        <v>434</v>
      </c>
      <c r="B231" s="1056">
        <f>E179</f>
        <v>0</v>
      </c>
      <c r="C231" s="1056">
        <f>H179</f>
        <v>0</v>
      </c>
      <c r="D231" s="1056">
        <f>G179</f>
        <v>0</v>
      </c>
      <c r="E231" s="1056">
        <f>K179</f>
        <v>0</v>
      </c>
      <c r="F231" s="1056">
        <f>M179</f>
        <v>0</v>
      </c>
      <c r="G231" s="1056">
        <f>N179</f>
        <v>0</v>
      </c>
      <c r="H231" s="1056">
        <f>X179</f>
        <v>0</v>
      </c>
      <c r="I231" s="1056">
        <f>AA179</f>
        <v>0</v>
      </c>
      <c r="J231" s="1056">
        <f>Z179</f>
        <v>0</v>
      </c>
      <c r="K231" s="1056">
        <f>AD179</f>
        <v>0</v>
      </c>
      <c r="L231" s="1056">
        <f>AF179</f>
        <v>0</v>
      </c>
      <c r="M231" s="1056">
        <f>AG179</f>
        <v>0</v>
      </c>
      <c r="N231" s="54"/>
    </row>
    <row r="232" spans="1:14" s="20" customFormat="1" ht="17.149999999999999" customHeight="1" x14ac:dyDescent="0.35">
      <c r="A232" s="977" t="s">
        <v>943</v>
      </c>
      <c r="B232" s="1023">
        <f t="shared" ref="B232:M232" si="28">SUM(B233:B234)</f>
        <v>0</v>
      </c>
      <c r="C232" s="1023">
        <f t="shared" si="28"/>
        <v>0</v>
      </c>
      <c r="D232" s="1023">
        <f t="shared" si="28"/>
        <v>0</v>
      </c>
      <c r="E232" s="1023">
        <f t="shared" si="28"/>
        <v>0</v>
      </c>
      <c r="F232" s="1023">
        <f t="shared" si="28"/>
        <v>31275</v>
      </c>
      <c r="G232" s="1023">
        <f t="shared" si="28"/>
        <v>51625</v>
      </c>
      <c r="H232" s="1024">
        <f t="shared" si="28"/>
        <v>0</v>
      </c>
      <c r="I232" s="1024">
        <f t="shared" si="28"/>
        <v>0</v>
      </c>
      <c r="J232" s="1024">
        <f t="shared" si="28"/>
        <v>0</v>
      </c>
      <c r="K232" s="1024">
        <f t="shared" si="28"/>
        <v>0</v>
      </c>
      <c r="L232" s="1024">
        <f t="shared" si="28"/>
        <v>57325</v>
      </c>
      <c r="M232" s="1024">
        <f t="shared" si="28"/>
        <v>172975</v>
      </c>
      <c r="N232" s="54"/>
    </row>
    <row r="233" spans="1:14" s="20" customFormat="1" ht="17.149999999999999" customHeight="1" x14ac:dyDescent="0.35">
      <c r="A233" s="168" t="s">
        <v>821</v>
      </c>
      <c r="B233" s="1056">
        <f>E182</f>
        <v>0</v>
      </c>
      <c r="C233" s="1056">
        <f>H182</f>
        <v>0</v>
      </c>
      <c r="D233" s="1056">
        <f>G182</f>
        <v>0</v>
      </c>
      <c r="E233" s="1056">
        <f>K182</f>
        <v>0</v>
      </c>
      <c r="F233" s="1056">
        <f>M182</f>
        <v>0</v>
      </c>
      <c r="G233" s="1056">
        <f>N182</f>
        <v>0</v>
      </c>
      <c r="H233" s="1056">
        <f>X182</f>
        <v>0</v>
      </c>
      <c r="I233" s="1056">
        <f>AA182</f>
        <v>0</v>
      </c>
      <c r="J233" s="1056">
        <f>Z182</f>
        <v>0</v>
      </c>
      <c r="K233" s="1056">
        <f>AD182</f>
        <v>0</v>
      </c>
      <c r="L233" s="1056">
        <f>AF182</f>
        <v>2075</v>
      </c>
      <c r="M233" s="1056">
        <f>AG182</f>
        <v>81825</v>
      </c>
      <c r="N233" s="54"/>
    </row>
    <row r="234" spans="1:14" s="20" customFormat="1" ht="17.149999999999999" customHeight="1" x14ac:dyDescent="0.35">
      <c r="A234" s="168" t="s">
        <v>829</v>
      </c>
      <c r="B234" s="1056">
        <f>E185</f>
        <v>0</v>
      </c>
      <c r="C234" s="1056">
        <f>H185</f>
        <v>0</v>
      </c>
      <c r="D234" s="1056">
        <f>G185</f>
        <v>0</v>
      </c>
      <c r="E234" s="1056">
        <f>K185</f>
        <v>0</v>
      </c>
      <c r="F234" s="1056">
        <f>M185</f>
        <v>31275</v>
      </c>
      <c r="G234" s="1056">
        <f>N185</f>
        <v>51625</v>
      </c>
      <c r="H234" s="1056">
        <f>X185</f>
        <v>0</v>
      </c>
      <c r="I234" s="1056">
        <f>AA185</f>
        <v>0</v>
      </c>
      <c r="J234" s="1056">
        <f>Z185</f>
        <v>0</v>
      </c>
      <c r="K234" s="1056">
        <f>AD185</f>
        <v>0</v>
      </c>
      <c r="L234" s="1056">
        <f>AF185</f>
        <v>55250</v>
      </c>
      <c r="M234" s="1056">
        <f>AG185</f>
        <v>91150</v>
      </c>
      <c r="N234" s="54"/>
    </row>
    <row r="235" spans="1:14" s="20" customFormat="1" ht="17.149999999999999" customHeight="1" x14ac:dyDescent="0.35">
      <c r="A235" s="977" t="s">
        <v>927</v>
      </c>
      <c r="B235" s="1023">
        <f t="shared" ref="B235:M235" si="29">SUM(B236:B237)</f>
        <v>0</v>
      </c>
      <c r="C235" s="1023">
        <f t="shared" si="29"/>
        <v>234750</v>
      </c>
      <c r="D235" s="1023">
        <f t="shared" si="29"/>
        <v>5950</v>
      </c>
      <c r="E235" s="1023">
        <f t="shared" si="29"/>
        <v>0</v>
      </c>
      <c r="F235" s="1023">
        <f t="shared" si="29"/>
        <v>325</v>
      </c>
      <c r="G235" s="1023">
        <f t="shared" si="29"/>
        <v>12350</v>
      </c>
      <c r="H235" s="1024">
        <f t="shared" si="29"/>
        <v>0</v>
      </c>
      <c r="I235" s="1024">
        <f t="shared" si="29"/>
        <v>0</v>
      </c>
      <c r="J235" s="1024">
        <f t="shared" si="29"/>
        <v>0</v>
      </c>
      <c r="K235" s="1024">
        <f t="shared" si="29"/>
        <v>0</v>
      </c>
      <c r="L235" s="1024">
        <f t="shared" si="29"/>
        <v>12425</v>
      </c>
      <c r="M235" s="1024">
        <f t="shared" si="29"/>
        <v>491000</v>
      </c>
      <c r="N235" s="54"/>
    </row>
    <row r="236" spans="1:14" s="20" customFormat="1" ht="17.149999999999999" customHeight="1" x14ac:dyDescent="0.35">
      <c r="A236" s="168" t="s">
        <v>824</v>
      </c>
      <c r="B236" s="1056">
        <f>E199</f>
        <v>0</v>
      </c>
      <c r="C236" s="1056">
        <f>H199</f>
        <v>234750</v>
      </c>
      <c r="D236" s="1056">
        <f>G199</f>
        <v>5950</v>
      </c>
      <c r="E236" s="1056">
        <f>K199</f>
        <v>0</v>
      </c>
      <c r="F236" s="1056">
        <f>M199</f>
        <v>325</v>
      </c>
      <c r="G236" s="1056">
        <f>N199</f>
        <v>12350</v>
      </c>
      <c r="H236" s="1056">
        <f>X199</f>
        <v>0</v>
      </c>
      <c r="I236" s="1056">
        <f>AA199</f>
        <v>0</v>
      </c>
      <c r="J236" s="1056">
        <f>Z199</f>
        <v>0</v>
      </c>
      <c r="K236" s="1056">
        <f>AD199</f>
        <v>0</v>
      </c>
      <c r="L236" s="1056">
        <f>AF199</f>
        <v>12425</v>
      </c>
      <c r="M236" s="1056">
        <f>AG199</f>
        <v>491000</v>
      </c>
      <c r="N236" s="54"/>
    </row>
    <row r="237" spans="1:14" s="20" customFormat="1" ht="17.149999999999999" customHeight="1" x14ac:dyDescent="0.35">
      <c r="A237" s="168" t="s">
        <v>830</v>
      </c>
      <c r="B237" s="1056">
        <f>E203</f>
        <v>0</v>
      </c>
      <c r="C237" s="1056">
        <f>H203</f>
        <v>0</v>
      </c>
      <c r="D237" s="1056">
        <f>G203</f>
        <v>0</v>
      </c>
      <c r="E237" s="1056">
        <f>K203</f>
        <v>0</v>
      </c>
      <c r="F237" s="1056">
        <f>M203</f>
        <v>0</v>
      </c>
      <c r="G237" s="1056">
        <f>N203</f>
        <v>0</v>
      </c>
      <c r="H237" s="1056">
        <f>X203</f>
        <v>0</v>
      </c>
      <c r="I237" s="1056">
        <f>AA203</f>
        <v>0</v>
      </c>
      <c r="J237" s="1056">
        <f>Z203</f>
        <v>0</v>
      </c>
      <c r="K237" s="1056">
        <f>AD203</f>
        <v>0</v>
      </c>
      <c r="L237" s="1056">
        <f>AF203</f>
        <v>0</v>
      </c>
      <c r="M237" s="1056">
        <f>AG203</f>
        <v>0</v>
      </c>
      <c r="N237" s="54"/>
    </row>
    <row r="238" spans="1:14" s="80" customFormat="1" ht="17.149999999999999" customHeight="1" x14ac:dyDescent="0.35">
      <c r="A238" s="950" t="s">
        <v>208</v>
      </c>
      <c r="B238" s="1021">
        <f>B228+B230+B232+B235</f>
        <v>0</v>
      </c>
      <c r="C238" s="1021">
        <f t="shared" ref="C238:M238" si="30">C228+C230+C232+C235</f>
        <v>234750</v>
      </c>
      <c r="D238" s="1021">
        <f t="shared" si="30"/>
        <v>5950</v>
      </c>
      <c r="E238" s="1021">
        <f t="shared" si="30"/>
        <v>0</v>
      </c>
      <c r="F238" s="1021">
        <f t="shared" si="30"/>
        <v>31600</v>
      </c>
      <c r="G238" s="1021">
        <f t="shared" si="30"/>
        <v>315800</v>
      </c>
      <c r="H238" s="1022">
        <f t="shared" si="30"/>
        <v>0</v>
      </c>
      <c r="I238" s="1022">
        <f t="shared" si="30"/>
        <v>0</v>
      </c>
      <c r="J238" s="1022">
        <f t="shared" si="30"/>
        <v>0</v>
      </c>
      <c r="K238" s="1022">
        <f t="shared" si="30"/>
        <v>0</v>
      </c>
      <c r="L238" s="1022">
        <f t="shared" si="30"/>
        <v>69750</v>
      </c>
      <c r="M238" s="1022">
        <f t="shared" si="30"/>
        <v>2302025</v>
      </c>
      <c r="N238" s="24"/>
    </row>
    <row r="239" spans="1:14" s="20" customFormat="1" ht="17.149999999999999" customHeight="1" x14ac:dyDescent="0.35">
      <c r="B239" s="204">
        <f>E188+E207</f>
        <v>0</v>
      </c>
      <c r="C239" s="204">
        <f>H188+H207</f>
        <v>234750</v>
      </c>
      <c r="D239" s="1520">
        <f>G188+G207</f>
        <v>5950</v>
      </c>
      <c r="E239" s="1520">
        <f>K188+K207</f>
        <v>0</v>
      </c>
      <c r="F239" s="1520">
        <f>M188+M207</f>
        <v>31600</v>
      </c>
      <c r="G239" s="1520">
        <f>N188+N207</f>
        <v>63975</v>
      </c>
      <c r="H239" s="204">
        <f>X188+X207</f>
        <v>0</v>
      </c>
      <c r="I239" s="204">
        <f>AA188+AA207</f>
        <v>0</v>
      </c>
      <c r="J239" s="1520">
        <f>Z188+Z207</f>
        <v>0</v>
      </c>
      <c r="K239" s="1520">
        <f>AD188+AD207</f>
        <v>0</v>
      </c>
      <c r="L239" s="1520">
        <f>AF188+AF207</f>
        <v>69750</v>
      </c>
      <c r="M239" s="1520">
        <f>AG188+AG207</f>
        <v>663975</v>
      </c>
      <c r="N239" s="54"/>
    </row>
    <row r="240" spans="1:14" s="20" customFormat="1" ht="17.149999999999999" customHeight="1" x14ac:dyDescent="0.35">
      <c r="B240" s="401">
        <f t="shared" ref="B240:M240" si="31">B238-B239</f>
        <v>0</v>
      </c>
      <c r="C240" s="401">
        <f t="shared" si="31"/>
        <v>0</v>
      </c>
      <c r="D240" s="401">
        <f t="shared" si="31"/>
        <v>0</v>
      </c>
      <c r="E240" s="401">
        <f t="shared" si="31"/>
        <v>0</v>
      </c>
      <c r="F240" s="401">
        <f t="shared" si="31"/>
        <v>0</v>
      </c>
      <c r="G240" s="401">
        <f t="shared" si="31"/>
        <v>251825</v>
      </c>
      <c r="H240" s="401">
        <f t="shared" si="31"/>
        <v>0</v>
      </c>
      <c r="I240" s="401">
        <f t="shared" si="31"/>
        <v>0</v>
      </c>
      <c r="J240" s="401">
        <f t="shared" si="31"/>
        <v>0</v>
      </c>
      <c r="K240" s="401">
        <f t="shared" si="31"/>
        <v>0</v>
      </c>
      <c r="L240" s="401">
        <f t="shared" si="31"/>
        <v>0</v>
      </c>
      <c r="M240" s="401">
        <f t="shared" si="31"/>
        <v>1638050</v>
      </c>
      <c r="N240" s="54"/>
    </row>
    <row r="241" spans="1:14" s="3" customFormat="1" ht="17.149999999999999" customHeight="1" x14ac:dyDescent="0.35">
      <c r="A241" s="47"/>
      <c r="B241" s="184"/>
      <c r="C241" s="184"/>
      <c r="D241" s="184"/>
      <c r="E241" s="184"/>
    </row>
    <row r="242" spans="1:14" s="7" customFormat="1" ht="17.149999999999999" customHeight="1" x14ac:dyDescent="0.35">
      <c r="B242" s="200"/>
      <c r="C242" s="201"/>
      <c r="D242" s="67"/>
      <c r="E242" s="67"/>
      <c r="F242" s="67"/>
      <c r="G242" s="202"/>
      <c r="H242" s="67"/>
      <c r="I242" s="113"/>
      <c r="J242" s="113"/>
      <c r="K242" s="113"/>
      <c r="L242" s="113"/>
      <c r="M242" s="113"/>
      <c r="N242" s="54"/>
    </row>
    <row r="243" spans="1:14" s="20" customFormat="1" ht="17.149999999999999" customHeight="1" x14ac:dyDescent="0.35">
      <c r="A243" s="949" t="s">
        <v>964</v>
      </c>
      <c r="B243" s="1504" t="s">
        <v>9</v>
      </c>
      <c r="C243" s="1508" t="s">
        <v>253</v>
      </c>
      <c r="D243" s="21"/>
      <c r="E243" s="21"/>
      <c r="F243" s="21"/>
      <c r="G243" s="1504" t="s">
        <v>9</v>
      </c>
      <c r="H243" s="1508" t="s">
        <v>253</v>
      </c>
      <c r="I243" s="23"/>
      <c r="J243" s="1504" t="s">
        <v>9</v>
      </c>
      <c r="K243" s="1508" t="s">
        <v>253</v>
      </c>
      <c r="L243" s="7"/>
      <c r="M243" s="113"/>
      <c r="N243" s="54"/>
    </row>
    <row r="244" spans="1:14" s="255" customFormat="1" ht="10.5" x14ac:dyDescent="0.35">
      <c r="A244" s="237"/>
      <c r="B244" s="222"/>
      <c r="C244" s="222"/>
      <c r="D244" s="252"/>
      <c r="E244" s="252"/>
      <c r="F244" s="252"/>
      <c r="G244" s="222"/>
      <c r="H244" s="222"/>
      <c r="I244" s="253"/>
      <c r="J244" s="222"/>
      <c r="K244" s="222"/>
      <c r="M244" s="253"/>
      <c r="N244" s="254"/>
    </row>
    <row r="245" spans="1:14" s="20" customFormat="1" ht="17.149999999999999" customHeight="1" x14ac:dyDescent="0.35">
      <c r="A245" s="80"/>
      <c r="B245" s="1513" t="s">
        <v>841</v>
      </c>
      <c r="C245" s="1508" t="s">
        <v>841</v>
      </c>
      <c r="D245" s="21"/>
      <c r="E245" s="21"/>
      <c r="F245" s="21"/>
      <c r="G245" s="1513" t="s">
        <v>841</v>
      </c>
      <c r="H245" s="1508" t="s">
        <v>841</v>
      </c>
      <c r="I245" s="23"/>
      <c r="J245" s="1513" t="s">
        <v>465</v>
      </c>
      <c r="K245" s="1508" t="s">
        <v>465</v>
      </c>
      <c r="L245" s="7"/>
      <c r="M245" s="113"/>
      <c r="N245" s="54"/>
    </row>
    <row r="246" spans="1:14" s="255" customFormat="1" ht="10.5" x14ac:dyDescent="0.35">
      <c r="A246" s="237"/>
      <c r="B246" s="222"/>
      <c r="C246" s="222"/>
      <c r="D246" s="252"/>
      <c r="E246" s="252"/>
      <c r="F246" s="252"/>
      <c r="G246" s="222"/>
      <c r="H246" s="222"/>
      <c r="I246" s="253"/>
      <c r="J246" s="222"/>
      <c r="K246" s="222"/>
      <c r="M246" s="253"/>
      <c r="N246" s="254"/>
    </row>
    <row r="247" spans="1:14" s="216" customFormat="1" ht="17.149999999999999" customHeight="1" x14ac:dyDescent="0.35">
      <c r="A247" s="206" t="s">
        <v>945</v>
      </c>
      <c r="B247" s="207">
        <f>SUM(B248:B251)</f>
        <v>101525</v>
      </c>
      <c r="C247" s="207">
        <f>SUM(C248:C251)</f>
        <v>733725</v>
      </c>
      <c r="D247" s="214"/>
      <c r="E247" s="1046" t="s">
        <v>946</v>
      </c>
      <c r="F247" s="1047"/>
      <c r="G247" s="1048">
        <f>SUM(G248:G251)</f>
        <v>37550</v>
      </c>
      <c r="H247" s="1052">
        <f>SUM(H248:H251)</f>
        <v>69750</v>
      </c>
      <c r="I247" s="192"/>
      <c r="J247" s="1053">
        <f>IF(B247=0,0,G247/B247)</f>
        <v>0.36985964048263975</v>
      </c>
      <c r="K247" s="1054">
        <f>IF(C247=0,0,H247/C247)</f>
        <v>9.5062864152100579E-2</v>
      </c>
      <c r="L247" s="7"/>
      <c r="M247" s="113"/>
      <c r="N247" s="54"/>
    </row>
    <row r="248" spans="1:14" s="216" customFormat="1" ht="17.149999999999999" customHeight="1" x14ac:dyDescent="0.35">
      <c r="A248" s="135" t="s">
        <v>947</v>
      </c>
      <c r="B248" s="1523">
        <f>D228</f>
        <v>0</v>
      </c>
      <c r="C248" s="1523">
        <f>J228</f>
        <v>0</v>
      </c>
      <c r="D248" s="214"/>
      <c r="E248" s="258" t="s">
        <v>948</v>
      </c>
      <c r="F248" s="259"/>
      <c r="G248" s="260">
        <f>D228</f>
        <v>0</v>
      </c>
      <c r="H248" s="1523">
        <f>J228</f>
        <v>0</v>
      </c>
      <c r="I248" s="23"/>
      <c r="J248" s="261">
        <f>IF(J254=0,0,G248/J254)</f>
        <v>0</v>
      </c>
      <c r="K248" s="261">
        <f>IF(K254=0,0,H248/K254)</f>
        <v>0</v>
      </c>
      <c r="L248" s="7"/>
      <c r="M248" s="113"/>
      <c r="N248" s="54"/>
    </row>
    <row r="249" spans="1:14" s="92" customFormat="1" ht="17.149999999999999" customHeight="1" x14ac:dyDescent="0.35">
      <c r="A249" s="135" t="s">
        <v>949</v>
      </c>
      <c r="B249" s="1523">
        <f>D231+F231+G231</f>
        <v>0</v>
      </c>
      <c r="C249" s="1523">
        <f>J231+L231+M231</f>
        <v>0</v>
      </c>
      <c r="D249" s="213"/>
      <c r="E249" s="258" t="s">
        <v>949</v>
      </c>
      <c r="F249" s="259"/>
      <c r="G249" s="260">
        <f>G179+M179</f>
        <v>0</v>
      </c>
      <c r="H249" s="1523">
        <f>Z179+AF179</f>
        <v>0</v>
      </c>
      <c r="I249" s="23"/>
      <c r="J249" s="261">
        <f t="shared" ref="J249:K251" si="32">IF(B249=0,0,G249/B249)</f>
        <v>0</v>
      </c>
      <c r="K249" s="261">
        <f t="shared" si="32"/>
        <v>0</v>
      </c>
      <c r="L249" s="7"/>
      <c r="M249" s="113"/>
      <c r="N249" s="54"/>
    </row>
    <row r="250" spans="1:14" s="92" customFormat="1" ht="17.149999999999999" customHeight="1" x14ac:dyDescent="0.35">
      <c r="A250" s="135" t="s">
        <v>950</v>
      </c>
      <c r="B250" s="1523">
        <f>D232+F232+G232</f>
        <v>82900</v>
      </c>
      <c r="C250" s="1523">
        <f>J232+L232+M232</f>
        <v>230300</v>
      </c>
      <c r="D250" s="213"/>
      <c r="E250" s="258" t="s">
        <v>951</v>
      </c>
      <c r="F250" s="259"/>
      <c r="G250" s="260">
        <f>G182+G185+M182+M185</f>
        <v>31275</v>
      </c>
      <c r="H250" s="260">
        <f>Z182+Z185+AF182+AF185</f>
        <v>57325</v>
      </c>
      <c r="I250" s="23"/>
      <c r="J250" s="261">
        <f t="shared" si="32"/>
        <v>0.37726176115802174</v>
      </c>
      <c r="K250" s="261">
        <f t="shared" si="32"/>
        <v>0.24891445940078158</v>
      </c>
      <c r="L250" s="7"/>
      <c r="M250" s="113"/>
      <c r="N250" s="54"/>
    </row>
    <row r="251" spans="1:14" s="92" customFormat="1" ht="17.149999999999999" customHeight="1" x14ac:dyDescent="0.35">
      <c r="A251" s="135" t="s">
        <v>952</v>
      </c>
      <c r="B251" s="1523">
        <f>D235+F235+G235</f>
        <v>18625</v>
      </c>
      <c r="C251" s="1523">
        <f>J235+L235+M235</f>
        <v>503425</v>
      </c>
      <c r="D251" s="213"/>
      <c r="E251" s="258" t="s">
        <v>952</v>
      </c>
      <c r="F251" s="259"/>
      <c r="G251" s="260">
        <f>G207+M207</f>
        <v>6275</v>
      </c>
      <c r="H251" s="1523">
        <f>Z207+AF207</f>
        <v>12425</v>
      </c>
      <c r="I251" s="23"/>
      <c r="J251" s="261">
        <f t="shared" si="32"/>
        <v>0.33691275167785234</v>
      </c>
      <c r="K251" s="261">
        <f t="shared" si="32"/>
        <v>2.4680935591200277E-2</v>
      </c>
      <c r="L251" s="7"/>
      <c r="M251" s="113"/>
      <c r="N251" s="54"/>
    </row>
    <row r="252" spans="1:14" s="20" customFormat="1" ht="17.149999999999999" customHeight="1" x14ac:dyDescent="0.35">
      <c r="A252" s="11"/>
      <c r="B252" s="179"/>
      <c r="C252" s="179"/>
      <c r="D252" s="21"/>
      <c r="E252" s="1049" t="s">
        <v>208</v>
      </c>
      <c r="F252" s="1050"/>
      <c r="G252" s="1051"/>
      <c r="H252" s="1022"/>
      <c r="I252" s="23"/>
      <c r="J252" s="1053"/>
      <c r="K252" s="1054"/>
      <c r="L252" s="113"/>
      <c r="M252" s="113"/>
      <c r="N252" s="54"/>
    </row>
    <row r="253" spans="1:14" s="20" customFormat="1" ht="17.149999999999999" customHeight="1" x14ac:dyDescent="0.3">
      <c r="A253" s="206" t="s">
        <v>892</v>
      </c>
      <c r="B253" s="207">
        <f>SUM(B254)</f>
        <v>251825</v>
      </c>
      <c r="C253" s="207">
        <f>SUM(C254)</f>
        <v>1638050</v>
      </c>
      <c r="D253" s="21"/>
      <c r="E253" s="137"/>
      <c r="F253" s="137"/>
      <c r="G253" s="137"/>
      <c r="H253" s="137"/>
      <c r="I253" s="137"/>
      <c r="J253" s="137"/>
      <c r="K253" s="137"/>
      <c r="L253" s="113"/>
      <c r="M253" s="113"/>
      <c r="N253" s="54"/>
    </row>
    <row r="254" spans="1:14" s="20" customFormat="1" ht="17.149999999999999" customHeight="1" x14ac:dyDescent="0.3">
      <c r="A254" s="135" t="s">
        <v>846</v>
      </c>
      <c r="B254" s="1523">
        <f>'Capture volumes'!E263-B248</f>
        <v>251825</v>
      </c>
      <c r="C254" s="1523">
        <f>'Capture volumes'!F263-C248</f>
        <v>1638050</v>
      </c>
      <c r="D254" s="21"/>
      <c r="E254" s="137"/>
      <c r="F254" s="137"/>
      <c r="G254" s="137"/>
      <c r="H254" s="137"/>
      <c r="I254" s="137"/>
      <c r="J254" s="1523">
        <f>'Capture volumes'!E263</f>
        <v>251825</v>
      </c>
      <c r="K254" s="1523">
        <f>'Capture volumes'!F263</f>
        <v>1638050</v>
      </c>
      <c r="L254" s="23"/>
      <c r="M254" s="23"/>
      <c r="N254" s="24"/>
    </row>
    <row r="255" spans="1:14" s="20" customFormat="1" ht="17.149999999999999" customHeight="1" x14ac:dyDescent="0.3">
      <c r="A255" s="11"/>
      <c r="B255" s="179"/>
      <c r="C255" s="179"/>
      <c r="D255" s="21"/>
      <c r="E255" s="137"/>
      <c r="F255" s="137"/>
      <c r="G255" s="137"/>
      <c r="H255" s="137"/>
      <c r="I255" s="137"/>
      <c r="J255" s="137"/>
      <c r="K255" s="137"/>
      <c r="L255" s="23"/>
      <c r="M255" s="23"/>
      <c r="N255" s="24"/>
    </row>
    <row r="256" spans="1:14" s="216" customFormat="1" ht="17.149999999999999" customHeight="1" x14ac:dyDescent="0.3">
      <c r="A256" s="208" t="s">
        <v>953</v>
      </c>
      <c r="B256" s="209">
        <f>SUM(B257:B262)</f>
        <v>234750</v>
      </c>
      <c r="C256" s="209">
        <f>SUM(C257:C262)</f>
        <v>0</v>
      </c>
      <c r="D256" s="214"/>
      <c r="E256" s="137"/>
      <c r="F256" s="137"/>
      <c r="G256" s="137"/>
      <c r="H256" s="137"/>
      <c r="I256" s="137"/>
      <c r="J256" s="137"/>
      <c r="K256" s="137"/>
      <c r="L256" s="192"/>
      <c r="M256" s="192"/>
      <c r="N256" s="119"/>
    </row>
    <row r="257" spans="1:21" s="216" customFormat="1" ht="17.149999999999999" customHeight="1" x14ac:dyDescent="0.3">
      <c r="A257" s="135" t="s">
        <v>954</v>
      </c>
      <c r="B257" s="211">
        <f>B230+E230</f>
        <v>0</v>
      </c>
      <c r="C257" s="211">
        <f>H230+K230</f>
        <v>0</v>
      </c>
      <c r="D257" s="214"/>
      <c r="E257" s="137"/>
      <c r="F257" s="137"/>
      <c r="G257" s="1229"/>
      <c r="H257" s="137"/>
      <c r="I257" s="137"/>
      <c r="J257" s="137"/>
      <c r="K257" s="137"/>
      <c r="L257" s="192"/>
      <c r="M257" s="192"/>
      <c r="N257" s="119"/>
    </row>
    <row r="258" spans="1:21" s="92" customFormat="1" ht="16.5" customHeight="1" x14ac:dyDescent="0.3">
      <c r="A258" s="135" t="s">
        <v>949</v>
      </c>
      <c r="B258" s="211">
        <f>C230</f>
        <v>0</v>
      </c>
      <c r="C258" s="211">
        <f>I230</f>
        <v>0</v>
      </c>
      <c r="D258" s="213"/>
      <c r="E258" s="213"/>
      <c r="F258" s="213"/>
      <c r="G258" s="1229"/>
      <c r="H258" s="213"/>
      <c r="I258" s="23"/>
      <c r="J258" s="23"/>
      <c r="K258" s="23"/>
      <c r="L258" s="23"/>
      <c r="M258" s="23"/>
      <c r="N258" s="24"/>
    </row>
    <row r="259" spans="1:21" s="92" customFormat="1" ht="16.5" customHeight="1" x14ac:dyDescent="0.3">
      <c r="A259" s="135" t="s">
        <v>956</v>
      </c>
      <c r="B259" s="211">
        <f>B232+E232</f>
        <v>0</v>
      </c>
      <c r="C259" s="211">
        <f>H232+K232</f>
        <v>0</v>
      </c>
      <c r="D259" s="213"/>
      <c r="E259" s="213"/>
      <c r="F259" s="213"/>
      <c r="G259" s="1229"/>
      <c r="H259" s="213"/>
      <c r="I259" s="23"/>
      <c r="J259" s="23"/>
      <c r="K259" s="23"/>
      <c r="L259" s="23"/>
      <c r="M259" s="23"/>
      <c r="N259" s="24"/>
    </row>
    <row r="260" spans="1:21" s="92" customFormat="1" ht="16.5" customHeight="1" x14ac:dyDescent="0.35">
      <c r="A260" s="135" t="s">
        <v>951</v>
      </c>
      <c r="B260" s="211">
        <f>C232</f>
        <v>0</v>
      </c>
      <c r="C260" s="211">
        <f>I232</f>
        <v>0</v>
      </c>
      <c r="D260" s="213"/>
      <c r="E260" s="213"/>
      <c r="F260" s="213"/>
      <c r="G260" s="22"/>
      <c r="H260" s="213"/>
      <c r="I260" s="23"/>
      <c r="J260" s="23"/>
      <c r="K260" s="23"/>
      <c r="L260" s="23"/>
      <c r="M260" s="23"/>
      <c r="N260" s="24"/>
    </row>
    <row r="261" spans="1:21" s="92" customFormat="1" ht="16.5" customHeight="1" x14ac:dyDescent="0.35">
      <c r="A261" s="135" t="s">
        <v>958</v>
      </c>
      <c r="B261" s="211">
        <f>B235+E235</f>
        <v>0</v>
      </c>
      <c r="C261" s="211">
        <f>H235+K235</f>
        <v>0</v>
      </c>
      <c r="D261" s="213"/>
      <c r="E261" s="213"/>
      <c r="F261" s="213"/>
      <c r="G261" s="22"/>
      <c r="H261" s="213"/>
      <c r="I261" s="23"/>
      <c r="J261" s="23"/>
      <c r="K261" s="23"/>
      <c r="L261" s="23"/>
      <c r="M261" s="23"/>
      <c r="N261" s="24"/>
    </row>
    <row r="262" spans="1:21" s="92" customFormat="1" ht="17.149999999999999" customHeight="1" x14ac:dyDescent="0.35">
      <c r="A262" s="135" t="s">
        <v>952</v>
      </c>
      <c r="B262" s="211">
        <f>C235</f>
        <v>234750</v>
      </c>
      <c r="C262" s="211">
        <f>I235</f>
        <v>0</v>
      </c>
      <c r="D262" s="213"/>
      <c r="E262" s="213"/>
      <c r="F262" s="213"/>
      <c r="G262" s="22"/>
      <c r="H262" s="213"/>
      <c r="I262" s="23"/>
      <c r="J262" s="23"/>
      <c r="K262" s="23"/>
      <c r="L262" s="23"/>
      <c r="M262" s="23"/>
      <c r="N262" s="24"/>
    </row>
    <row r="263" spans="1:21" s="20" customFormat="1" ht="17.149999999999999" customHeight="1" x14ac:dyDescent="0.35">
      <c r="A263" s="11"/>
      <c r="B263" s="179"/>
      <c r="C263" s="179"/>
      <c r="D263" s="21"/>
      <c r="E263" s="21"/>
      <c r="F263" s="21"/>
      <c r="G263" s="22"/>
      <c r="H263" s="21"/>
      <c r="I263" s="23"/>
      <c r="J263" s="23"/>
      <c r="K263" s="23"/>
      <c r="L263" s="23"/>
      <c r="M263" s="23"/>
      <c r="N263" s="24"/>
    </row>
    <row r="264" spans="1:21" s="216" customFormat="1" ht="17.149999999999999" customHeight="1" x14ac:dyDescent="0.35">
      <c r="A264" s="212" t="s">
        <v>960</v>
      </c>
      <c r="B264" s="28">
        <f>B247+B253+B256</f>
        <v>588100</v>
      </c>
      <c r="C264" s="28">
        <f>C247+C253+C256</f>
        <v>2371775</v>
      </c>
      <c r="D264" s="214"/>
      <c r="E264" s="214"/>
      <c r="F264" s="214"/>
      <c r="G264" s="215"/>
      <c r="H264" s="214"/>
      <c r="I264" s="192"/>
      <c r="J264" s="192"/>
      <c r="K264" s="192"/>
      <c r="L264" s="192"/>
      <c r="M264" s="192"/>
      <c r="N264" s="119"/>
    </row>
    <row r="265" spans="1:21" s="216" customFormat="1" ht="17.149999999999999" customHeight="1" x14ac:dyDescent="0.35">
      <c r="A265" s="194"/>
      <c r="B265" s="205">
        <f>'Capture volumes'!E262</f>
        <v>588100</v>
      </c>
      <c r="C265" s="205">
        <f>'Capture volumes'!F262</f>
        <v>2371775</v>
      </c>
      <c r="D265" s="214"/>
      <c r="E265" s="214"/>
      <c r="F265" s="214"/>
      <c r="G265" s="215"/>
      <c r="H265" s="214"/>
      <c r="I265" s="192"/>
      <c r="J265" s="192"/>
      <c r="K265" s="192"/>
      <c r="L265" s="192"/>
      <c r="M265" s="192"/>
      <c r="N265" s="119"/>
    </row>
    <row r="266" spans="1:21" s="20" customFormat="1" ht="17.149999999999999" customHeight="1" x14ac:dyDescent="0.35">
      <c r="A266" s="11"/>
      <c r="B266" s="1519" t="str">
        <f>IF(B264=B265,"OK","Not OK")</f>
        <v>OK</v>
      </c>
      <c r="C266" s="1519" t="str">
        <f>IF(C264=C265,"OK","Not OK")</f>
        <v>OK</v>
      </c>
      <c r="D266" s="21"/>
      <c r="E266" s="21"/>
      <c r="F266" s="21"/>
      <c r="G266" s="22"/>
      <c r="H266" s="21"/>
      <c r="I266" s="23"/>
      <c r="J266" s="23"/>
      <c r="K266" s="23"/>
      <c r="L266" s="23"/>
      <c r="M266" s="23"/>
      <c r="N266" s="24"/>
    </row>
    <row r="267" spans="1:21" s="20" customFormat="1" ht="17.149999999999999" customHeight="1" x14ac:dyDescent="0.35">
      <c r="B267" s="30"/>
      <c r="C267" s="30"/>
      <c r="D267" s="30"/>
      <c r="E267" s="31"/>
      <c r="F267" s="21"/>
      <c r="G267" s="21"/>
      <c r="H267" s="21"/>
      <c r="I267" s="22"/>
      <c r="J267" s="22"/>
      <c r="K267" s="21"/>
      <c r="L267" s="23"/>
      <c r="M267" s="23"/>
      <c r="N267" s="23"/>
      <c r="O267" s="23"/>
      <c r="P267" s="23"/>
      <c r="Q267" s="23"/>
      <c r="R267" s="23"/>
      <c r="S267" s="23"/>
      <c r="T267" s="23"/>
      <c r="U267" s="24"/>
    </row>
    <row r="268" spans="1:21" ht="17.149999999999999" customHeight="1" x14ac:dyDescent="0.35">
      <c r="C268" s="392"/>
    </row>
    <row r="269" spans="1:21" ht="17.149999999999999" customHeight="1" x14ac:dyDescent="0.35">
      <c r="A269" s="13" t="s">
        <v>965</v>
      </c>
      <c r="C269" s="392"/>
    </row>
    <row r="271" spans="1:21" s="194" customFormat="1" ht="17.149999999999999" customHeight="1" x14ac:dyDescent="0.35">
      <c r="A271" s="1055" t="s">
        <v>937</v>
      </c>
      <c r="B271" s="1790" t="s">
        <v>9</v>
      </c>
      <c r="C271" s="1790"/>
      <c r="D271" s="1790"/>
      <c r="E271" s="1790"/>
      <c r="F271" s="1790"/>
      <c r="G271" s="1790"/>
      <c r="H271" s="1791" t="s">
        <v>253</v>
      </c>
      <c r="I271" s="1791"/>
      <c r="J271" s="1791"/>
      <c r="K271" s="1791"/>
      <c r="L271" s="1791"/>
      <c r="M271" s="1791"/>
      <c r="N271" s="119"/>
    </row>
    <row r="272" spans="1:21" s="120" customFormat="1" ht="17.149999999999999" customHeight="1" x14ac:dyDescent="0.35">
      <c r="A272" s="404"/>
      <c r="B272" s="405"/>
      <c r="C272" s="405"/>
      <c r="D272" s="405"/>
      <c r="E272" s="405"/>
      <c r="F272" s="405"/>
      <c r="G272" s="405"/>
      <c r="H272" s="405"/>
      <c r="I272" s="405"/>
      <c r="J272" s="405"/>
      <c r="K272" s="405"/>
      <c r="L272" s="405"/>
      <c r="M272" s="405"/>
      <c r="N272" s="406"/>
    </row>
    <row r="273" spans="1:14" s="20" customFormat="1" ht="17.149999999999999" customHeight="1" x14ac:dyDescent="0.35">
      <c r="A273" s="403"/>
      <c r="B273" s="1792" t="s">
        <v>938</v>
      </c>
      <c r="C273" s="1792"/>
      <c r="D273" s="1792"/>
      <c r="E273" s="1792" t="s">
        <v>939</v>
      </c>
      <c r="F273" s="1792"/>
      <c r="G273" s="1792"/>
      <c r="H273" s="1793" t="s">
        <v>938</v>
      </c>
      <c r="I273" s="1793"/>
      <c r="J273" s="1793"/>
      <c r="K273" s="1793" t="s">
        <v>939</v>
      </c>
      <c r="L273" s="1793"/>
      <c r="M273" s="1793"/>
      <c r="N273" s="54"/>
    </row>
    <row r="274" spans="1:14" s="20" customFormat="1" ht="43.5" x14ac:dyDescent="0.35">
      <c r="A274" s="355"/>
      <c r="B274" s="1511" t="s">
        <v>905</v>
      </c>
      <c r="C274" s="1511" t="s">
        <v>914</v>
      </c>
      <c r="D274" s="1511" t="s">
        <v>902</v>
      </c>
      <c r="E274" s="1511" t="s">
        <v>905</v>
      </c>
      <c r="F274" s="1511" t="s">
        <v>902</v>
      </c>
      <c r="G274" s="1511" t="s">
        <v>940</v>
      </c>
      <c r="H274" s="1033" t="s">
        <v>905</v>
      </c>
      <c r="I274" s="1033" t="s">
        <v>914</v>
      </c>
      <c r="J274" s="1033" t="s">
        <v>902</v>
      </c>
      <c r="K274" s="1033" t="s">
        <v>905</v>
      </c>
      <c r="L274" s="1033" t="s">
        <v>902</v>
      </c>
      <c r="M274" s="1033" t="s">
        <v>940</v>
      </c>
      <c r="N274" s="54"/>
    </row>
    <row r="275" spans="1:14" s="255" customFormat="1" ht="10.5" x14ac:dyDescent="0.35">
      <c r="A275" s="402"/>
      <c r="B275" s="387"/>
      <c r="C275" s="387"/>
      <c r="D275" s="386"/>
      <c r="E275" s="387"/>
      <c r="F275" s="386"/>
      <c r="G275" s="386"/>
      <c r="H275" s="387"/>
      <c r="I275" s="387"/>
      <c r="J275" s="386"/>
      <c r="K275" s="387"/>
      <c r="L275" s="386"/>
      <c r="M275" s="386"/>
      <c r="N275" s="254"/>
    </row>
    <row r="276" spans="1:14" s="20" customFormat="1" ht="17.149999999999999" customHeight="1" x14ac:dyDescent="0.35">
      <c r="A276" s="977" t="s">
        <v>942</v>
      </c>
      <c r="B276" s="1023">
        <f t="shared" ref="B276:M276" si="33">B277</f>
        <v>0</v>
      </c>
      <c r="C276" s="1023">
        <f t="shared" si="33"/>
        <v>0</v>
      </c>
      <c r="D276" s="1023">
        <f t="shared" si="33"/>
        <v>0</v>
      </c>
      <c r="E276" s="1023">
        <f t="shared" si="33"/>
        <v>0</v>
      </c>
      <c r="F276" s="1023">
        <f t="shared" si="33"/>
        <v>0</v>
      </c>
      <c r="G276" s="1023">
        <f t="shared" si="33"/>
        <v>0</v>
      </c>
      <c r="H276" s="1024">
        <f t="shared" si="33"/>
        <v>0</v>
      </c>
      <c r="I276" s="1024">
        <f t="shared" si="33"/>
        <v>0</v>
      </c>
      <c r="J276" s="1024">
        <f t="shared" si="33"/>
        <v>0</v>
      </c>
      <c r="K276" s="1024">
        <f t="shared" si="33"/>
        <v>0</v>
      </c>
      <c r="L276" s="1024">
        <f t="shared" si="33"/>
        <v>0</v>
      </c>
      <c r="M276" s="1024">
        <f t="shared" si="33"/>
        <v>0</v>
      </c>
      <c r="N276" s="54"/>
    </row>
    <row r="277" spans="1:14" s="20" customFormat="1" ht="17.149999999999999" customHeight="1" x14ac:dyDescent="0.35">
      <c r="A277" s="168" t="s">
        <v>434</v>
      </c>
      <c r="B277" s="1056">
        <f t="shared" ref="B277:M277" si="34">B120+B231</f>
        <v>0</v>
      </c>
      <c r="C277" s="1056">
        <f t="shared" si="34"/>
        <v>0</v>
      </c>
      <c r="D277" s="1056">
        <f t="shared" si="34"/>
        <v>0</v>
      </c>
      <c r="E277" s="1056">
        <f t="shared" si="34"/>
        <v>0</v>
      </c>
      <c r="F277" s="1056">
        <f t="shared" si="34"/>
        <v>0</v>
      </c>
      <c r="G277" s="1056">
        <f t="shared" si="34"/>
        <v>0</v>
      </c>
      <c r="H277" s="1056">
        <f t="shared" si="34"/>
        <v>0</v>
      </c>
      <c r="I277" s="1056">
        <f t="shared" si="34"/>
        <v>0</v>
      </c>
      <c r="J277" s="1056">
        <f t="shared" si="34"/>
        <v>0</v>
      </c>
      <c r="K277" s="1056">
        <f t="shared" si="34"/>
        <v>0</v>
      </c>
      <c r="L277" s="1056">
        <f t="shared" si="34"/>
        <v>0</v>
      </c>
      <c r="M277" s="1056">
        <f t="shared" si="34"/>
        <v>0</v>
      </c>
      <c r="N277" s="54"/>
    </row>
    <row r="278" spans="1:14" s="20" customFormat="1" ht="17.149999999999999" customHeight="1" x14ac:dyDescent="0.35">
      <c r="A278" s="977" t="s">
        <v>943</v>
      </c>
      <c r="B278" s="1023">
        <f t="shared" ref="B278:M278" si="35">SUM(B279:B280)</f>
        <v>0</v>
      </c>
      <c r="C278" s="1023">
        <f t="shared" si="35"/>
        <v>1021375</v>
      </c>
      <c r="D278" s="1023">
        <f t="shared" si="35"/>
        <v>9350</v>
      </c>
      <c r="E278" s="1023">
        <f t="shared" si="35"/>
        <v>0</v>
      </c>
      <c r="F278" s="1023">
        <f t="shared" si="35"/>
        <v>89225</v>
      </c>
      <c r="G278" s="1023">
        <f t="shared" si="35"/>
        <v>6158000</v>
      </c>
      <c r="H278" s="1024">
        <f t="shared" si="35"/>
        <v>0</v>
      </c>
      <c r="I278" s="1024">
        <f t="shared" si="35"/>
        <v>0</v>
      </c>
      <c r="J278" s="1024">
        <f t="shared" si="35"/>
        <v>0</v>
      </c>
      <c r="K278" s="1024">
        <f t="shared" si="35"/>
        <v>0</v>
      </c>
      <c r="L278" s="1024">
        <f t="shared" si="35"/>
        <v>98250</v>
      </c>
      <c r="M278" s="1024">
        <f t="shared" si="35"/>
        <v>5214325</v>
      </c>
      <c r="N278" s="54"/>
    </row>
    <row r="279" spans="1:14" s="20" customFormat="1" ht="17.149999999999999" customHeight="1" x14ac:dyDescent="0.35">
      <c r="A279" s="168" t="s">
        <v>821</v>
      </c>
      <c r="B279" s="1056">
        <f t="shared" ref="B279:M279" si="36">B122+B233</f>
        <v>0</v>
      </c>
      <c r="C279" s="1056">
        <f t="shared" si="36"/>
        <v>1021375</v>
      </c>
      <c r="D279" s="1056">
        <f t="shared" si="36"/>
        <v>9350</v>
      </c>
      <c r="E279" s="1056">
        <f t="shared" si="36"/>
        <v>0</v>
      </c>
      <c r="F279" s="1056">
        <f t="shared" si="36"/>
        <v>53000</v>
      </c>
      <c r="G279" s="1056">
        <f t="shared" si="36"/>
        <v>5787725</v>
      </c>
      <c r="H279" s="1056">
        <f t="shared" si="36"/>
        <v>0</v>
      </c>
      <c r="I279" s="1056">
        <f t="shared" si="36"/>
        <v>0</v>
      </c>
      <c r="J279" s="1056">
        <f t="shared" si="36"/>
        <v>0</v>
      </c>
      <c r="K279" s="1056">
        <f t="shared" si="36"/>
        <v>0</v>
      </c>
      <c r="L279" s="1056">
        <f t="shared" si="36"/>
        <v>43000</v>
      </c>
      <c r="M279" s="1056">
        <f t="shared" si="36"/>
        <v>5123175</v>
      </c>
      <c r="N279" s="54"/>
    </row>
    <row r="280" spans="1:14" s="20" customFormat="1" ht="17.149999999999999" customHeight="1" x14ac:dyDescent="0.35">
      <c r="A280" s="168" t="s">
        <v>829</v>
      </c>
      <c r="B280" s="1056">
        <f t="shared" ref="B280:M280" si="37">B123+B234</f>
        <v>0</v>
      </c>
      <c r="C280" s="1056">
        <f t="shared" si="37"/>
        <v>0</v>
      </c>
      <c r="D280" s="1056">
        <f t="shared" si="37"/>
        <v>0</v>
      </c>
      <c r="E280" s="1056">
        <f t="shared" si="37"/>
        <v>0</v>
      </c>
      <c r="F280" s="1056">
        <f t="shared" si="37"/>
        <v>36225</v>
      </c>
      <c r="G280" s="1056">
        <f t="shared" si="37"/>
        <v>370275</v>
      </c>
      <c r="H280" s="1056">
        <f t="shared" si="37"/>
        <v>0</v>
      </c>
      <c r="I280" s="1056">
        <f t="shared" si="37"/>
        <v>0</v>
      </c>
      <c r="J280" s="1056">
        <f t="shared" si="37"/>
        <v>0</v>
      </c>
      <c r="K280" s="1056">
        <f t="shared" si="37"/>
        <v>0</v>
      </c>
      <c r="L280" s="1056">
        <f t="shared" si="37"/>
        <v>55250</v>
      </c>
      <c r="M280" s="1056">
        <f t="shared" si="37"/>
        <v>91150</v>
      </c>
      <c r="N280" s="54"/>
    </row>
    <row r="281" spans="1:14" s="20" customFormat="1" ht="17.149999999999999" customHeight="1" x14ac:dyDescent="0.35">
      <c r="A281" s="977" t="s">
        <v>927</v>
      </c>
      <c r="B281" s="1023">
        <f t="shared" ref="B281:M281" si="38">SUM(B282:B283)</f>
        <v>45700</v>
      </c>
      <c r="C281" s="1023">
        <f t="shared" si="38"/>
        <v>1081550</v>
      </c>
      <c r="D281" s="1023">
        <f t="shared" si="38"/>
        <v>27400</v>
      </c>
      <c r="E281" s="1023">
        <f t="shared" si="38"/>
        <v>45700</v>
      </c>
      <c r="F281" s="1023">
        <f t="shared" si="38"/>
        <v>21775</v>
      </c>
      <c r="G281" s="1023">
        <f t="shared" si="38"/>
        <v>859125</v>
      </c>
      <c r="H281" s="1024">
        <f t="shared" si="38"/>
        <v>0</v>
      </c>
      <c r="I281" s="1024">
        <f t="shared" si="38"/>
        <v>0</v>
      </c>
      <c r="J281" s="1024">
        <f t="shared" si="38"/>
        <v>0</v>
      </c>
      <c r="K281" s="1024">
        <f t="shared" si="38"/>
        <v>0</v>
      </c>
      <c r="L281" s="1024">
        <f t="shared" si="38"/>
        <v>53350</v>
      </c>
      <c r="M281" s="1024">
        <f t="shared" si="38"/>
        <v>2107350</v>
      </c>
      <c r="N281" s="54"/>
    </row>
    <row r="282" spans="1:14" s="20" customFormat="1" ht="17.149999999999999" customHeight="1" x14ac:dyDescent="0.35">
      <c r="A282" s="168" t="s">
        <v>824</v>
      </c>
      <c r="B282" s="1056">
        <f t="shared" ref="B282:M282" si="39">B125+B236</f>
        <v>45700</v>
      </c>
      <c r="C282" s="1056">
        <f t="shared" si="39"/>
        <v>1081550</v>
      </c>
      <c r="D282" s="1056">
        <f t="shared" si="39"/>
        <v>27400</v>
      </c>
      <c r="E282" s="1056">
        <f t="shared" si="39"/>
        <v>45700</v>
      </c>
      <c r="F282" s="1056">
        <f t="shared" si="39"/>
        <v>21775</v>
      </c>
      <c r="G282" s="1056">
        <f t="shared" si="39"/>
        <v>859125</v>
      </c>
      <c r="H282" s="1056">
        <f t="shared" si="39"/>
        <v>0</v>
      </c>
      <c r="I282" s="1056">
        <f t="shared" si="39"/>
        <v>0</v>
      </c>
      <c r="J282" s="1056">
        <f t="shared" si="39"/>
        <v>0</v>
      </c>
      <c r="K282" s="1056">
        <f t="shared" si="39"/>
        <v>0</v>
      </c>
      <c r="L282" s="1056">
        <f t="shared" si="39"/>
        <v>53350</v>
      </c>
      <c r="M282" s="1056">
        <f t="shared" si="39"/>
        <v>2107350</v>
      </c>
      <c r="N282" s="54"/>
    </row>
    <row r="283" spans="1:14" s="20" customFormat="1" ht="17.149999999999999" customHeight="1" x14ac:dyDescent="0.35">
      <c r="A283" s="168" t="s">
        <v>830</v>
      </c>
      <c r="B283" s="1056">
        <f t="shared" ref="B283:M283" si="40">B126+B237</f>
        <v>0</v>
      </c>
      <c r="C283" s="1056">
        <f t="shared" si="40"/>
        <v>0</v>
      </c>
      <c r="D283" s="1056">
        <f t="shared" si="40"/>
        <v>0</v>
      </c>
      <c r="E283" s="1056">
        <f t="shared" si="40"/>
        <v>0</v>
      </c>
      <c r="F283" s="1056">
        <f t="shared" si="40"/>
        <v>0</v>
      </c>
      <c r="G283" s="1056">
        <f t="shared" si="40"/>
        <v>0</v>
      </c>
      <c r="H283" s="1056">
        <f t="shared" si="40"/>
        <v>0</v>
      </c>
      <c r="I283" s="1056">
        <f t="shared" si="40"/>
        <v>0</v>
      </c>
      <c r="J283" s="1056">
        <f t="shared" si="40"/>
        <v>0</v>
      </c>
      <c r="K283" s="1056">
        <f t="shared" si="40"/>
        <v>0</v>
      </c>
      <c r="L283" s="1056">
        <f t="shared" si="40"/>
        <v>0</v>
      </c>
      <c r="M283" s="1056">
        <f t="shared" si="40"/>
        <v>0</v>
      </c>
      <c r="N283" s="54"/>
    </row>
    <row r="284" spans="1:14" s="80" customFormat="1" ht="17.149999999999999" customHeight="1" x14ac:dyDescent="0.35">
      <c r="A284" s="950" t="s">
        <v>208</v>
      </c>
      <c r="B284" s="1021">
        <f>B276+B278+B281</f>
        <v>45700</v>
      </c>
      <c r="C284" s="1021">
        <f t="shared" ref="C284:M284" si="41">C276+C278+C281</f>
        <v>2102925</v>
      </c>
      <c r="D284" s="1021">
        <f t="shared" si="41"/>
        <v>36750</v>
      </c>
      <c r="E284" s="1021">
        <f t="shared" si="41"/>
        <v>45700</v>
      </c>
      <c r="F284" s="1021">
        <f t="shared" si="41"/>
        <v>111000</v>
      </c>
      <c r="G284" s="1021">
        <f t="shared" si="41"/>
        <v>7017125</v>
      </c>
      <c r="H284" s="1022">
        <f t="shared" si="41"/>
        <v>0</v>
      </c>
      <c r="I284" s="1022">
        <f t="shared" si="41"/>
        <v>0</v>
      </c>
      <c r="J284" s="1022">
        <f t="shared" si="41"/>
        <v>0</v>
      </c>
      <c r="K284" s="1022">
        <f t="shared" si="41"/>
        <v>0</v>
      </c>
      <c r="L284" s="1022">
        <f t="shared" si="41"/>
        <v>151600</v>
      </c>
      <c r="M284" s="1022">
        <f t="shared" si="41"/>
        <v>7321675</v>
      </c>
      <c r="N284" s="24"/>
    </row>
    <row r="288" spans="1:14" ht="17.149999999999999" customHeight="1" x14ac:dyDescent="0.35">
      <c r="A288" s="949" t="s">
        <v>966</v>
      </c>
      <c r="B288" s="1057" t="s">
        <v>877</v>
      </c>
      <c r="C288" s="1502" t="s">
        <v>877</v>
      </c>
    </row>
    <row r="289" spans="1:5" ht="17.149999999999999" customHeight="1" x14ac:dyDescent="0.35">
      <c r="A289" s="977" t="s">
        <v>433</v>
      </c>
      <c r="B289" s="1023">
        <f>SUM(B290:B293)</f>
        <v>25531850</v>
      </c>
      <c r="C289" s="1024">
        <f>SUM(C290:C293)</f>
        <v>110158300</v>
      </c>
    </row>
    <row r="290" spans="1:5" ht="17.149999999999999" customHeight="1" x14ac:dyDescent="0.35">
      <c r="A290" s="155" t="s">
        <v>228</v>
      </c>
      <c r="B290" s="1020">
        <f>'Capture volumes'!B340</f>
        <v>24956425</v>
      </c>
      <c r="C290" s="1020">
        <f>'Capture volumes'!C340</f>
        <v>108520250</v>
      </c>
    </row>
    <row r="291" spans="1:5" ht="17.149999999999999" customHeight="1" x14ac:dyDescent="0.35">
      <c r="A291" s="155" t="s">
        <v>878</v>
      </c>
      <c r="B291" s="1020">
        <f>'Capture volumes'!B341</f>
        <v>168925</v>
      </c>
      <c r="C291" s="1020">
        <f>'Capture volumes'!C341</f>
        <v>1491650</v>
      </c>
    </row>
    <row r="292" spans="1:5" ht="17.149999999999999" customHeight="1" x14ac:dyDescent="0.35">
      <c r="A292" s="929" t="s">
        <v>881</v>
      </c>
      <c r="B292" s="1020">
        <f>'Capture volumes'!B342</f>
        <v>323600</v>
      </c>
      <c r="C292" s="1020">
        <f>'Capture volumes'!C342</f>
        <v>0</v>
      </c>
    </row>
    <row r="293" spans="1:5" ht="17.149999999999999" customHeight="1" x14ac:dyDescent="0.35">
      <c r="A293" s="929" t="s">
        <v>882</v>
      </c>
      <c r="B293" s="1020">
        <f>'Capture volumes'!B343</f>
        <v>82900</v>
      </c>
      <c r="C293" s="1020">
        <f>'Capture volumes'!C343</f>
        <v>146400</v>
      </c>
    </row>
    <row r="294" spans="1:5" ht="17.149999999999999" customHeight="1" x14ac:dyDescent="0.35">
      <c r="A294" s="977" t="s">
        <v>434</v>
      </c>
      <c r="B294" s="1023">
        <f>SUM(B295:B296)</f>
        <v>0</v>
      </c>
      <c r="C294" s="1024">
        <f>SUM(C295:C296)</f>
        <v>0</v>
      </c>
    </row>
    <row r="295" spans="1:5" ht="17.149999999999999" customHeight="1" x14ac:dyDescent="0.35">
      <c r="A295" s="155" t="s">
        <v>228</v>
      </c>
      <c r="B295" s="1020">
        <f>G119</f>
        <v>0</v>
      </c>
      <c r="C295" s="1020">
        <f>'Capture volumes'!C345</f>
        <v>0</v>
      </c>
    </row>
    <row r="296" spans="1:5" ht="17.149999999999999" customHeight="1" x14ac:dyDescent="0.35">
      <c r="A296" s="155" t="s">
        <v>878</v>
      </c>
      <c r="B296" s="1020">
        <f>G230</f>
        <v>0</v>
      </c>
      <c r="C296" s="1020">
        <f>'Capture volumes'!C346</f>
        <v>0</v>
      </c>
    </row>
    <row r="297" spans="1:5" ht="17.149999999999999" customHeight="1" x14ac:dyDescent="0.35">
      <c r="A297" s="977" t="s">
        <v>821</v>
      </c>
      <c r="B297" s="1023">
        <f>SUM(B298:B299)</f>
        <v>5787725</v>
      </c>
      <c r="C297" s="1024">
        <f>SUM(C298:C299)</f>
        <v>0</v>
      </c>
    </row>
    <row r="298" spans="1:5" ht="17.149999999999999" customHeight="1" x14ac:dyDescent="0.35">
      <c r="A298" s="155" t="s">
        <v>228</v>
      </c>
      <c r="B298" s="1020">
        <f>G122</f>
        <v>5787725</v>
      </c>
      <c r="C298" s="1020">
        <f>C268</f>
        <v>0</v>
      </c>
      <c r="E298" s="1165"/>
    </row>
    <row r="299" spans="1:5" ht="17.149999999999999" customHeight="1" x14ac:dyDescent="0.35">
      <c r="A299" s="155" t="s">
        <v>878</v>
      </c>
      <c r="B299" s="1020">
        <f>G233</f>
        <v>0</v>
      </c>
      <c r="C299" s="1020">
        <f>C280</f>
        <v>0</v>
      </c>
      <c r="E299" s="1165"/>
    </row>
    <row r="300" spans="1:5" ht="17.149999999999999" customHeight="1" x14ac:dyDescent="0.35">
      <c r="A300" s="977" t="s">
        <v>861</v>
      </c>
      <c r="B300" s="1023">
        <f>SUM(B301:B302)</f>
        <v>370275</v>
      </c>
      <c r="C300" s="1024">
        <f>SUM(C301:C302)</f>
        <v>1081550</v>
      </c>
    </row>
    <row r="301" spans="1:5" ht="17.149999999999999" customHeight="1" x14ac:dyDescent="0.35">
      <c r="A301" s="155" t="s">
        <v>881</v>
      </c>
      <c r="B301" s="1020">
        <f>G123</f>
        <v>318650</v>
      </c>
      <c r="C301" s="1020">
        <f>C271</f>
        <v>0</v>
      </c>
    </row>
    <row r="302" spans="1:5" ht="17.149999999999999" customHeight="1" x14ac:dyDescent="0.35">
      <c r="A302" s="155" t="s">
        <v>882</v>
      </c>
      <c r="B302" s="1020">
        <f>G234</f>
        <v>51625</v>
      </c>
      <c r="C302" s="1020">
        <f>C282</f>
        <v>1081550</v>
      </c>
    </row>
    <row r="303" spans="1:5" ht="17.149999999999999" customHeight="1" x14ac:dyDescent="0.35">
      <c r="A303" s="949" t="s">
        <v>883</v>
      </c>
      <c r="B303" s="1058">
        <f>B289+B294+B297+B300</f>
        <v>31689850</v>
      </c>
      <c r="C303" s="1059">
        <f>C289+C294+C297+C300</f>
        <v>111239850</v>
      </c>
    </row>
    <row r="305" spans="2:3" ht="17.149999999999999" customHeight="1" x14ac:dyDescent="0.35">
      <c r="B305" s="1500">
        <f>B10+B16</f>
        <v>32696725</v>
      </c>
      <c r="C305" s="1500">
        <f>C10+C16</f>
        <v>117631575</v>
      </c>
    </row>
    <row r="307" spans="2:3" ht="17.149999999999999" customHeight="1" x14ac:dyDescent="0.35">
      <c r="B307" s="1500">
        <f>B305-B303</f>
        <v>1006875</v>
      </c>
      <c r="C307" s="1500">
        <f>C305-C303</f>
        <v>6391725</v>
      </c>
    </row>
  </sheetData>
  <sheetProtection password="C8C1" sheet="1" objects="1" scenarios="1" selectLockedCells="1"/>
  <mergeCells count="78">
    <mergeCell ref="I63:N63"/>
    <mergeCell ref="AB43:AG43"/>
    <mergeCell ref="AB63:AG63"/>
    <mergeCell ref="U41:AG41"/>
    <mergeCell ref="P43:R43"/>
    <mergeCell ref="AI196:AK196"/>
    <mergeCell ref="AI43:AK43"/>
    <mergeCell ref="AI63:AK63"/>
    <mergeCell ref="C63:H63"/>
    <mergeCell ref="U63:AA63"/>
    <mergeCell ref="U174:AG174"/>
    <mergeCell ref="C176:H176"/>
    <mergeCell ref="I176:N176"/>
    <mergeCell ref="U176:AA176"/>
    <mergeCell ref="AB176:AG176"/>
    <mergeCell ref="P63:R63"/>
    <mergeCell ref="B174:N174"/>
    <mergeCell ref="P174:R174"/>
    <mergeCell ref="B61:N61"/>
    <mergeCell ref="C43:H43"/>
    <mergeCell ref="I43:N43"/>
    <mergeCell ref="B194:N194"/>
    <mergeCell ref="U194:AG194"/>
    <mergeCell ref="C196:H196"/>
    <mergeCell ref="I196:N196"/>
    <mergeCell ref="U196:AA196"/>
    <mergeCell ref="AB196:AG196"/>
    <mergeCell ref="P196:R196"/>
    <mergeCell ref="AI41:AK41"/>
    <mergeCell ref="AI61:AK61"/>
    <mergeCell ref="P61:R61"/>
    <mergeCell ref="B41:N41"/>
    <mergeCell ref="P41:R41"/>
    <mergeCell ref="U61:AG61"/>
    <mergeCell ref="U43:AA43"/>
    <mergeCell ref="AI174:AK174"/>
    <mergeCell ref="P176:R176"/>
    <mergeCell ref="AI176:AK176"/>
    <mergeCell ref="P194:R194"/>
    <mergeCell ref="AI194:AK194"/>
    <mergeCell ref="B114:D114"/>
    <mergeCell ref="E114:G114"/>
    <mergeCell ref="B112:G112"/>
    <mergeCell ref="H112:M112"/>
    <mergeCell ref="H114:J114"/>
    <mergeCell ref="K114:M114"/>
    <mergeCell ref="B223:G223"/>
    <mergeCell ref="H223:M223"/>
    <mergeCell ref="B225:D225"/>
    <mergeCell ref="E225:G225"/>
    <mergeCell ref="H225:J225"/>
    <mergeCell ref="K225:M225"/>
    <mergeCell ref="B271:G271"/>
    <mergeCell ref="H271:M271"/>
    <mergeCell ref="B273:D273"/>
    <mergeCell ref="E273:G273"/>
    <mergeCell ref="H273:J273"/>
    <mergeCell ref="K273:M273"/>
    <mergeCell ref="B28:N28"/>
    <mergeCell ref="P28:R28"/>
    <mergeCell ref="U28:AG28"/>
    <mergeCell ref="AI28:AK28"/>
    <mergeCell ref="C30:H30"/>
    <mergeCell ref="I30:N30"/>
    <mergeCell ref="P30:R30"/>
    <mergeCell ref="AB30:AG30"/>
    <mergeCell ref="AI30:AK30"/>
    <mergeCell ref="V30:AA30"/>
    <mergeCell ref="B161:N161"/>
    <mergeCell ref="P161:R161"/>
    <mergeCell ref="U161:AG161"/>
    <mergeCell ref="AI161:AK161"/>
    <mergeCell ref="C163:H163"/>
    <mergeCell ref="I163:N163"/>
    <mergeCell ref="P163:R163"/>
    <mergeCell ref="V163:AA163"/>
    <mergeCell ref="AB163:AG163"/>
    <mergeCell ref="AI163:AK163"/>
  </mergeCells>
  <conditionalFormatting sqref="B155:C155">
    <cfRule type="expression" dxfId="267" priority="40">
      <formula>B154&lt;B153</formula>
    </cfRule>
    <cfRule type="expression" dxfId="266" priority="41">
      <formula>B154&gt;B153</formula>
    </cfRule>
    <cfRule type="expression" dxfId="265" priority="42">
      <formula>B154=B153</formula>
    </cfRule>
  </conditionalFormatting>
  <conditionalFormatting sqref="B87:C87">
    <cfRule type="expression" dxfId="264" priority="19">
      <formula>B86&lt;B85</formula>
    </cfRule>
    <cfRule type="expression" dxfId="263" priority="20">
      <formula>B86&gt;B85</formula>
    </cfRule>
    <cfRule type="expression" dxfId="262" priority="21">
      <formula>B86=B85</formula>
    </cfRule>
  </conditionalFormatting>
  <conditionalFormatting sqref="B266:C266">
    <cfRule type="expression" dxfId="261" priority="7">
      <formula>B265&lt;B264</formula>
    </cfRule>
    <cfRule type="expression" dxfId="260" priority="8">
      <formula>B265&gt;B264</formula>
    </cfRule>
    <cfRule type="expression" dxfId="259" priority="9">
      <formula>B265=B264</formula>
    </cfRule>
  </conditionalFormatting>
  <conditionalFormatting sqref="B220:C220">
    <cfRule type="expression" dxfId="258" priority="4">
      <formula>B219&lt;B218</formula>
    </cfRule>
    <cfRule type="expression" dxfId="257" priority="5">
      <formula>B219&gt;B218</formula>
    </cfRule>
    <cfRule type="expression" dxfId="256" priority="6">
      <formula>B219=B218</formula>
    </cfRule>
  </conditionalFormatting>
  <conditionalFormatting sqref="H10:I10">
    <cfRule type="expression" dxfId="255" priority="1">
      <formula>H9&lt;0</formula>
    </cfRule>
    <cfRule type="expression" dxfId="254" priority="2">
      <formula>H9&gt;0</formula>
    </cfRule>
    <cfRule type="expression" dxfId="253" priority="3">
      <formula>H9=0</formula>
    </cfRule>
  </conditionalFormatting>
  <pageMargins left="0.7" right="0.7" top="0.75" bottom="0.75" header="0.3" footer="0.3"/>
  <pageSetup paperSize="9" orientation="portrait" r:id="rId1"/>
  <ignoredErrors>
    <ignoredError sqref="I70 E49 F49 E52 X49 Y49 E70:F70 K70:L70 X69:Y70 AD70:AE70 H70 M70 N70 AA70:AB70 AF70 AG70 I49:I52 J49:J52 K49:K52 L49:L52 N49:N52 P49:Q49 P52:Q52 F52 X52 Y52 AB49 AB52 AB50:AB51 AD50:AD51 AB53 AD53 AD49:AG49 AD52:AG52 AG51 AG53 AG50 R49:S52 P71:S71 P70:S70 AI49:AL52 AI70:AL70 E203:N203 P203:S203 E182:I182 N182:N185 P182:S185 E185:I185 F183 I183:L183 F184 I184:L184 H49:H52 X182:AE182 X203:AD203 AA49:AA52 AF74 X185:AE185 X183:Y183 AB183:AE183 X184:Y184 AB184:AE184 AG182:AG185 X204:Y204 AA204 AD204 AE203:AG203 AI203:AL203 AI182:AL188 I124:I126 I120 C120 B147:B148 I122:I123 C125:C126 C122:C124 I128 C147:C148 B258:C258 C235:I235 C232:I232 C231:I231 C233:I234 C236:I237 B259:C259 C239:I239 B278:M281 AG68 K182:L182 K185:L185 B118 D118:G118 H118 J118:M118 B229:M229 J248:K248 J137:K137" formula="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6"/>
  </sheetPr>
  <dimension ref="A1:AA157"/>
  <sheetViews>
    <sheetView zoomScale="90" zoomScaleNormal="90" workbookViewId="0">
      <selection activeCell="A3" sqref="A3"/>
    </sheetView>
  </sheetViews>
  <sheetFormatPr defaultColWidth="9.1796875" defaultRowHeight="14.5" x14ac:dyDescent="0.35"/>
  <cols>
    <col min="1" max="1" width="60.7265625" style="17" customWidth="1"/>
    <col min="2" max="25" width="16.7265625" style="17" customWidth="1"/>
    <col min="26" max="27" width="16.7265625" style="98" customWidth="1"/>
    <col min="28" max="28" width="16.7265625" style="17" customWidth="1"/>
    <col min="29" max="29" width="13.26953125" style="17" customWidth="1"/>
    <col min="30" max="16384" width="9.1796875" style="17"/>
  </cols>
  <sheetData>
    <row r="1" spans="1:27" ht="18.75" customHeight="1" x14ac:dyDescent="0.35">
      <c r="A1" s="13" t="str">
        <f>'User interface_RES'!AJ11</f>
        <v>Any city in , the world</v>
      </c>
      <c r="B1" s="13"/>
      <c r="C1" s="13"/>
      <c r="D1" s="2"/>
      <c r="E1" s="2"/>
      <c r="F1" s="2"/>
      <c r="G1" s="2"/>
    </row>
    <row r="2" spans="1:27" s="185" customFormat="1" ht="11.25" customHeight="1" x14ac:dyDescent="0.35">
      <c r="B2" s="237"/>
      <c r="C2" s="237"/>
      <c r="D2" s="237"/>
      <c r="E2" s="237"/>
      <c r="F2" s="237"/>
      <c r="G2" s="237"/>
      <c r="Z2" s="247"/>
      <c r="AA2" s="247"/>
    </row>
    <row r="3" spans="1:27" ht="26" x14ac:dyDescent="0.35">
      <c r="A3" s="182" t="s">
        <v>967</v>
      </c>
      <c r="B3" s="2"/>
      <c r="C3" s="2"/>
      <c r="D3" s="2"/>
      <c r="E3" s="2"/>
      <c r="F3" s="2"/>
      <c r="G3" s="2"/>
    </row>
    <row r="4" spans="1:27" s="3" customFormat="1" ht="17.149999999999999" customHeight="1" x14ac:dyDescent="0.35">
      <c r="B4" s="1320"/>
      <c r="Z4" s="4"/>
      <c r="AA4" s="4"/>
    </row>
    <row r="5" spans="1:27" s="3" customFormat="1" ht="17.149999999999999" customHeight="1" x14ac:dyDescent="0.3">
      <c r="A5" s="137"/>
      <c r="B5" s="1319"/>
      <c r="C5" s="137"/>
      <c r="D5" s="137"/>
      <c r="E5" s="137"/>
      <c r="Z5" s="4"/>
      <c r="AA5" s="4"/>
    </row>
    <row r="6" spans="1:27" ht="18" customHeight="1" x14ac:dyDescent="0.35">
      <c r="A6" s="137"/>
      <c r="B6" s="1505" t="s">
        <v>9</v>
      </c>
      <c r="C6" s="1315"/>
      <c r="D6"/>
      <c r="E6"/>
      <c r="F6" s="2"/>
      <c r="G6" s="2"/>
    </row>
    <row r="7" spans="1:27" s="185" customFormat="1" ht="11.25" customHeight="1" x14ac:dyDescent="0.25">
      <c r="A7" s="237"/>
      <c r="B7" s="222"/>
      <c r="C7" s="287"/>
      <c r="D7" s="287"/>
      <c r="E7" s="287"/>
      <c r="F7" s="237"/>
      <c r="G7" s="237"/>
      <c r="I7" s="17"/>
      <c r="Z7" s="247"/>
      <c r="AA7" s="247"/>
    </row>
    <row r="8" spans="1:27" ht="18" customHeight="1" x14ac:dyDescent="0.35">
      <c r="A8" s="230" t="s">
        <v>968</v>
      </c>
      <c r="B8" s="288">
        <f>B10+B14+B19+B23+B26</f>
        <v>32696725</v>
      </c>
      <c r="D8" s="231" t="s">
        <v>793</v>
      </c>
      <c r="E8"/>
      <c r="F8" s="2"/>
      <c r="G8" s="2"/>
      <c r="H8" s="205">
        <f>'Containment volumes'!B10+'Containment volumes'!B16</f>
        <v>32696725</v>
      </c>
    </row>
    <row r="9" spans="1:27" ht="17.149999999999999" customHeight="1" x14ac:dyDescent="0.35">
      <c r="A9" s="256"/>
      <c r="B9" s="257"/>
      <c r="C9"/>
      <c r="D9"/>
      <c r="E9"/>
      <c r="F9" s="2"/>
      <c r="G9" s="2"/>
      <c r="H9" s="53">
        <f>B8-H8</f>
        <v>0</v>
      </c>
    </row>
    <row r="10" spans="1:27" ht="18" customHeight="1" x14ac:dyDescent="0.35">
      <c r="A10" s="206" t="s">
        <v>58</v>
      </c>
      <c r="B10" s="207">
        <f>SUM(B11:B12)</f>
        <v>147900</v>
      </c>
      <c r="C10"/>
      <c r="D10"/>
      <c r="E10"/>
      <c r="F10" s="2"/>
      <c r="G10" s="2"/>
      <c r="H10" s="1519" t="str">
        <f>IF(H9=0,"OK","Not OK")</f>
        <v>OK</v>
      </c>
    </row>
    <row r="11" spans="1:27" ht="18" customHeight="1" x14ac:dyDescent="0.35">
      <c r="A11" s="212" t="s">
        <v>969</v>
      </c>
      <c r="B11" s="118">
        <f>B133</f>
        <v>0</v>
      </c>
      <c r="C11"/>
      <c r="D11"/>
      <c r="E11"/>
      <c r="F11" s="2"/>
      <c r="G11" s="2"/>
    </row>
    <row r="12" spans="1:27" ht="18" customHeight="1" x14ac:dyDescent="0.35">
      <c r="A12" s="212" t="s">
        <v>970</v>
      </c>
      <c r="B12" s="118">
        <f>B134</f>
        <v>147900</v>
      </c>
      <c r="E12" s="2"/>
      <c r="F12" s="2"/>
      <c r="G12" s="2"/>
    </row>
    <row r="13" spans="1:27" ht="18" customHeight="1" x14ac:dyDescent="0.35">
      <c r="A13" s="2"/>
      <c r="B13" s="236"/>
      <c r="C13" s="35"/>
      <c r="D13" s="35"/>
      <c r="E13" s="35"/>
      <c r="F13" s="35"/>
      <c r="G13" s="20"/>
    </row>
    <row r="14" spans="1:27" ht="18" customHeight="1" x14ac:dyDescent="0.35">
      <c r="A14" s="206" t="s">
        <v>79</v>
      </c>
      <c r="B14" s="207">
        <f>SUM(B15:B17)</f>
        <v>31689850</v>
      </c>
      <c r="C14" s="35"/>
      <c r="D14" s="35"/>
      <c r="E14" s="35"/>
      <c r="F14" s="35"/>
      <c r="G14" s="20"/>
    </row>
    <row r="15" spans="1:27" ht="18" customHeight="1" x14ac:dyDescent="0.35">
      <c r="A15" s="212" t="s">
        <v>796</v>
      </c>
      <c r="B15" s="118">
        <f>B137</f>
        <v>25531850</v>
      </c>
      <c r="C15" s="35"/>
      <c r="D15" s="35"/>
      <c r="E15" s="35"/>
      <c r="F15" s="35"/>
      <c r="G15" s="20"/>
    </row>
    <row r="16" spans="1:27" ht="18" customHeight="1" x14ac:dyDescent="0.35">
      <c r="A16" s="212" t="s">
        <v>971</v>
      </c>
      <c r="B16" s="118">
        <f>B138</f>
        <v>0</v>
      </c>
      <c r="C16" s="35"/>
      <c r="D16" s="35"/>
      <c r="E16" s="35"/>
      <c r="F16" s="35"/>
      <c r="G16" s="20"/>
    </row>
    <row r="17" spans="1:27" ht="18" customHeight="1" x14ac:dyDescent="0.35">
      <c r="A17" s="212" t="s">
        <v>972</v>
      </c>
      <c r="B17" s="118">
        <f>B139</f>
        <v>6158000</v>
      </c>
      <c r="C17" s="35"/>
      <c r="D17" s="35"/>
      <c r="E17" s="35"/>
      <c r="F17" s="35"/>
      <c r="G17" s="20"/>
    </row>
    <row r="18" spans="1:27" ht="18" customHeight="1" x14ac:dyDescent="0.35">
      <c r="A18" s="2"/>
      <c r="B18" s="236"/>
      <c r="C18" s="35"/>
      <c r="D18" s="35"/>
      <c r="E18" s="35"/>
      <c r="F18" s="35"/>
      <c r="G18" s="20"/>
    </row>
    <row r="19" spans="1:27" ht="18" customHeight="1" x14ac:dyDescent="0.35">
      <c r="A19" s="208" t="s">
        <v>87</v>
      </c>
      <c r="B19" s="209">
        <f>SUM(B20:B21)</f>
        <v>0</v>
      </c>
      <c r="C19" s="35"/>
      <c r="D19" s="35"/>
      <c r="E19" s="35"/>
      <c r="F19" s="35"/>
      <c r="G19" s="20"/>
    </row>
    <row r="20" spans="1:27" ht="18" customHeight="1" x14ac:dyDescent="0.35">
      <c r="A20" s="212" t="s">
        <v>973</v>
      </c>
      <c r="B20" s="118">
        <f>B142</f>
        <v>0</v>
      </c>
      <c r="C20" s="35"/>
      <c r="D20" s="35"/>
      <c r="E20" s="35"/>
      <c r="F20" s="35"/>
      <c r="G20" s="20"/>
    </row>
    <row r="21" spans="1:27" ht="18" customHeight="1" x14ac:dyDescent="0.35">
      <c r="A21" s="212" t="s">
        <v>974</v>
      </c>
      <c r="B21" s="118">
        <f>B143</f>
        <v>0</v>
      </c>
      <c r="C21" s="35"/>
      <c r="D21" s="35"/>
      <c r="E21" s="35"/>
      <c r="F21" s="35"/>
      <c r="G21" s="20"/>
    </row>
    <row r="22" spans="1:27" ht="18" customHeight="1" x14ac:dyDescent="0.35">
      <c r="A22" s="2"/>
      <c r="B22" s="236"/>
      <c r="C22" s="35"/>
      <c r="D22" s="35"/>
      <c r="E22" s="35"/>
      <c r="F22" s="35"/>
      <c r="G22" s="20"/>
    </row>
    <row r="23" spans="1:27" ht="18" customHeight="1" x14ac:dyDescent="0.35">
      <c r="A23" s="208" t="s">
        <v>99</v>
      </c>
      <c r="B23" s="209">
        <f>SUM(B24:B24)</f>
        <v>-150</v>
      </c>
      <c r="C23" s="35"/>
      <c r="D23" s="35"/>
      <c r="E23" s="35"/>
      <c r="F23" s="35"/>
      <c r="G23" s="20"/>
    </row>
    <row r="24" spans="1:27" ht="18" customHeight="1" x14ac:dyDescent="0.35">
      <c r="A24" s="212" t="s">
        <v>975</v>
      </c>
      <c r="B24" s="118">
        <f>B146</f>
        <v>-150</v>
      </c>
      <c r="C24" s="35"/>
      <c r="D24" s="35"/>
      <c r="E24" s="35"/>
      <c r="F24" s="35"/>
      <c r="G24" s="20"/>
    </row>
    <row r="25" spans="1:27" s="3" customFormat="1" ht="18" customHeight="1" x14ac:dyDescent="0.35">
      <c r="A25" s="161"/>
      <c r="B25" s="161"/>
      <c r="C25" s="161"/>
      <c r="D25" s="161"/>
      <c r="E25" s="161"/>
      <c r="F25" s="161"/>
      <c r="G25" s="7"/>
      <c r="Z25" s="4"/>
      <c r="AA25" s="4"/>
    </row>
    <row r="26" spans="1:27" s="3" customFormat="1" ht="18" customHeight="1" x14ac:dyDescent="0.35">
      <c r="A26" s="208" t="s">
        <v>101</v>
      </c>
      <c r="B26" s="209">
        <f>SUM(B27:B27)</f>
        <v>859125</v>
      </c>
      <c r="C26" s="161"/>
      <c r="D26" s="161"/>
      <c r="E26" s="161"/>
      <c r="F26" s="161"/>
      <c r="G26" s="7"/>
      <c r="Z26" s="4"/>
      <c r="AA26" s="4"/>
    </row>
    <row r="27" spans="1:27" s="3" customFormat="1" ht="18" customHeight="1" x14ac:dyDescent="0.35">
      <c r="A27" s="212" t="s">
        <v>976</v>
      </c>
      <c r="B27" s="118">
        <f>B149</f>
        <v>859125</v>
      </c>
      <c r="C27" s="161"/>
      <c r="D27" s="161"/>
      <c r="E27" s="161"/>
      <c r="F27" s="161"/>
      <c r="G27" s="7"/>
      <c r="Z27" s="4"/>
      <c r="AA27" s="4"/>
    </row>
    <row r="28" spans="1:27" s="3" customFormat="1" ht="17.149999999999999" customHeight="1" x14ac:dyDescent="0.35">
      <c r="A28" s="161"/>
      <c r="B28" s="161"/>
      <c r="C28" s="161"/>
      <c r="D28" s="161"/>
      <c r="E28" s="161"/>
      <c r="F28" s="161"/>
      <c r="G28" s="7"/>
      <c r="Z28" s="4"/>
      <c r="AA28" s="4"/>
    </row>
    <row r="29" spans="1:27" s="3" customFormat="1" ht="17.149999999999999" customHeight="1" x14ac:dyDescent="0.35">
      <c r="A29" s="161"/>
      <c r="B29" s="161"/>
      <c r="C29" s="161"/>
      <c r="D29" s="161"/>
      <c r="E29" s="161"/>
      <c r="F29" s="161"/>
      <c r="G29" s="7"/>
      <c r="Z29" s="4"/>
      <c r="AA29" s="4"/>
    </row>
    <row r="30" spans="1:27" s="3" customFormat="1" ht="17.149999999999999" customHeight="1" x14ac:dyDescent="0.35">
      <c r="A30" s="161"/>
      <c r="B30" s="161"/>
      <c r="C30" s="161"/>
      <c r="D30" s="161"/>
      <c r="E30" s="161"/>
      <c r="F30" s="161"/>
      <c r="G30" s="7"/>
      <c r="Z30" s="4"/>
      <c r="AA30" s="4"/>
    </row>
    <row r="31" spans="1:27" ht="17.149999999999999" customHeight="1" x14ac:dyDescent="0.35">
      <c r="A31" s="183" t="s">
        <v>977</v>
      </c>
      <c r="B31" s="35"/>
      <c r="C31" s="35"/>
      <c r="D31" s="35"/>
      <c r="E31" s="35"/>
      <c r="F31" s="35"/>
      <c r="G31" s="20"/>
    </row>
    <row r="32" spans="1:27" ht="17.149999999999999" customHeight="1" x14ac:dyDescent="0.35">
      <c r="A32" s="35"/>
      <c r="B32" s="35"/>
      <c r="C32" s="35"/>
      <c r="D32" s="35"/>
      <c r="E32" s="35"/>
      <c r="F32" s="35"/>
      <c r="G32" s="20"/>
    </row>
    <row r="33" spans="1:27" s="115" customFormat="1" ht="17.149999999999999" customHeight="1" x14ac:dyDescent="0.35">
      <c r="A33" s="949" t="s">
        <v>978</v>
      </c>
      <c r="B33" s="1505" t="s">
        <v>9</v>
      </c>
      <c r="C33" s="1502" t="s">
        <v>253</v>
      </c>
      <c r="D33" s="249"/>
      <c r="E33" s="249"/>
      <c r="F33" s="249"/>
      <c r="G33" s="216"/>
      <c r="Z33" s="226"/>
      <c r="AA33" s="226"/>
    </row>
    <row r="34" spans="1:27" ht="17.149999999999999" customHeight="1" x14ac:dyDescent="0.35">
      <c r="A34" s="984" t="s">
        <v>193</v>
      </c>
      <c r="B34" s="1032">
        <f>SUM(B35:B38)</f>
        <v>110200</v>
      </c>
      <c r="C34" s="1460">
        <f>SUM(C35:C38)</f>
        <v>81850</v>
      </c>
      <c r="D34" s="35"/>
      <c r="E34" s="35"/>
      <c r="F34" s="35"/>
      <c r="G34" s="20"/>
    </row>
    <row r="35" spans="1:27" ht="17.149999999999999" customHeight="1" x14ac:dyDescent="0.35">
      <c r="A35" s="250" t="s">
        <v>979</v>
      </c>
      <c r="B35" s="251">
        <f>'Containment volumes'!G137</f>
        <v>0</v>
      </c>
      <c r="C35" s="251">
        <f>'Containment volumes'!H137</f>
        <v>0</v>
      </c>
      <c r="D35" s="35"/>
      <c r="E35" s="35"/>
      <c r="F35" s="35"/>
      <c r="G35" s="20"/>
    </row>
    <row r="36" spans="1:27" ht="17.149999999999999" customHeight="1" x14ac:dyDescent="0.35">
      <c r="A36" s="250" t="s">
        <v>980</v>
      </c>
      <c r="B36" s="251">
        <f>'Containment volumes'!G138</f>
        <v>0</v>
      </c>
      <c r="C36" s="251">
        <f>'Containment volumes'!H138</f>
        <v>0</v>
      </c>
      <c r="D36" s="35"/>
      <c r="E36" s="35"/>
      <c r="F36" s="35"/>
      <c r="G36" s="20"/>
    </row>
    <row r="37" spans="1:27" ht="17.149999999999999" customHeight="1" x14ac:dyDescent="0.35">
      <c r="A37" s="250" t="s">
        <v>981</v>
      </c>
      <c r="B37" s="251">
        <f>'Containment volumes'!G139</f>
        <v>67300</v>
      </c>
      <c r="C37" s="251">
        <f>'Containment volumes'!H139</f>
        <v>40925</v>
      </c>
      <c r="D37" s="35"/>
      <c r="E37" s="35"/>
      <c r="F37" s="35"/>
      <c r="G37" s="20"/>
    </row>
    <row r="38" spans="1:27" ht="17.149999999999999" customHeight="1" x14ac:dyDescent="0.35">
      <c r="A38" s="250" t="s">
        <v>982</v>
      </c>
      <c r="B38" s="251">
        <f>'Containment volumes'!G140</f>
        <v>42900</v>
      </c>
      <c r="C38" s="251">
        <f>'Containment volumes'!H140</f>
        <v>40925</v>
      </c>
      <c r="D38" s="35"/>
      <c r="E38" s="35"/>
      <c r="F38" s="35"/>
      <c r="G38" s="20"/>
    </row>
    <row r="39" spans="1:27" ht="17.149999999999999" customHeight="1" x14ac:dyDescent="0.35">
      <c r="A39" s="984" t="s">
        <v>259</v>
      </c>
      <c r="B39" s="1032">
        <f>SUM(B40:B43)</f>
        <v>37550</v>
      </c>
      <c r="C39" s="1460">
        <f>SUM(C40:C43)</f>
        <v>69750</v>
      </c>
      <c r="D39" s="35"/>
      <c r="E39" s="35"/>
      <c r="F39" s="35"/>
      <c r="G39" s="20"/>
    </row>
    <row r="40" spans="1:27" ht="17.149999999999999" customHeight="1" x14ac:dyDescent="0.35">
      <c r="A40" s="250" t="s">
        <v>979</v>
      </c>
      <c r="B40" s="251">
        <f>'Containment volumes'!G248</f>
        <v>0</v>
      </c>
      <c r="C40" s="251">
        <f>'Containment volumes'!H248</f>
        <v>0</v>
      </c>
      <c r="D40" s="35"/>
      <c r="E40" s="35"/>
      <c r="F40" s="35"/>
      <c r="G40" s="20"/>
    </row>
    <row r="41" spans="1:27" ht="17.149999999999999" customHeight="1" x14ac:dyDescent="0.35">
      <c r="A41" s="250" t="s">
        <v>980</v>
      </c>
      <c r="B41" s="251">
        <f>'Containment volumes'!G249</f>
        <v>0</v>
      </c>
      <c r="C41" s="251">
        <f>'Containment volumes'!H249</f>
        <v>0</v>
      </c>
      <c r="D41" s="35"/>
      <c r="E41" s="35"/>
      <c r="F41" s="35"/>
      <c r="G41" s="20"/>
    </row>
    <row r="42" spans="1:27" ht="17.149999999999999" customHeight="1" x14ac:dyDescent="0.35">
      <c r="A42" s="250" t="s">
        <v>981</v>
      </c>
      <c r="B42" s="251">
        <f>'Containment volumes'!G250</f>
        <v>31275</v>
      </c>
      <c r="C42" s="251">
        <f>'Containment volumes'!H250</f>
        <v>57325</v>
      </c>
      <c r="D42" s="35"/>
      <c r="E42" s="35"/>
      <c r="F42" s="35"/>
      <c r="G42" s="20"/>
    </row>
    <row r="43" spans="1:27" ht="17.149999999999999" customHeight="1" x14ac:dyDescent="0.35">
      <c r="A43" s="250" t="s">
        <v>982</v>
      </c>
      <c r="B43" s="251">
        <f>'Containment volumes'!G251</f>
        <v>6275</v>
      </c>
      <c r="C43" s="251">
        <f>'Containment volumes'!H251</f>
        <v>12425</v>
      </c>
      <c r="D43" s="35"/>
      <c r="E43" s="35"/>
      <c r="F43" s="35"/>
      <c r="G43" s="20"/>
    </row>
    <row r="44" spans="1:27" s="12" customFormat="1" ht="17.149999999999999" customHeight="1" x14ac:dyDescent="0.35">
      <c r="A44" s="959" t="s">
        <v>983</v>
      </c>
      <c r="B44" s="989">
        <f>B34+B39</f>
        <v>147750</v>
      </c>
      <c r="C44" s="990">
        <f>C34+C39</f>
        <v>151600</v>
      </c>
      <c r="D44" s="248"/>
      <c r="E44" s="248"/>
      <c r="F44" s="248"/>
      <c r="G44" s="92"/>
      <c r="Z44" s="109"/>
      <c r="AA44" s="109"/>
    </row>
    <row r="45" spans="1:27" ht="17.149999999999999" customHeight="1" x14ac:dyDescent="0.35">
      <c r="A45" s="35"/>
      <c r="B45" s="35"/>
      <c r="C45" s="35"/>
      <c r="D45" s="35"/>
      <c r="E45" s="35"/>
      <c r="F45" s="35"/>
      <c r="G45" s="20"/>
    </row>
    <row r="46" spans="1:27" ht="17.149999999999999" customHeight="1" x14ac:dyDescent="0.35">
      <c r="A46" s="35"/>
      <c r="B46" s="35"/>
      <c r="C46" s="35"/>
      <c r="D46" s="35"/>
      <c r="E46" s="35"/>
      <c r="F46" s="35"/>
      <c r="G46" s="20"/>
    </row>
    <row r="47" spans="1:27" ht="17.149999999999999" customHeight="1" x14ac:dyDescent="0.35">
      <c r="A47" s="949" t="s">
        <v>984</v>
      </c>
      <c r="B47" s="1776" t="s">
        <v>9</v>
      </c>
      <c r="C47" s="1776"/>
      <c r="D47" s="35"/>
      <c r="E47" s="35"/>
      <c r="F47" s="35"/>
      <c r="G47" s="20"/>
    </row>
    <row r="48" spans="1:27" s="107" customFormat="1" ht="17.149999999999999" customHeight="1" x14ac:dyDescent="0.35">
      <c r="A48" s="188"/>
      <c r="B48" s="267"/>
      <c r="C48" s="36"/>
      <c r="D48" s="36"/>
      <c r="E48" s="36"/>
      <c r="F48" s="36"/>
      <c r="Z48" s="196"/>
      <c r="AA48" s="196"/>
    </row>
    <row r="49" spans="1:27" s="12" customFormat="1" ht="17.149999999999999" customHeight="1" x14ac:dyDescent="0.35">
      <c r="A49" s="265"/>
      <c r="B49" s="1511" t="s">
        <v>279</v>
      </c>
      <c r="C49" s="1511" t="s">
        <v>280</v>
      </c>
      <c r="D49" s="109"/>
      <c r="E49" s="198"/>
      <c r="F49" s="198"/>
      <c r="Z49" s="109"/>
      <c r="AA49" s="109"/>
    </row>
    <row r="50" spans="1:27" s="3" customFormat="1" ht="17.149999999999999" customHeight="1" x14ac:dyDescent="0.35">
      <c r="A50" s="155" t="s">
        <v>282</v>
      </c>
      <c r="B50" s="994">
        <f>'Interface_Emptying &amp; Transport'!C10</f>
        <v>2100</v>
      </c>
      <c r="C50" s="994">
        <f>'Interface_Emptying &amp; Transport'!D10</f>
        <v>700</v>
      </c>
      <c r="D50" s="58"/>
      <c r="E50" s="266"/>
      <c r="F50" s="262"/>
      <c r="Z50" s="4"/>
      <c r="AA50" s="4"/>
    </row>
    <row r="51" spans="1:27" s="3" customFormat="1" ht="17.149999999999999" customHeight="1" x14ac:dyDescent="0.35">
      <c r="A51" s="155" t="s">
        <v>985</v>
      </c>
      <c r="B51" s="1002">
        <f>B50/1000</f>
        <v>2.1</v>
      </c>
      <c r="C51" s="1002">
        <f>C50/1000</f>
        <v>0.7</v>
      </c>
      <c r="D51" s="58"/>
      <c r="E51" s="99"/>
      <c r="F51" s="99"/>
      <c r="Z51" s="4"/>
      <c r="AA51" s="4"/>
    </row>
    <row r="52" spans="1:27" s="3" customFormat="1" ht="17.149999999999999" customHeight="1" x14ac:dyDescent="0.35">
      <c r="A52" s="996" t="s">
        <v>283</v>
      </c>
      <c r="B52" s="278">
        <f>'Interface_Emptying &amp; Transport'!C11</f>
        <v>0.65</v>
      </c>
      <c r="C52" s="278">
        <f>'Interface_Emptying &amp; Transport'!D11</f>
        <v>0.65</v>
      </c>
      <c r="D52" s="58"/>
      <c r="E52" s="266" t="s">
        <v>986</v>
      </c>
      <c r="F52" s="46"/>
      <c r="Z52" s="4"/>
      <c r="AA52" s="4"/>
    </row>
    <row r="53" spans="1:27" s="3" customFormat="1" ht="17.149999999999999" customHeight="1" x14ac:dyDescent="0.35">
      <c r="A53" s="168" t="s">
        <v>987</v>
      </c>
      <c r="B53" s="995">
        <f>B51*B52</f>
        <v>1.3650000000000002</v>
      </c>
      <c r="C53" s="995">
        <f>C51*C52</f>
        <v>0.45499999999999996</v>
      </c>
      <c r="D53" s="58"/>
      <c r="E53" s="263"/>
      <c r="F53" s="263"/>
      <c r="H53" s="264"/>
      <c r="Z53" s="4"/>
      <c r="AA53" s="4"/>
    </row>
    <row r="54" spans="1:27" s="3" customFormat="1" ht="17.149999999999999" customHeight="1" x14ac:dyDescent="0.35">
      <c r="A54" s="1001" t="s">
        <v>988</v>
      </c>
      <c r="B54" s="997">
        <f>'User interface_RES'!D43</f>
        <v>0.27229999999999999</v>
      </c>
      <c r="C54" s="997">
        <f>'User interface_RES'!D44</f>
        <v>0.1827</v>
      </c>
      <c r="D54" s="998">
        <f>SUM(B54:C54)</f>
        <v>0.45499999999999996</v>
      </c>
      <c r="E54" s="263"/>
      <c r="F54" s="263"/>
      <c r="H54" s="264"/>
      <c r="Z54" s="4"/>
      <c r="AA54" s="4"/>
    </row>
    <row r="55" spans="1:27" s="3" customFormat="1" ht="17.149999999999999" customHeight="1" x14ac:dyDescent="0.35">
      <c r="A55" s="953" t="s">
        <v>988</v>
      </c>
      <c r="B55" s="999">
        <f>IF(D54=0,0,(B54/D54)*1)</f>
        <v>0.59846153846153849</v>
      </c>
      <c r="C55" s="999">
        <f>IF(D54=0,0,(C54/D54)*1)</f>
        <v>0.40153846153846157</v>
      </c>
      <c r="D55" s="998">
        <f>SUM(B55:C55)</f>
        <v>1</v>
      </c>
      <c r="E55" s="263"/>
      <c r="F55" s="263"/>
      <c r="Z55" s="4"/>
      <c r="AA55" s="4"/>
    </row>
    <row r="56" spans="1:27" ht="17.149999999999999" customHeight="1" x14ac:dyDescent="0.35">
      <c r="A56" s="991" t="s">
        <v>989</v>
      </c>
      <c r="B56" s="992">
        <f>B53*B55</f>
        <v>0.81690000000000018</v>
      </c>
      <c r="C56" s="992">
        <f>C53*C55</f>
        <v>0.1827</v>
      </c>
      <c r="D56" s="993">
        <f>ROUND((B56+C56)/0.01,0)*0.01</f>
        <v>1</v>
      </c>
      <c r="E56" s="107"/>
      <c r="F56" s="128"/>
    </row>
    <row r="57" spans="1:27" ht="17.149999999999999" customHeight="1" x14ac:dyDescent="0.35">
      <c r="A57" s="76"/>
      <c r="B57" s="76"/>
      <c r="C57" s="76"/>
      <c r="D57" s="74"/>
      <c r="E57" s="77"/>
      <c r="F57" s="77"/>
      <c r="G57" s="74"/>
    </row>
    <row r="58" spans="1:27" ht="17.149999999999999" customHeight="1" x14ac:dyDescent="0.35">
      <c r="A58" s="76"/>
      <c r="B58" s="76"/>
      <c r="C58" s="76"/>
      <c r="D58" s="74"/>
      <c r="E58" s="77"/>
      <c r="F58" s="77"/>
      <c r="G58" s="74"/>
    </row>
    <row r="59" spans="1:27" ht="17.149999999999999" customHeight="1" x14ac:dyDescent="0.35">
      <c r="A59" s="949" t="s">
        <v>990</v>
      </c>
      <c r="B59" s="1818" t="s">
        <v>9</v>
      </c>
      <c r="C59" s="1819"/>
      <c r="D59" s="1819"/>
      <c r="E59" s="1819"/>
      <c r="F59" s="1819"/>
      <c r="G59" s="1819"/>
      <c r="H59" s="1819"/>
      <c r="I59" s="1819"/>
      <c r="J59" s="1820"/>
    </row>
    <row r="60" spans="1:27" ht="17.149999999999999" customHeight="1" x14ac:dyDescent="0.35">
      <c r="A60" s="11"/>
      <c r="B60" s="220"/>
      <c r="C60" s="220"/>
      <c r="D60" s="220"/>
      <c r="E60" s="275"/>
      <c r="F60" s="347"/>
      <c r="G60" s="347"/>
    </row>
    <row r="61" spans="1:27" ht="17.149999999999999" customHeight="1" x14ac:dyDescent="0.35">
      <c r="A61" s="279"/>
      <c r="B61" s="1814" t="s">
        <v>290</v>
      </c>
      <c r="C61" s="1815"/>
      <c r="D61" s="1815"/>
      <c r="E61" s="1815"/>
      <c r="F61" s="1815"/>
      <c r="G61" s="1815"/>
      <c r="H61" s="1815"/>
      <c r="I61" s="1815"/>
      <c r="J61" s="1816"/>
      <c r="K61" s="198"/>
      <c r="L61" s="198"/>
      <c r="M61" s="198"/>
      <c r="N61" s="1797" t="s">
        <v>291</v>
      </c>
      <c r="O61" s="1805"/>
      <c r="P61" s="1805"/>
      <c r="Q61" s="1798"/>
      <c r="R61" s="1503" t="s">
        <v>332</v>
      </c>
      <c r="T61" s="1784" t="s">
        <v>292</v>
      </c>
      <c r="U61" s="1784"/>
      <c r="V61" s="1784"/>
      <c r="W61" s="1784"/>
      <c r="X61" s="98"/>
      <c r="Z61" s="17"/>
      <c r="AA61" s="17"/>
    </row>
    <row r="62" spans="1:27" ht="66" customHeight="1" x14ac:dyDescent="0.35">
      <c r="A62" s="1506" t="s">
        <v>295</v>
      </c>
      <c r="B62" s="1814" t="s">
        <v>296</v>
      </c>
      <c r="C62" s="1816"/>
      <c r="D62" s="1501" t="s">
        <v>297</v>
      </c>
      <c r="E62" s="1501" t="s">
        <v>298</v>
      </c>
      <c r="F62" s="1003" t="s">
        <v>991</v>
      </c>
      <c r="G62" s="1501" t="s">
        <v>992</v>
      </c>
      <c r="H62" s="1501" t="s">
        <v>299</v>
      </c>
      <c r="I62" s="1003" t="s">
        <v>993</v>
      </c>
      <c r="J62" s="1003" t="s">
        <v>994</v>
      </c>
      <c r="K62" s="123"/>
      <c r="L62" s="123"/>
      <c r="M62" s="123"/>
      <c r="N62" s="1513" t="s">
        <v>300</v>
      </c>
      <c r="O62" s="1513" t="s">
        <v>301</v>
      </c>
      <c r="P62" s="1513" t="s">
        <v>302</v>
      </c>
      <c r="Q62" s="1513" t="s">
        <v>303</v>
      </c>
      <c r="R62" s="1513" t="s">
        <v>995</v>
      </c>
      <c r="S62" s="11"/>
      <c r="T62" s="1513" t="s">
        <v>996</v>
      </c>
      <c r="U62" s="1809" t="s">
        <v>306</v>
      </c>
      <c r="V62" s="1809"/>
      <c r="W62" s="1809"/>
      <c r="X62" s="98"/>
      <c r="Z62" s="17"/>
      <c r="AA62" s="17"/>
    </row>
    <row r="63" spans="1:27" s="60" customFormat="1" ht="13" x14ac:dyDescent="0.35">
      <c r="A63" s="268"/>
      <c r="B63" s="269"/>
      <c r="C63" s="270"/>
      <c r="D63" s="173"/>
      <c r="E63" s="173"/>
      <c r="F63" s="271"/>
      <c r="G63" s="173"/>
      <c r="H63" s="173"/>
      <c r="I63" s="272"/>
      <c r="J63" s="273"/>
      <c r="K63" s="101"/>
      <c r="L63" s="101"/>
      <c r="M63" s="101"/>
      <c r="N63" s="1514"/>
      <c r="O63" s="1514"/>
      <c r="P63" s="1514"/>
      <c r="Q63" s="1514"/>
      <c r="R63" s="1514"/>
      <c r="S63" s="117"/>
      <c r="T63" s="1514"/>
      <c r="U63" s="1810"/>
      <c r="V63" s="1810"/>
      <c r="W63" s="1810"/>
      <c r="X63" s="58"/>
    </row>
    <row r="64" spans="1:27" ht="17.149999999999999" customHeight="1" x14ac:dyDescent="0.35">
      <c r="A64" s="959" t="s">
        <v>320</v>
      </c>
      <c r="B64" s="1008"/>
      <c r="C64" s="1009"/>
      <c r="D64" s="1010"/>
      <c r="E64" s="1010"/>
      <c r="F64" s="985"/>
      <c r="G64" s="985"/>
      <c r="H64" s="985"/>
      <c r="I64" s="985"/>
      <c r="J64" s="985"/>
      <c r="K64" s="107"/>
      <c r="L64" s="107"/>
      <c r="M64" s="107"/>
      <c r="N64" s="1515"/>
      <c r="O64" s="1515"/>
      <c r="P64" s="1515"/>
      <c r="Q64" s="1515"/>
      <c r="R64" s="1515"/>
      <c r="S64" s="61"/>
      <c r="T64" s="1515"/>
      <c r="U64" s="1811"/>
      <c r="V64" s="1811"/>
      <c r="W64" s="1811"/>
      <c r="X64" s="98"/>
      <c r="Z64" s="17"/>
      <c r="AA64" s="17"/>
    </row>
    <row r="65" spans="1:27" s="3" customFormat="1" ht="17.149999999999999" customHeight="1" x14ac:dyDescent="0.35">
      <c r="A65" s="155" t="s">
        <v>997</v>
      </c>
      <c r="B65" s="1817" t="s">
        <v>322</v>
      </c>
      <c r="C65" s="1817"/>
      <c r="D65" s="1522">
        <v>1</v>
      </c>
      <c r="E65" s="1522">
        <f>'Interface_Emptying &amp; Transport'!F21</f>
        <v>0</v>
      </c>
      <c r="F65" s="988"/>
      <c r="G65" s="1522">
        <f>ROUND((D65*E65*D56)/25,0)*25</f>
        <v>0</v>
      </c>
      <c r="H65" s="1007">
        <f>'Interface_Emptying &amp; Transport'!G21</f>
        <v>1</v>
      </c>
      <c r="I65" s="1518">
        <f>ROUND((G65*(1-H65))/25,0)*25</f>
        <v>0</v>
      </c>
      <c r="J65" s="1518">
        <f>ROUND((G65*H65)/25,0)*25</f>
        <v>0</v>
      </c>
      <c r="K65" s="10"/>
      <c r="L65" s="10"/>
      <c r="M65" s="10"/>
      <c r="N65" s="1015">
        <f>'Interface_Emptying &amp; Transport'!K21</f>
        <v>0</v>
      </c>
      <c r="O65" s="1015">
        <f>'Interface_Emptying &amp; Transport'!L21</f>
        <v>0</v>
      </c>
      <c r="P65" s="1015">
        <f>'Interface_Emptying &amp; Transport'!M21</f>
        <v>0</v>
      </c>
      <c r="Q65" s="1015">
        <f>'Interface_Emptying &amp; Transport'!N21</f>
        <v>0</v>
      </c>
      <c r="R65" s="1015">
        <f>'Interface_Emptying &amp; Transport'!O21</f>
        <v>0</v>
      </c>
      <c r="S65" s="60"/>
      <c r="T65" s="1510">
        <f>'Interface_Emptying &amp; Transport'!R21</f>
        <v>0</v>
      </c>
      <c r="U65" s="1806">
        <f>'Interface_Emptying &amp; Transport'!S21</f>
        <v>0</v>
      </c>
      <c r="V65" s="1812"/>
      <c r="W65" s="1807"/>
      <c r="X65" s="4"/>
    </row>
    <row r="66" spans="1:27" s="3" customFormat="1" ht="17.149999999999999" customHeight="1" x14ac:dyDescent="0.35">
      <c r="A66" s="155" t="s">
        <v>998</v>
      </c>
      <c r="B66" s="1817" t="s">
        <v>322</v>
      </c>
      <c r="C66" s="1817"/>
      <c r="D66" s="1522">
        <f>'Interface_Emptying &amp; Transport'!E23</f>
        <v>0</v>
      </c>
      <c r="E66" s="1522">
        <f>'Interface_Emptying &amp; Transport'!F23</f>
        <v>0</v>
      </c>
      <c r="F66" s="988">
        <f>D66*E66*$D$56</f>
        <v>0</v>
      </c>
      <c r="G66" s="1522">
        <f>ROUND((F66*365)/25,0)*25</f>
        <v>0</v>
      </c>
      <c r="H66" s="1007">
        <f>'Interface_Emptying &amp; Transport'!G23</f>
        <v>1</v>
      </c>
      <c r="I66" s="1518">
        <f>ROUND((G66*(1-H66))/25,0)*25</f>
        <v>0</v>
      </c>
      <c r="J66" s="1518">
        <f>ROUND((G66*H66)/25,0)*25</f>
        <v>0</v>
      </c>
      <c r="K66" s="10"/>
      <c r="L66" s="10"/>
      <c r="M66" s="10"/>
      <c r="N66" s="1015">
        <f>'Interface_Emptying &amp; Transport'!K23</f>
        <v>0</v>
      </c>
      <c r="O66" s="1015">
        <f>'Interface_Emptying &amp; Transport'!L23</f>
        <v>0</v>
      </c>
      <c r="P66" s="1015">
        <f>'Interface_Emptying &amp; Transport'!M23</f>
        <v>0</v>
      </c>
      <c r="Q66" s="1015">
        <f>'Interface_Emptying &amp; Transport'!N23</f>
        <v>0</v>
      </c>
      <c r="R66" s="1015">
        <f>'Interface_Emptying &amp; Transport'!O23</f>
        <v>0</v>
      </c>
      <c r="S66" s="60"/>
      <c r="T66" s="1510">
        <f>'Interface_Emptying &amp; Transport'!R23</f>
        <v>0</v>
      </c>
      <c r="U66" s="1806">
        <f>'Interface_Emptying &amp; Transport'!S23</f>
        <v>0</v>
      </c>
      <c r="V66" s="1812"/>
      <c r="W66" s="1807"/>
      <c r="X66" s="4"/>
    </row>
    <row r="67" spans="1:27" s="3" customFormat="1" ht="17.149999999999999" customHeight="1" x14ac:dyDescent="0.35">
      <c r="A67" s="155" t="s">
        <v>998</v>
      </c>
      <c r="B67" s="1817" t="s">
        <v>327</v>
      </c>
      <c r="C67" s="1817"/>
      <c r="D67" s="1522">
        <f>'Interface_Emptying &amp; Transport'!E25</f>
        <v>0</v>
      </c>
      <c r="E67" s="1522">
        <f>'Interface_Emptying &amp; Transport'!F25</f>
        <v>0</v>
      </c>
      <c r="F67" s="988">
        <f>D67*E67*$D$56</f>
        <v>0</v>
      </c>
      <c r="G67" s="1522">
        <f>ROUND((F67*365)/25,0)*25</f>
        <v>0</v>
      </c>
      <c r="H67" s="1007">
        <f>'Interface_Emptying &amp; Transport'!G25</f>
        <v>1</v>
      </c>
      <c r="I67" s="1518">
        <f>ROUND((G67*(1-H67))/25,0)*25</f>
        <v>0</v>
      </c>
      <c r="J67" s="1518">
        <f>ROUND((G67*H67)/25,0)*25</f>
        <v>0</v>
      </c>
      <c r="K67" s="10"/>
      <c r="L67" s="10"/>
      <c r="M67" s="10"/>
      <c r="N67" s="1015">
        <f>'Interface_Emptying &amp; Transport'!K25</f>
        <v>0</v>
      </c>
      <c r="O67" s="1015">
        <f>'Interface_Emptying &amp; Transport'!L25</f>
        <v>0</v>
      </c>
      <c r="P67" s="1015">
        <f>'Interface_Emptying &amp; Transport'!M25</f>
        <v>0</v>
      </c>
      <c r="Q67" s="1015">
        <f>'Interface_Emptying &amp; Transport'!N25</f>
        <v>0</v>
      </c>
      <c r="R67" s="1015">
        <f>'Interface_Emptying &amp; Transport'!O25</f>
        <v>0</v>
      </c>
      <c r="S67" s="60"/>
      <c r="T67" s="1510">
        <f>'Interface_Emptying &amp; Transport'!R25</f>
        <v>0</v>
      </c>
      <c r="U67" s="1806">
        <f>'Interface_Emptying &amp; Transport'!S25</f>
        <v>0</v>
      </c>
      <c r="V67" s="1812"/>
      <c r="W67" s="1807"/>
      <c r="X67" s="4"/>
    </row>
    <row r="68" spans="1:27" s="3" customFormat="1" ht="17.149999999999999" customHeight="1" x14ac:dyDescent="0.35">
      <c r="A68" s="155" t="s">
        <v>999</v>
      </c>
      <c r="B68" s="1817">
        <f>'Interface_Emptying &amp; Transport'!C27</f>
        <v>0</v>
      </c>
      <c r="C68" s="1817"/>
      <c r="D68" s="1522">
        <f>'Interface_Emptying &amp; Transport'!E27</f>
        <v>0</v>
      </c>
      <c r="E68" s="1522">
        <f>'Interface_Emptying &amp; Transport'!F27</f>
        <v>0</v>
      </c>
      <c r="F68" s="988">
        <f>D68*E68*$D$56</f>
        <v>0</v>
      </c>
      <c r="G68" s="1522">
        <f>ROUND((F68*365)/25,0)*25</f>
        <v>0</v>
      </c>
      <c r="H68" s="1007">
        <f>'Interface_Emptying &amp; Transport'!G27</f>
        <v>1</v>
      </c>
      <c r="I68" s="1518">
        <f>ROUND((G68*(1-H68))/25,0)*25</f>
        <v>0</v>
      </c>
      <c r="J68" s="1518">
        <f>ROUND((G68*H68)/25,0)*25</f>
        <v>0</v>
      </c>
      <c r="K68" s="10"/>
      <c r="L68" s="10"/>
      <c r="M68" s="10"/>
      <c r="N68" s="1015">
        <f>'Interface_Emptying &amp; Transport'!K27</f>
        <v>0</v>
      </c>
      <c r="O68" s="1015">
        <f>'Interface_Emptying &amp; Transport'!L27</f>
        <v>0</v>
      </c>
      <c r="P68" s="1015">
        <f>'Interface_Emptying &amp; Transport'!M27</f>
        <v>0</v>
      </c>
      <c r="Q68" s="1015">
        <f>'Interface_Emptying &amp; Transport'!N27</f>
        <v>0</v>
      </c>
      <c r="R68" s="1015">
        <f>'Interface_Emptying &amp; Transport'!O27</f>
        <v>0</v>
      </c>
      <c r="S68" s="60"/>
      <c r="T68" s="1510">
        <f>'Interface_Emptying &amp; Transport'!R27</f>
        <v>0</v>
      </c>
      <c r="U68" s="1806">
        <f>'Interface_Emptying &amp; Transport'!S27</f>
        <v>0</v>
      </c>
      <c r="V68" s="1812"/>
      <c r="W68" s="1807"/>
      <c r="X68" s="4"/>
    </row>
    <row r="69" spans="1:27" s="11" customFormat="1" ht="17.149999999999999" customHeight="1" x14ac:dyDescent="0.35">
      <c r="A69" s="950" t="s">
        <v>361</v>
      </c>
      <c r="B69" s="1004"/>
      <c r="C69" s="1005"/>
      <c r="D69" s="948">
        <f>SUM(D65:D68)</f>
        <v>1</v>
      </c>
      <c r="E69" s="948">
        <f>SUM(E65:E68)</f>
        <v>0</v>
      </c>
      <c r="F69" s="1006">
        <f>SUM(F65:F68)</f>
        <v>0</v>
      </c>
      <c r="G69" s="948">
        <f>SUM(G65:G68)</f>
        <v>0</v>
      </c>
      <c r="H69" s="950"/>
      <c r="I69" s="948">
        <f>SUM(I65:I68)</f>
        <v>0</v>
      </c>
      <c r="J69" s="951">
        <f>SUM(J65:J68)</f>
        <v>0</v>
      </c>
      <c r="K69" s="274"/>
      <c r="L69" s="274"/>
      <c r="M69" s="274"/>
      <c r="N69" s="950"/>
      <c r="O69" s="950"/>
      <c r="P69" s="950"/>
      <c r="Q69" s="950"/>
      <c r="R69" s="950"/>
      <c r="T69" s="1513"/>
      <c r="U69" s="1809"/>
      <c r="V69" s="1809"/>
      <c r="W69" s="1809"/>
      <c r="X69" s="134"/>
      <c r="Y69" s="134"/>
    </row>
    <row r="70" spans="1:27" s="3" customFormat="1" ht="17.149999999999999" customHeight="1" x14ac:dyDescent="0.35">
      <c r="A70" s="83"/>
      <c r="B70" s="83"/>
      <c r="C70" s="83"/>
      <c r="D70" s="276"/>
      <c r="E70" s="277"/>
      <c r="F70" s="277"/>
      <c r="G70" s="278">
        <f>IF($G$69=0,0,G69/$G$69)</f>
        <v>0</v>
      </c>
      <c r="H70" s="176"/>
      <c r="I70" s="278">
        <f>IF($G$69=0,0,I69/$G$69)</f>
        <v>0</v>
      </c>
      <c r="J70" s="278">
        <f>IF($G$69=0,0,J69/$G$69)</f>
        <v>0</v>
      </c>
      <c r="K70" s="46"/>
      <c r="L70" s="46"/>
      <c r="M70" s="46"/>
      <c r="Z70" s="4"/>
      <c r="AA70" s="4"/>
    </row>
    <row r="71" spans="1:27" ht="17.149999999999999" customHeight="1" x14ac:dyDescent="0.35">
      <c r="A71" s="76"/>
      <c r="B71" s="76"/>
      <c r="C71" s="76"/>
      <c r="D71" s="74"/>
      <c r="E71" s="77"/>
      <c r="F71" s="77"/>
      <c r="G71" s="74"/>
      <c r="I71" s="80"/>
    </row>
    <row r="72" spans="1:27" ht="17.149999999999999" customHeight="1" x14ac:dyDescent="0.35">
      <c r="A72" s="11"/>
      <c r="B72" s="11"/>
      <c r="C72" s="11"/>
      <c r="D72" s="11"/>
      <c r="E72" s="11"/>
      <c r="F72" s="11"/>
    </row>
    <row r="73" spans="1:27" ht="17.149999999999999" customHeight="1" x14ac:dyDescent="0.35">
      <c r="A73" s="11"/>
      <c r="B73" s="1004" t="s">
        <v>331</v>
      </c>
      <c r="C73" s="1011"/>
      <c r="D73" s="1011"/>
      <c r="E73" s="1011"/>
      <c r="F73" s="1011"/>
      <c r="G73" s="1011"/>
      <c r="H73" s="1011"/>
      <c r="I73" s="1011"/>
      <c r="J73" s="1011"/>
      <c r="K73" s="1011"/>
      <c r="L73" s="1005"/>
      <c r="N73" s="1784" t="s">
        <v>291</v>
      </c>
      <c r="O73" s="1784"/>
      <c r="P73" s="1784"/>
      <c r="Q73" s="1784"/>
      <c r="R73" s="1503" t="s">
        <v>332</v>
      </c>
      <c r="T73" s="1784" t="s">
        <v>292</v>
      </c>
      <c r="U73" s="1784"/>
      <c r="V73" s="1784"/>
      <c r="W73" s="1784"/>
      <c r="X73" s="1797" t="s">
        <v>333</v>
      </c>
      <c r="Y73" s="1798"/>
      <c r="Z73" s="17"/>
      <c r="AA73" s="17"/>
    </row>
    <row r="74" spans="1:27" ht="58" x14ac:dyDescent="0.35">
      <c r="A74" s="1511" t="s">
        <v>1000</v>
      </c>
      <c r="B74" s="1808" t="s">
        <v>296</v>
      </c>
      <c r="C74" s="1808"/>
      <c r="D74" s="1501" t="s">
        <v>297</v>
      </c>
      <c r="E74" s="1511" t="s">
        <v>1001</v>
      </c>
      <c r="F74" s="1511" t="s">
        <v>1002</v>
      </c>
      <c r="G74" s="1511" t="s">
        <v>1003</v>
      </c>
      <c r="H74" s="1511" t="s">
        <v>1004</v>
      </c>
      <c r="I74" s="1501" t="s">
        <v>992</v>
      </c>
      <c r="J74" s="1501" t="s">
        <v>299</v>
      </c>
      <c r="K74" s="1003" t="s">
        <v>993</v>
      </c>
      <c r="L74" s="1003" t="s">
        <v>994</v>
      </c>
      <c r="M74" s="38"/>
      <c r="N74" s="1513" t="s">
        <v>300</v>
      </c>
      <c r="O74" s="1513" t="s">
        <v>301</v>
      </c>
      <c r="P74" s="1513" t="s">
        <v>302</v>
      </c>
      <c r="Q74" s="1513" t="s">
        <v>303</v>
      </c>
      <c r="R74" s="1511" t="s">
        <v>1005</v>
      </c>
      <c r="S74" s="79"/>
      <c r="T74" s="1513" t="s">
        <v>1006</v>
      </c>
      <c r="U74" s="1513" t="s">
        <v>996</v>
      </c>
      <c r="V74" s="1030" t="s">
        <v>306</v>
      </c>
      <c r="W74" s="1031"/>
      <c r="X74" s="1513" t="s">
        <v>342</v>
      </c>
      <c r="Y74" s="1513" t="s">
        <v>1007</v>
      </c>
      <c r="Z74" s="17"/>
      <c r="AA74" s="17"/>
    </row>
    <row r="75" spans="1:27" s="3" customFormat="1" ht="13" x14ac:dyDescent="0.35">
      <c r="A75" s="356"/>
      <c r="B75" s="938"/>
      <c r="C75" s="939"/>
      <c r="D75" s="173"/>
      <c r="E75" s="356"/>
      <c r="F75" s="356"/>
      <c r="G75" s="356"/>
      <c r="H75" s="356"/>
      <c r="I75" s="173"/>
      <c r="J75" s="173"/>
      <c r="K75" s="272"/>
      <c r="L75" s="273"/>
      <c r="M75" s="280"/>
      <c r="N75" s="1514"/>
      <c r="O75" s="1514"/>
      <c r="P75" s="1514"/>
      <c r="Q75" s="1514"/>
      <c r="R75" s="356"/>
      <c r="S75" s="281"/>
      <c r="T75" s="1514"/>
      <c r="U75" s="1514"/>
      <c r="V75" s="1801"/>
      <c r="W75" s="1802"/>
      <c r="X75" s="1514"/>
      <c r="Y75" s="1514"/>
    </row>
    <row r="76" spans="1:27" s="3" customFormat="1" ht="17.149999999999999" customHeight="1" x14ac:dyDescent="0.35">
      <c r="A76" s="959" t="s">
        <v>320</v>
      </c>
      <c r="B76" s="1516"/>
      <c r="C76" s="1517"/>
      <c r="D76" s="1012"/>
      <c r="E76" s="1013"/>
      <c r="F76" s="1013"/>
      <c r="G76" s="1013"/>
      <c r="H76" s="1013"/>
      <c r="I76" s="1012"/>
      <c r="J76" s="1012"/>
      <c r="K76" s="1014"/>
      <c r="L76" s="1014"/>
      <c r="M76" s="280"/>
      <c r="N76" s="1029"/>
      <c r="O76" s="1029"/>
      <c r="P76" s="1029"/>
      <c r="Q76" s="1029"/>
      <c r="R76" s="1013"/>
      <c r="S76" s="281"/>
      <c r="T76" s="1029"/>
      <c r="U76" s="1029"/>
      <c r="V76" s="1803"/>
      <c r="W76" s="1804"/>
      <c r="X76" s="1029"/>
      <c r="Y76" s="1029"/>
    </row>
    <row r="77" spans="1:27" s="60" customFormat="1" ht="17.149999999999999" customHeight="1" x14ac:dyDescent="0.35">
      <c r="A77" s="953" t="str">
        <f>'Interface_Emptying &amp; Transport'!B35</f>
        <v>Public provider [Name]</v>
      </c>
      <c r="B77" s="1806">
        <f>'Interface_Emptying &amp; Transport'!C35</f>
        <v>0</v>
      </c>
      <c r="C77" s="1807"/>
      <c r="D77" s="1522">
        <f>'Interface_Emptying &amp; Transport'!E35</f>
        <v>0</v>
      </c>
      <c r="E77" s="1522">
        <f>'Interface_Emptying &amp; Transport'!F35</f>
        <v>0</v>
      </c>
      <c r="F77" s="1522">
        <f>'Interface_Emptying &amp; Transport'!G35</f>
        <v>0</v>
      </c>
      <c r="G77" s="988">
        <f>'Interface_Emptying &amp; Transport'!H35</f>
        <v>0</v>
      </c>
      <c r="H77" s="988">
        <f>D77*$D$56</f>
        <v>0</v>
      </c>
      <c r="I77" s="1522">
        <f t="shared" ref="I77:I84" si="0">ROUND((H77*365)/25,0)*25</f>
        <v>0</v>
      </c>
      <c r="J77" s="956">
        <f>'Interface_Emptying &amp; Transport'!I35</f>
        <v>1</v>
      </c>
      <c r="K77" s="1518">
        <f t="shared" ref="K77:K84" si="1">ROUND((I77*(1-J77))/25,0)*25</f>
        <v>0</v>
      </c>
      <c r="L77" s="1518">
        <f t="shared" ref="L77:L84" si="2">ROUND((I77*J77)/25,0)*25</f>
        <v>0</v>
      </c>
      <c r="M77" s="129"/>
      <c r="N77" s="1015">
        <f>'Interface_Emptying &amp; Transport'!K35</f>
        <v>0</v>
      </c>
      <c r="O77" s="1015">
        <f>'Interface_Emptying &amp; Transport'!L35</f>
        <v>0</v>
      </c>
      <c r="P77" s="1015">
        <f>'Interface_Emptying &amp; Transport'!M35</f>
        <v>0</v>
      </c>
      <c r="Q77" s="1015">
        <f>'Interface_Emptying &amp; Transport'!N35</f>
        <v>0</v>
      </c>
      <c r="R77" s="1015">
        <f>'Interface_Emptying &amp; Transport'!O35</f>
        <v>0</v>
      </c>
      <c r="T77" s="1510">
        <f>'Interface_Emptying &amp; Transport'!Q35</f>
        <v>0</v>
      </c>
      <c r="U77" s="1510">
        <f>'Interface_Emptying &amp; Transport'!R35</f>
        <v>0</v>
      </c>
      <c r="V77" s="1795">
        <f>'Interface_Emptying &amp; Transport'!S35</f>
        <v>0</v>
      </c>
      <c r="W77" s="1796"/>
      <c r="X77" s="1016">
        <f>'Interface_Emptying &amp; Transport'!W35</f>
        <v>0</v>
      </c>
      <c r="Y77" s="947">
        <f>'Interface_Emptying &amp; Transport'!X35</f>
        <v>0</v>
      </c>
    </row>
    <row r="78" spans="1:27" s="60" customFormat="1" ht="17.149999999999999" customHeight="1" x14ac:dyDescent="0.35">
      <c r="A78" s="953" t="str">
        <f>'Interface_Emptying &amp; Transport'!B36</f>
        <v>Public provider [Name]</v>
      </c>
      <c r="B78" s="1806">
        <f>'Interface_Emptying &amp; Transport'!C36</f>
        <v>0</v>
      </c>
      <c r="C78" s="1807"/>
      <c r="D78" s="1522">
        <f>'Interface_Emptying &amp; Transport'!E36</f>
        <v>0</v>
      </c>
      <c r="E78" s="1522">
        <f>'Interface_Emptying &amp; Transport'!F36</f>
        <v>0</v>
      </c>
      <c r="F78" s="1522">
        <f>'Interface_Emptying &amp; Transport'!G36</f>
        <v>0</v>
      </c>
      <c r="G78" s="988">
        <f>'Interface_Emptying &amp; Transport'!H36</f>
        <v>0</v>
      </c>
      <c r="H78" s="988">
        <f t="shared" ref="H78:H84" si="3">D78*$D$56</f>
        <v>0</v>
      </c>
      <c r="I78" s="1522">
        <f t="shared" si="0"/>
        <v>0</v>
      </c>
      <c r="J78" s="956">
        <f>'Interface_Emptying &amp; Transport'!I36</f>
        <v>1</v>
      </c>
      <c r="K78" s="1518">
        <f t="shared" si="1"/>
        <v>0</v>
      </c>
      <c r="L78" s="1518">
        <f t="shared" si="2"/>
        <v>0</v>
      </c>
      <c r="M78" s="130"/>
      <c r="N78" s="1015">
        <f>'Interface_Emptying &amp; Transport'!K36</f>
        <v>0</v>
      </c>
      <c r="O78" s="1015">
        <f>'Interface_Emptying &amp; Transport'!L36</f>
        <v>0</v>
      </c>
      <c r="P78" s="1015">
        <f>'Interface_Emptying &amp; Transport'!M36</f>
        <v>0</v>
      </c>
      <c r="Q78" s="1015">
        <f>'Interface_Emptying &amp; Transport'!N36</f>
        <v>0</v>
      </c>
      <c r="R78" s="1015">
        <f>'Interface_Emptying &amp; Transport'!O36</f>
        <v>0</v>
      </c>
      <c r="T78" s="1510">
        <f>'Interface_Emptying &amp; Transport'!Q36</f>
        <v>0</v>
      </c>
      <c r="U78" s="1510">
        <f>'Interface_Emptying &amp; Transport'!R36</f>
        <v>0</v>
      </c>
      <c r="V78" s="1795">
        <f>'Interface_Emptying &amp; Transport'!S36</f>
        <v>0</v>
      </c>
      <c r="W78" s="1796"/>
      <c r="X78" s="1016">
        <f>'Interface_Emptying &amp; Transport'!W36</f>
        <v>0</v>
      </c>
      <c r="Y78" s="947">
        <f>'Interface_Emptying &amp; Transport'!X36</f>
        <v>0</v>
      </c>
    </row>
    <row r="79" spans="1:27" s="60" customFormat="1" ht="17.149999999999999" customHeight="1" x14ac:dyDescent="0.35">
      <c r="A79" s="953" t="str">
        <f>'Interface_Emptying &amp; Transport'!B37</f>
        <v>300 providers (approx)</v>
      </c>
      <c r="B79" s="1806" t="str">
        <f>'Interface_Emptying &amp; Transport'!C37</f>
        <v>Vehicle-mounted vacuum pump</v>
      </c>
      <c r="C79" s="1807"/>
      <c r="D79" s="1522">
        <f>'Interface_Emptying &amp; Transport'!E37</f>
        <v>405.17500000000001</v>
      </c>
      <c r="E79" s="1522" t="str">
        <f>'Interface_Emptying &amp; Transport'!F37</f>
        <v>PRIVATE</v>
      </c>
      <c r="F79" s="1522">
        <f>'Interface_Emptying &amp; Transport'!G37</f>
        <v>0</v>
      </c>
      <c r="G79" s="988">
        <f>'Interface_Emptying &amp; Transport'!H37</f>
        <v>0</v>
      </c>
      <c r="H79" s="988">
        <f t="shared" si="3"/>
        <v>405.17500000000001</v>
      </c>
      <c r="I79" s="1522">
        <f t="shared" si="0"/>
        <v>147900</v>
      </c>
      <c r="J79" s="956">
        <f>'Interface_Emptying &amp; Transport'!I37</f>
        <v>1</v>
      </c>
      <c r="K79" s="1518">
        <f t="shared" si="1"/>
        <v>0</v>
      </c>
      <c r="L79" s="1518">
        <f t="shared" si="2"/>
        <v>147900</v>
      </c>
      <c r="M79" s="129"/>
      <c r="N79" s="1015">
        <f>'Interface_Emptying &amp; Transport'!K37</f>
        <v>300</v>
      </c>
      <c r="O79" s="1015">
        <f>'Interface_Emptying &amp; Transport'!L37</f>
        <v>1500</v>
      </c>
      <c r="P79" s="1015">
        <f>'Interface_Emptying &amp; Transport'!M37</f>
        <v>500</v>
      </c>
      <c r="Q79" s="1015" t="str">
        <f>'Interface_Emptying &amp; Transport'!N37</f>
        <v>NO</v>
      </c>
      <c r="R79" s="1015" t="str">
        <f>'Interface_Emptying &amp; Transport'!O37</f>
        <v>SO SO</v>
      </c>
      <c r="T79" s="1510" t="str">
        <f>'Interface_Emptying &amp; Transport'!Q37</f>
        <v>YES</v>
      </c>
      <c r="U79" s="1510" t="str">
        <f>'Interface_Emptying &amp; Transport'!R37</f>
        <v>YES</v>
      </c>
      <c r="V79" s="1795" t="str">
        <f>'Interface_Emptying &amp; Transport'!S37</f>
        <v>Some of the areas are densely populated and difficult for the vehicle to reach.</v>
      </c>
      <c r="W79" s="1796"/>
      <c r="X79" s="1016" t="str">
        <f>'Interface_Emptying &amp; Transport'!W37</f>
        <v>ON CALL</v>
      </c>
      <c r="Y79" s="947">
        <f>'Interface_Emptying &amp; Transport'!X37</f>
        <v>600</v>
      </c>
    </row>
    <row r="80" spans="1:27" s="60" customFormat="1" ht="17.149999999999999" customHeight="1" x14ac:dyDescent="0.35">
      <c r="A80" s="953" t="str">
        <f>'Interface_Emptying &amp; Transport'!B38</f>
        <v>Private provider 2 [Name]</v>
      </c>
      <c r="B80" s="1806">
        <f>'Interface_Emptying &amp; Transport'!C38</f>
        <v>0</v>
      </c>
      <c r="C80" s="1807"/>
      <c r="D80" s="1522">
        <f>'Interface_Emptying &amp; Transport'!E38</f>
        <v>0</v>
      </c>
      <c r="E80" s="1522">
        <f>'Interface_Emptying &amp; Transport'!F38</f>
        <v>0</v>
      </c>
      <c r="F80" s="1522">
        <f>'Interface_Emptying &amp; Transport'!G38</f>
        <v>0</v>
      </c>
      <c r="G80" s="988">
        <f>'Interface_Emptying &amp; Transport'!H38</f>
        <v>0</v>
      </c>
      <c r="H80" s="988">
        <f t="shared" si="3"/>
        <v>0</v>
      </c>
      <c r="I80" s="1522">
        <f t="shared" si="0"/>
        <v>0</v>
      </c>
      <c r="J80" s="956">
        <f>'Interface_Emptying &amp; Transport'!I38</f>
        <v>1</v>
      </c>
      <c r="K80" s="1518">
        <f t="shared" si="1"/>
        <v>0</v>
      </c>
      <c r="L80" s="1518">
        <f t="shared" si="2"/>
        <v>0</v>
      </c>
      <c r="M80" s="130"/>
      <c r="N80" s="1015">
        <f>'Interface_Emptying &amp; Transport'!K38</f>
        <v>0</v>
      </c>
      <c r="O80" s="1015">
        <f>'Interface_Emptying &amp; Transport'!L38</f>
        <v>0</v>
      </c>
      <c r="P80" s="1015">
        <f>'Interface_Emptying &amp; Transport'!M38</f>
        <v>0</v>
      </c>
      <c r="Q80" s="1015">
        <f>'Interface_Emptying &amp; Transport'!N38</f>
        <v>0</v>
      </c>
      <c r="R80" s="1015">
        <f>'Interface_Emptying &amp; Transport'!O38</f>
        <v>0</v>
      </c>
      <c r="T80" s="1510">
        <f>'Interface_Emptying &amp; Transport'!Q38</f>
        <v>0</v>
      </c>
      <c r="U80" s="1510">
        <f>'Interface_Emptying &amp; Transport'!R38</f>
        <v>0</v>
      </c>
      <c r="V80" s="1795">
        <f>'Interface_Emptying &amp; Transport'!S38</f>
        <v>0</v>
      </c>
      <c r="W80" s="1796"/>
      <c r="X80" s="1016">
        <f>'Interface_Emptying &amp; Transport'!W38</f>
        <v>0</v>
      </c>
      <c r="Y80" s="947">
        <f>'Interface_Emptying &amp; Transport'!X38</f>
        <v>0</v>
      </c>
    </row>
    <row r="81" spans="1:27" s="60" customFormat="1" ht="17.149999999999999" customHeight="1" x14ac:dyDescent="0.35">
      <c r="A81" s="953" t="str">
        <f>'Interface_Emptying &amp; Transport'!B39</f>
        <v>Private provider 3 [Name]</v>
      </c>
      <c r="B81" s="1806">
        <f>'Interface_Emptying &amp; Transport'!C39</f>
        <v>0</v>
      </c>
      <c r="C81" s="1807"/>
      <c r="D81" s="1522">
        <f>'Interface_Emptying &amp; Transport'!E39</f>
        <v>0</v>
      </c>
      <c r="E81" s="1522">
        <f>'Interface_Emptying &amp; Transport'!F39</f>
        <v>0</v>
      </c>
      <c r="F81" s="1522">
        <f>'Interface_Emptying &amp; Transport'!G39</f>
        <v>0</v>
      </c>
      <c r="G81" s="988">
        <f>'Interface_Emptying &amp; Transport'!H39</f>
        <v>0</v>
      </c>
      <c r="H81" s="988">
        <f t="shared" si="3"/>
        <v>0</v>
      </c>
      <c r="I81" s="1522">
        <f t="shared" si="0"/>
        <v>0</v>
      </c>
      <c r="J81" s="956">
        <f>'Interface_Emptying &amp; Transport'!I39</f>
        <v>1</v>
      </c>
      <c r="K81" s="1518">
        <f t="shared" si="1"/>
        <v>0</v>
      </c>
      <c r="L81" s="1518">
        <f t="shared" si="2"/>
        <v>0</v>
      </c>
      <c r="M81" s="129"/>
      <c r="N81" s="1015">
        <f>'Interface_Emptying &amp; Transport'!K39</f>
        <v>0</v>
      </c>
      <c r="O81" s="1015">
        <f>'Interface_Emptying &amp; Transport'!L39</f>
        <v>0</v>
      </c>
      <c r="P81" s="1015">
        <f>'Interface_Emptying &amp; Transport'!M39</f>
        <v>0</v>
      </c>
      <c r="Q81" s="1015">
        <f>'Interface_Emptying &amp; Transport'!N39</f>
        <v>0</v>
      </c>
      <c r="R81" s="1015">
        <f>'Interface_Emptying &amp; Transport'!O39</f>
        <v>0</v>
      </c>
      <c r="T81" s="1510">
        <f>'Interface_Emptying &amp; Transport'!Q39</f>
        <v>0</v>
      </c>
      <c r="U81" s="1510">
        <f>'Interface_Emptying &amp; Transport'!R39</f>
        <v>0</v>
      </c>
      <c r="V81" s="1795">
        <f>'Interface_Emptying &amp; Transport'!S39</f>
        <v>0</v>
      </c>
      <c r="W81" s="1796"/>
      <c r="X81" s="1016">
        <f>'Interface_Emptying &amp; Transport'!W39</f>
        <v>0</v>
      </c>
      <c r="Y81" s="947">
        <f>'Interface_Emptying &amp; Transport'!X39</f>
        <v>0</v>
      </c>
    </row>
    <row r="82" spans="1:27" s="60" customFormat="1" ht="17.149999999999999" customHeight="1" x14ac:dyDescent="0.35">
      <c r="A82" s="953" t="str">
        <f>'Interface_Emptying &amp; Transport'!B40</f>
        <v>Private provider 4 [Name]</v>
      </c>
      <c r="B82" s="1806">
        <f>'Interface_Emptying &amp; Transport'!C40</f>
        <v>0</v>
      </c>
      <c r="C82" s="1807"/>
      <c r="D82" s="1522">
        <f>'Interface_Emptying &amp; Transport'!E40</f>
        <v>0</v>
      </c>
      <c r="E82" s="1522">
        <f>'Interface_Emptying &amp; Transport'!F40</f>
        <v>0</v>
      </c>
      <c r="F82" s="1522">
        <f>'Interface_Emptying &amp; Transport'!G40</f>
        <v>0</v>
      </c>
      <c r="G82" s="988">
        <f>'Interface_Emptying &amp; Transport'!H40</f>
        <v>0</v>
      </c>
      <c r="H82" s="988">
        <f t="shared" si="3"/>
        <v>0</v>
      </c>
      <c r="I82" s="1522">
        <f t="shared" si="0"/>
        <v>0</v>
      </c>
      <c r="J82" s="956">
        <f>'Interface_Emptying &amp; Transport'!I40</f>
        <v>1</v>
      </c>
      <c r="K82" s="1518">
        <f t="shared" si="1"/>
        <v>0</v>
      </c>
      <c r="L82" s="1518">
        <f t="shared" si="2"/>
        <v>0</v>
      </c>
      <c r="M82" s="130"/>
      <c r="N82" s="1015">
        <f>'Interface_Emptying &amp; Transport'!K40</f>
        <v>0</v>
      </c>
      <c r="O82" s="1015">
        <f>'Interface_Emptying &amp; Transport'!L40</f>
        <v>0</v>
      </c>
      <c r="P82" s="1015">
        <f>'Interface_Emptying &amp; Transport'!M40</f>
        <v>0</v>
      </c>
      <c r="Q82" s="1015">
        <f>'Interface_Emptying &amp; Transport'!N40</f>
        <v>0</v>
      </c>
      <c r="R82" s="1015">
        <f>'Interface_Emptying &amp; Transport'!O40</f>
        <v>0</v>
      </c>
      <c r="T82" s="1510">
        <f>'Interface_Emptying &amp; Transport'!Q40</f>
        <v>0</v>
      </c>
      <c r="U82" s="1510">
        <f>'Interface_Emptying &amp; Transport'!R40</f>
        <v>0</v>
      </c>
      <c r="V82" s="1795">
        <f>'Interface_Emptying &amp; Transport'!S40</f>
        <v>0</v>
      </c>
      <c r="W82" s="1796"/>
      <c r="X82" s="1016">
        <f>'Interface_Emptying &amp; Transport'!W40</f>
        <v>0</v>
      </c>
      <c r="Y82" s="947">
        <f>'Interface_Emptying &amp; Transport'!X40</f>
        <v>0</v>
      </c>
    </row>
    <row r="83" spans="1:27" s="60" customFormat="1" ht="17.149999999999999" customHeight="1" x14ac:dyDescent="0.35">
      <c r="A83" s="953" t="str">
        <f>'Interface_Emptying &amp; Transport'!B41</f>
        <v>Private provider 5 [Name]</v>
      </c>
      <c r="B83" s="1806">
        <f>'Interface_Emptying &amp; Transport'!C41</f>
        <v>0</v>
      </c>
      <c r="C83" s="1807"/>
      <c r="D83" s="1522">
        <f>'Interface_Emptying &amp; Transport'!E41</f>
        <v>0</v>
      </c>
      <c r="E83" s="1522">
        <f>'Interface_Emptying &amp; Transport'!F41</f>
        <v>0</v>
      </c>
      <c r="F83" s="1522">
        <f>'Interface_Emptying &amp; Transport'!G41</f>
        <v>0</v>
      </c>
      <c r="G83" s="988">
        <f>'Interface_Emptying &amp; Transport'!H41</f>
        <v>0</v>
      </c>
      <c r="H83" s="988">
        <f t="shared" si="3"/>
        <v>0</v>
      </c>
      <c r="I83" s="1522">
        <f t="shared" si="0"/>
        <v>0</v>
      </c>
      <c r="J83" s="956">
        <f>'Interface_Emptying &amp; Transport'!I41</f>
        <v>1</v>
      </c>
      <c r="K83" s="1518">
        <f t="shared" si="1"/>
        <v>0</v>
      </c>
      <c r="L83" s="1518">
        <f t="shared" si="2"/>
        <v>0</v>
      </c>
      <c r="M83" s="129"/>
      <c r="N83" s="1015">
        <f>'Interface_Emptying &amp; Transport'!K41</f>
        <v>0</v>
      </c>
      <c r="O83" s="1015">
        <f>'Interface_Emptying &amp; Transport'!L41</f>
        <v>0</v>
      </c>
      <c r="P83" s="1015">
        <f>'Interface_Emptying &amp; Transport'!M41</f>
        <v>0</v>
      </c>
      <c r="Q83" s="1015">
        <f>'Interface_Emptying &amp; Transport'!N41</f>
        <v>0</v>
      </c>
      <c r="R83" s="1015">
        <f>'Interface_Emptying &amp; Transport'!O41</f>
        <v>0</v>
      </c>
      <c r="T83" s="1510">
        <f>'Interface_Emptying &amp; Transport'!Q41</f>
        <v>0</v>
      </c>
      <c r="U83" s="1510">
        <f>'Interface_Emptying &amp; Transport'!R41</f>
        <v>0</v>
      </c>
      <c r="V83" s="1795">
        <f>'Interface_Emptying &amp; Transport'!S41</f>
        <v>0</v>
      </c>
      <c r="W83" s="1796"/>
      <c r="X83" s="1016">
        <f>'Interface_Emptying &amp; Transport'!W41</f>
        <v>0</v>
      </c>
      <c r="Y83" s="947">
        <f>'Interface_Emptying &amp; Transport'!X41</f>
        <v>0</v>
      </c>
    </row>
    <row r="84" spans="1:27" s="60" customFormat="1" ht="17.149999999999999" customHeight="1" x14ac:dyDescent="0.35">
      <c r="A84" s="953" t="str">
        <f>'Interface_Emptying &amp; Transport'!B42</f>
        <v>Private provider 6 [Name]</v>
      </c>
      <c r="B84" s="1806">
        <f>'Interface_Emptying &amp; Transport'!C42</f>
        <v>0</v>
      </c>
      <c r="C84" s="1807"/>
      <c r="D84" s="1522">
        <f>'Interface_Emptying &amp; Transport'!E42</f>
        <v>0</v>
      </c>
      <c r="E84" s="1522">
        <f>'Interface_Emptying &amp; Transport'!F42</f>
        <v>0</v>
      </c>
      <c r="F84" s="1522">
        <f>'Interface_Emptying &amp; Transport'!G42</f>
        <v>0</v>
      </c>
      <c r="G84" s="988">
        <f>'Interface_Emptying &amp; Transport'!H42</f>
        <v>0</v>
      </c>
      <c r="H84" s="988">
        <f t="shared" si="3"/>
        <v>0</v>
      </c>
      <c r="I84" s="1522">
        <f t="shared" si="0"/>
        <v>0</v>
      </c>
      <c r="J84" s="956">
        <f>'Interface_Emptying &amp; Transport'!I42</f>
        <v>1</v>
      </c>
      <c r="K84" s="1518">
        <f t="shared" si="1"/>
        <v>0</v>
      </c>
      <c r="L84" s="1518">
        <f t="shared" si="2"/>
        <v>0</v>
      </c>
      <c r="M84" s="130"/>
      <c r="N84" s="1015">
        <f>'Interface_Emptying &amp; Transport'!K42</f>
        <v>0</v>
      </c>
      <c r="O84" s="1015">
        <f>'Interface_Emptying &amp; Transport'!L42</f>
        <v>0</v>
      </c>
      <c r="P84" s="1015">
        <f>'Interface_Emptying &amp; Transport'!M42</f>
        <v>0</v>
      </c>
      <c r="Q84" s="1015">
        <f>'Interface_Emptying &amp; Transport'!N42</f>
        <v>0</v>
      </c>
      <c r="R84" s="1015">
        <f>'Interface_Emptying &amp; Transport'!O42</f>
        <v>0</v>
      </c>
      <c r="T84" s="1510">
        <f>'Interface_Emptying &amp; Transport'!Q42</f>
        <v>0</v>
      </c>
      <c r="U84" s="1510">
        <f>'Interface_Emptying &amp; Transport'!R42</f>
        <v>0</v>
      </c>
      <c r="V84" s="1795">
        <f>'Interface_Emptying &amp; Transport'!S42</f>
        <v>0</v>
      </c>
      <c r="W84" s="1796"/>
      <c r="X84" s="1016">
        <f>'Interface_Emptying &amp; Transport'!W42</f>
        <v>0</v>
      </c>
      <c r="Y84" s="947">
        <f>'Interface_Emptying &amp; Transport'!X42</f>
        <v>0</v>
      </c>
    </row>
    <row r="85" spans="1:27" s="12" customFormat="1" ht="17.149999999999999" customHeight="1" x14ac:dyDescent="0.35">
      <c r="A85" s="950" t="s">
        <v>361</v>
      </c>
      <c r="B85" s="1797"/>
      <c r="C85" s="1798"/>
      <c r="D85" s="948">
        <f>SUM(D77:D84)</f>
        <v>405.17500000000001</v>
      </c>
      <c r="E85" s="1503"/>
      <c r="F85" s="948">
        <f>SUM(F77:F84)</f>
        <v>0</v>
      </c>
      <c r="G85" s="963"/>
      <c r="H85" s="1006">
        <f>SUM(H77:H84)</f>
        <v>405.17500000000001</v>
      </c>
      <c r="I85" s="948">
        <f>SUM(I77:I84)</f>
        <v>147900</v>
      </c>
      <c r="J85" s="1006"/>
      <c r="K85" s="948">
        <f>SUM(K77:K84)</f>
        <v>0</v>
      </c>
      <c r="L85" s="948">
        <f>SUM(L77:L84)</f>
        <v>147900</v>
      </c>
      <c r="M85" s="81"/>
      <c r="N85" s="950"/>
      <c r="O85" s="950"/>
      <c r="P85" s="950"/>
      <c r="Q85" s="950"/>
      <c r="R85" s="950"/>
      <c r="T85" s="963"/>
      <c r="U85" s="963"/>
      <c r="V85" s="1799"/>
      <c r="W85" s="1800"/>
      <c r="X85" s="963"/>
      <c r="Y85" s="963"/>
    </row>
    <row r="86" spans="1:27" s="25" customFormat="1" ht="17.149999999999999" customHeight="1" x14ac:dyDescent="0.35">
      <c r="A86" s="78"/>
      <c r="B86" s="78"/>
      <c r="C86" s="78"/>
      <c r="D86" s="347"/>
      <c r="E86" s="347"/>
      <c r="F86" s="347"/>
      <c r="G86" s="347"/>
      <c r="H86" s="196"/>
      <c r="I86" s="278">
        <f>IF($I$85=0,0,I85/$I$85)</f>
        <v>1</v>
      </c>
      <c r="J86" s="422"/>
      <c r="K86" s="278">
        <f>IF($I$85=0,0,K85/$I$85)</f>
        <v>0</v>
      </c>
      <c r="L86" s="278">
        <f>IF($I$85=0,0,L85/$I$85)</f>
        <v>1</v>
      </c>
      <c r="M86" s="107"/>
      <c r="N86" s="107"/>
      <c r="O86" s="196"/>
      <c r="P86" s="32"/>
      <c r="Q86" s="196"/>
      <c r="R86" s="107"/>
      <c r="S86" s="107"/>
      <c r="T86" s="107"/>
      <c r="U86" s="107"/>
      <c r="V86" s="196"/>
      <c r="W86" s="107"/>
      <c r="X86" s="107"/>
      <c r="Y86" s="107"/>
      <c r="Z86" s="196"/>
      <c r="AA86" s="196"/>
    </row>
    <row r="87" spans="1:27" s="25" customFormat="1" ht="17.149999999999999" customHeight="1" x14ac:dyDescent="0.35">
      <c r="A87" s="78"/>
      <c r="B87" s="78"/>
      <c r="C87" s="78"/>
      <c r="D87" s="347"/>
      <c r="E87" s="347"/>
      <c r="F87" s="347"/>
      <c r="G87" s="347"/>
      <c r="H87" s="196"/>
      <c r="I87" s="196"/>
      <c r="J87" s="196"/>
      <c r="K87" s="196"/>
      <c r="L87" s="196"/>
      <c r="M87" s="196"/>
      <c r="N87" s="196"/>
      <c r="O87" s="196"/>
      <c r="P87" s="32"/>
      <c r="Q87" s="196"/>
      <c r="R87" s="107"/>
      <c r="S87" s="107"/>
      <c r="T87" s="107"/>
      <c r="U87" s="196"/>
      <c r="V87" s="107"/>
      <c r="W87" s="107"/>
      <c r="X87" s="107"/>
      <c r="Y87" s="107"/>
      <c r="Z87" s="196"/>
      <c r="AA87" s="196"/>
    </row>
    <row r="88" spans="1:27" s="25" customFormat="1" ht="17.149999999999999" customHeight="1" x14ac:dyDescent="0.35">
      <c r="A88" s="78"/>
      <c r="B88" s="78"/>
      <c r="C88" s="78"/>
      <c r="D88" s="347"/>
      <c r="E88" s="347"/>
      <c r="F88" s="347"/>
      <c r="G88" s="347"/>
      <c r="H88" s="196"/>
      <c r="I88" s="196"/>
      <c r="J88" s="196"/>
      <c r="K88" s="196"/>
      <c r="L88" s="196"/>
      <c r="M88" s="196"/>
      <c r="N88" s="196"/>
      <c r="O88" s="196"/>
      <c r="P88" s="32"/>
      <c r="Q88" s="196"/>
      <c r="R88" s="17"/>
      <c r="S88" s="17"/>
      <c r="T88" s="107"/>
      <c r="U88" s="196"/>
      <c r="V88" s="107"/>
      <c r="W88" s="107"/>
      <c r="X88" s="107"/>
      <c r="Y88" s="107"/>
      <c r="Z88" s="196"/>
      <c r="AA88" s="196"/>
    </row>
    <row r="89" spans="1:27" s="107" customFormat="1" ht="17.149999999999999" customHeight="1" x14ac:dyDescent="0.35">
      <c r="A89" s="949" t="s">
        <v>1008</v>
      </c>
      <c r="B89" s="1506" t="s">
        <v>9</v>
      </c>
      <c r="C89" s="78"/>
      <c r="D89" s="347"/>
      <c r="E89" s="347"/>
      <c r="F89" s="347"/>
      <c r="G89" s="347"/>
      <c r="H89" s="196"/>
      <c r="I89" s="196"/>
      <c r="J89" s="196"/>
      <c r="K89" s="196"/>
      <c r="L89" s="196"/>
      <c r="M89" s="196"/>
      <c r="N89" s="196"/>
      <c r="O89" s="196"/>
      <c r="P89" s="32"/>
      <c r="Q89" s="196"/>
      <c r="R89" s="17"/>
      <c r="S89" s="17"/>
      <c r="U89" s="196"/>
      <c r="Z89" s="196"/>
      <c r="AA89" s="196"/>
    </row>
    <row r="90" spans="1:27" s="43" customFormat="1" ht="17.149999999999999" customHeight="1" x14ac:dyDescent="0.35">
      <c r="A90" s="155" t="s">
        <v>1009</v>
      </c>
      <c r="B90" s="1020">
        <f>'Containment volumes'!B99+'Containment volumes'!B100+'Containment volumes'!B101+'Containment volumes'!B103+'Containment volumes'!B104</f>
        <v>154070</v>
      </c>
      <c r="C90" s="122">
        <f>B90/365</f>
        <v>422.10958904109589</v>
      </c>
      <c r="D90" s="97"/>
      <c r="E90" s="97"/>
      <c r="F90" s="97"/>
      <c r="G90" s="97"/>
      <c r="H90" s="44"/>
      <c r="I90" s="44"/>
      <c r="J90" s="44"/>
      <c r="K90" s="44"/>
      <c r="L90" s="44"/>
      <c r="M90" s="44"/>
      <c r="N90" s="44"/>
      <c r="O90" s="44"/>
      <c r="P90" s="10"/>
      <c r="Q90" s="44"/>
      <c r="R90" s="3"/>
      <c r="S90" s="3"/>
      <c r="U90" s="44"/>
      <c r="Z90" s="44"/>
      <c r="AA90" s="44"/>
    </row>
    <row r="91" spans="1:27" s="43" customFormat="1" ht="17.149999999999999" customHeight="1" x14ac:dyDescent="0.35">
      <c r="A91" s="155" t="s">
        <v>1010</v>
      </c>
      <c r="B91" s="1020">
        <f>ROUND((((D69*E69)+D85)*365)/25,0)*25</f>
        <v>147900</v>
      </c>
      <c r="C91" s="122"/>
      <c r="D91" s="97"/>
      <c r="E91" s="97"/>
      <c r="F91" s="97"/>
      <c r="G91" s="97"/>
      <c r="H91" s="44"/>
      <c r="I91" s="44"/>
      <c r="J91" s="44"/>
      <c r="K91" s="44"/>
      <c r="L91" s="44"/>
      <c r="M91" s="44"/>
      <c r="N91" s="44"/>
      <c r="O91" s="44"/>
      <c r="P91" s="10"/>
      <c r="Q91" s="44"/>
      <c r="R91" s="3"/>
      <c r="S91" s="3"/>
      <c r="U91" s="44"/>
      <c r="Z91" s="44"/>
      <c r="AA91" s="44"/>
    </row>
    <row r="92" spans="1:27" s="107" customFormat="1" ht="17.149999999999999" customHeight="1" x14ac:dyDescent="0.35">
      <c r="A92" s="1017" t="s">
        <v>1011</v>
      </c>
      <c r="B92" s="1018">
        <f>IF(B90=0,0,B91/B90)</f>
        <v>0.95995326799506719</v>
      </c>
      <c r="C92" s="78"/>
      <c r="D92" s="424"/>
      <c r="E92" s="347"/>
      <c r="F92" s="347"/>
      <c r="G92" s="347"/>
      <c r="H92" s="196"/>
      <c r="I92" s="196"/>
      <c r="J92" s="196"/>
      <c r="K92" s="196"/>
      <c r="L92" s="196"/>
      <c r="M92" s="196"/>
      <c r="N92" s="196"/>
      <c r="O92" s="196"/>
      <c r="P92" s="32"/>
      <c r="Q92" s="196"/>
      <c r="R92" s="17"/>
      <c r="S92" s="17"/>
      <c r="U92" s="196"/>
      <c r="Z92" s="196"/>
      <c r="AA92" s="196"/>
    </row>
    <row r="93" spans="1:27" s="107" customFormat="1" ht="17.149999999999999" customHeight="1" x14ac:dyDescent="0.35">
      <c r="A93" s="78"/>
      <c r="B93" s="78"/>
      <c r="C93" s="78"/>
      <c r="D93" s="347"/>
      <c r="E93" s="347"/>
      <c r="F93" s="347"/>
      <c r="G93" s="347"/>
      <c r="H93" s="196"/>
      <c r="I93" s="196"/>
      <c r="J93" s="196"/>
      <c r="K93" s="196"/>
      <c r="L93" s="196"/>
      <c r="M93" s="196"/>
      <c r="N93" s="196"/>
      <c r="O93" s="196"/>
      <c r="P93" s="32"/>
      <c r="Q93" s="196"/>
      <c r="R93" s="17"/>
      <c r="S93" s="17"/>
      <c r="U93" s="196"/>
      <c r="Z93" s="196"/>
      <c r="AA93" s="196"/>
    </row>
    <row r="94" spans="1:27" s="107" customFormat="1" ht="17.149999999999999" customHeight="1" x14ac:dyDescent="0.35">
      <c r="A94" s="949" t="s">
        <v>1012</v>
      </c>
      <c r="B94" s="1506" t="s">
        <v>9</v>
      </c>
      <c r="C94" s="78"/>
      <c r="D94" s="347"/>
      <c r="E94" s="347"/>
      <c r="F94" s="347"/>
      <c r="G94" s="347"/>
      <c r="H94" s="196"/>
      <c r="I94" s="196"/>
      <c r="J94" s="196"/>
      <c r="K94" s="196"/>
      <c r="L94" s="196"/>
      <c r="M94" s="196"/>
      <c r="N94" s="196"/>
      <c r="O94" s="196"/>
      <c r="P94" s="32"/>
      <c r="Q94" s="196"/>
      <c r="R94" s="17"/>
      <c r="S94" s="17"/>
      <c r="U94" s="196"/>
      <c r="Z94" s="196"/>
      <c r="AA94" s="196"/>
    </row>
    <row r="95" spans="1:27" s="107" customFormat="1" ht="17.149999999999999" customHeight="1" x14ac:dyDescent="0.35">
      <c r="A95" s="155" t="s">
        <v>1013</v>
      </c>
      <c r="B95" s="1020">
        <f>B44</f>
        <v>147750</v>
      </c>
      <c r="C95" s="78"/>
      <c r="D95" s="347"/>
      <c r="E95" s="347"/>
      <c r="F95" s="347"/>
      <c r="G95" s="347"/>
      <c r="H95" s="196"/>
      <c r="I95" s="196"/>
      <c r="J95" s="196"/>
      <c r="K95" s="196"/>
      <c r="L95" s="196"/>
      <c r="M95" s="196"/>
      <c r="N95" s="196"/>
      <c r="O95" s="196"/>
      <c r="P95" s="32"/>
      <c r="Q95" s="196"/>
      <c r="R95" s="17"/>
      <c r="S95" s="17"/>
      <c r="U95" s="196"/>
      <c r="Z95" s="196"/>
      <c r="AA95" s="196"/>
    </row>
    <row r="96" spans="1:27" s="107" customFormat="1" ht="17.149999999999999" customHeight="1" x14ac:dyDescent="0.35">
      <c r="A96" s="155" t="s">
        <v>1014</v>
      </c>
      <c r="B96" s="1020">
        <f>G69+I85</f>
        <v>147900</v>
      </c>
      <c r="C96" s="78"/>
      <c r="D96" s="347"/>
      <c r="E96" s="347"/>
      <c r="F96" s="347"/>
      <c r="G96" s="347"/>
      <c r="H96" s="196"/>
      <c r="I96" s="196"/>
      <c r="J96" s="196"/>
      <c r="K96" s="196"/>
      <c r="L96" s="196"/>
      <c r="M96" s="196"/>
      <c r="N96" s="196"/>
      <c r="O96" s="196"/>
      <c r="P96" s="32"/>
      <c r="Q96" s="196"/>
      <c r="R96" s="17"/>
      <c r="S96" s="17"/>
      <c r="U96" s="196"/>
      <c r="Z96" s="196"/>
      <c r="AA96" s="196"/>
    </row>
    <row r="97" spans="1:27" s="107" customFormat="1" ht="17.149999999999999" customHeight="1" x14ac:dyDescent="0.35">
      <c r="A97" s="1017" t="s">
        <v>251</v>
      </c>
      <c r="B97" s="1019">
        <f>B95-B96</f>
        <v>-150</v>
      </c>
      <c r="C97" s="78"/>
      <c r="D97" s="347"/>
      <c r="E97" s="347"/>
      <c r="F97" s="347"/>
      <c r="G97" s="347"/>
      <c r="H97" s="196"/>
      <c r="I97" s="196"/>
      <c r="J97" s="196"/>
      <c r="K97" s="196"/>
      <c r="L97" s="196"/>
      <c r="M97" s="196"/>
      <c r="N97" s="196"/>
      <c r="O97" s="196"/>
      <c r="P97" s="32"/>
      <c r="Q97" s="196"/>
      <c r="R97" s="17"/>
      <c r="S97" s="17"/>
      <c r="U97" s="196"/>
      <c r="Z97" s="196"/>
      <c r="AA97" s="196"/>
    </row>
    <row r="98" spans="1:27" s="107" customFormat="1" ht="17.149999999999999" customHeight="1" x14ac:dyDescent="0.35">
      <c r="A98" s="1017" t="s">
        <v>1015</v>
      </c>
      <c r="B98" s="1018">
        <f>IF(B95=0,0,B96/B95)</f>
        <v>1.001015228426396</v>
      </c>
      <c r="C98" s="78"/>
      <c r="D98" s="347"/>
      <c r="E98" s="347"/>
      <c r="F98" s="347"/>
      <c r="G98" s="347"/>
      <c r="H98" s="196"/>
      <c r="I98" s="196"/>
      <c r="J98" s="196"/>
      <c r="K98" s="196"/>
      <c r="L98" s="196"/>
      <c r="M98" s="196"/>
      <c r="N98" s="196"/>
      <c r="O98" s="196"/>
      <c r="P98" s="32"/>
      <c r="Q98" s="196"/>
      <c r="R98" s="17"/>
      <c r="S98" s="17"/>
      <c r="U98" s="196"/>
      <c r="Z98" s="196"/>
      <c r="AA98" s="196"/>
    </row>
    <row r="99" spans="1:27" s="43" customFormat="1" ht="17.149999999999999" customHeight="1" x14ac:dyDescent="0.35">
      <c r="A99" s="394"/>
      <c r="B99" s="395"/>
      <c r="C99" s="122"/>
      <c r="D99" s="97"/>
      <c r="E99" s="97"/>
      <c r="F99" s="97"/>
      <c r="G99" s="97"/>
      <c r="H99" s="44"/>
      <c r="I99" s="44"/>
      <c r="J99" s="44"/>
      <c r="K99" s="44"/>
      <c r="L99" s="44"/>
      <c r="M99" s="44"/>
      <c r="N99" s="44"/>
      <c r="O99" s="44"/>
      <c r="P99" s="10"/>
      <c r="Q99" s="44"/>
      <c r="U99" s="44"/>
      <c r="Z99" s="44"/>
      <c r="AA99" s="44"/>
    </row>
    <row r="100" spans="1:27" s="43" customFormat="1" ht="17.149999999999999" customHeight="1" x14ac:dyDescent="0.35">
      <c r="A100" s="398"/>
      <c r="B100" s="399"/>
      <c r="C100" s="122"/>
      <c r="D100" s="97"/>
      <c r="E100" s="97"/>
      <c r="F100" s="97"/>
      <c r="G100" s="97"/>
      <c r="H100" s="44"/>
      <c r="I100" s="44"/>
      <c r="J100" s="44"/>
      <c r="K100" s="44"/>
      <c r="L100" s="44"/>
      <c r="M100" s="44"/>
      <c r="N100" s="44"/>
      <c r="O100" s="44"/>
      <c r="P100" s="10"/>
      <c r="Q100" s="44"/>
      <c r="U100" s="44"/>
      <c r="Z100" s="44"/>
      <c r="AA100" s="44"/>
    </row>
    <row r="101" spans="1:27" s="43" customFormat="1" ht="17.149999999999999" customHeight="1" x14ac:dyDescent="0.35">
      <c r="A101" s="950" t="s">
        <v>1016</v>
      </c>
      <c r="B101" s="1504" t="s">
        <v>9</v>
      </c>
      <c r="C101" s="1508" t="s">
        <v>253</v>
      </c>
      <c r="D101" s="97"/>
      <c r="E101" s="97"/>
      <c r="F101" s="97"/>
      <c r="G101" s="97"/>
      <c r="H101" s="44"/>
      <c r="I101" s="44"/>
      <c r="J101" s="44"/>
      <c r="K101" s="44"/>
      <c r="L101" s="44"/>
      <c r="M101" s="44"/>
      <c r="N101" s="44"/>
      <c r="O101" s="44"/>
      <c r="P101" s="10"/>
      <c r="Q101" s="44"/>
      <c r="U101" s="44"/>
      <c r="Z101" s="44"/>
      <c r="AA101" s="44"/>
    </row>
    <row r="102" spans="1:27" s="43" customFormat="1" ht="17.149999999999999" customHeight="1" x14ac:dyDescent="0.35">
      <c r="A102" s="977" t="s">
        <v>924</v>
      </c>
      <c r="B102" s="1023">
        <f>SUM(B103:B104)</f>
        <v>25531850</v>
      </c>
      <c r="C102" s="1024">
        <f>SUM(C103:C104)</f>
        <v>110158300</v>
      </c>
      <c r="D102" s="97"/>
      <c r="E102" s="97"/>
      <c r="F102" s="97"/>
      <c r="G102" s="97"/>
      <c r="H102" s="44"/>
      <c r="I102" s="44"/>
      <c r="J102" s="44"/>
      <c r="K102" s="44"/>
      <c r="L102" s="44"/>
      <c r="M102" s="44"/>
      <c r="N102" s="44"/>
      <c r="O102" s="44"/>
      <c r="P102" s="10"/>
      <c r="Q102" s="44"/>
      <c r="U102" s="44"/>
      <c r="Z102" s="44"/>
      <c r="AA102" s="44"/>
    </row>
    <row r="103" spans="1:27" s="43" customFormat="1" ht="17.149999999999999" customHeight="1" x14ac:dyDescent="0.35">
      <c r="A103" s="410" t="s">
        <v>1017</v>
      </c>
      <c r="B103" s="105">
        <f>('Containment volumes'!B143-'Containment volumes'!G143)+('Containment volumes'!B254-'Containment volumes'!G254)</f>
        <v>25531850</v>
      </c>
      <c r="C103" s="105">
        <f>('Containment volumes'!C143-'Containment volumes'!H143)+('Containment volumes'!C254-'Containment volumes'!H254)</f>
        <v>110158300</v>
      </c>
      <c r="D103" s="97"/>
      <c r="E103" s="97"/>
      <c r="F103" s="97"/>
      <c r="G103" s="97"/>
      <c r="H103" s="44"/>
      <c r="I103" s="44"/>
      <c r="J103" s="44"/>
      <c r="K103" s="44"/>
      <c r="L103" s="44"/>
      <c r="M103" s="44"/>
      <c r="N103" s="44"/>
      <c r="O103" s="44"/>
      <c r="P103" s="10"/>
      <c r="Q103" s="44"/>
      <c r="U103" s="44"/>
      <c r="Z103" s="44"/>
      <c r="AA103" s="44"/>
    </row>
    <row r="104" spans="1:27" s="43" customFormat="1" ht="17.149999999999999" customHeight="1" x14ac:dyDescent="0.35">
      <c r="A104" s="410" t="s">
        <v>1018</v>
      </c>
      <c r="B104" s="105">
        <f>'Containment volumes'!G137+'Containment volumes'!G248</f>
        <v>0</v>
      </c>
      <c r="C104" s="105">
        <f>'Containment volumes'!H137+'Containment volumes'!H248</f>
        <v>0</v>
      </c>
      <c r="D104" s="97"/>
      <c r="E104" s="97"/>
      <c r="F104" s="97"/>
      <c r="G104" s="97"/>
      <c r="H104" s="44"/>
      <c r="I104" s="44"/>
      <c r="J104" s="44"/>
      <c r="K104" s="44"/>
      <c r="L104" s="44"/>
      <c r="M104" s="44"/>
      <c r="N104" s="44"/>
      <c r="O104" s="44"/>
      <c r="P104" s="10"/>
      <c r="Q104" s="44"/>
      <c r="U104" s="44"/>
      <c r="Z104" s="44"/>
      <c r="AA104" s="44"/>
    </row>
    <row r="105" spans="1:27" s="43" customFormat="1" ht="17.149999999999999" customHeight="1" x14ac:dyDescent="0.35">
      <c r="A105" s="977" t="s">
        <v>980</v>
      </c>
      <c r="B105" s="1023">
        <f>SUM(B106:B107)</f>
        <v>0</v>
      </c>
      <c r="C105" s="1024">
        <f>SUM(C106:C107)</f>
        <v>0</v>
      </c>
      <c r="D105" s="97"/>
      <c r="E105" s="97"/>
      <c r="F105" s="97"/>
      <c r="G105" s="97"/>
      <c r="H105" s="44"/>
      <c r="I105" s="44"/>
      <c r="J105" s="44"/>
      <c r="K105" s="44"/>
      <c r="L105" s="44"/>
      <c r="M105" s="44"/>
      <c r="N105" s="44"/>
      <c r="O105" s="44"/>
      <c r="P105" s="10"/>
      <c r="Q105" s="44"/>
      <c r="U105" s="44"/>
      <c r="Z105" s="44"/>
      <c r="AA105" s="44"/>
    </row>
    <row r="106" spans="1:27" s="43" customFormat="1" ht="17.149999999999999" customHeight="1" x14ac:dyDescent="0.35">
      <c r="A106" s="410" t="s">
        <v>1017</v>
      </c>
      <c r="B106" s="105">
        <f>('Containment volumes'!B138-'Containment volumes'!G138)+('Containment volumes'!B249-'Containment volumes'!G249)</f>
        <v>0</v>
      </c>
      <c r="C106" s="139">
        <f>('Containment volumes'!C138-'Containment volumes'!H138)+('Containment volumes'!C249-'Containment volumes'!H249)</f>
        <v>0</v>
      </c>
      <c r="D106" s="97"/>
      <c r="E106" s="97"/>
      <c r="F106" s="97"/>
      <c r="G106" s="97"/>
      <c r="H106" s="44"/>
      <c r="I106" s="44"/>
      <c r="J106" s="44"/>
      <c r="K106" s="44"/>
      <c r="L106" s="44"/>
      <c r="M106" s="44"/>
      <c r="N106" s="44"/>
      <c r="O106" s="44"/>
      <c r="P106" s="10"/>
      <c r="Q106" s="44"/>
      <c r="U106" s="44"/>
      <c r="Z106" s="44"/>
      <c r="AA106" s="44"/>
    </row>
    <row r="107" spans="1:27" s="43" customFormat="1" ht="17.149999999999999" customHeight="1" x14ac:dyDescent="0.35">
      <c r="A107" s="410" t="s">
        <v>1019</v>
      </c>
      <c r="B107" s="105">
        <f>'Containment volumes'!G138+'Containment volumes'!G249</f>
        <v>0</v>
      </c>
      <c r="C107" s="139">
        <f>'Containment volumes'!H138+'Containment volumes'!H249</f>
        <v>0</v>
      </c>
      <c r="D107" s="97"/>
      <c r="E107" s="97"/>
      <c r="F107" s="97"/>
      <c r="G107" s="97"/>
      <c r="H107" s="44"/>
      <c r="I107" s="44"/>
      <c r="J107" s="44"/>
      <c r="K107" s="44"/>
      <c r="L107" s="44"/>
      <c r="M107" s="44"/>
      <c r="N107" s="44"/>
      <c r="O107" s="44"/>
      <c r="P107" s="10"/>
      <c r="Q107" s="44"/>
      <c r="U107" s="44"/>
      <c r="Z107" s="44"/>
      <c r="AA107" s="44"/>
    </row>
    <row r="108" spans="1:27" s="43" customFormat="1" ht="17.149999999999999" customHeight="1" x14ac:dyDescent="0.35">
      <c r="A108" s="977" t="s">
        <v>1020</v>
      </c>
      <c r="B108" s="1023">
        <f>SUM(B109:B110)</f>
        <v>6256575</v>
      </c>
      <c r="C108" s="1024">
        <f>SUM(C109:C110)</f>
        <v>5312575</v>
      </c>
      <c r="D108" s="97"/>
      <c r="E108" s="97"/>
      <c r="F108" s="97"/>
      <c r="G108" s="97"/>
      <c r="H108" s="44"/>
      <c r="I108" s="44"/>
      <c r="J108" s="44"/>
      <c r="K108" s="44"/>
      <c r="L108" s="44"/>
      <c r="M108" s="44"/>
      <c r="N108" s="44"/>
      <c r="O108" s="44"/>
      <c r="P108" s="10"/>
      <c r="Q108" s="44"/>
      <c r="U108" s="44"/>
      <c r="Z108" s="44"/>
      <c r="AA108" s="44"/>
    </row>
    <row r="109" spans="1:27" s="43" customFormat="1" ht="17.149999999999999" customHeight="1" x14ac:dyDescent="0.35">
      <c r="A109" s="410" t="s">
        <v>1017</v>
      </c>
      <c r="B109" s="105">
        <f>('Containment volumes'!B139-'Containment volumes'!G139)+('Containment volumes'!B250-'Containment volumes'!G250)</f>
        <v>6158000</v>
      </c>
      <c r="C109" s="139">
        <f>('Containment volumes'!C139-'Containment volumes'!H139)+('Containment volumes'!C250-'Containment volumes'!H250)</f>
        <v>5214325</v>
      </c>
      <c r="D109" s="97"/>
      <c r="E109" s="97"/>
      <c r="F109" s="97"/>
      <c r="G109" s="97"/>
      <c r="H109" s="44"/>
      <c r="I109" s="44"/>
      <c r="J109" s="44"/>
      <c r="K109" s="44"/>
      <c r="L109" s="44"/>
      <c r="M109" s="44"/>
      <c r="N109" s="44"/>
      <c r="O109" s="44"/>
      <c r="P109" s="10"/>
      <c r="Q109" s="44"/>
      <c r="U109" s="44"/>
      <c r="Z109" s="44"/>
      <c r="AA109" s="44"/>
    </row>
    <row r="110" spans="1:27" s="43" customFormat="1" ht="17.149999999999999" customHeight="1" x14ac:dyDescent="0.35">
      <c r="A110" s="410" t="s">
        <v>1019</v>
      </c>
      <c r="B110" s="105">
        <f>'Containment volumes'!G139+'Containment volumes'!G250</f>
        <v>98575</v>
      </c>
      <c r="C110" s="139">
        <f>'Containment volumes'!H139+'Containment volumes'!H250</f>
        <v>98250</v>
      </c>
      <c r="D110" s="97"/>
      <c r="E110" s="97"/>
      <c r="F110" s="97"/>
      <c r="G110" s="97"/>
      <c r="H110" s="44"/>
      <c r="I110" s="44"/>
      <c r="J110" s="44"/>
      <c r="K110" s="44"/>
      <c r="L110" s="44"/>
      <c r="M110" s="44"/>
      <c r="N110" s="44"/>
      <c r="O110" s="44"/>
      <c r="P110" s="10"/>
      <c r="Q110" s="44"/>
      <c r="U110" s="44"/>
      <c r="Z110" s="44"/>
      <c r="AA110" s="44"/>
    </row>
    <row r="111" spans="1:27" s="43" customFormat="1" ht="17.149999999999999" customHeight="1" x14ac:dyDescent="0.35">
      <c r="A111" s="977" t="s">
        <v>1021</v>
      </c>
      <c r="B111" s="1023">
        <f>SUM(B112:B113)</f>
        <v>908300</v>
      </c>
      <c r="C111" s="1024">
        <f>SUM(C112:C113)</f>
        <v>2160700</v>
      </c>
      <c r="D111" s="97"/>
      <c r="E111" s="97"/>
      <c r="F111" s="97"/>
      <c r="G111" s="97"/>
      <c r="H111" s="44"/>
      <c r="I111" s="44"/>
      <c r="J111" s="44"/>
      <c r="K111" s="44"/>
      <c r="L111" s="44"/>
      <c r="M111" s="44"/>
      <c r="N111" s="44"/>
      <c r="O111" s="44"/>
      <c r="P111" s="10"/>
      <c r="Q111" s="44"/>
      <c r="U111" s="44"/>
      <c r="Z111" s="44"/>
      <c r="AA111" s="44"/>
    </row>
    <row r="112" spans="1:27" s="43" customFormat="1" ht="17.149999999999999" customHeight="1" x14ac:dyDescent="0.35">
      <c r="A112" s="410" t="s">
        <v>1017</v>
      </c>
      <c r="B112" s="105">
        <f>('Containment volumes'!B140-'Containment volumes'!G140)+('Containment volumes'!B251-'Containment volumes'!G251)</f>
        <v>859125</v>
      </c>
      <c r="C112" s="139">
        <f>('Containment volumes'!C140-'Containment volumes'!H140)+('Containment volumes'!C251-'Containment volumes'!H251)</f>
        <v>2107350</v>
      </c>
      <c r="D112" s="97"/>
      <c r="E112" s="97"/>
      <c r="F112" s="97"/>
      <c r="G112" s="97"/>
      <c r="H112" s="44"/>
      <c r="I112" s="44"/>
      <c r="J112" s="44"/>
      <c r="K112" s="44"/>
      <c r="L112" s="44"/>
      <c r="M112" s="44"/>
      <c r="N112" s="44"/>
      <c r="O112" s="44"/>
      <c r="P112" s="10"/>
      <c r="Q112" s="44"/>
      <c r="U112" s="44"/>
      <c r="Z112" s="44"/>
      <c r="AA112" s="44"/>
    </row>
    <row r="113" spans="1:27" s="43" customFormat="1" ht="17.149999999999999" customHeight="1" x14ac:dyDescent="0.35">
      <c r="A113" s="410" t="s">
        <v>1019</v>
      </c>
      <c r="B113" s="105">
        <f>'Containment volumes'!G140+'Containment volumes'!G251</f>
        <v>49175</v>
      </c>
      <c r="C113" s="139">
        <f>'Containment volumes'!H140+'Containment volumes'!H251</f>
        <v>53350</v>
      </c>
      <c r="D113" s="97"/>
      <c r="E113" s="97"/>
      <c r="F113" s="97"/>
      <c r="G113" s="97"/>
      <c r="H113" s="44"/>
      <c r="I113" s="44"/>
      <c r="J113" s="44"/>
      <c r="K113" s="44"/>
      <c r="L113" s="44"/>
      <c r="M113" s="44"/>
      <c r="N113" s="44"/>
      <c r="O113" s="44"/>
      <c r="P113" s="10"/>
      <c r="Q113" s="44"/>
      <c r="U113" s="44"/>
      <c r="Z113" s="44"/>
      <c r="AA113" s="44"/>
    </row>
    <row r="114" spans="1:27" s="43" customFormat="1" ht="17.149999999999999" customHeight="1" x14ac:dyDescent="0.35">
      <c r="A114" s="950" t="s">
        <v>928</v>
      </c>
      <c r="B114" s="1021">
        <f>B102+B105+B108+B111</f>
        <v>32696725</v>
      </c>
      <c r="C114" s="1022">
        <f>C102+C105+C108+C111</f>
        <v>117631575</v>
      </c>
      <c r="D114" s="97"/>
      <c r="E114" s="97"/>
      <c r="F114" s="97"/>
      <c r="G114" s="97"/>
      <c r="H114" s="44"/>
      <c r="I114" s="44"/>
      <c r="J114" s="44"/>
      <c r="K114" s="44"/>
      <c r="L114" s="44"/>
      <c r="M114" s="44"/>
      <c r="N114" s="44"/>
      <c r="O114" s="44"/>
      <c r="P114" s="10"/>
      <c r="Q114" s="44"/>
      <c r="U114" s="44"/>
      <c r="Z114" s="44"/>
      <c r="AA114" s="44"/>
    </row>
    <row r="115" spans="1:27" s="43" customFormat="1" ht="17.149999999999999" customHeight="1" x14ac:dyDescent="0.35">
      <c r="A115" s="7"/>
      <c r="B115" s="204">
        <f>'Containment volumes'!B136+'Containment volumes'!B142+'Containment volumes'!B247+'Containment volumes'!B253</f>
        <v>32696725</v>
      </c>
      <c r="C115" s="204">
        <f>'Containment volumes'!C136+'Containment volumes'!C142+'Containment volumes'!C247+'Containment volumes'!C253</f>
        <v>117631575</v>
      </c>
      <c r="D115" s="97"/>
      <c r="E115" s="97"/>
      <c r="F115" s="97"/>
      <c r="G115" s="97"/>
      <c r="H115" s="44"/>
      <c r="I115" s="44"/>
      <c r="J115" s="44"/>
      <c r="K115" s="44"/>
      <c r="L115" s="44"/>
      <c r="M115" s="44"/>
      <c r="N115" s="44"/>
      <c r="O115" s="44"/>
      <c r="P115" s="10"/>
      <c r="Q115" s="44"/>
      <c r="U115" s="44"/>
      <c r="Z115" s="44"/>
      <c r="AA115" s="44"/>
    </row>
    <row r="116" spans="1:27" s="43" customFormat="1" ht="17.149999999999999" customHeight="1" x14ac:dyDescent="0.35">
      <c r="A116" s="7"/>
      <c r="B116" s="1519" t="str">
        <f>IF(B114=B115,"OK","Not OK")</f>
        <v>OK</v>
      </c>
      <c r="C116" s="1519" t="str">
        <f>IF(C114=C115,"OK","Not OK")</f>
        <v>OK</v>
      </c>
      <c r="D116" s="97"/>
      <c r="E116" s="97"/>
      <c r="F116" s="97"/>
      <c r="G116" s="97"/>
      <c r="H116" s="44"/>
      <c r="I116" s="44"/>
      <c r="J116" s="44"/>
      <c r="K116" s="44"/>
      <c r="L116" s="44"/>
      <c r="M116" s="44"/>
      <c r="N116" s="44"/>
      <c r="O116" s="44"/>
      <c r="P116" s="10"/>
      <c r="Q116" s="44"/>
      <c r="U116" s="44"/>
      <c r="Z116" s="44"/>
      <c r="AA116" s="44"/>
    </row>
    <row r="117" spans="1:27" s="43" customFormat="1" ht="17.149999999999999" customHeight="1" x14ac:dyDescent="0.35">
      <c r="A117" s="398"/>
      <c r="B117" s="399"/>
      <c r="C117" s="122"/>
      <c r="D117" s="97"/>
      <c r="E117" s="97"/>
      <c r="F117" s="97"/>
      <c r="G117" s="97"/>
      <c r="H117" s="44"/>
      <c r="I117" s="44"/>
      <c r="J117" s="44"/>
      <c r="K117" s="44"/>
      <c r="L117" s="44"/>
      <c r="M117" s="44"/>
      <c r="N117" s="44"/>
      <c r="O117" s="44"/>
      <c r="P117" s="10"/>
      <c r="Q117" s="44"/>
      <c r="U117" s="44"/>
      <c r="Z117" s="44"/>
      <c r="AA117" s="44"/>
    </row>
    <row r="118" spans="1:27" s="43" customFormat="1" ht="17.149999999999999" customHeight="1" x14ac:dyDescent="0.35">
      <c r="A118" s="398"/>
      <c r="B118" s="399"/>
      <c r="C118" s="122"/>
      <c r="D118" s="97"/>
      <c r="E118" s="97"/>
      <c r="F118" s="97"/>
      <c r="G118" s="97"/>
      <c r="H118" s="44"/>
      <c r="I118" s="44"/>
      <c r="J118" s="44"/>
      <c r="K118" s="44"/>
      <c r="L118" s="44"/>
      <c r="M118" s="44"/>
      <c r="N118" s="44"/>
      <c r="O118" s="44"/>
      <c r="P118" s="10"/>
      <c r="Q118" s="44"/>
      <c r="U118" s="44"/>
      <c r="Z118" s="44"/>
      <c r="AA118" s="44"/>
    </row>
    <row r="119" spans="1:27" s="294" customFormat="1" ht="17.149999999999999" customHeight="1" x14ac:dyDescent="0.35">
      <c r="A119" s="1025" t="s">
        <v>1022</v>
      </c>
      <c r="B119" s="1813" t="s">
        <v>9</v>
      </c>
      <c r="C119" s="1813"/>
      <c r="D119" s="323"/>
      <c r="E119" s="323"/>
      <c r="F119" s="323"/>
      <c r="G119" s="323"/>
      <c r="H119" s="293"/>
      <c r="I119" s="293"/>
      <c r="J119" s="293"/>
      <c r="K119" s="293"/>
      <c r="L119" s="293"/>
      <c r="M119" s="293"/>
      <c r="N119" s="293"/>
      <c r="O119" s="293"/>
      <c r="P119" s="406"/>
      <c r="Q119" s="293"/>
      <c r="U119" s="293"/>
      <c r="Z119" s="293"/>
      <c r="AA119" s="293"/>
    </row>
    <row r="120" spans="1:27" s="294" customFormat="1" ht="17.149999999999999" customHeight="1" x14ac:dyDescent="0.35">
      <c r="A120" s="1027"/>
      <c r="B120" s="1028"/>
      <c r="C120" s="1028"/>
      <c r="D120" s="323"/>
      <c r="E120" s="323"/>
      <c r="F120" s="323"/>
      <c r="G120" s="323"/>
      <c r="H120" s="293"/>
      <c r="I120" s="293"/>
      <c r="J120" s="293"/>
      <c r="K120" s="293"/>
      <c r="L120" s="293"/>
      <c r="M120" s="293"/>
      <c r="N120" s="293"/>
      <c r="O120" s="293"/>
      <c r="P120" s="406"/>
      <c r="Q120" s="293"/>
      <c r="U120" s="293"/>
      <c r="Z120" s="293"/>
      <c r="AA120" s="293"/>
    </row>
    <row r="121" spans="1:27" s="43" customFormat="1" ht="43.5" x14ac:dyDescent="0.35">
      <c r="A121" s="1017" t="s">
        <v>1023</v>
      </c>
      <c r="B121" s="1513" t="s">
        <v>993</v>
      </c>
      <c r="C121" s="1513" t="s">
        <v>994</v>
      </c>
      <c r="D121" s="97"/>
      <c r="E121" s="97"/>
      <c r="F121" s="97"/>
      <c r="G121" s="97"/>
      <c r="H121" s="44"/>
      <c r="I121" s="44"/>
      <c r="J121" s="44"/>
      <c r="K121" s="44"/>
      <c r="L121" s="44"/>
      <c r="M121" s="44"/>
      <c r="N121" s="44"/>
      <c r="O121" s="44"/>
      <c r="P121" s="10"/>
      <c r="Q121" s="44"/>
      <c r="U121" s="44"/>
      <c r="Z121" s="44"/>
      <c r="AA121" s="44"/>
    </row>
    <row r="122" spans="1:27" s="285" customFormat="1" ht="10.5" x14ac:dyDescent="0.35">
      <c r="A122" s="407"/>
      <c r="B122" s="408"/>
      <c r="C122" s="409"/>
      <c r="D122" s="282"/>
      <c r="E122" s="282"/>
      <c r="F122" s="282"/>
      <c r="G122" s="282"/>
      <c r="H122" s="283"/>
      <c r="I122" s="283"/>
      <c r="J122" s="283"/>
      <c r="K122" s="283"/>
      <c r="L122" s="283"/>
      <c r="M122" s="283"/>
      <c r="N122" s="283"/>
      <c r="O122" s="283"/>
      <c r="P122" s="284"/>
      <c r="Q122" s="283"/>
      <c r="U122" s="283"/>
      <c r="Z122" s="283"/>
      <c r="AA122" s="283"/>
    </row>
    <row r="123" spans="1:27" s="43" customFormat="1" ht="17.149999999999999" customHeight="1" x14ac:dyDescent="0.35">
      <c r="A123" s="1000" t="s">
        <v>1024</v>
      </c>
      <c r="B123" s="1026">
        <f>I69</f>
        <v>0</v>
      </c>
      <c r="C123" s="1026">
        <f>J69</f>
        <v>0</v>
      </c>
      <c r="D123" s="97"/>
      <c r="E123" s="97"/>
      <c r="F123" s="97"/>
      <c r="G123" s="97"/>
      <c r="H123" s="44"/>
      <c r="I123" s="44"/>
      <c r="J123" s="44"/>
      <c r="K123" s="44"/>
      <c r="L123" s="44"/>
      <c r="M123" s="44"/>
      <c r="N123" s="44"/>
      <c r="O123" s="44"/>
      <c r="P123" s="10"/>
      <c r="Q123" s="44"/>
      <c r="U123" s="44"/>
      <c r="Z123" s="44"/>
      <c r="AA123" s="44"/>
    </row>
    <row r="124" spans="1:27" s="43" customFormat="1" ht="17.149999999999999" customHeight="1" x14ac:dyDescent="0.35">
      <c r="A124" s="1000" t="s">
        <v>1025</v>
      </c>
      <c r="B124" s="1026">
        <f>K85</f>
        <v>0</v>
      </c>
      <c r="C124" s="1026">
        <f>L85</f>
        <v>147900</v>
      </c>
      <c r="D124" s="97"/>
      <c r="E124" s="97"/>
      <c r="F124" s="97"/>
      <c r="G124" s="97"/>
      <c r="H124" s="44"/>
      <c r="I124" s="44"/>
      <c r="J124" s="44"/>
      <c r="K124" s="44"/>
      <c r="L124" s="44"/>
      <c r="M124" s="44"/>
      <c r="N124" s="44"/>
      <c r="O124" s="44"/>
      <c r="P124" s="10"/>
      <c r="Q124" s="44"/>
      <c r="U124" s="44"/>
      <c r="Z124" s="44"/>
      <c r="AA124" s="44"/>
    </row>
    <row r="125" spans="1:27" s="93" customFormat="1" ht="17.149999999999999" customHeight="1" x14ac:dyDescent="0.35">
      <c r="A125" s="1017" t="s">
        <v>208</v>
      </c>
      <c r="B125" s="1019">
        <f>SUM(B123:B124)</f>
        <v>0</v>
      </c>
      <c r="C125" s="1019">
        <f>SUM(C123:C124)</f>
        <v>147900</v>
      </c>
      <c r="D125" s="347"/>
      <c r="E125" s="347"/>
      <c r="F125" s="347"/>
      <c r="G125" s="347"/>
      <c r="H125" s="108"/>
      <c r="I125" s="108"/>
      <c r="J125" s="108"/>
      <c r="K125" s="108"/>
      <c r="L125" s="108"/>
      <c r="M125" s="108"/>
      <c r="N125" s="108"/>
      <c r="O125" s="108"/>
      <c r="P125" s="32"/>
      <c r="Q125" s="108"/>
      <c r="U125" s="108"/>
      <c r="Z125" s="108"/>
      <c r="AA125" s="108"/>
    </row>
    <row r="126" spans="1:27" s="43" customFormat="1" ht="17.149999999999999" customHeight="1" x14ac:dyDescent="0.35">
      <c r="A126" s="398"/>
      <c r="B126" s="399"/>
      <c r="C126" s="122"/>
      <c r="D126" s="97"/>
      <c r="E126" s="97"/>
      <c r="F126" s="97"/>
      <c r="G126" s="97"/>
      <c r="H126" s="44"/>
      <c r="I126" s="44"/>
      <c r="J126" s="44"/>
      <c r="K126" s="44"/>
      <c r="L126" s="44"/>
      <c r="M126" s="44"/>
      <c r="N126" s="44"/>
      <c r="O126" s="44"/>
      <c r="P126" s="10"/>
      <c r="Q126" s="44"/>
      <c r="U126" s="44"/>
      <c r="Z126" s="44"/>
      <c r="AA126" s="44"/>
    </row>
    <row r="127" spans="1:27" s="43" customFormat="1" ht="17.149999999999999" customHeight="1" x14ac:dyDescent="0.35">
      <c r="A127" s="396"/>
      <c r="B127" s="397"/>
      <c r="C127" s="122"/>
      <c r="D127" s="97"/>
      <c r="E127" s="97"/>
      <c r="F127" s="97"/>
      <c r="G127" s="97"/>
      <c r="H127" s="44"/>
      <c r="I127" s="44"/>
      <c r="J127" s="44"/>
      <c r="K127" s="44"/>
      <c r="L127" s="44"/>
      <c r="M127" s="44"/>
      <c r="N127" s="44"/>
      <c r="O127" s="44"/>
      <c r="P127" s="10"/>
      <c r="Q127" s="44"/>
      <c r="U127" s="44"/>
      <c r="Z127" s="44"/>
      <c r="AA127" s="44"/>
    </row>
    <row r="128" spans="1:27" s="107" customFormat="1" ht="17.149999999999999" customHeight="1" x14ac:dyDescent="0.3">
      <c r="A128" s="949" t="s">
        <v>968</v>
      </c>
      <c r="B128" s="1504" t="s">
        <v>9</v>
      </c>
      <c r="C128" s="137"/>
      <c r="D128" s="137"/>
      <c r="E128" s="137"/>
      <c r="F128" s="137"/>
      <c r="G128" s="137"/>
      <c r="H128" s="196"/>
      <c r="I128" s="196"/>
      <c r="J128" s="196"/>
      <c r="K128" s="196"/>
      <c r="L128" s="196"/>
      <c r="M128" s="196"/>
      <c r="N128" s="196"/>
      <c r="O128" s="196"/>
      <c r="P128" s="32"/>
      <c r="Q128" s="196"/>
      <c r="R128" s="17"/>
      <c r="S128" s="17"/>
      <c r="U128" s="196"/>
      <c r="Z128" s="196"/>
      <c r="AA128" s="196"/>
    </row>
    <row r="129" spans="1:27" s="285" customFormat="1" ht="10.5" x14ac:dyDescent="0.25">
      <c r="A129" s="237"/>
      <c r="B129" s="222"/>
      <c r="C129" s="287"/>
      <c r="D129" s="287"/>
      <c r="E129" s="287"/>
      <c r="F129" s="287"/>
      <c r="G129" s="287"/>
      <c r="H129" s="283"/>
      <c r="I129" s="283"/>
      <c r="J129" s="283"/>
      <c r="K129" s="283"/>
      <c r="L129" s="283"/>
      <c r="M129" s="283"/>
      <c r="N129" s="283"/>
      <c r="O129" s="283"/>
      <c r="P129" s="284"/>
      <c r="Q129" s="283"/>
      <c r="R129" s="185"/>
      <c r="S129" s="185"/>
      <c r="U129" s="283"/>
      <c r="Z129" s="283"/>
      <c r="AA129" s="283"/>
    </row>
    <row r="130" spans="1:27" s="107" customFormat="1" ht="17.149999999999999" customHeight="1" x14ac:dyDescent="0.3">
      <c r="A130" s="80"/>
      <c r="B130" s="1513" t="s">
        <v>841</v>
      </c>
      <c r="C130" s="137"/>
      <c r="D130" s="137"/>
      <c r="E130" s="137"/>
      <c r="F130" s="137"/>
      <c r="G130" s="137"/>
      <c r="H130" s="196"/>
      <c r="I130" s="196"/>
      <c r="J130" s="196"/>
      <c r="K130" s="196"/>
      <c r="L130" s="196"/>
      <c r="M130" s="196"/>
      <c r="N130" s="196"/>
      <c r="O130" s="196"/>
      <c r="P130" s="32"/>
      <c r="Q130" s="196"/>
      <c r="R130" s="17"/>
      <c r="S130" s="17"/>
      <c r="U130" s="196"/>
      <c r="Z130" s="196"/>
      <c r="AA130" s="196"/>
    </row>
    <row r="131" spans="1:27" s="285" customFormat="1" ht="10.5" x14ac:dyDescent="0.25">
      <c r="A131" s="237"/>
      <c r="B131" s="222"/>
      <c r="C131" s="287"/>
      <c r="D131" s="287"/>
      <c r="E131" s="287"/>
      <c r="F131" s="287"/>
      <c r="G131" s="287"/>
      <c r="H131" s="283"/>
      <c r="I131" s="283"/>
      <c r="J131" s="283"/>
      <c r="K131" s="283"/>
      <c r="L131" s="283"/>
      <c r="M131" s="283"/>
      <c r="N131" s="283"/>
      <c r="O131" s="283"/>
      <c r="P131" s="284"/>
      <c r="Q131" s="283"/>
      <c r="R131" s="185"/>
      <c r="S131" s="185"/>
      <c r="U131" s="283"/>
      <c r="Z131" s="283"/>
      <c r="AA131" s="283"/>
    </row>
    <row r="132" spans="1:27" s="107" customFormat="1" ht="17.149999999999999" customHeight="1" x14ac:dyDescent="0.3">
      <c r="A132" s="206" t="s">
        <v>58</v>
      </c>
      <c r="B132" s="207">
        <f>SUM(B133:B134)</f>
        <v>147900</v>
      </c>
      <c r="C132" s="137"/>
      <c r="D132" s="137"/>
      <c r="E132" s="137"/>
      <c r="F132" s="137"/>
      <c r="G132" s="137"/>
      <c r="H132" s="196"/>
      <c r="I132" s="196"/>
      <c r="J132" s="196"/>
      <c r="K132" s="196"/>
      <c r="L132" s="196"/>
      <c r="M132" s="196"/>
      <c r="N132" s="196"/>
      <c r="O132" s="196"/>
      <c r="P132" s="32"/>
      <c r="Q132" s="196"/>
      <c r="R132" s="17"/>
      <c r="S132" s="17"/>
      <c r="U132" s="196"/>
      <c r="Z132" s="196"/>
      <c r="AA132" s="196"/>
    </row>
    <row r="133" spans="1:27" s="107" customFormat="1" ht="17.149999999999999" customHeight="1" x14ac:dyDescent="0.3">
      <c r="A133" s="135" t="s">
        <v>1026</v>
      </c>
      <c r="B133" s="1523">
        <f>C123</f>
        <v>0</v>
      </c>
      <c r="C133" s="137"/>
      <c r="D133" s="137"/>
      <c r="E133" s="137"/>
      <c r="F133" s="137"/>
      <c r="G133" s="137"/>
      <c r="H133" s="196"/>
      <c r="I133" s="196"/>
      <c r="J133" s="196"/>
      <c r="K133" s="196"/>
      <c r="L133" s="196"/>
      <c r="M133" s="196"/>
      <c r="N133" s="196"/>
      <c r="O133" s="196"/>
      <c r="P133" s="32"/>
      <c r="Q133" s="196"/>
      <c r="R133" s="17"/>
      <c r="S133" s="17"/>
      <c r="U133" s="196"/>
      <c r="Z133" s="196"/>
      <c r="AA133" s="196"/>
    </row>
    <row r="134" spans="1:27" s="107" customFormat="1" ht="17.149999999999999" customHeight="1" x14ac:dyDescent="0.3">
      <c r="A134" s="135" t="s">
        <v>1027</v>
      </c>
      <c r="B134" s="1523">
        <f>C124</f>
        <v>147900</v>
      </c>
      <c r="C134" s="137"/>
      <c r="D134" s="137"/>
      <c r="E134" s="137"/>
      <c r="F134" s="137"/>
      <c r="G134" s="137"/>
      <c r="H134" s="196"/>
      <c r="I134" s="196"/>
      <c r="J134" s="196"/>
      <c r="K134" s="196"/>
      <c r="L134" s="196"/>
      <c r="M134" s="196"/>
      <c r="N134" s="196"/>
      <c r="O134" s="196"/>
      <c r="P134" s="32"/>
      <c r="Q134" s="196"/>
      <c r="R134" s="17"/>
      <c r="S134" s="17"/>
      <c r="U134" s="196"/>
      <c r="Z134" s="196"/>
      <c r="AA134" s="196"/>
    </row>
    <row r="135" spans="1:27" s="107" customFormat="1" ht="17.149999999999999" customHeight="1" x14ac:dyDescent="0.3">
      <c r="A135" s="11"/>
      <c r="B135" s="179"/>
      <c r="C135" s="137"/>
      <c r="D135" s="137"/>
      <c r="E135" s="137"/>
      <c r="F135" s="137"/>
      <c r="G135" s="137"/>
      <c r="H135" s="196"/>
      <c r="I135" s="196"/>
      <c r="J135" s="196"/>
      <c r="K135" s="196"/>
      <c r="L135" s="196"/>
      <c r="M135" s="196"/>
      <c r="N135" s="196"/>
      <c r="O135" s="196"/>
      <c r="P135" s="32"/>
      <c r="Q135" s="196"/>
      <c r="R135" s="17"/>
      <c r="S135" s="17"/>
      <c r="U135" s="196"/>
      <c r="Z135" s="196"/>
      <c r="AA135" s="196"/>
    </row>
    <row r="136" spans="1:27" s="107" customFormat="1" ht="17.149999999999999" customHeight="1" x14ac:dyDescent="0.3">
      <c r="A136" s="206" t="s">
        <v>79</v>
      </c>
      <c r="B136" s="207">
        <f>SUM(B137:B139)</f>
        <v>31689850</v>
      </c>
      <c r="C136" s="137"/>
      <c r="D136" s="137"/>
      <c r="E136" s="137"/>
      <c r="F136" s="137"/>
      <c r="G136" s="137"/>
      <c r="H136" s="196"/>
      <c r="I136" s="196"/>
      <c r="J136" s="196"/>
      <c r="K136" s="196"/>
      <c r="L136" s="196"/>
      <c r="M136" s="196"/>
      <c r="N136" s="196"/>
      <c r="O136" s="196"/>
      <c r="P136" s="32"/>
      <c r="Q136" s="196"/>
      <c r="R136" s="17"/>
      <c r="S136" s="17"/>
      <c r="U136" s="196"/>
      <c r="Z136" s="196"/>
      <c r="AA136" s="196"/>
    </row>
    <row r="137" spans="1:27" s="107" customFormat="1" ht="17.149999999999999" customHeight="1" x14ac:dyDescent="0.3">
      <c r="A137" s="135" t="s">
        <v>846</v>
      </c>
      <c r="B137" s="1523">
        <f>B103</f>
        <v>25531850</v>
      </c>
      <c r="C137" s="137"/>
      <c r="D137" s="137"/>
      <c r="E137" s="137"/>
      <c r="F137" s="137"/>
      <c r="G137" s="137"/>
      <c r="H137" s="196"/>
      <c r="I137" s="196"/>
      <c r="J137" s="196"/>
      <c r="K137" s="196"/>
      <c r="L137" s="196"/>
      <c r="M137" s="196"/>
      <c r="N137" s="196"/>
      <c r="O137" s="196"/>
      <c r="P137" s="32"/>
      <c r="Q137" s="196"/>
      <c r="R137" s="17"/>
      <c r="S137" s="17"/>
      <c r="U137" s="196"/>
      <c r="Z137" s="196"/>
      <c r="AA137" s="196"/>
    </row>
    <row r="138" spans="1:27" s="107" customFormat="1" ht="17.149999999999999" customHeight="1" x14ac:dyDescent="0.3">
      <c r="A138" s="135" t="s">
        <v>1028</v>
      </c>
      <c r="B138" s="1523">
        <f>B106</f>
        <v>0</v>
      </c>
      <c r="C138" s="137"/>
      <c r="D138" s="137"/>
      <c r="E138" s="137"/>
      <c r="F138" s="137"/>
      <c r="G138" s="137"/>
      <c r="H138" s="196"/>
      <c r="I138" s="196"/>
      <c r="J138" s="196"/>
      <c r="K138" s="196"/>
      <c r="L138" s="196"/>
      <c r="M138" s="196"/>
      <c r="N138" s="196"/>
      <c r="O138" s="196"/>
      <c r="P138" s="32"/>
      <c r="Q138" s="196"/>
      <c r="R138" s="17"/>
      <c r="S138" s="17"/>
      <c r="U138" s="196"/>
      <c r="Z138" s="196"/>
      <c r="AA138" s="196"/>
    </row>
    <row r="139" spans="1:27" s="107" customFormat="1" ht="17.149999999999999" customHeight="1" x14ac:dyDescent="0.3">
      <c r="A139" s="135" t="s">
        <v>1029</v>
      </c>
      <c r="B139" s="1523">
        <f>B109</f>
        <v>6158000</v>
      </c>
      <c r="C139" s="137"/>
      <c r="D139" s="137"/>
      <c r="E139" s="137"/>
      <c r="F139" s="137"/>
      <c r="G139" s="137"/>
      <c r="H139" s="196"/>
      <c r="I139" s="196"/>
      <c r="J139" s="196"/>
      <c r="K139" s="196"/>
      <c r="L139" s="196"/>
      <c r="M139" s="196"/>
      <c r="N139" s="196"/>
      <c r="O139" s="196"/>
      <c r="P139" s="32"/>
      <c r="Q139" s="196"/>
      <c r="R139" s="17"/>
      <c r="S139" s="17"/>
      <c r="U139" s="196"/>
      <c r="Z139" s="196"/>
      <c r="AA139" s="196"/>
    </row>
    <row r="140" spans="1:27" s="107" customFormat="1" ht="17.149999999999999" customHeight="1" x14ac:dyDescent="0.3">
      <c r="A140" s="11"/>
      <c r="B140" s="179"/>
      <c r="C140" s="137"/>
      <c r="D140" s="137"/>
      <c r="E140" s="137"/>
      <c r="F140" s="137"/>
      <c r="G140" s="137"/>
      <c r="H140" s="196"/>
      <c r="I140" s="196"/>
      <c r="J140" s="196"/>
      <c r="K140" s="196"/>
      <c r="L140" s="196"/>
      <c r="M140" s="196"/>
      <c r="N140" s="196"/>
      <c r="O140" s="196"/>
      <c r="P140" s="32"/>
      <c r="Q140" s="196"/>
      <c r="R140" s="17"/>
      <c r="S140" s="17"/>
      <c r="U140" s="196"/>
      <c r="Z140" s="196"/>
      <c r="AA140" s="196"/>
    </row>
    <row r="141" spans="1:27" s="107" customFormat="1" ht="17.149999999999999" customHeight="1" x14ac:dyDescent="0.3">
      <c r="A141" s="208" t="s">
        <v>87</v>
      </c>
      <c r="B141" s="209">
        <f>SUM(B142:B143)</f>
        <v>0</v>
      </c>
      <c r="C141" s="137"/>
      <c r="D141" s="137"/>
      <c r="E141" s="137"/>
      <c r="F141" s="137"/>
      <c r="G141" s="137"/>
      <c r="H141" s="196"/>
      <c r="I141" s="196"/>
      <c r="J141" s="196"/>
      <c r="K141" s="196"/>
      <c r="L141" s="196"/>
      <c r="M141" s="196"/>
      <c r="N141" s="196"/>
      <c r="O141" s="196"/>
      <c r="P141" s="32"/>
      <c r="Q141" s="196"/>
      <c r="R141" s="17"/>
      <c r="S141" s="17"/>
      <c r="U141" s="196"/>
      <c r="Z141" s="196"/>
      <c r="AA141" s="196"/>
    </row>
    <row r="142" spans="1:27" s="107" customFormat="1" ht="17.149999999999999" customHeight="1" x14ac:dyDescent="0.3">
      <c r="A142" s="135" t="s">
        <v>1030</v>
      </c>
      <c r="B142" s="211">
        <f>B123</f>
        <v>0</v>
      </c>
      <c r="C142" s="137"/>
      <c r="D142" s="137"/>
      <c r="E142" s="137"/>
      <c r="F142" s="137"/>
      <c r="G142" s="137"/>
      <c r="H142" s="196"/>
      <c r="I142" s="196"/>
      <c r="J142" s="196"/>
      <c r="K142" s="196"/>
      <c r="L142" s="196"/>
      <c r="M142" s="196"/>
      <c r="N142" s="196"/>
      <c r="O142" s="196"/>
      <c r="P142" s="32"/>
      <c r="Q142" s="196"/>
      <c r="R142" s="17"/>
      <c r="S142" s="17"/>
      <c r="U142" s="196"/>
      <c r="Z142" s="196"/>
      <c r="AA142" s="196"/>
    </row>
    <row r="143" spans="1:27" s="107" customFormat="1" ht="17.149999999999999" customHeight="1" x14ac:dyDescent="0.3">
      <c r="A143" s="135" t="s">
        <v>1031</v>
      </c>
      <c r="B143" s="211">
        <f>B124</f>
        <v>0</v>
      </c>
      <c r="C143" s="137"/>
      <c r="D143" s="137"/>
      <c r="E143" s="137"/>
      <c r="F143" s="137"/>
      <c r="G143" s="137"/>
      <c r="H143" s="196"/>
      <c r="I143" s="196"/>
      <c r="J143" s="196"/>
      <c r="K143" s="196"/>
      <c r="L143" s="196"/>
      <c r="M143" s="196"/>
      <c r="N143" s="196"/>
      <c r="O143" s="196"/>
      <c r="P143" s="32"/>
      <c r="Q143" s="196"/>
      <c r="R143" s="17"/>
      <c r="S143" s="17"/>
      <c r="U143" s="196"/>
      <c r="Z143" s="196"/>
      <c r="AA143" s="196"/>
    </row>
    <row r="144" spans="1:27" s="107" customFormat="1" ht="17.149999999999999" customHeight="1" x14ac:dyDescent="0.3">
      <c r="A144" s="11"/>
      <c r="B144" s="179"/>
      <c r="C144" s="137"/>
      <c r="D144" s="137"/>
      <c r="E144" s="137"/>
      <c r="F144" s="137"/>
      <c r="G144" s="137"/>
      <c r="H144" s="196"/>
      <c r="I144" s="196"/>
      <c r="J144" s="196"/>
      <c r="K144" s="196"/>
      <c r="L144" s="196"/>
      <c r="M144" s="196"/>
      <c r="N144" s="196"/>
      <c r="O144" s="196"/>
      <c r="P144" s="32"/>
      <c r="Q144" s="196"/>
      <c r="R144" s="17"/>
      <c r="S144" s="17"/>
      <c r="U144" s="196"/>
      <c r="Z144" s="196"/>
      <c r="AA144" s="196"/>
    </row>
    <row r="145" spans="1:27" s="107" customFormat="1" ht="17.149999999999999" customHeight="1" x14ac:dyDescent="0.3">
      <c r="A145" s="208" t="s">
        <v>99</v>
      </c>
      <c r="B145" s="209">
        <f>SUM(B146:B146)</f>
        <v>-150</v>
      </c>
      <c r="C145" s="137"/>
      <c r="D145" s="137"/>
      <c r="E145" s="137"/>
      <c r="F145" s="137"/>
      <c r="G145" s="137"/>
      <c r="H145" s="196"/>
      <c r="I145" s="196"/>
      <c r="J145" s="196"/>
      <c r="K145" s="196"/>
      <c r="L145" s="196"/>
      <c r="M145" s="196"/>
      <c r="N145" s="196"/>
      <c r="O145" s="196"/>
      <c r="P145" s="32"/>
      <c r="Q145" s="196"/>
      <c r="R145" s="17"/>
      <c r="S145" s="17"/>
      <c r="U145" s="196"/>
      <c r="Z145" s="196"/>
      <c r="AA145" s="196"/>
    </row>
    <row r="146" spans="1:27" s="107" customFormat="1" ht="17.149999999999999" customHeight="1" x14ac:dyDescent="0.3">
      <c r="A146" s="135" t="s">
        <v>1032</v>
      </c>
      <c r="B146" s="1500">
        <f>B97</f>
        <v>-150</v>
      </c>
      <c r="C146" s="137"/>
      <c r="D146" s="137"/>
      <c r="E146" s="137"/>
      <c r="F146" s="137"/>
      <c r="G146" s="137"/>
      <c r="H146" s="196"/>
      <c r="I146" s="196"/>
      <c r="J146" s="196"/>
      <c r="K146" s="196"/>
      <c r="L146" s="196"/>
      <c r="M146" s="196"/>
      <c r="N146" s="196"/>
      <c r="O146" s="196"/>
      <c r="P146" s="32"/>
      <c r="Q146" s="196"/>
      <c r="R146" s="17"/>
      <c r="S146" s="17"/>
      <c r="U146" s="196"/>
      <c r="Z146" s="196"/>
      <c r="AA146" s="196"/>
    </row>
    <row r="147" spans="1:27" s="107" customFormat="1" ht="17.149999999999999" customHeight="1" x14ac:dyDescent="0.3">
      <c r="A147" s="11"/>
      <c r="B147" s="179"/>
      <c r="C147" s="137"/>
      <c r="D147" s="137"/>
      <c r="E147" s="137"/>
      <c r="F147" s="137"/>
      <c r="G147" s="137"/>
      <c r="H147" s="196"/>
      <c r="I147" s="196"/>
      <c r="J147" s="196"/>
      <c r="K147" s="196"/>
      <c r="L147" s="196"/>
      <c r="M147" s="196"/>
      <c r="N147" s="196"/>
      <c r="O147" s="196"/>
      <c r="P147" s="32"/>
      <c r="Q147" s="196"/>
      <c r="R147" s="17"/>
      <c r="S147" s="17"/>
      <c r="U147" s="196"/>
      <c r="Z147" s="196"/>
      <c r="AA147" s="196"/>
    </row>
    <row r="148" spans="1:27" s="107" customFormat="1" ht="17.149999999999999" customHeight="1" x14ac:dyDescent="0.3">
      <c r="A148" s="208" t="s">
        <v>101</v>
      </c>
      <c r="B148" s="209">
        <f>SUM(B149:B149)</f>
        <v>859125</v>
      </c>
      <c r="C148" s="137"/>
      <c r="D148" s="137"/>
      <c r="E148" s="137"/>
      <c r="F148" s="137"/>
      <c r="G148" s="137"/>
      <c r="H148" s="196"/>
      <c r="I148" s="196"/>
      <c r="J148" s="196"/>
      <c r="K148" s="196"/>
      <c r="L148" s="196"/>
      <c r="M148" s="196"/>
      <c r="N148" s="196"/>
      <c r="O148" s="196"/>
      <c r="P148" s="32"/>
      <c r="Q148" s="196"/>
      <c r="R148" s="17"/>
      <c r="S148" s="17"/>
      <c r="U148" s="196"/>
      <c r="Z148" s="196"/>
      <c r="AA148" s="196"/>
    </row>
    <row r="149" spans="1:27" s="107" customFormat="1" ht="17.149999999999999" customHeight="1" x14ac:dyDescent="0.3">
      <c r="A149" s="135" t="s">
        <v>976</v>
      </c>
      <c r="B149" s="211">
        <f>B112</f>
        <v>859125</v>
      </c>
      <c r="C149" s="137"/>
      <c r="D149" s="137"/>
      <c r="E149" s="137"/>
      <c r="F149" s="137"/>
      <c r="G149" s="137"/>
      <c r="H149" s="196"/>
      <c r="I149" s="196"/>
      <c r="J149" s="196"/>
      <c r="K149" s="196"/>
      <c r="L149" s="196"/>
      <c r="M149" s="196"/>
      <c r="N149" s="196"/>
      <c r="O149" s="196"/>
      <c r="P149" s="32"/>
      <c r="Q149" s="196"/>
      <c r="R149" s="17"/>
      <c r="S149" s="17"/>
      <c r="U149" s="196"/>
      <c r="Z149" s="196"/>
      <c r="AA149" s="196"/>
    </row>
    <row r="150" spans="1:27" s="107" customFormat="1" ht="17.149999999999999" customHeight="1" x14ac:dyDescent="0.3">
      <c r="A150" s="11"/>
      <c r="B150" s="179"/>
      <c r="C150" s="137"/>
      <c r="D150" s="137"/>
      <c r="E150" s="137"/>
      <c r="F150" s="137"/>
      <c r="G150" s="137"/>
      <c r="H150" s="196"/>
      <c r="I150" s="196"/>
      <c r="J150" s="196"/>
      <c r="K150" s="196"/>
      <c r="L150" s="196"/>
      <c r="M150" s="196"/>
      <c r="N150" s="196"/>
      <c r="O150" s="196"/>
      <c r="P150" s="32"/>
      <c r="Q150" s="196"/>
      <c r="R150" s="17"/>
      <c r="S150" s="17"/>
      <c r="U150" s="196"/>
      <c r="Z150" s="196"/>
      <c r="AA150" s="196"/>
    </row>
    <row r="151" spans="1:27" s="107" customFormat="1" ht="17.149999999999999" customHeight="1" x14ac:dyDescent="0.3">
      <c r="A151" s="212" t="s">
        <v>1033</v>
      </c>
      <c r="B151" s="28">
        <f>B132+B136+B141+B145+B148</f>
        <v>32696725</v>
      </c>
      <c r="C151" s="137"/>
      <c r="D151" s="137"/>
      <c r="E151" s="137"/>
      <c r="F151" s="137"/>
      <c r="G151" s="137"/>
      <c r="H151" s="196"/>
      <c r="I151" s="196"/>
      <c r="J151" s="196"/>
      <c r="K151" s="196"/>
      <c r="L151" s="196"/>
      <c r="M151" s="196"/>
      <c r="N151" s="196"/>
      <c r="O151" s="196"/>
      <c r="P151" s="32"/>
      <c r="Q151" s="196"/>
      <c r="R151" s="17"/>
      <c r="S151" s="17"/>
      <c r="U151" s="196"/>
      <c r="Z151" s="196"/>
      <c r="AA151" s="196"/>
    </row>
    <row r="152" spans="1:27" s="107" customFormat="1" ht="17.149999999999999" customHeight="1" x14ac:dyDescent="0.3">
      <c r="A152" s="194"/>
      <c r="B152" s="205">
        <f>'Containment volumes'!B10+'Containment volumes'!B16</f>
        <v>32696725</v>
      </c>
      <c r="C152" s="137"/>
      <c r="D152" s="137"/>
      <c r="E152" s="137"/>
      <c r="F152" s="137"/>
      <c r="G152" s="137"/>
      <c r="H152" s="196"/>
      <c r="I152" s="196"/>
      <c r="J152" s="196"/>
      <c r="K152" s="196"/>
      <c r="L152" s="196"/>
      <c r="M152" s="196"/>
      <c r="N152" s="196"/>
      <c r="O152" s="196"/>
      <c r="P152" s="32"/>
      <c r="Q152" s="196"/>
      <c r="R152" s="17"/>
      <c r="S152" s="17"/>
      <c r="U152" s="196"/>
      <c r="Z152" s="196"/>
      <c r="AA152" s="196"/>
    </row>
    <row r="153" spans="1:27" s="107" customFormat="1" ht="17.149999999999999" customHeight="1" x14ac:dyDescent="0.3">
      <c r="A153" s="11"/>
      <c r="B153" s="1519" t="str">
        <f>IF(B151=B152,"OK","Not OK")</f>
        <v>OK</v>
      </c>
      <c r="C153" s="137"/>
      <c r="D153" s="137"/>
      <c r="E153" s="137"/>
      <c r="F153" s="137"/>
      <c r="G153" s="137"/>
      <c r="H153" s="196"/>
      <c r="I153" s="196"/>
      <c r="J153" s="196"/>
      <c r="K153" s="196"/>
      <c r="L153" s="196"/>
      <c r="M153" s="196"/>
      <c r="N153" s="196"/>
      <c r="O153" s="196"/>
      <c r="P153" s="32"/>
      <c r="Q153" s="196"/>
      <c r="R153" s="17"/>
      <c r="S153" s="17"/>
      <c r="U153" s="196"/>
      <c r="Z153" s="196"/>
      <c r="AA153" s="196"/>
    </row>
    <row r="154" spans="1:27" s="107" customFormat="1" ht="16.5" customHeight="1" x14ac:dyDescent="0.35">
      <c r="A154" s="78"/>
      <c r="B154" s="78"/>
      <c r="C154" s="179"/>
      <c r="D154" s="347"/>
      <c r="E154" s="347"/>
      <c r="F154" s="347"/>
      <c r="G154" s="347"/>
      <c r="H154" s="196"/>
      <c r="I154" s="196"/>
      <c r="J154" s="196"/>
      <c r="K154" s="196"/>
      <c r="L154" s="196"/>
      <c r="M154" s="196"/>
      <c r="N154" s="196"/>
      <c r="O154" s="196"/>
      <c r="P154" s="32"/>
      <c r="Q154" s="196"/>
      <c r="R154" s="17"/>
      <c r="S154" s="17"/>
      <c r="U154" s="196"/>
      <c r="Z154" s="196"/>
      <c r="AA154" s="196"/>
    </row>
    <row r="155" spans="1:27" s="107" customFormat="1" ht="16.5" customHeight="1" x14ac:dyDescent="0.35">
      <c r="A155" s="78"/>
      <c r="B155" s="393"/>
      <c r="C155" s="179"/>
      <c r="D155" s="347"/>
      <c r="E155" s="347"/>
      <c r="F155" s="347"/>
      <c r="G155" s="347"/>
      <c r="H155" s="196"/>
      <c r="I155" s="196"/>
      <c r="J155" s="196"/>
      <c r="K155" s="196"/>
      <c r="L155" s="196"/>
      <c r="M155" s="196"/>
      <c r="N155" s="196"/>
      <c r="O155" s="196"/>
      <c r="P155" s="32"/>
      <c r="Q155" s="196"/>
      <c r="R155" s="17"/>
      <c r="S155" s="17"/>
      <c r="U155" s="196"/>
      <c r="Z155" s="196"/>
      <c r="AA155" s="196"/>
    </row>
    <row r="156" spans="1:27" x14ac:dyDescent="0.35">
      <c r="A156" s="20"/>
      <c r="B156" s="20"/>
      <c r="C156" s="20"/>
      <c r="D156" s="20"/>
      <c r="E156" s="20"/>
      <c r="F156" s="20"/>
      <c r="G156" s="20"/>
      <c r="H156" s="20"/>
      <c r="I156" s="20"/>
      <c r="J156" s="20"/>
      <c r="K156" s="20"/>
      <c r="L156" s="20"/>
      <c r="M156" s="20"/>
      <c r="N156" s="20"/>
    </row>
    <row r="157" spans="1:27" x14ac:dyDescent="0.35">
      <c r="B157" s="19"/>
    </row>
  </sheetData>
  <sheetProtection password="C8C1" sheet="1" objects="1" scenarios="1" selectLockedCells="1"/>
  <mergeCells count="43">
    <mergeCell ref="B119:C119"/>
    <mergeCell ref="B47:C47"/>
    <mergeCell ref="B61:J61"/>
    <mergeCell ref="B62:C62"/>
    <mergeCell ref="B65:C65"/>
    <mergeCell ref="B59:J59"/>
    <mergeCell ref="B66:C66"/>
    <mergeCell ref="B67:C67"/>
    <mergeCell ref="B68:C68"/>
    <mergeCell ref="B85:C85"/>
    <mergeCell ref="B79:C79"/>
    <mergeCell ref="B80:C80"/>
    <mergeCell ref="B81:C81"/>
    <mergeCell ref="B82:C82"/>
    <mergeCell ref="B83:C83"/>
    <mergeCell ref="B84:C84"/>
    <mergeCell ref="N61:Q61"/>
    <mergeCell ref="T61:W61"/>
    <mergeCell ref="B78:C78"/>
    <mergeCell ref="B74:C74"/>
    <mergeCell ref="B77:C77"/>
    <mergeCell ref="N73:Q73"/>
    <mergeCell ref="V77:W77"/>
    <mergeCell ref="V78:W78"/>
    <mergeCell ref="U62:W62"/>
    <mergeCell ref="U63:W63"/>
    <mergeCell ref="U64:W64"/>
    <mergeCell ref="U65:W65"/>
    <mergeCell ref="U66:W66"/>
    <mergeCell ref="U67:W67"/>
    <mergeCell ref="U68:W68"/>
    <mergeCell ref="U69:W69"/>
    <mergeCell ref="V80:W80"/>
    <mergeCell ref="V81:W81"/>
    <mergeCell ref="V82:W82"/>
    <mergeCell ref="X73:Y73"/>
    <mergeCell ref="V85:W85"/>
    <mergeCell ref="V83:W83"/>
    <mergeCell ref="V84:W84"/>
    <mergeCell ref="V75:W75"/>
    <mergeCell ref="V76:W76"/>
    <mergeCell ref="T73:W73"/>
    <mergeCell ref="V79:W79"/>
  </mergeCells>
  <conditionalFormatting sqref="B153">
    <cfRule type="expression" dxfId="252" priority="7">
      <formula>B152&lt;B151</formula>
    </cfRule>
    <cfRule type="expression" dxfId="251" priority="8">
      <formula>B152&gt;B151</formula>
    </cfRule>
    <cfRule type="expression" dxfId="250" priority="9">
      <formula>B152=B151</formula>
    </cfRule>
  </conditionalFormatting>
  <conditionalFormatting sqref="B116:C116">
    <cfRule type="expression" dxfId="249" priority="4">
      <formula>B115&lt;B114</formula>
    </cfRule>
    <cfRule type="expression" dxfId="248" priority="5">
      <formula>B115&gt;B114</formula>
    </cfRule>
    <cfRule type="expression" dxfId="247" priority="6">
      <formula>B115=B114</formula>
    </cfRule>
  </conditionalFormatting>
  <conditionalFormatting sqref="H10">
    <cfRule type="expression" dxfId="246" priority="1">
      <formula>H9&lt;0</formula>
    </cfRule>
    <cfRule type="expression" dxfId="245" priority="2">
      <formula>H9&gt;0</formula>
    </cfRule>
    <cfRule type="expression" dxfId="244" priority="3">
      <formula>H9=0</formula>
    </cfRule>
  </conditionalFormatting>
  <pageMargins left="0.7" right="0.7" top="0.75" bottom="0.75" header="0.3" footer="0.3"/>
  <pageSetup paperSize="9" orientation="portrait" horizontalDpi="4294967293"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6"/>
  </sheetPr>
  <dimension ref="A1:XFC166"/>
  <sheetViews>
    <sheetView zoomScale="90" zoomScaleNormal="90" workbookViewId="0">
      <selection activeCell="A3" sqref="A3"/>
    </sheetView>
  </sheetViews>
  <sheetFormatPr defaultColWidth="9.1796875" defaultRowHeight="14.5" x14ac:dyDescent="0.35"/>
  <cols>
    <col min="1" max="1" width="60.7265625" style="17" customWidth="1"/>
    <col min="2" max="17" width="16.7265625" style="98" customWidth="1"/>
    <col min="18" max="20" width="32.7265625" style="98" customWidth="1"/>
    <col min="21" max="22" width="16.7265625" style="98" customWidth="1"/>
    <col min="23" max="26" width="16.7265625" style="17" customWidth="1"/>
    <col min="27" max="32" width="9.1796875" style="17"/>
    <col min="33" max="33" width="34.453125" style="17" bestFit="1" customWidth="1"/>
    <col min="34" max="16384" width="9.1796875" style="17"/>
  </cols>
  <sheetData>
    <row r="1" spans="1:22" ht="18.75" customHeight="1" x14ac:dyDescent="0.35">
      <c r="A1" s="13" t="str">
        <f>'User interface_RES'!AJ11</f>
        <v>Any city in , the world</v>
      </c>
    </row>
    <row r="2" spans="1:22" s="185" customFormat="1" ht="11.25" customHeight="1" x14ac:dyDescent="0.35">
      <c r="B2" s="247"/>
      <c r="C2" s="247"/>
      <c r="D2" s="247"/>
      <c r="E2" s="247"/>
      <c r="F2" s="247"/>
      <c r="G2" s="247"/>
      <c r="H2" s="247"/>
      <c r="I2" s="247"/>
      <c r="J2" s="247"/>
      <c r="K2" s="247"/>
      <c r="L2" s="247"/>
      <c r="M2" s="247"/>
      <c r="N2" s="247"/>
      <c r="O2" s="247"/>
      <c r="P2" s="247"/>
      <c r="Q2" s="247"/>
      <c r="R2" s="247"/>
      <c r="S2" s="247"/>
      <c r="T2" s="247"/>
      <c r="U2" s="247"/>
      <c r="V2" s="247"/>
    </row>
    <row r="3" spans="1:22" ht="26" x14ac:dyDescent="0.35">
      <c r="A3" s="182" t="s">
        <v>1034</v>
      </c>
    </row>
    <row r="4" spans="1:22" s="3" customFormat="1" ht="17.149999999999999" customHeight="1" x14ac:dyDescent="0.35">
      <c r="B4" s="1320"/>
      <c r="C4" s="4"/>
      <c r="D4" s="4"/>
      <c r="E4" s="4"/>
      <c r="F4" s="4"/>
      <c r="G4" s="4"/>
      <c r="H4" s="4"/>
      <c r="I4" s="4"/>
      <c r="J4" s="4"/>
      <c r="K4" s="4"/>
      <c r="L4" s="4"/>
      <c r="M4" s="4"/>
      <c r="N4" s="4"/>
      <c r="O4" s="4"/>
      <c r="P4" s="4"/>
      <c r="Q4" s="4"/>
      <c r="R4" s="4"/>
      <c r="S4" s="4"/>
      <c r="T4" s="4"/>
      <c r="U4" s="4"/>
      <c r="V4" s="4"/>
    </row>
    <row r="5" spans="1:22" s="3" customFormat="1" ht="17.149999999999999" customHeight="1" x14ac:dyDescent="0.35">
      <c r="B5" s="1321"/>
      <c r="C5" s="4"/>
      <c r="D5" s="4"/>
      <c r="E5" s="4"/>
      <c r="F5" s="4"/>
      <c r="G5" s="4"/>
      <c r="H5" s="4"/>
      <c r="I5" s="4"/>
      <c r="J5" s="4"/>
      <c r="K5" s="4"/>
      <c r="L5" s="4"/>
      <c r="M5" s="4"/>
      <c r="N5" s="4"/>
      <c r="O5" s="4"/>
      <c r="P5" s="4"/>
      <c r="Q5" s="4"/>
      <c r="R5" s="4"/>
      <c r="S5" s="4"/>
      <c r="T5" s="4"/>
      <c r="U5" s="4"/>
      <c r="V5" s="4"/>
    </row>
    <row r="6" spans="1:22" ht="18" customHeight="1" x14ac:dyDescent="0.3">
      <c r="A6" s="137"/>
      <c r="B6" s="1505" t="s">
        <v>9</v>
      </c>
      <c r="C6" s="226"/>
    </row>
    <row r="7" spans="1:22" s="185" customFormat="1" ht="11.25" customHeight="1" x14ac:dyDescent="0.25">
      <c r="A7" s="237"/>
      <c r="B7" s="222"/>
      <c r="C7" s="247"/>
      <c r="D7" s="247"/>
      <c r="E7" s="287"/>
      <c r="F7" s="287"/>
      <c r="G7" s="287"/>
      <c r="H7" s="287"/>
      <c r="I7" s="287"/>
      <c r="J7" s="287"/>
      <c r="K7" s="287"/>
      <c r="L7" s="247"/>
      <c r="M7" s="247"/>
      <c r="N7" s="247"/>
      <c r="O7" s="247"/>
      <c r="P7" s="247"/>
      <c r="Q7" s="247"/>
      <c r="R7" s="247"/>
      <c r="S7" s="247"/>
      <c r="T7" s="247"/>
      <c r="U7" s="247"/>
      <c r="V7" s="247"/>
    </row>
    <row r="8" spans="1:22" ht="18" customHeight="1" x14ac:dyDescent="0.3">
      <c r="A8" s="230" t="s">
        <v>1035</v>
      </c>
      <c r="B8" s="288">
        <f>B10+B13+B18+B22</f>
        <v>31837750</v>
      </c>
      <c r="D8" s="231" t="s">
        <v>793</v>
      </c>
      <c r="E8" s="137"/>
      <c r="F8" s="137"/>
      <c r="G8" s="137"/>
      <c r="H8" s="205">
        <f>'Emptying volumes'!B10+'Emptying volumes'!B14</f>
        <v>31837750</v>
      </c>
      <c r="I8" s="137"/>
      <c r="J8" s="137"/>
      <c r="K8" s="137"/>
    </row>
    <row r="9" spans="1:22" ht="18" customHeight="1" x14ac:dyDescent="0.3">
      <c r="A9" s="71"/>
      <c r="B9" s="72"/>
      <c r="E9" s="137"/>
      <c r="F9" s="137"/>
      <c r="G9" s="137"/>
      <c r="H9" s="53">
        <f>B8-H8</f>
        <v>0</v>
      </c>
      <c r="I9" s="137"/>
      <c r="J9" s="137"/>
      <c r="K9" s="137"/>
    </row>
    <row r="10" spans="1:22" ht="18" customHeight="1" x14ac:dyDescent="0.3">
      <c r="A10" s="206" t="s">
        <v>1036</v>
      </c>
      <c r="B10" s="207">
        <f>B11</f>
        <v>0</v>
      </c>
      <c r="E10" s="137"/>
      <c r="F10" s="137"/>
      <c r="G10" s="137"/>
      <c r="H10" s="1519" t="str">
        <f>IF(H9=0,"OK","Not OK")</f>
        <v>OK</v>
      </c>
      <c r="I10" s="137"/>
      <c r="J10" s="137"/>
      <c r="K10" s="137"/>
    </row>
    <row r="11" spans="1:22" ht="18" customHeight="1" x14ac:dyDescent="0.3">
      <c r="A11" s="300" t="s">
        <v>1037</v>
      </c>
      <c r="B11" s="303">
        <f>B116</f>
        <v>0</v>
      </c>
      <c r="D11" s="1324">
        <f>B11</f>
        <v>0</v>
      </c>
      <c r="E11" s="1325">
        <f>IF(D13=0,0,D11/D13)</f>
        <v>0</v>
      </c>
      <c r="F11" s="137"/>
      <c r="G11" s="137"/>
      <c r="H11" s="137"/>
      <c r="I11" s="137"/>
      <c r="J11" s="137"/>
      <c r="K11" s="137"/>
    </row>
    <row r="12" spans="1:22" ht="18" customHeight="1" x14ac:dyDescent="0.3">
      <c r="A12" s="304"/>
      <c r="B12" s="305"/>
      <c r="D12" s="1324">
        <f>B20</f>
        <v>147900</v>
      </c>
      <c r="E12" s="137"/>
      <c r="F12" s="137"/>
      <c r="G12" s="137"/>
      <c r="H12" s="137"/>
      <c r="I12" s="137"/>
      <c r="J12" s="137"/>
      <c r="K12" s="137"/>
    </row>
    <row r="13" spans="1:22" ht="18" customHeight="1" x14ac:dyDescent="0.35">
      <c r="A13" s="206" t="s">
        <v>1038</v>
      </c>
      <c r="B13" s="207">
        <f>SUM(B14:B16)</f>
        <v>29136675</v>
      </c>
      <c r="D13" s="1324">
        <f>SUM(D11:D12)</f>
        <v>147900</v>
      </c>
      <c r="G13" s="124"/>
      <c r="J13" s="112"/>
      <c r="K13" s="112"/>
    </row>
    <row r="14" spans="1:22" ht="18" customHeight="1" x14ac:dyDescent="0.35">
      <c r="A14" s="300" t="s">
        <v>1039</v>
      </c>
      <c r="B14" s="303">
        <f>B119</f>
        <v>22978675</v>
      </c>
      <c r="C14" s="72"/>
      <c r="D14" s="72"/>
      <c r="G14" s="124"/>
      <c r="J14" s="112"/>
      <c r="K14" s="112"/>
    </row>
    <row r="15" spans="1:22" ht="18" customHeight="1" x14ac:dyDescent="0.35">
      <c r="A15" s="300" t="s">
        <v>1040</v>
      </c>
      <c r="B15" s="303">
        <f>B120</f>
        <v>0</v>
      </c>
      <c r="C15" s="72"/>
      <c r="D15" s="72"/>
      <c r="G15" s="124"/>
      <c r="J15" s="112"/>
      <c r="K15" s="112"/>
    </row>
    <row r="16" spans="1:22" ht="18" customHeight="1" x14ac:dyDescent="0.35">
      <c r="A16" s="300" t="s">
        <v>1041</v>
      </c>
      <c r="B16" s="303">
        <f>B121</f>
        <v>6158000</v>
      </c>
      <c r="C16" s="72"/>
      <c r="D16" s="72"/>
      <c r="G16" s="124"/>
      <c r="J16" s="112"/>
      <c r="K16" s="112"/>
    </row>
    <row r="17" spans="1:25" ht="18" customHeight="1" x14ac:dyDescent="0.35">
      <c r="A17" s="306"/>
      <c r="B17" s="307"/>
      <c r="C17" s="72"/>
      <c r="D17" s="72"/>
      <c r="G17" s="124"/>
      <c r="J17" s="112"/>
      <c r="K17" s="112"/>
    </row>
    <row r="18" spans="1:25" ht="18" customHeight="1" x14ac:dyDescent="0.35">
      <c r="A18" s="208" t="s">
        <v>1042</v>
      </c>
      <c r="B18" s="209">
        <f>SUM(B19:B20)</f>
        <v>147900</v>
      </c>
      <c r="C18" s="72"/>
      <c r="D18" s="72"/>
      <c r="G18" s="124"/>
      <c r="J18" s="112"/>
      <c r="K18" s="112"/>
    </row>
    <row r="19" spans="1:25" ht="18" customHeight="1" x14ac:dyDescent="0.35">
      <c r="A19" s="308" t="s">
        <v>1043</v>
      </c>
      <c r="B19" s="303">
        <f>B124</f>
        <v>0</v>
      </c>
      <c r="C19" s="72"/>
      <c r="D19" s="72"/>
      <c r="G19" s="124"/>
      <c r="J19" s="112"/>
      <c r="K19" s="112"/>
    </row>
    <row r="20" spans="1:25" ht="18" customHeight="1" x14ac:dyDescent="0.35">
      <c r="A20" s="309" t="s">
        <v>1044</v>
      </c>
      <c r="B20" s="303">
        <f>B125</f>
        <v>147900</v>
      </c>
      <c r="C20" s="72"/>
      <c r="D20" s="72"/>
      <c r="G20" s="124"/>
      <c r="J20" s="112"/>
      <c r="K20" s="112"/>
    </row>
    <row r="21" spans="1:25" ht="18" customHeight="1" x14ac:dyDescent="0.35">
      <c r="A21" s="306"/>
      <c r="B21" s="307"/>
      <c r="C21" s="72"/>
      <c r="D21" s="72"/>
      <c r="G21" s="124"/>
      <c r="J21" s="112"/>
      <c r="K21" s="112"/>
    </row>
    <row r="22" spans="1:25" ht="18" customHeight="1" x14ac:dyDescent="0.35">
      <c r="A22" s="208" t="s">
        <v>1045</v>
      </c>
      <c r="B22" s="209">
        <f>SUM(B23:B24)</f>
        <v>2553175</v>
      </c>
      <c r="C22" s="72"/>
      <c r="D22" s="72"/>
      <c r="G22" s="124"/>
      <c r="J22" s="112"/>
      <c r="K22" s="112"/>
    </row>
    <row r="23" spans="1:25" ht="18" customHeight="1" x14ac:dyDescent="0.35">
      <c r="A23" s="300" t="s">
        <v>1046</v>
      </c>
      <c r="B23" s="303">
        <f>B128</f>
        <v>2553175</v>
      </c>
      <c r="C23" s="72"/>
      <c r="D23" s="72"/>
      <c r="G23" s="124"/>
      <c r="J23" s="112"/>
      <c r="K23" s="112"/>
    </row>
    <row r="24" spans="1:25" ht="18" customHeight="1" x14ac:dyDescent="0.35">
      <c r="A24" s="300" t="s">
        <v>1047</v>
      </c>
      <c r="B24" s="303">
        <f>B129</f>
        <v>0</v>
      </c>
      <c r="C24" s="72"/>
      <c r="D24" s="72"/>
      <c r="G24" s="124"/>
      <c r="J24" s="112"/>
      <c r="K24" s="112"/>
    </row>
    <row r="25" spans="1:25" ht="17.149999999999999" customHeight="1" x14ac:dyDescent="0.35">
      <c r="A25" s="71"/>
      <c r="B25" s="72"/>
      <c r="C25" s="72"/>
      <c r="D25" s="72"/>
      <c r="G25" s="124"/>
      <c r="J25" s="112"/>
      <c r="K25" s="112"/>
    </row>
    <row r="26" spans="1:25" ht="17.149999999999999" customHeight="1" x14ac:dyDescent="0.35">
      <c r="A26" s="71"/>
      <c r="B26" s="72"/>
      <c r="C26" s="72"/>
      <c r="D26" s="72"/>
      <c r="G26" s="124"/>
      <c r="J26" s="112"/>
      <c r="K26" s="112"/>
    </row>
    <row r="27" spans="1:25" ht="17.149999999999999" customHeight="1" x14ac:dyDescent="0.35">
      <c r="A27" s="71"/>
      <c r="B27" s="72"/>
      <c r="C27" s="72"/>
      <c r="D27" s="72"/>
      <c r="G27" s="124"/>
      <c r="J27" s="112"/>
      <c r="K27" s="112"/>
    </row>
    <row r="28" spans="1:25" ht="17.149999999999999" customHeight="1" x14ac:dyDescent="0.35">
      <c r="A28" s="183" t="s">
        <v>977</v>
      </c>
      <c r="B28" s="35"/>
      <c r="C28" s="72"/>
      <c r="D28" s="72"/>
      <c r="G28" s="124"/>
      <c r="J28" s="112"/>
      <c r="K28" s="112"/>
    </row>
    <row r="29" spans="1:25" ht="17.149999999999999" customHeight="1" x14ac:dyDescent="0.35">
      <c r="A29" s="35"/>
      <c r="B29" s="35"/>
      <c r="C29" s="72"/>
      <c r="D29" s="72"/>
      <c r="G29" s="124"/>
      <c r="J29" s="112"/>
      <c r="K29" s="112"/>
    </row>
    <row r="30" spans="1:25" s="115" customFormat="1" ht="17.149999999999999" customHeight="1" x14ac:dyDescent="0.35">
      <c r="A30" s="949" t="s">
        <v>1048</v>
      </c>
      <c r="B30" s="1776" t="s">
        <v>9</v>
      </c>
      <c r="C30" s="1776"/>
      <c r="D30" s="1776"/>
      <c r="E30" s="1776"/>
      <c r="F30" s="1776"/>
      <c r="G30" s="1776"/>
      <c r="H30" s="1776"/>
      <c r="I30" s="1776"/>
      <c r="J30" s="1776"/>
      <c r="K30" s="1776"/>
      <c r="L30" s="1776"/>
      <c r="M30" s="1776"/>
      <c r="N30" s="1776"/>
      <c r="O30" s="1776"/>
      <c r="P30" s="1776"/>
      <c r="Q30" s="1776"/>
      <c r="R30" s="1776"/>
      <c r="S30" s="1776"/>
      <c r="T30" s="1776"/>
      <c r="U30" s="1776"/>
      <c r="V30" s="1776"/>
      <c r="W30" s="1776"/>
      <c r="X30" s="1776"/>
      <c r="Y30" s="1776"/>
    </row>
    <row r="31" spans="1:25" ht="17.149999999999999" customHeight="1" x14ac:dyDescent="0.35">
      <c r="A31" s="71"/>
      <c r="B31" s="72"/>
      <c r="C31" s="72"/>
      <c r="D31" s="82"/>
      <c r="F31" s="124"/>
      <c r="J31" s="124"/>
      <c r="K31" s="124"/>
      <c r="L31" s="124"/>
      <c r="M31" s="124"/>
    </row>
    <row r="32" spans="1:25" s="12" customFormat="1" ht="43.5" x14ac:dyDescent="0.35">
      <c r="A32" s="1511" t="s">
        <v>1049</v>
      </c>
      <c r="B32" s="1511" t="s">
        <v>1050</v>
      </c>
      <c r="C32" s="1511" t="s">
        <v>1051</v>
      </c>
      <c r="D32" s="1511" t="s">
        <v>1052</v>
      </c>
      <c r="E32" s="1511" t="s">
        <v>311</v>
      </c>
      <c r="F32" s="1511" t="s">
        <v>1053</v>
      </c>
      <c r="G32" s="1511" t="s">
        <v>1054</v>
      </c>
      <c r="H32" s="1814" t="s">
        <v>1055</v>
      </c>
      <c r="I32" s="1816"/>
      <c r="J32" s="1814" t="s">
        <v>1056</v>
      </c>
      <c r="K32" s="1816"/>
      <c r="L32" s="1814" t="s">
        <v>1057</v>
      </c>
      <c r="M32" s="1816"/>
      <c r="N32" s="1503" t="s">
        <v>1058</v>
      </c>
      <c r="O32" s="1511" t="s">
        <v>355</v>
      </c>
      <c r="P32" s="1511" t="s">
        <v>1059</v>
      </c>
      <c r="Q32" s="1511" t="s">
        <v>1053</v>
      </c>
      <c r="R32" s="1511" t="s">
        <v>1055</v>
      </c>
      <c r="S32" s="1511" t="s">
        <v>1056</v>
      </c>
      <c r="T32" s="1511" t="s">
        <v>1057</v>
      </c>
      <c r="U32" s="1503" t="s">
        <v>1058</v>
      </c>
      <c r="V32" s="1511" t="s">
        <v>355</v>
      </c>
      <c r="X32" s="1511" t="s">
        <v>1060</v>
      </c>
      <c r="Y32" s="1511" t="s">
        <v>1061</v>
      </c>
    </row>
    <row r="33" spans="1:16383" s="426" customFormat="1" ht="10.5" x14ac:dyDescent="0.35">
      <c r="A33" s="384"/>
      <c r="B33" s="384"/>
      <c r="C33" s="384"/>
      <c r="D33" s="384"/>
      <c r="E33" s="384"/>
      <c r="F33" s="384"/>
      <c r="G33" s="384"/>
      <c r="H33" s="1826"/>
      <c r="I33" s="1827"/>
      <c r="J33" s="1826"/>
      <c r="K33" s="1827"/>
      <c r="L33" s="1826"/>
      <c r="M33" s="1827"/>
      <c r="N33" s="425"/>
      <c r="O33" s="385"/>
      <c r="P33" s="384"/>
      <c r="Q33" s="384"/>
      <c r="R33" s="384"/>
      <c r="S33" s="384"/>
      <c r="T33" s="384"/>
      <c r="U33" s="425"/>
      <c r="V33" s="385"/>
      <c r="X33" s="427"/>
      <c r="Y33" s="389"/>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C33" s="185"/>
      <c r="CD33" s="185"/>
      <c r="CE33" s="185"/>
      <c r="CF33" s="185"/>
      <c r="CG33" s="185"/>
      <c r="CH33" s="185"/>
      <c r="CI33" s="185"/>
    </row>
    <row r="34" spans="1:16383" ht="17.149999999999999" customHeight="1" x14ac:dyDescent="0.35">
      <c r="A34" s="959" t="s">
        <v>1062</v>
      </c>
      <c r="B34" s="983"/>
      <c r="C34" s="983"/>
      <c r="D34" s="983"/>
      <c r="E34" s="983"/>
      <c r="F34" s="983"/>
      <c r="G34" s="983"/>
      <c r="H34" s="1832"/>
      <c r="I34" s="1833"/>
      <c r="J34" s="1828"/>
      <c r="K34" s="1829"/>
      <c r="L34" s="1828"/>
      <c r="M34" s="1829"/>
      <c r="N34" s="983"/>
      <c r="O34" s="983"/>
      <c r="P34" s="983"/>
      <c r="Q34" s="983"/>
      <c r="R34" s="983"/>
      <c r="S34" s="983"/>
      <c r="T34" s="983"/>
      <c r="U34" s="983"/>
      <c r="V34" s="983"/>
      <c r="W34" s="60"/>
      <c r="X34" s="26"/>
      <c r="Y34" s="26"/>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row>
    <row r="35" spans="1:16383" s="60" customFormat="1" ht="17.149999999999999" customHeight="1" x14ac:dyDescent="0.35">
      <c r="A35" s="155" t="s">
        <v>1063</v>
      </c>
      <c r="B35" s="964" t="s">
        <v>323</v>
      </c>
      <c r="C35" s="965">
        <f>'Interface_Emptying &amp; Transport'!AB21</f>
        <v>0</v>
      </c>
      <c r="D35" s="966">
        <f>'Emptying volumes'!J65*'Transport volumes'!C35</f>
        <v>0</v>
      </c>
      <c r="E35" s="967"/>
      <c r="F35" s="967"/>
      <c r="G35" s="968"/>
      <c r="H35" s="1830">
        <f>'Interface_Emptying &amp; Transport'!AF21</f>
        <v>0</v>
      </c>
      <c r="I35" s="1831"/>
      <c r="J35" s="1830">
        <f>'Interface_Emptying &amp; Transport'!AH21</f>
        <v>0</v>
      </c>
      <c r="K35" s="1831"/>
      <c r="L35" s="1830">
        <f>'Interface_Emptying &amp; Transport'!AJ21</f>
        <v>0</v>
      </c>
      <c r="M35" s="1831"/>
      <c r="N35" s="1522">
        <f>ROUND((IF(J35="Sub-station",0,IF(L35="Legal",D35,IF(L35="Partly legal - partly illegal",D35/2,0))))/25,0)*25</f>
        <v>0</v>
      </c>
      <c r="O35" s="1522">
        <f>ROUND((IF(J35="Sub-station",0,IF(L35="Illegal",D35,IF(L35="Partly legal - partly illegal",D35/2,0))))/25,0)*25</f>
        <v>0</v>
      </c>
      <c r="P35" s="969">
        <f>'Interface_Emptying &amp; Transport'!AL21</f>
        <v>0</v>
      </c>
      <c r="Q35" s="969">
        <f>'Interface_Emptying &amp; Transport'!AM21</f>
        <v>0</v>
      </c>
      <c r="R35" s="1510">
        <f>'Interface_Emptying &amp; Transport'!AN21</f>
        <v>0</v>
      </c>
      <c r="S35" s="1510">
        <f>'Interface_Emptying &amp; Transport'!AP21</f>
        <v>0</v>
      </c>
      <c r="T35" s="1510">
        <f>'Interface_Emptying &amp; Transport'!AR21</f>
        <v>0</v>
      </c>
      <c r="U35" s="1522">
        <f>ROUND((IF(T35="Legal",D35,IF(T35="Partly legal - partly illegal",D35/2,0)))/25,0)*25</f>
        <v>0</v>
      </c>
      <c r="V35" s="1522">
        <f>ROUND((IF(T35="Illegal",D35,IF(T35="Partly legal - partly illegal",D35/2,0)))/25,0)*25</f>
        <v>0</v>
      </c>
      <c r="X35" s="1518">
        <f>ROUND((O35+V35)/25,0)*25</f>
        <v>0</v>
      </c>
      <c r="Y35" s="1518">
        <f>ROUND((N35+U35)/25,0)*25</f>
        <v>0</v>
      </c>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6"/>
      <c r="BA35" s="136"/>
      <c r="BB35" s="136"/>
      <c r="BC35" s="136"/>
      <c r="BD35" s="136"/>
      <c r="BE35" s="136"/>
      <c r="BF35" s="136"/>
      <c r="BG35" s="136"/>
      <c r="BH35" s="136"/>
      <c r="BI35" s="136"/>
      <c r="BJ35" s="136"/>
      <c r="BK35" s="136"/>
      <c r="BL35" s="136"/>
      <c r="BM35" s="136"/>
      <c r="BN35" s="136"/>
      <c r="BO35" s="136"/>
      <c r="BP35" s="136"/>
      <c r="BQ35" s="136"/>
      <c r="BR35" s="136"/>
      <c r="BS35" s="136"/>
      <c r="BT35" s="136"/>
      <c r="BU35" s="136"/>
      <c r="BV35" s="136"/>
      <c r="BW35" s="136"/>
      <c r="BX35" s="136"/>
      <c r="BY35" s="136"/>
      <c r="BZ35" s="136"/>
      <c r="CA35" s="136"/>
      <c r="CB35" s="136"/>
      <c r="CC35" s="136"/>
      <c r="CD35" s="136"/>
      <c r="CE35" s="136"/>
      <c r="CF35" s="136"/>
      <c r="CG35" s="136"/>
      <c r="CH35" s="136"/>
      <c r="CI35" s="136"/>
    </row>
    <row r="36" spans="1:16383" s="60" customFormat="1" ht="17.149999999999999" customHeight="1" x14ac:dyDescent="0.35">
      <c r="A36" s="155" t="s">
        <v>1063</v>
      </c>
      <c r="B36" s="964" t="s">
        <v>324</v>
      </c>
      <c r="C36" s="965">
        <f>'Interface_Emptying &amp; Transport'!AC22</f>
        <v>1</v>
      </c>
      <c r="D36" s="970"/>
      <c r="E36" s="971">
        <f>'Interface_Emptying &amp; Transport'!AD22</f>
        <v>0</v>
      </c>
      <c r="F36" s="971">
        <f>'Interface_Emptying &amp; Transport'!AE22</f>
        <v>0</v>
      </c>
      <c r="G36" s="968">
        <f>'Emptying volumes'!J65*'Transport volumes'!C36</f>
        <v>0</v>
      </c>
      <c r="H36" s="1830">
        <f>'Interface_Emptying &amp; Transport'!AF22</f>
        <v>0</v>
      </c>
      <c r="I36" s="1831"/>
      <c r="J36" s="1830">
        <f>'Interface_Emptying &amp; Transport'!AH22</f>
        <v>0</v>
      </c>
      <c r="K36" s="1831"/>
      <c r="L36" s="1830">
        <f>'Interface_Emptying &amp; Transport'!AJ22</f>
        <v>0</v>
      </c>
      <c r="M36" s="1831"/>
      <c r="N36" s="1522">
        <f t="shared" ref="N36:N42" si="0">ROUND((IF(J36="Sub-station",0,IF(L36="Legal",D36,IF(L36="Partly legal - partly illegal",D36/2,0))))/25,0)*25</f>
        <v>0</v>
      </c>
      <c r="O36" s="1522">
        <f t="shared" ref="O36:O42" si="1">ROUND((IF(J36="Sub-station",0,IF(L36="Illegal",D36,IF(L36="Partly legal - partly illegal",D36/2,0))))/25,0)*25</f>
        <v>0</v>
      </c>
      <c r="P36" s="969">
        <f>'Interface_Emptying &amp; Transport'!AL22</f>
        <v>0</v>
      </c>
      <c r="Q36" s="969">
        <f>'Interface_Emptying &amp; Transport'!AM22</f>
        <v>0</v>
      </c>
      <c r="R36" s="1510">
        <f>'Interface_Emptying &amp; Transport'!AN22</f>
        <v>0</v>
      </c>
      <c r="S36" s="1510">
        <f>'Interface_Emptying &amp; Transport'!AP22</f>
        <v>0</v>
      </c>
      <c r="T36" s="1510">
        <f>'Interface_Emptying &amp; Transport'!AR22</f>
        <v>0</v>
      </c>
      <c r="U36" s="1522">
        <f>ROUND((IF(T36="Legal",G36,IF(T36="Partly - legal partly illegal",G36/2,0)))/25,0)*25</f>
        <v>0</v>
      </c>
      <c r="V36" s="1522">
        <f>ROUND((IF(T36="Illegal",G36,IF(T36="Partly legal - partly illegal",G36/2,0)))/25,0)*25</f>
        <v>0</v>
      </c>
      <c r="X36" s="1518">
        <f t="shared" ref="X36:X42" si="2">ROUND((O36+V36)/25,0)*25</f>
        <v>0</v>
      </c>
      <c r="Y36" s="1518">
        <f t="shared" ref="Y36:Y42" si="3">ROUND((N36+U36)/25,0)*25</f>
        <v>0</v>
      </c>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6"/>
      <c r="BA36" s="136"/>
      <c r="BB36" s="136"/>
      <c r="BC36" s="136"/>
      <c r="BD36" s="136"/>
      <c r="BE36" s="136"/>
      <c r="BF36" s="136"/>
      <c r="BG36" s="136"/>
      <c r="BH36" s="136"/>
      <c r="BI36" s="136"/>
      <c r="BJ36" s="136"/>
      <c r="BK36" s="136"/>
      <c r="BL36" s="136"/>
      <c r="BM36" s="136"/>
      <c r="BN36" s="136"/>
      <c r="BO36" s="136"/>
      <c r="BP36" s="136"/>
      <c r="BQ36" s="136"/>
      <c r="BR36" s="136"/>
      <c r="BS36" s="136"/>
      <c r="BT36" s="136"/>
      <c r="BU36" s="136"/>
      <c r="BV36" s="136"/>
      <c r="BW36" s="136"/>
      <c r="BX36" s="136"/>
      <c r="BY36" s="136"/>
      <c r="BZ36" s="136"/>
      <c r="CA36" s="136"/>
      <c r="CB36" s="136"/>
      <c r="CC36" s="136"/>
      <c r="CD36" s="136"/>
      <c r="CE36" s="136"/>
      <c r="CF36" s="136"/>
      <c r="CG36" s="136"/>
      <c r="CH36" s="136"/>
      <c r="CI36" s="136"/>
    </row>
    <row r="37" spans="1:16383" s="60" customFormat="1" ht="17.149999999999999" customHeight="1" x14ac:dyDescent="0.35">
      <c r="A37" s="155" t="s">
        <v>1064</v>
      </c>
      <c r="B37" s="964" t="s">
        <v>323</v>
      </c>
      <c r="C37" s="965">
        <f>'Interface_Emptying &amp; Transport'!AB23</f>
        <v>0</v>
      </c>
      <c r="D37" s="966">
        <f>'Emptying volumes'!J66*'Transport volumes'!C37</f>
        <v>0</v>
      </c>
      <c r="E37" s="967"/>
      <c r="F37" s="967"/>
      <c r="G37" s="968"/>
      <c r="H37" s="1830">
        <f>'Interface_Emptying &amp; Transport'!AF23</f>
        <v>0</v>
      </c>
      <c r="I37" s="1831"/>
      <c r="J37" s="1830">
        <f>'Interface_Emptying &amp; Transport'!AH23</f>
        <v>0</v>
      </c>
      <c r="K37" s="1831"/>
      <c r="L37" s="1830">
        <f>'Interface_Emptying &amp; Transport'!AJ23</f>
        <v>0</v>
      </c>
      <c r="M37" s="1831"/>
      <c r="N37" s="1522">
        <f t="shared" si="0"/>
        <v>0</v>
      </c>
      <c r="O37" s="1522">
        <f t="shared" si="1"/>
        <v>0</v>
      </c>
      <c r="P37" s="969">
        <f>'Interface_Emptying &amp; Transport'!AL23</f>
        <v>0</v>
      </c>
      <c r="Q37" s="969">
        <f>'Interface_Emptying &amp; Transport'!AM23</f>
        <v>0</v>
      </c>
      <c r="R37" s="1510">
        <f>'Interface_Emptying &amp; Transport'!AN23</f>
        <v>0</v>
      </c>
      <c r="S37" s="1510">
        <f>'Interface_Emptying &amp; Transport'!AP23</f>
        <v>0</v>
      </c>
      <c r="T37" s="1510">
        <f>'Interface_Emptying &amp; Transport'!AR23</f>
        <v>0</v>
      </c>
      <c r="U37" s="1522">
        <f>ROUND((IF(T37="Legal",D37,IF(T37="Partly legal - partly illegal",D37/2,0)))/25,0)*25</f>
        <v>0</v>
      </c>
      <c r="V37" s="1522">
        <f>ROUND((IF(T37="Illegal",D37,IF(T37="Partly legal - partly illegal",D37/2,0)))/25,0)*25</f>
        <v>0</v>
      </c>
      <c r="X37" s="1518">
        <f t="shared" si="2"/>
        <v>0</v>
      </c>
      <c r="Y37" s="1518">
        <f t="shared" si="3"/>
        <v>0</v>
      </c>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6"/>
      <c r="BA37" s="136"/>
      <c r="BB37" s="136"/>
      <c r="BC37" s="136"/>
      <c r="BD37" s="136"/>
      <c r="BE37" s="136"/>
      <c r="BF37" s="136"/>
      <c r="BG37" s="136"/>
      <c r="BH37" s="136"/>
      <c r="BI37" s="136"/>
      <c r="BJ37" s="136"/>
      <c r="BK37" s="136"/>
      <c r="BL37" s="136"/>
      <c r="BM37" s="136"/>
      <c r="BN37" s="136"/>
      <c r="BO37" s="136"/>
      <c r="BP37" s="136"/>
      <c r="BQ37" s="136"/>
      <c r="BR37" s="136"/>
      <c r="BS37" s="136"/>
      <c r="BT37" s="136"/>
      <c r="BU37" s="136"/>
      <c r="BV37" s="136"/>
      <c r="BW37" s="136"/>
      <c r="BX37" s="136"/>
      <c r="BY37" s="136"/>
      <c r="BZ37" s="136"/>
      <c r="CA37" s="136"/>
      <c r="CB37" s="136"/>
      <c r="CC37" s="136"/>
      <c r="CD37" s="136"/>
      <c r="CE37" s="136"/>
      <c r="CF37" s="136"/>
      <c r="CG37" s="136"/>
      <c r="CH37" s="136"/>
      <c r="CI37" s="136"/>
    </row>
    <row r="38" spans="1:16383" s="60" customFormat="1" ht="17.149999999999999" customHeight="1" x14ac:dyDescent="0.35">
      <c r="A38" s="155" t="s">
        <v>1064</v>
      </c>
      <c r="B38" s="964" t="s">
        <v>324</v>
      </c>
      <c r="C38" s="965">
        <f>'Interface_Emptying &amp; Transport'!AC24</f>
        <v>1</v>
      </c>
      <c r="D38" s="970"/>
      <c r="E38" s="971">
        <f>'Interface_Emptying &amp; Transport'!AD24</f>
        <v>0</v>
      </c>
      <c r="F38" s="971">
        <f>'Interface_Emptying &amp; Transport'!AE24</f>
        <v>0</v>
      </c>
      <c r="G38" s="968">
        <f>'Emptying volumes'!J66*'Transport volumes'!C38</f>
        <v>0</v>
      </c>
      <c r="H38" s="1830">
        <f>'Interface_Emptying &amp; Transport'!AF24</f>
        <v>0</v>
      </c>
      <c r="I38" s="1831"/>
      <c r="J38" s="1830">
        <f>'Interface_Emptying &amp; Transport'!AH24</f>
        <v>0</v>
      </c>
      <c r="K38" s="1831"/>
      <c r="L38" s="1830">
        <f>'Interface_Emptying &amp; Transport'!AJ24</f>
        <v>0</v>
      </c>
      <c r="M38" s="1831"/>
      <c r="N38" s="1522">
        <f t="shared" si="0"/>
        <v>0</v>
      </c>
      <c r="O38" s="1522">
        <f t="shared" si="1"/>
        <v>0</v>
      </c>
      <c r="P38" s="969">
        <f>'Interface_Emptying &amp; Transport'!AL24</f>
        <v>0</v>
      </c>
      <c r="Q38" s="969">
        <f>'Interface_Emptying &amp; Transport'!AM24</f>
        <v>0</v>
      </c>
      <c r="R38" s="1510">
        <f>'Interface_Emptying &amp; Transport'!AN24</f>
        <v>0</v>
      </c>
      <c r="S38" s="1510">
        <f>'Interface_Emptying &amp; Transport'!AP24</f>
        <v>0</v>
      </c>
      <c r="T38" s="1510">
        <f>'Interface_Emptying &amp; Transport'!AR24</f>
        <v>0</v>
      </c>
      <c r="U38" s="1522">
        <f>ROUND((IF(T38="Legal",G38,IF(T38="Partly - legal partly illegal",G38/2,0)))/25,0)*25</f>
        <v>0</v>
      </c>
      <c r="V38" s="1522">
        <f>ROUND((IF(T38="Illegal",G38,IF(T38="Partly legal - partly illegal",G38/2,0)))/25,0)*25</f>
        <v>0</v>
      </c>
      <c r="X38" s="1518">
        <f t="shared" si="2"/>
        <v>0</v>
      </c>
      <c r="Y38" s="1518">
        <f t="shared" si="3"/>
        <v>0</v>
      </c>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6"/>
      <c r="BA38" s="136"/>
      <c r="BB38" s="136"/>
      <c r="BC38" s="136"/>
      <c r="BD38" s="136"/>
      <c r="BE38" s="136"/>
      <c r="BF38" s="136"/>
      <c r="BG38" s="136"/>
      <c r="BH38" s="136"/>
      <c r="BI38" s="136"/>
      <c r="BJ38" s="136"/>
      <c r="BK38" s="136"/>
      <c r="BL38" s="136"/>
      <c r="BM38" s="136"/>
      <c r="BN38" s="136"/>
      <c r="BO38" s="136"/>
      <c r="BP38" s="136"/>
      <c r="BQ38" s="136"/>
      <c r="BR38" s="136"/>
      <c r="BS38" s="136"/>
      <c r="BT38" s="136"/>
      <c r="BU38" s="136"/>
      <c r="BV38" s="136"/>
      <c r="BW38" s="136"/>
      <c r="BX38" s="136"/>
      <c r="BY38" s="136"/>
      <c r="BZ38" s="136"/>
      <c r="CA38" s="136"/>
      <c r="CB38" s="136"/>
      <c r="CC38" s="136"/>
      <c r="CD38" s="136"/>
      <c r="CE38" s="136"/>
      <c r="CF38" s="136"/>
      <c r="CG38" s="136"/>
      <c r="CH38" s="136"/>
      <c r="CI38" s="136"/>
    </row>
    <row r="39" spans="1:16383" s="60" customFormat="1" ht="17.149999999999999" customHeight="1" x14ac:dyDescent="0.35">
      <c r="A39" s="155" t="s">
        <v>1065</v>
      </c>
      <c r="B39" s="964" t="s">
        <v>323</v>
      </c>
      <c r="C39" s="965">
        <f>'Interface_Emptying &amp; Transport'!AB25</f>
        <v>0</v>
      </c>
      <c r="D39" s="966">
        <f>'Emptying volumes'!J67*'Transport volumes'!C39</f>
        <v>0</v>
      </c>
      <c r="E39" s="967"/>
      <c r="F39" s="967"/>
      <c r="G39" s="968"/>
      <c r="H39" s="1830">
        <f>'Interface_Emptying &amp; Transport'!AF25</f>
        <v>0</v>
      </c>
      <c r="I39" s="1831"/>
      <c r="J39" s="1830">
        <f>'Interface_Emptying &amp; Transport'!AH25</f>
        <v>0</v>
      </c>
      <c r="K39" s="1831"/>
      <c r="L39" s="1830">
        <f>'Interface_Emptying &amp; Transport'!AJ25</f>
        <v>0</v>
      </c>
      <c r="M39" s="1831"/>
      <c r="N39" s="1522">
        <f t="shared" si="0"/>
        <v>0</v>
      </c>
      <c r="O39" s="1522">
        <f t="shared" si="1"/>
        <v>0</v>
      </c>
      <c r="P39" s="969">
        <f>'Interface_Emptying &amp; Transport'!AL25</f>
        <v>0</v>
      </c>
      <c r="Q39" s="969">
        <f>'Interface_Emptying &amp; Transport'!AM25</f>
        <v>0</v>
      </c>
      <c r="R39" s="1510">
        <f>'Interface_Emptying &amp; Transport'!AN25</f>
        <v>0</v>
      </c>
      <c r="S39" s="1510">
        <f>'Interface_Emptying &amp; Transport'!AP25</f>
        <v>0</v>
      </c>
      <c r="T39" s="1510">
        <f>'Interface_Emptying &amp; Transport'!AR25</f>
        <v>0</v>
      </c>
      <c r="U39" s="1522">
        <f>ROUND((IF(T39="Legal",D39,IF(T39="Partly legal - partly illegal",D39/2,0)))/25,0)*25</f>
        <v>0</v>
      </c>
      <c r="V39" s="1522">
        <f>ROUND((IF(T39="Illegal",D39,IF(T39="Partly legal - partly illegal",D39/2,0)))/25,0)*25</f>
        <v>0</v>
      </c>
      <c r="X39" s="1518">
        <f t="shared" si="2"/>
        <v>0</v>
      </c>
      <c r="Y39" s="1518">
        <f t="shared" si="3"/>
        <v>0</v>
      </c>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6"/>
      <c r="BA39" s="136"/>
      <c r="BB39" s="136"/>
      <c r="BC39" s="136"/>
      <c r="BD39" s="136"/>
      <c r="BE39" s="136"/>
      <c r="BF39" s="136"/>
      <c r="BG39" s="136"/>
      <c r="BH39" s="136"/>
      <c r="BI39" s="136"/>
      <c r="BJ39" s="136"/>
      <c r="BK39" s="136"/>
      <c r="BL39" s="136"/>
      <c r="BM39" s="136"/>
      <c r="BN39" s="136"/>
      <c r="BO39" s="136"/>
      <c r="BP39" s="136"/>
      <c r="BQ39" s="136"/>
      <c r="BR39" s="136"/>
      <c r="BS39" s="136"/>
      <c r="BT39" s="136"/>
      <c r="BU39" s="136"/>
      <c r="BV39" s="136"/>
      <c r="BW39" s="136"/>
      <c r="BX39" s="136"/>
      <c r="BY39" s="136"/>
      <c r="BZ39" s="136"/>
      <c r="CA39" s="136"/>
      <c r="CB39" s="136"/>
      <c r="CC39" s="136"/>
      <c r="CD39" s="136"/>
      <c r="CE39" s="136"/>
      <c r="CF39" s="136"/>
      <c r="CG39" s="136"/>
      <c r="CH39" s="136"/>
      <c r="CI39" s="136"/>
    </row>
    <row r="40" spans="1:16383" s="60" customFormat="1" ht="17.149999999999999" customHeight="1" x14ac:dyDescent="0.35">
      <c r="A40" s="155" t="s">
        <v>1065</v>
      </c>
      <c r="B40" s="964" t="s">
        <v>324</v>
      </c>
      <c r="C40" s="965">
        <f>'Interface_Emptying &amp; Transport'!AC26</f>
        <v>1</v>
      </c>
      <c r="D40" s="970"/>
      <c r="E40" s="971">
        <f>'Interface_Emptying &amp; Transport'!AD26</f>
        <v>0</v>
      </c>
      <c r="F40" s="971">
        <f>'Interface_Emptying &amp; Transport'!AE26</f>
        <v>0</v>
      </c>
      <c r="G40" s="968">
        <f>'Emptying volumes'!J67*'Transport volumes'!C40</f>
        <v>0</v>
      </c>
      <c r="H40" s="1830">
        <f>'Interface_Emptying &amp; Transport'!AF26</f>
        <v>0</v>
      </c>
      <c r="I40" s="1831"/>
      <c r="J40" s="1830">
        <f>'Interface_Emptying &amp; Transport'!AH26</f>
        <v>0</v>
      </c>
      <c r="K40" s="1831"/>
      <c r="L40" s="1830">
        <f>'Interface_Emptying &amp; Transport'!AJ26</f>
        <v>0</v>
      </c>
      <c r="M40" s="1831"/>
      <c r="N40" s="1522">
        <f t="shared" si="0"/>
        <v>0</v>
      </c>
      <c r="O40" s="1522">
        <f t="shared" si="1"/>
        <v>0</v>
      </c>
      <c r="P40" s="969">
        <f>'Interface_Emptying &amp; Transport'!AL26</f>
        <v>0</v>
      </c>
      <c r="Q40" s="969">
        <f>'Interface_Emptying &amp; Transport'!AM26</f>
        <v>0</v>
      </c>
      <c r="R40" s="1510">
        <f>'Interface_Emptying &amp; Transport'!AN26</f>
        <v>0</v>
      </c>
      <c r="S40" s="1510">
        <f>'Interface_Emptying &amp; Transport'!AP26</f>
        <v>0</v>
      </c>
      <c r="T40" s="1510">
        <f>'Interface_Emptying &amp; Transport'!AR26</f>
        <v>0</v>
      </c>
      <c r="U40" s="1522">
        <f>ROUND((IF(T40="Legal",G40,IF(T40="Partly - legal partly illegal",G40/2,0)))/25,0)*25</f>
        <v>0</v>
      </c>
      <c r="V40" s="1522">
        <f>ROUND((IF(T40="Illegal",G40,IF(T40="Partly legal - partly illegal",G40/2,0)))/25,0)*25</f>
        <v>0</v>
      </c>
      <c r="X40" s="1518">
        <f t="shared" si="2"/>
        <v>0</v>
      </c>
      <c r="Y40" s="1518">
        <f t="shared" si="3"/>
        <v>0</v>
      </c>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6"/>
      <c r="BA40" s="136"/>
      <c r="BB40" s="136"/>
      <c r="BC40" s="136"/>
      <c r="BD40" s="136"/>
      <c r="BE40" s="136"/>
      <c r="BF40" s="136"/>
      <c r="BG40" s="136"/>
      <c r="BH40" s="136"/>
      <c r="BI40" s="136"/>
      <c r="BJ40" s="136"/>
      <c r="BK40" s="136"/>
      <c r="BL40" s="136"/>
      <c r="BM40" s="136"/>
      <c r="BN40" s="136"/>
      <c r="BO40" s="136"/>
      <c r="BP40" s="136"/>
      <c r="BQ40" s="136"/>
      <c r="BR40" s="136"/>
      <c r="BS40" s="136"/>
      <c r="BT40" s="136"/>
      <c r="BU40" s="136"/>
      <c r="BV40" s="136"/>
      <c r="BW40" s="136"/>
      <c r="BX40" s="136"/>
      <c r="BY40" s="136"/>
      <c r="BZ40" s="136"/>
      <c r="CA40" s="136"/>
      <c r="CB40" s="136"/>
      <c r="CC40" s="136"/>
      <c r="CD40" s="136"/>
      <c r="CE40" s="136"/>
      <c r="CF40" s="136"/>
      <c r="CG40" s="136"/>
      <c r="CH40" s="136"/>
      <c r="CI40" s="136"/>
    </row>
    <row r="41" spans="1:16383" s="60" customFormat="1" ht="17.149999999999999" customHeight="1" x14ac:dyDescent="0.35">
      <c r="A41" s="155" t="s">
        <v>537</v>
      </c>
      <c r="B41" s="964" t="s">
        <v>323</v>
      </c>
      <c r="C41" s="965">
        <f>'Interface_Emptying &amp; Transport'!AB27</f>
        <v>0</v>
      </c>
      <c r="D41" s="966">
        <f>'Emptying volumes'!J68*'Transport volumes'!C41</f>
        <v>0</v>
      </c>
      <c r="E41" s="967"/>
      <c r="F41" s="967"/>
      <c r="G41" s="968"/>
      <c r="H41" s="1830">
        <f>'Interface_Emptying &amp; Transport'!AF27</f>
        <v>0</v>
      </c>
      <c r="I41" s="1831"/>
      <c r="J41" s="1830">
        <f>'Interface_Emptying &amp; Transport'!AH27</f>
        <v>0</v>
      </c>
      <c r="K41" s="1831"/>
      <c r="L41" s="1830">
        <f>'Interface_Emptying &amp; Transport'!AJ27</f>
        <v>0</v>
      </c>
      <c r="M41" s="1831"/>
      <c r="N41" s="1522">
        <f t="shared" si="0"/>
        <v>0</v>
      </c>
      <c r="O41" s="1522">
        <f t="shared" si="1"/>
        <v>0</v>
      </c>
      <c r="P41" s="969">
        <f>'Interface_Emptying &amp; Transport'!AL27</f>
        <v>0</v>
      </c>
      <c r="Q41" s="969">
        <f>'Interface_Emptying &amp; Transport'!AM27</f>
        <v>0</v>
      </c>
      <c r="R41" s="1510">
        <f>'Interface_Emptying &amp; Transport'!AN27</f>
        <v>0</v>
      </c>
      <c r="S41" s="1510">
        <f>'Interface_Emptying &amp; Transport'!AP27</f>
        <v>0</v>
      </c>
      <c r="T41" s="1510">
        <f>'Interface_Emptying &amp; Transport'!AR27</f>
        <v>0</v>
      </c>
      <c r="U41" s="1522">
        <f>ROUND((IF(T41="Legal",D41,IF(T41="Partly legal - partly illegal",D41/2,0)))/25,0)*25</f>
        <v>0</v>
      </c>
      <c r="V41" s="1522">
        <f>ROUND((IF(T41="Illegal",D41,IF(T41="Partly legal - partly illegal",D41/2,0)))/25,0)*25</f>
        <v>0</v>
      </c>
      <c r="X41" s="1518">
        <f t="shared" si="2"/>
        <v>0</v>
      </c>
      <c r="Y41" s="1518">
        <f t="shared" si="3"/>
        <v>0</v>
      </c>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6"/>
      <c r="BA41" s="136"/>
      <c r="BB41" s="136"/>
      <c r="BC41" s="136"/>
      <c r="BD41" s="136"/>
      <c r="BE41" s="136"/>
      <c r="BF41" s="136"/>
      <c r="BG41" s="136"/>
      <c r="BH41" s="136"/>
      <c r="BI41" s="136"/>
      <c r="BJ41" s="136"/>
      <c r="BK41" s="136"/>
      <c r="BL41" s="136"/>
      <c r="BM41" s="136"/>
      <c r="BN41" s="136"/>
      <c r="BO41" s="136"/>
      <c r="BP41" s="136"/>
      <c r="BQ41" s="136"/>
      <c r="BR41" s="136"/>
      <c r="BS41" s="136"/>
      <c r="BT41" s="136"/>
      <c r="BU41" s="136"/>
      <c r="BV41" s="136"/>
      <c r="BW41" s="136"/>
      <c r="BX41" s="136"/>
      <c r="BY41" s="136"/>
      <c r="BZ41" s="136"/>
      <c r="CA41" s="136"/>
      <c r="CB41" s="136"/>
      <c r="CC41" s="136"/>
      <c r="CD41" s="136"/>
      <c r="CE41" s="136"/>
      <c r="CF41" s="136"/>
      <c r="CG41" s="136"/>
      <c r="CH41" s="136"/>
      <c r="CI41" s="136"/>
    </row>
    <row r="42" spans="1:16383" s="60" customFormat="1" ht="17.149999999999999" customHeight="1" x14ac:dyDescent="0.35">
      <c r="A42" s="972" t="s">
        <v>537</v>
      </c>
      <c r="B42" s="973" t="s">
        <v>324</v>
      </c>
      <c r="C42" s="965">
        <f>'Interface_Emptying &amp; Transport'!AC28</f>
        <v>1</v>
      </c>
      <c r="D42" s="970"/>
      <c r="E42" s="971">
        <f>'Interface_Emptying &amp; Transport'!AD28</f>
        <v>0</v>
      </c>
      <c r="F42" s="971">
        <f>'Interface_Emptying &amp; Transport'!AE28</f>
        <v>0</v>
      </c>
      <c r="G42" s="974">
        <f>'Emptying volumes'!J68*'Transport volumes'!C42</f>
        <v>0</v>
      </c>
      <c r="H42" s="1830">
        <f>'Interface_Emptying &amp; Transport'!AF28</f>
        <v>0</v>
      </c>
      <c r="I42" s="1831"/>
      <c r="J42" s="1830">
        <f>'Interface_Emptying &amp; Transport'!AH28</f>
        <v>0</v>
      </c>
      <c r="K42" s="1831"/>
      <c r="L42" s="1830">
        <f>'Interface_Emptying &amp; Transport'!AJ28</f>
        <v>0</v>
      </c>
      <c r="M42" s="1831"/>
      <c r="N42" s="1522">
        <f t="shared" si="0"/>
        <v>0</v>
      </c>
      <c r="O42" s="1522">
        <f t="shared" si="1"/>
        <v>0</v>
      </c>
      <c r="P42" s="969">
        <f>'Interface_Emptying &amp; Transport'!AL28</f>
        <v>0</v>
      </c>
      <c r="Q42" s="969">
        <f>'Interface_Emptying &amp; Transport'!AM28</f>
        <v>0</v>
      </c>
      <c r="R42" s="1510">
        <f>'Interface_Emptying &amp; Transport'!AN28</f>
        <v>0</v>
      </c>
      <c r="S42" s="1510">
        <f>'Interface_Emptying &amp; Transport'!AP28</f>
        <v>0</v>
      </c>
      <c r="T42" s="1510">
        <f>'Interface_Emptying &amp; Transport'!AR28</f>
        <v>0</v>
      </c>
      <c r="U42" s="1522">
        <f>ROUND((IF(T42="Legal",G42,IF(T42="Partly - legal partly illegal",G42/2,0)))/25,0)*25</f>
        <v>0</v>
      </c>
      <c r="V42" s="1522">
        <f>ROUND((IF(T42="Illegal",G42,IF(T42="Partly legal - partly illegal",G42/2,0)))/25,0)*25</f>
        <v>0</v>
      </c>
      <c r="X42" s="1518">
        <f t="shared" si="2"/>
        <v>0</v>
      </c>
      <c r="Y42" s="1518">
        <f t="shared" si="3"/>
        <v>0</v>
      </c>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6"/>
      <c r="BA42" s="136"/>
      <c r="BB42" s="136"/>
      <c r="BC42" s="136"/>
      <c r="BD42" s="136"/>
      <c r="BE42" s="136"/>
      <c r="BF42" s="136"/>
      <c r="BG42" s="136"/>
      <c r="BH42" s="136"/>
      <c r="BI42" s="136"/>
      <c r="BJ42" s="136"/>
      <c r="BK42" s="136"/>
      <c r="BL42" s="136"/>
      <c r="BM42" s="136"/>
      <c r="BN42" s="136"/>
      <c r="BO42" s="136"/>
      <c r="BP42" s="136"/>
      <c r="BQ42" s="136"/>
      <c r="BR42" s="136"/>
      <c r="BS42" s="136"/>
      <c r="BT42" s="136"/>
      <c r="BU42" s="136"/>
      <c r="BV42" s="136"/>
      <c r="BW42" s="136"/>
      <c r="BX42" s="136"/>
      <c r="BY42" s="136"/>
      <c r="BZ42" s="136"/>
      <c r="CA42" s="136"/>
      <c r="CB42" s="136"/>
      <c r="CC42" s="136"/>
      <c r="CD42" s="136"/>
      <c r="CE42" s="136"/>
      <c r="CF42" s="136"/>
      <c r="CG42" s="136"/>
      <c r="CH42" s="136"/>
      <c r="CI42" s="136"/>
    </row>
    <row r="43" spans="1:16383" s="299" customFormat="1" ht="17.149999999999999" customHeight="1" x14ac:dyDescent="0.35">
      <c r="A43" s="977" t="s">
        <v>1066</v>
      </c>
      <c r="B43" s="978"/>
      <c r="C43" s="979"/>
      <c r="D43" s="980">
        <f>SUM(D35:D42)</f>
        <v>0</v>
      </c>
      <c r="E43" s="981"/>
      <c r="F43" s="981"/>
      <c r="G43" s="980">
        <f>SUM(G35:G42)</f>
        <v>0</v>
      </c>
      <c r="H43" s="1824"/>
      <c r="I43" s="1825"/>
      <c r="J43" s="1824"/>
      <c r="K43" s="1825"/>
      <c r="L43" s="1824"/>
      <c r="M43" s="1825"/>
      <c r="N43" s="980">
        <f>SUM(N35:N42)</f>
        <v>0</v>
      </c>
      <c r="O43" s="980">
        <f>SUM(O35:O42)</f>
        <v>0</v>
      </c>
      <c r="P43" s="982"/>
      <c r="Q43" s="982"/>
      <c r="R43" s="982"/>
      <c r="S43" s="982"/>
      <c r="T43" s="982"/>
      <c r="U43" s="980">
        <f>SUM(U35:U42)</f>
        <v>0</v>
      </c>
      <c r="V43" s="980">
        <f>SUM(V35:V42)</f>
        <v>0</v>
      </c>
      <c r="W43" s="60"/>
      <c r="X43" s="980">
        <f>SUM(X35:X42)</f>
        <v>0</v>
      </c>
      <c r="Y43" s="980">
        <f>SUM(Y35:Y42)</f>
        <v>0</v>
      </c>
      <c r="Z43" s="980">
        <f>SUM(X43:Y43)</f>
        <v>0</v>
      </c>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6"/>
      <c r="BA43" s="136"/>
      <c r="BB43" s="136"/>
      <c r="BC43" s="136"/>
      <c r="BD43" s="136"/>
      <c r="BE43" s="136"/>
      <c r="BF43" s="136"/>
      <c r="BG43" s="136"/>
      <c r="BH43" s="136"/>
      <c r="BI43" s="136"/>
      <c r="BJ43" s="136"/>
      <c r="BK43" s="136"/>
      <c r="BL43" s="136"/>
      <c r="BM43" s="136"/>
      <c r="BN43" s="136"/>
      <c r="BO43" s="136"/>
      <c r="BP43" s="136"/>
      <c r="BQ43" s="136"/>
      <c r="BR43" s="136"/>
      <c r="BS43" s="136"/>
      <c r="BT43" s="136"/>
      <c r="BU43" s="136"/>
      <c r="BV43" s="136"/>
      <c r="BW43" s="136"/>
      <c r="BX43" s="136"/>
      <c r="BY43" s="136"/>
      <c r="BZ43" s="136"/>
      <c r="CA43" s="136"/>
      <c r="CB43" s="136"/>
      <c r="CC43" s="136"/>
      <c r="CD43" s="136"/>
      <c r="CE43" s="136"/>
      <c r="CF43" s="136"/>
      <c r="CG43" s="136"/>
      <c r="CH43" s="136"/>
      <c r="CI43" s="136"/>
      <c r="CJ43" s="60"/>
      <c r="CK43" s="60"/>
      <c r="CL43" s="60"/>
      <c r="CM43" s="60"/>
      <c r="CN43" s="60"/>
      <c r="CO43" s="60"/>
      <c r="CP43" s="60"/>
      <c r="CQ43" s="60"/>
      <c r="CR43" s="60"/>
      <c r="CS43" s="60"/>
      <c r="CT43" s="60"/>
      <c r="CU43" s="60"/>
      <c r="CV43" s="60"/>
      <c r="CW43" s="60"/>
      <c r="CX43" s="60"/>
      <c r="CY43" s="60"/>
      <c r="CZ43" s="60"/>
      <c r="DA43" s="60"/>
      <c r="DB43" s="60"/>
      <c r="DC43" s="60"/>
      <c r="DD43" s="60"/>
      <c r="DE43" s="60"/>
      <c r="DF43" s="60"/>
      <c r="DG43" s="60"/>
      <c r="DH43" s="60"/>
      <c r="DI43" s="60"/>
      <c r="DJ43" s="60"/>
      <c r="DK43" s="60"/>
      <c r="DL43" s="60"/>
      <c r="DM43" s="60"/>
      <c r="DN43" s="60"/>
      <c r="DO43" s="60"/>
      <c r="DP43" s="60"/>
      <c r="DQ43" s="60"/>
      <c r="DR43" s="60"/>
      <c r="DS43" s="60"/>
      <c r="DT43" s="60"/>
      <c r="DU43" s="60"/>
      <c r="DV43" s="60"/>
      <c r="DW43" s="60"/>
      <c r="DX43" s="60"/>
      <c r="DY43" s="60"/>
      <c r="DZ43" s="60"/>
      <c r="EA43" s="60"/>
      <c r="EB43" s="60"/>
      <c r="EC43" s="60"/>
      <c r="ED43" s="60"/>
      <c r="EE43" s="60"/>
      <c r="EF43" s="60"/>
      <c r="EG43" s="60"/>
      <c r="EH43" s="60"/>
      <c r="EI43" s="60"/>
      <c r="EJ43" s="60"/>
      <c r="EK43" s="60"/>
      <c r="EL43" s="60"/>
      <c r="EM43" s="60"/>
      <c r="EN43" s="60"/>
      <c r="EO43" s="60"/>
      <c r="EP43" s="60"/>
      <c r="EQ43" s="60"/>
      <c r="ER43" s="60"/>
      <c r="ES43" s="60"/>
      <c r="ET43" s="60"/>
      <c r="EU43" s="60"/>
      <c r="EV43" s="60"/>
      <c r="EW43" s="60"/>
      <c r="EX43" s="60"/>
      <c r="EY43" s="60"/>
      <c r="EZ43" s="60"/>
      <c r="FA43" s="60"/>
      <c r="FB43" s="60"/>
      <c r="FC43" s="60"/>
      <c r="FD43" s="60"/>
      <c r="FE43" s="60"/>
      <c r="FF43" s="60"/>
      <c r="FG43" s="60"/>
      <c r="FH43" s="60"/>
      <c r="FI43" s="60"/>
      <c r="FJ43" s="60"/>
      <c r="FK43" s="60"/>
      <c r="FL43" s="60"/>
      <c r="FM43" s="60"/>
      <c r="FN43" s="60"/>
      <c r="FO43" s="60"/>
      <c r="FP43" s="60"/>
      <c r="FQ43" s="60"/>
      <c r="FR43" s="60"/>
      <c r="FS43" s="60"/>
      <c r="FT43" s="60"/>
      <c r="FU43" s="60"/>
      <c r="FV43" s="60"/>
      <c r="FW43" s="60"/>
      <c r="FX43" s="60"/>
      <c r="FY43" s="60"/>
      <c r="FZ43" s="60"/>
      <c r="GA43" s="60"/>
      <c r="GB43" s="60"/>
      <c r="GC43" s="60"/>
      <c r="GD43" s="60"/>
      <c r="GE43" s="60"/>
      <c r="GF43" s="60"/>
      <c r="GG43" s="60"/>
      <c r="GH43" s="60"/>
      <c r="GI43" s="60"/>
      <c r="GJ43" s="60"/>
      <c r="GK43" s="60"/>
      <c r="GL43" s="60"/>
      <c r="GM43" s="60"/>
      <c r="GN43" s="60"/>
      <c r="GO43" s="60"/>
      <c r="GP43" s="60"/>
      <c r="GQ43" s="60"/>
      <c r="GR43" s="60"/>
      <c r="GS43" s="60"/>
      <c r="GT43" s="60"/>
      <c r="GU43" s="60"/>
      <c r="GV43" s="60"/>
      <c r="GW43" s="60"/>
      <c r="GX43" s="60"/>
      <c r="GY43" s="60"/>
      <c r="GZ43" s="60"/>
      <c r="HA43" s="60"/>
      <c r="HB43" s="60"/>
      <c r="HC43" s="60"/>
      <c r="HD43" s="60"/>
      <c r="HE43" s="60"/>
      <c r="HF43" s="60"/>
      <c r="HG43" s="60"/>
      <c r="HH43" s="60"/>
      <c r="HI43" s="60"/>
      <c r="HJ43" s="60"/>
      <c r="HK43" s="60"/>
      <c r="HL43" s="60"/>
      <c r="HM43" s="60"/>
      <c r="HN43" s="60"/>
      <c r="HO43" s="60"/>
      <c r="HP43" s="60"/>
      <c r="HQ43" s="60"/>
      <c r="HR43" s="60"/>
      <c r="HS43" s="60"/>
      <c r="HT43" s="60"/>
      <c r="HU43" s="60"/>
      <c r="HV43" s="60"/>
      <c r="HW43" s="60"/>
      <c r="HX43" s="60"/>
      <c r="HY43" s="60"/>
      <c r="HZ43" s="60"/>
      <c r="IA43" s="60"/>
      <c r="IB43" s="60"/>
      <c r="IC43" s="60"/>
      <c r="ID43" s="60"/>
      <c r="IE43" s="60"/>
      <c r="IF43" s="60"/>
      <c r="IG43" s="60"/>
      <c r="IH43" s="60"/>
      <c r="II43" s="60"/>
      <c r="IJ43" s="60"/>
      <c r="IK43" s="60"/>
      <c r="IL43" s="60"/>
      <c r="IM43" s="60"/>
      <c r="IN43" s="60"/>
      <c r="IO43" s="60"/>
      <c r="IP43" s="60"/>
      <c r="IQ43" s="60"/>
      <c r="IR43" s="60"/>
      <c r="IS43" s="60"/>
      <c r="IT43" s="60"/>
      <c r="IU43" s="60"/>
      <c r="IV43" s="60"/>
      <c r="IW43" s="60"/>
      <c r="IX43" s="60"/>
      <c r="IY43" s="60"/>
      <c r="IZ43" s="60"/>
      <c r="JA43" s="60"/>
      <c r="JB43" s="60"/>
      <c r="JC43" s="60"/>
      <c r="JD43" s="60"/>
      <c r="JE43" s="60"/>
      <c r="JF43" s="60"/>
      <c r="JG43" s="60"/>
      <c r="JH43" s="60"/>
      <c r="JI43" s="60"/>
      <c r="JJ43" s="60"/>
      <c r="JK43" s="60"/>
      <c r="JL43" s="60"/>
      <c r="JM43" s="60"/>
      <c r="JN43" s="60"/>
      <c r="JO43" s="60"/>
      <c r="JP43" s="60"/>
      <c r="JQ43" s="60"/>
      <c r="JR43" s="60"/>
      <c r="JS43" s="60"/>
      <c r="JT43" s="60"/>
      <c r="JU43" s="60"/>
      <c r="JV43" s="60"/>
      <c r="JW43" s="60"/>
      <c r="JX43" s="60"/>
      <c r="JY43" s="60"/>
      <c r="JZ43" s="60"/>
      <c r="KA43" s="60"/>
      <c r="KB43" s="60"/>
      <c r="KC43" s="60"/>
      <c r="KD43" s="60"/>
      <c r="KE43" s="60"/>
      <c r="KF43" s="60"/>
      <c r="KG43" s="60"/>
      <c r="KH43" s="60"/>
      <c r="KI43" s="60"/>
      <c r="KJ43" s="60"/>
      <c r="KK43" s="60"/>
      <c r="KL43" s="60"/>
      <c r="KM43" s="60"/>
      <c r="KN43" s="60"/>
      <c r="KO43" s="60"/>
      <c r="KP43" s="60"/>
      <c r="KQ43" s="60"/>
      <c r="KR43" s="60"/>
      <c r="KS43" s="60"/>
      <c r="KT43" s="60"/>
      <c r="KU43" s="60"/>
      <c r="KV43" s="60"/>
      <c r="KW43" s="60"/>
      <c r="KX43" s="60"/>
      <c r="KY43" s="60"/>
      <c r="KZ43" s="60"/>
      <c r="LA43" s="60"/>
      <c r="LB43" s="60"/>
      <c r="LC43" s="60"/>
      <c r="LD43" s="60"/>
      <c r="LE43" s="60"/>
      <c r="LF43" s="60"/>
      <c r="LG43" s="60"/>
      <c r="LH43" s="60"/>
      <c r="LI43" s="60"/>
      <c r="LJ43" s="60"/>
      <c r="LK43" s="60"/>
      <c r="LL43" s="60"/>
      <c r="LM43" s="60"/>
      <c r="LN43" s="60"/>
      <c r="LO43" s="60"/>
      <c r="LP43" s="60"/>
      <c r="LQ43" s="60"/>
      <c r="LR43" s="60"/>
      <c r="LS43" s="60"/>
      <c r="LT43" s="60"/>
      <c r="LU43" s="60"/>
      <c r="LV43" s="60"/>
      <c r="LW43" s="60"/>
      <c r="LX43" s="60"/>
      <c r="LY43" s="60"/>
      <c r="LZ43" s="60"/>
      <c r="MA43" s="60"/>
      <c r="MB43" s="60"/>
      <c r="MC43" s="60"/>
      <c r="MD43" s="60"/>
      <c r="ME43" s="60"/>
      <c r="MF43" s="60"/>
      <c r="MG43" s="60"/>
      <c r="MH43" s="60"/>
      <c r="MI43" s="60"/>
      <c r="MJ43" s="60"/>
      <c r="MK43" s="60"/>
      <c r="ML43" s="60"/>
      <c r="MM43" s="60"/>
      <c r="MN43" s="60"/>
      <c r="MO43" s="60"/>
      <c r="MP43" s="60"/>
      <c r="MQ43" s="60"/>
      <c r="MR43" s="60"/>
      <c r="MS43" s="60"/>
      <c r="MT43" s="60"/>
      <c r="MU43" s="60"/>
      <c r="MV43" s="60"/>
      <c r="MW43" s="60"/>
      <c r="MX43" s="60"/>
      <c r="MY43" s="60"/>
      <c r="MZ43" s="60"/>
      <c r="NA43" s="60"/>
      <c r="NB43" s="60"/>
      <c r="NC43" s="60"/>
      <c r="ND43" s="60"/>
      <c r="NE43" s="60"/>
      <c r="NF43" s="60"/>
      <c r="NG43" s="60"/>
      <c r="NH43" s="60"/>
      <c r="NI43" s="60"/>
      <c r="NJ43" s="60"/>
      <c r="NK43" s="60"/>
      <c r="NL43" s="60"/>
      <c r="NM43" s="60"/>
      <c r="NN43" s="60"/>
      <c r="NO43" s="60"/>
      <c r="NP43" s="60"/>
      <c r="NQ43" s="60"/>
      <c r="NR43" s="60"/>
      <c r="NS43" s="60"/>
      <c r="NT43" s="60"/>
      <c r="NU43" s="60"/>
      <c r="NV43" s="60"/>
      <c r="NW43" s="60"/>
      <c r="NX43" s="60"/>
      <c r="NY43" s="60"/>
      <c r="NZ43" s="60"/>
      <c r="OA43" s="60"/>
      <c r="OB43" s="60"/>
      <c r="OC43" s="60"/>
      <c r="OD43" s="60"/>
      <c r="OE43" s="60"/>
      <c r="OF43" s="60"/>
      <c r="OG43" s="60"/>
      <c r="OH43" s="60"/>
      <c r="OI43" s="60"/>
      <c r="OJ43" s="60"/>
      <c r="OK43" s="60"/>
      <c r="OL43" s="60"/>
      <c r="OM43" s="60"/>
      <c r="ON43" s="60"/>
      <c r="OO43" s="60"/>
      <c r="OP43" s="60"/>
      <c r="OQ43" s="60"/>
      <c r="OR43" s="60"/>
      <c r="OS43" s="60"/>
      <c r="OT43" s="60"/>
      <c r="OU43" s="60"/>
      <c r="OV43" s="60"/>
      <c r="OW43" s="60"/>
      <c r="OX43" s="60"/>
      <c r="OY43" s="60"/>
      <c r="OZ43" s="60"/>
      <c r="PA43" s="60"/>
      <c r="PB43" s="60"/>
      <c r="PC43" s="60"/>
      <c r="PD43" s="60"/>
      <c r="PE43" s="60"/>
      <c r="PF43" s="60"/>
      <c r="PG43" s="60"/>
      <c r="PH43" s="60"/>
      <c r="PI43" s="60"/>
      <c r="PJ43" s="60"/>
      <c r="PK43" s="60"/>
      <c r="PL43" s="60"/>
      <c r="PM43" s="60"/>
      <c r="PN43" s="60"/>
      <c r="PO43" s="60"/>
      <c r="PP43" s="60"/>
      <c r="PQ43" s="60"/>
      <c r="PR43" s="60"/>
      <c r="PS43" s="60"/>
      <c r="PT43" s="60"/>
      <c r="PU43" s="60"/>
      <c r="PV43" s="60"/>
      <c r="PW43" s="60"/>
      <c r="PX43" s="60"/>
      <c r="PY43" s="60"/>
      <c r="PZ43" s="60"/>
      <c r="QA43" s="60"/>
      <c r="QB43" s="60"/>
      <c r="QC43" s="60"/>
      <c r="QD43" s="60"/>
      <c r="QE43" s="60"/>
      <c r="QF43" s="60"/>
      <c r="QG43" s="60"/>
      <c r="QH43" s="60"/>
      <c r="QI43" s="60"/>
      <c r="QJ43" s="60"/>
      <c r="QK43" s="60"/>
      <c r="QL43" s="60"/>
      <c r="QM43" s="60"/>
      <c r="QN43" s="60"/>
      <c r="QO43" s="60"/>
      <c r="QP43" s="60"/>
      <c r="QQ43" s="60"/>
      <c r="QR43" s="60"/>
      <c r="QS43" s="60"/>
      <c r="QT43" s="60"/>
      <c r="QU43" s="60"/>
      <c r="QV43" s="60"/>
      <c r="QW43" s="60"/>
      <c r="QX43" s="60"/>
      <c r="QY43" s="60"/>
      <c r="QZ43" s="60"/>
      <c r="RA43" s="60"/>
      <c r="RB43" s="60"/>
      <c r="RC43" s="60"/>
      <c r="RD43" s="60"/>
      <c r="RE43" s="60"/>
      <c r="RF43" s="60"/>
      <c r="RG43" s="60"/>
      <c r="RH43" s="60"/>
      <c r="RI43" s="60"/>
      <c r="RJ43" s="60"/>
      <c r="RK43" s="60"/>
      <c r="RL43" s="60"/>
      <c r="RM43" s="60"/>
      <c r="RN43" s="60"/>
      <c r="RO43" s="60"/>
      <c r="RP43" s="60"/>
      <c r="RQ43" s="60"/>
      <c r="RR43" s="60"/>
      <c r="RS43" s="60"/>
      <c r="RT43" s="60"/>
      <c r="RU43" s="60"/>
      <c r="RV43" s="60"/>
      <c r="RW43" s="60"/>
      <c r="RX43" s="60"/>
      <c r="RY43" s="60"/>
      <c r="RZ43" s="60"/>
      <c r="SA43" s="60"/>
      <c r="SB43" s="60"/>
      <c r="SC43" s="60"/>
      <c r="SD43" s="60"/>
      <c r="SE43" s="60"/>
      <c r="SF43" s="60"/>
      <c r="SG43" s="60"/>
      <c r="SH43" s="60"/>
      <c r="SI43" s="60"/>
      <c r="SJ43" s="60"/>
      <c r="SK43" s="60"/>
      <c r="SL43" s="60"/>
      <c r="SM43" s="60"/>
      <c r="SN43" s="60"/>
      <c r="SO43" s="60"/>
      <c r="SP43" s="60"/>
      <c r="SQ43" s="60"/>
      <c r="SR43" s="60"/>
      <c r="SS43" s="60"/>
      <c r="ST43" s="60"/>
      <c r="SU43" s="60"/>
      <c r="SV43" s="60"/>
      <c r="SW43" s="60"/>
      <c r="SX43" s="60"/>
      <c r="SY43" s="60"/>
      <c r="SZ43" s="60"/>
      <c r="TA43" s="60"/>
      <c r="TB43" s="60"/>
      <c r="TC43" s="60"/>
      <c r="TD43" s="60"/>
      <c r="TE43" s="60"/>
      <c r="TF43" s="60"/>
      <c r="TG43" s="60"/>
      <c r="TH43" s="60"/>
      <c r="TI43" s="60"/>
      <c r="TJ43" s="60"/>
      <c r="TK43" s="60"/>
      <c r="TL43" s="60"/>
      <c r="TM43" s="60"/>
      <c r="TN43" s="60"/>
      <c r="TO43" s="60"/>
      <c r="TP43" s="60"/>
      <c r="TQ43" s="60"/>
      <c r="TR43" s="60"/>
      <c r="TS43" s="60"/>
      <c r="TT43" s="60"/>
      <c r="TU43" s="60"/>
      <c r="TV43" s="60"/>
      <c r="TW43" s="60"/>
      <c r="TX43" s="60"/>
      <c r="TY43" s="60"/>
      <c r="TZ43" s="60"/>
      <c r="UA43" s="60"/>
      <c r="UB43" s="60"/>
      <c r="UC43" s="60"/>
      <c r="UD43" s="60"/>
      <c r="UE43" s="60"/>
      <c r="UF43" s="60"/>
      <c r="UG43" s="60"/>
      <c r="UH43" s="60"/>
      <c r="UI43" s="60"/>
      <c r="UJ43" s="60"/>
      <c r="UK43" s="60"/>
      <c r="UL43" s="60"/>
      <c r="UM43" s="60"/>
      <c r="UN43" s="60"/>
      <c r="UO43" s="60"/>
      <c r="UP43" s="60"/>
      <c r="UQ43" s="60"/>
      <c r="UR43" s="60"/>
      <c r="US43" s="60"/>
      <c r="UT43" s="60"/>
      <c r="UU43" s="60"/>
      <c r="UV43" s="60"/>
      <c r="UW43" s="60"/>
      <c r="UX43" s="60"/>
      <c r="UY43" s="60"/>
      <c r="UZ43" s="60"/>
      <c r="VA43" s="60"/>
      <c r="VB43" s="60"/>
      <c r="VC43" s="60"/>
      <c r="VD43" s="60"/>
      <c r="VE43" s="60"/>
      <c r="VF43" s="60"/>
      <c r="VG43" s="60"/>
      <c r="VH43" s="60"/>
      <c r="VI43" s="60"/>
      <c r="VJ43" s="60"/>
      <c r="VK43" s="60"/>
      <c r="VL43" s="60"/>
      <c r="VM43" s="60"/>
      <c r="VN43" s="60"/>
      <c r="VO43" s="60"/>
      <c r="VP43" s="60"/>
      <c r="VQ43" s="60"/>
      <c r="VR43" s="60"/>
      <c r="VS43" s="60"/>
      <c r="VT43" s="60"/>
      <c r="VU43" s="60"/>
      <c r="VV43" s="60"/>
      <c r="VW43" s="60"/>
      <c r="VX43" s="60"/>
      <c r="VY43" s="60"/>
      <c r="VZ43" s="60"/>
      <c r="WA43" s="60"/>
      <c r="WB43" s="60"/>
      <c r="WC43" s="60"/>
      <c r="WD43" s="60"/>
      <c r="WE43" s="60"/>
      <c r="WF43" s="60"/>
      <c r="WG43" s="60"/>
      <c r="WH43" s="60"/>
      <c r="WI43" s="60"/>
      <c r="WJ43" s="60"/>
      <c r="WK43" s="60"/>
      <c r="WL43" s="60"/>
      <c r="WM43" s="60"/>
      <c r="WN43" s="60"/>
      <c r="WO43" s="60"/>
      <c r="WP43" s="60"/>
      <c r="WQ43" s="60"/>
      <c r="WR43" s="60"/>
      <c r="WS43" s="60"/>
      <c r="WT43" s="60"/>
      <c r="WU43" s="60"/>
      <c r="WV43" s="60"/>
      <c r="WW43" s="60"/>
      <c r="WX43" s="60"/>
      <c r="WY43" s="60"/>
      <c r="WZ43" s="60"/>
      <c r="XA43" s="60"/>
      <c r="XB43" s="60"/>
      <c r="XC43" s="60"/>
      <c r="XD43" s="60"/>
      <c r="XE43" s="60"/>
      <c r="XF43" s="60"/>
      <c r="XG43" s="60"/>
      <c r="XH43" s="60"/>
      <c r="XI43" s="60"/>
      <c r="XJ43" s="60"/>
      <c r="XK43" s="60"/>
      <c r="XL43" s="60"/>
      <c r="XM43" s="60"/>
      <c r="XN43" s="60"/>
      <c r="XO43" s="60"/>
      <c r="XP43" s="60"/>
      <c r="XQ43" s="60"/>
      <c r="XR43" s="60"/>
      <c r="XS43" s="60"/>
      <c r="XT43" s="60"/>
      <c r="XU43" s="60"/>
      <c r="XV43" s="60"/>
      <c r="XW43" s="60"/>
      <c r="XX43" s="60"/>
      <c r="XY43" s="60"/>
      <c r="XZ43" s="60"/>
      <c r="YA43" s="60"/>
      <c r="YB43" s="60"/>
      <c r="YC43" s="60"/>
      <c r="YD43" s="60"/>
      <c r="YE43" s="60"/>
      <c r="YF43" s="60"/>
      <c r="YG43" s="60"/>
      <c r="YH43" s="60"/>
      <c r="YI43" s="60"/>
      <c r="YJ43" s="60"/>
      <c r="YK43" s="60"/>
      <c r="YL43" s="60"/>
      <c r="YM43" s="60"/>
      <c r="YN43" s="60"/>
      <c r="YO43" s="60"/>
      <c r="YP43" s="60"/>
      <c r="YQ43" s="60"/>
      <c r="YR43" s="60"/>
      <c r="YS43" s="60"/>
      <c r="YT43" s="60"/>
      <c r="YU43" s="60"/>
      <c r="YV43" s="60"/>
      <c r="YW43" s="60"/>
      <c r="YX43" s="60"/>
      <c r="YY43" s="60"/>
      <c r="YZ43" s="60"/>
      <c r="ZA43" s="60"/>
      <c r="ZB43" s="60"/>
      <c r="ZC43" s="60"/>
      <c r="ZD43" s="60"/>
      <c r="ZE43" s="60"/>
      <c r="ZF43" s="60"/>
      <c r="ZG43" s="60"/>
      <c r="ZH43" s="60"/>
      <c r="ZI43" s="60"/>
      <c r="ZJ43" s="60"/>
      <c r="ZK43" s="60"/>
      <c r="ZL43" s="60"/>
      <c r="ZM43" s="60"/>
      <c r="ZN43" s="60"/>
      <c r="ZO43" s="60"/>
      <c r="ZP43" s="60"/>
      <c r="ZQ43" s="60"/>
      <c r="ZR43" s="60"/>
      <c r="ZS43" s="60"/>
      <c r="ZT43" s="60"/>
      <c r="ZU43" s="60"/>
      <c r="ZV43" s="60"/>
      <c r="ZW43" s="60"/>
      <c r="ZX43" s="60"/>
      <c r="ZY43" s="60"/>
      <c r="ZZ43" s="60"/>
      <c r="AAA43" s="60"/>
      <c r="AAB43" s="60"/>
      <c r="AAC43" s="60"/>
      <c r="AAD43" s="60"/>
      <c r="AAE43" s="60"/>
      <c r="AAF43" s="60"/>
      <c r="AAG43" s="60"/>
      <c r="AAH43" s="60"/>
      <c r="AAI43" s="60"/>
      <c r="AAJ43" s="60"/>
      <c r="AAK43" s="60"/>
      <c r="AAL43" s="60"/>
      <c r="AAM43" s="60"/>
      <c r="AAN43" s="60"/>
      <c r="AAO43" s="60"/>
      <c r="AAP43" s="60"/>
      <c r="AAQ43" s="60"/>
      <c r="AAR43" s="60"/>
      <c r="AAS43" s="60"/>
      <c r="AAT43" s="60"/>
      <c r="AAU43" s="60"/>
      <c r="AAV43" s="60"/>
      <c r="AAW43" s="60"/>
      <c r="AAX43" s="60"/>
      <c r="AAY43" s="60"/>
      <c r="AAZ43" s="60"/>
      <c r="ABA43" s="60"/>
      <c r="ABB43" s="60"/>
      <c r="ABC43" s="60"/>
      <c r="ABD43" s="60"/>
      <c r="ABE43" s="60"/>
      <c r="ABF43" s="60"/>
      <c r="ABG43" s="60"/>
      <c r="ABH43" s="60"/>
      <c r="ABI43" s="60"/>
      <c r="ABJ43" s="60"/>
      <c r="ABK43" s="60"/>
      <c r="ABL43" s="60"/>
      <c r="ABM43" s="60"/>
      <c r="ABN43" s="60"/>
      <c r="ABO43" s="60"/>
      <c r="ABP43" s="60"/>
      <c r="ABQ43" s="60"/>
      <c r="ABR43" s="60"/>
      <c r="ABS43" s="60"/>
      <c r="ABT43" s="60"/>
      <c r="ABU43" s="60"/>
      <c r="ABV43" s="60"/>
      <c r="ABW43" s="60"/>
      <c r="ABX43" s="60"/>
      <c r="ABY43" s="60"/>
      <c r="ABZ43" s="60"/>
      <c r="ACA43" s="60"/>
      <c r="ACB43" s="60"/>
      <c r="ACC43" s="60"/>
      <c r="ACD43" s="60"/>
      <c r="ACE43" s="60"/>
      <c r="ACF43" s="60"/>
      <c r="ACG43" s="60"/>
      <c r="ACH43" s="60"/>
      <c r="ACI43" s="60"/>
      <c r="ACJ43" s="60"/>
      <c r="ACK43" s="60"/>
      <c r="ACL43" s="60"/>
      <c r="ACM43" s="60"/>
      <c r="ACN43" s="60"/>
      <c r="ACO43" s="60"/>
      <c r="ACP43" s="60"/>
      <c r="ACQ43" s="60"/>
      <c r="ACR43" s="60"/>
      <c r="ACS43" s="60"/>
      <c r="ACT43" s="60"/>
      <c r="ACU43" s="60"/>
      <c r="ACV43" s="60"/>
      <c r="ACW43" s="60"/>
      <c r="ACX43" s="60"/>
      <c r="ACY43" s="60"/>
      <c r="ACZ43" s="60"/>
      <c r="ADA43" s="60"/>
      <c r="ADB43" s="60"/>
      <c r="ADC43" s="60"/>
      <c r="ADD43" s="60"/>
      <c r="ADE43" s="60"/>
      <c r="ADF43" s="60"/>
      <c r="ADG43" s="60"/>
      <c r="ADH43" s="60"/>
      <c r="ADI43" s="60"/>
      <c r="ADJ43" s="60"/>
      <c r="ADK43" s="60"/>
      <c r="ADL43" s="60"/>
      <c r="ADM43" s="60"/>
      <c r="ADN43" s="60"/>
      <c r="ADO43" s="60"/>
      <c r="ADP43" s="60"/>
      <c r="ADQ43" s="60"/>
      <c r="ADR43" s="60"/>
      <c r="ADS43" s="60"/>
      <c r="ADT43" s="60"/>
      <c r="ADU43" s="60"/>
      <c r="ADV43" s="60"/>
      <c r="ADW43" s="60"/>
      <c r="ADX43" s="60"/>
      <c r="ADY43" s="60"/>
      <c r="ADZ43" s="60"/>
      <c r="AEA43" s="60"/>
      <c r="AEB43" s="60"/>
      <c r="AEC43" s="60"/>
      <c r="AED43" s="60"/>
      <c r="AEE43" s="60"/>
      <c r="AEF43" s="60"/>
      <c r="AEG43" s="60"/>
      <c r="AEH43" s="60"/>
      <c r="AEI43" s="60"/>
      <c r="AEJ43" s="60"/>
      <c r="AEK43" s="60"/>
      <c r="AEL43" s="60"/>
      <c r="AEM43" s="60"/>
      <c r="AEN43" s="60"/>
      <c r="AEO43" s="60"/>
      <c r="AEP43" s="60"/>
      <c r="AEQ43" s="60"/>
      <c r="AER43" s="60"/>
      <c r="AES43" s="60"/>
      <c r="AET43" s="60"/>
      <c r="AEU43" s="60"/>
      <c r="AEV43" s="60"/>
      <c r="AEW43" s="60"/>
      <c r="AEX43" s="60"/>
      <c r="AEY43" s="60"/>
      <c r="AEZ43" s="60"/>
      <c r="AFA43" s="60"/>
      <c r="AFB43" s="60"/>
      <c r="AFC43" s="60"/>
      <c r="AFD43" s="60"/>
      <c r="AFE43" s="60"/>
      <c r="AFF43" s="60"/>
      <c r="AFG43" s="60"/>
      <c r="AFH43" s="60"/>
      <c r="AFI43" s="60"/>
      <c r="AFJ43" s="60"/>
      <c r="AFK43" s="60"/>
      <c r="AFL43" s="60"/>
      <c r="AFM43" s="60"/>
      <c r="AFN43" s="60"/>
      <c r="AFO43" s="60"/>
      <c r="AFP43" s="60"/>
      <c r="AFQ43" s="60"/>
      <c r="AFR43" s="60"/>
      <c r="AFS43" s="60"/>
      <c r="AFT43" s="60"/>
      <c r="AFU43" s="60"/>
      <c r="AFV43" s="60"/>
      <c r="AFW43" s="60"/>
      <c r="AFX43" s="60"/>
      <c r="AFY43" s="60"/>
      <c r="AFZ43" s="60"/>
      <c r="AGA43" s="60"/>
      <c r="AGB43" s="60"/>
      <c r="AGC43" s="60"/>
      <c r="AGD43" s="60"/>
      <c r="AGE43" s="60"/>
      <c r="AGF43" s="60"/>
      <c r="AGG43" s="60"/>
      <c r="AGH43" s="60"/>
      <c r="AGI43" s="60"/>
      <c r="AGJ43" s="60"/>
      <c r="AGK43" s="60"/>
      <c r="AGL43" s="60"/>
      <c r="AGM43" s="60"/>
      <c r="AGN43" s="60"/>
      <c r="AGO43" s="60"/>
      <c r="AGP43" s="60"/>
      <c r="AGQ43" s="60"/>
      <c r="AGR43" s="60"/>
      <c r="AGS43" s="60"/>
      <c r="AGT43" s="60"/>
      <c r="AGU43" s="60"/>
      <c r="AGV43" s="60"/>
      <c r="AGW43" s="60"/>
      <c r="AGX43" s="60"/>
      <c r="AGY43" s="60"/>
      <c r="AGZ43" s="60"/>
      <c r="AHA43" s="60"/>
      <c r="AHB43" s="60"/>
      <c r="AHC43" s="60"/>
      <c r="AHD43" s="60"/>
      <c r="AHE43" s="60"/>
      <c r="AHF43" s="60"/>
      <c r="AHG43" s="60"/>
      <c r="AHH43" s="60"/>
      <c r="AHI43" s="60"/>
      <c r="AHJ43" s="60"/>
      <c r="AHK43" s="60"/>
      <c r="AHL43" s="60"/>
      <c r="AHM43" s="60"/>
      <c r="AHN43" s="60"/>
      <c r="AHO43" s="60"/>
      <c r="AHP43" s="60"/>
      <c r="AHQ43" s="60"/>
      <c r="AHR43" s="60"/>
      <c r="AHS43" s="60"/>
      <c r="AHT43" s="60"/>
      <c r="AHU43" s="60"/>
      <c r="AHV43" s="60"/>
      <c r="AHW43" s="60"/>
      <c r="AHX43" s="60"/>
      <c r="AHY43" s="60"/>
      <c r="AHZ43" s="60"/>
      <c r="AIA43" s="60"/>
      <c r="AIB43" s="60"/>
      <c r="AIC43" s="60"/>
      <c r="AID43" s="60"/>
      <c r="AIE43" s="60"/>
      <c r="AIF43" s="60"/>
      <c r="AIG43" s="60"/>
      <c r="AIH43" s="60"/>
      <c r="AII43" s="60"/>
      <c r="AIJ43" s="60"/>
      <c r="AIK43" s="60"/>
      <c r="AIL43" s="60"/>
      <c r="AIM43" s="60"/>
      <c r="AIN43" s="60"/>
      <c r="AIO43" s="60"/>
      <c r="AIP43" s="60"/>
      <c r="AIQ43" s="60"/>
      <c r="AIR43" s="60"/>
      <c r="AIS43" s="60"/>
      <c r="AIT43" s="60"/>
      <c r="AIU43" s="60"/>
      <c r="AIV43" s="60"/>
      <c r="AIW43" s="60"/>
      <c r="AIX43" s="60"/>
      <c r="AIY43" s="60"/>
      <c r="AIZ43" s="60"/>
      <c r="AJA43" s="60"/>
      <c r="AJB43" s="60"/>
      <c r="AJC43" s="60"/>
      <c r="AJD43" s="60"/>
      <c r="AJE43" s="60"/>
      <c r="AJF43" s="60"/>
      <c r="AJG43" s="60"/>
      <c r="AJH43" s="60"/>
      <c r="AJI43" s="60"/>
      <c r="AJJ43" s="60"/>
      <c r="AJK43" s="60"/>
      <c r="AJL43" s="60"/>
      <c r="AJM43" s="60"/>
      <c r="AJN43" s="60"/>
      <c r="AJO43" s="60"/>
      <c r="AJP43" s="60"/>
      <c r="AJQ43" s="60"/>
      <c r="AJR43" s="60"/>
      <c r="AJS43" s="60"/>
      <c r="AJT43" s="60"/>
      <c r="AJU43" s="60"/>
      <c r="AJV43" s="60"/>
      <c r="AJW43" s="60"/>
      <c r="AJX43" s="60"/>
      <c r="AJY43" s="60"/>
      <c r="AJZ43" s="60"/>
      <c r="AKA43" s="60"/>
      <c r="AKB43" s="60"/>
      <c r="AKC43" s="60"/>
      <c r="AKD43" s="60"/>
      <c r="AKE43" s="60"/>
      <c r="AKF43" s="60"/>
      <c r="AKG43" s="60"/>
      <c r="AKH43" s="60"/>
      <c r="AKI43" s="60"/>
      <c r="AKJ43" s="60"/>
      <c r="AKK43" s="60"/>
      <c r="AKL43" s="60"/>
      <c r="AKM43" s="60"/>
      <c r="AKN43" s="60"/>
      <c r="AKO43" s="60"/>
      <c r="AKP43" s="60"/>
      <c r="AKQ43" s="60"/>
      <c r="AKR43" s="60"/>
      <c r="AKS43" s="60"/>
      <c r="AKT43" s="60"/>
      <c r="AKU43" s="60"/>
      <c r="AKV43" s="60"/>
      <c r="AKW43" s="60"/>
      <c r="AKX43" s="60"/>
      <c r="AKY43" s="60"/>
      <c r="AKZ43" s="60"/>
      <c r="ALA43" s="60"/>
      <c r="ALB43" s="60"/>
      <c r="ALC43" s="60"/>
      <c r="ALD43" s="60"/>
      <c r="ALE43" s="60"/>
      <c r="ALF43" s="60"/>
      <c r="ALG43" s="60"/>
      <c r="ALH43" s="60"/>
      <c r="ALI43" s="60"/>
      <c r="ALJ43" s="60"/>
      <c r="ALK43" s="60"/>
      <c r="ALL43" s="60"/>
      <c r="ALM43" s="60"/>
      <c r="ALN43" s="60"/>
      <c r="ALO43" s="60"/>
      <c r="ALP43" s="60"/>
      <c r="ALQ43" s="60"/>
      <c r="ALR43" s="60"/>
      <c r="ALS43" s="60"/>
      <c r="ALT43" s="60"/>
      <c r="ALU43" s="60"/>
      <c r="ALV43" s="60"/>
      <c r="ALW43" s="60"/>
      <c r="ALX43" s="60"/>
      <c r="ALY43" s="60"/>
      <c r="ALZ43" s="60"/>
      <c r="AMA43" s="60"/>
      <c r="AMB43" s="60"/>
      <c r="AMC43" s="60"/>
      <c r="AMD43" s="60"/>
      <c r="AME43" s="60"/>
      <c r="AMF43" s="60"/>
      <c r="AMG43" s="60"/>
      <c r="AMH43" s="60"/>
      <c r="AMI43" s="60"/>
      <c r="AMJ43" s="60"/>
      <c r="AMK43" s="60"/>
      <c r="AML43" s="60"/>
      <c r="AMM43" s="60"/>
      <c r="AMN43" s="60"/>
      <c r="AMO43" s="60"/>
      <c r="AMP43" s="60"/>
      <c r="AMQ43" s="60"/>
      <c r="AMR43" s="60"/>
      <c r="AMS43" s="60"/>
      <c r="AMT43" s="60"/>
      <c r="AMU43" s="60"/>
      <c r="AMV43" s="60"/>
      <c r="AMW43" s="60"/>
      <c r="AMX43" s="60"/>
      <c r="AMY43" s="60"/>
      <c r="AMZ43" s="60"/>
      <c r="ANA43" s="60"/>
      <c r="ANB43" s="60"/>
      <c r="ANC43" s="60"/>
      <c r="AND43" s="60"/>
      <c r="ANE43" s="60"/>
      <c r="ANF43" s="60"/>
      <c r="ANG43" s="60"/>
      <c r="ANH43" s="60"/>
      <c r="ANI43" s="60"/>
      <c r="ANJ43" s="60"/>
      <c r="ANK43" s="60"/>
      <c r="ANL43" s="60"/>
      <c r="ANM43" s="60"/>
      <c r="ANN43" s="60"/>
      <c r="ANO43" s="60"/>
      <c r="ANP43" s="60"/>
      <c r="ANQ43" s="60"/>
      <c r="ANR43" s="60"/>
      <c r="ANS43" s="60"/>
      <c r="ANT43" s="60"/>
      <c r="ANU43" s="60"/>
      <c r="ANV43" s="60"/>
      <c r="ANW43" s="60"/>
      <c r="ANX43" s="60"/>
      <c r="ANY43" s="60"/>
      <c r="ANZ43" s="60"/>
      <c r="AOA43" s="60"/>
      <c r="AOB43" s="60"/>
      <c r="AOC43" s="60"/>
      <c r="AOD43" s="60"/>
      <c r="AOE43" s="60"/>
      <c r="AOF43" s="60"/>
      <c r="AOG43" s="60"/>
      <c r="AOH43" s="60"/>
      <c r="AOI43" s="60"/>
      <c r="AOJ43" s="60"/>
      <c r="AOK43" s="60"/>
      <c r="AOL43" s="60"/>
      <c r="AOM43" s="60"/>
      <c r="AON43" s="60"/>
      <c r="AOO43" s="60"/>
      <c r="AOP43" s="60"/>
      <c r="AOQ43" s="60"/>
      <c r="AOR43" s="60"/>
      <c r="AOS43" s="60"/>
      <c r="AOT43" s="60"/>
      <c r="AOU43" s="60"/>
      <c r="AOV43" s="60"/>
      <c r="AOW43" s="60"/>
      <c r="AOX43" s="60"/>
      <c r="AOY43" s="60"/>
      <c r="AOZ43" s="60"/>
      <c r="APA43" s="60"/>
      <c r="APB43" s="60"/>
      <c r="APC43" s="60"/>
      <c r="APD43" s="60"/>
      <c r="APE43" s="60"/>
      <c r="APF43" s="60"/>
      <c r="APG43" s="60"/>
      <c r="APH43" s="60"/>
      <c r="API43" s="60"/>
      <c r="APJ43" s="60"/>
      <c r="APK43" s="60"/>
      <c r="APL43" s="60"/>
      <c r="APM43" s="60"/>
      <c r="APN43" s="60"/>
      <c r="APO43" s="60"/>
      <c r="APP43" s="60"/>
      <c r="APQ43" s="60"/>
      <c r="APR43" s="60"/>
      <c r="APS43" s="60"/>
      <c r="APT43" s="60"/>
      <c r="APU43" s="60"/>
      <c r="APV43" s="60"/>
      <c r="APW43" s="60"/>
      <c r="APX43" s="60"/>
      <c r="APY43" s="60"/>
      <c r="APZ43" s="60"/>
      <c r="AQA43" s="60"/>
      <c r="AQB43" s="60"/>
      <c r="AQC43" s="60"/>
      <c r="AQD43" s="60"/>
      <c r="AQE43" s="60"/>
      <c r="AQF43" s="60"/>
      <c r="AQG43" s="60"/>
      <c r="AQH43" s="60"/>
      <c r="AQI43" s="60"/>
      <c r="AQJ43" s="60"/>
      <c r="AQK43" s="60"/>
      <c r="AQL43" s="60"/>
      <c r="AQM43" s="60"/>
      <c r="AQN43" s="60"/>
      <c r="AQO43" s="60"/>
      <c r="AQP43" s="60"/>
      <c r="AQQ43" s="60"/>
      <c r="AQR43" s="60"/>
      <c r="AQS43" s="60"/>
      <c r="AQT43" s="60"/>
      <c r="AQU43" s="60"/>
      <c r="AQV43" s="60"/>
      <c r="AQW43" s="60"/>
      <c r="AQX43" s="60"/>
      <c r="AQY43" s="60"/>
      <c r="AQZ43" s="60"/>
      <c r="ARA43" s="60"/>
      <c r="ARB43" s="60"/>
      <c r="ARC43" s="60"/>
      <c r="ARD43" s="60"/>
      <c r="ARE43" s="60"/>
      <c r="ARF43" s="60"/>
      <c r="ARG43" s="60"/>
      <c r="ARH43" s="60"/>
      <c r="ARI43" s="60"/>
      <c r="ARJ43" s="60"/>
      <c r="ARK43" s="60"/>
      <c r="ARL43" s="60"/>
      <c r="ARM43" s="60"/>
      <c r="ARN43" s="60"/>
      <c r="ARO43" s="60"/>
      <c r="ARP43" s="60"/>
      <c r="ARQ43" s="60"/>
      <c r="ARR43" s="60"/>
      <c r="ARS43" s="60"/>
      <c r="ART43" s="60"/>
      <c r="ARU43" s="60"/>
      <c r="ARV43" s="60"/>
      <c r="ARW43" s="60"/>
      <c r="ARX43" s="60"/>
      <c r="ARY43" s="60"/>
      <c r="ARZ43" s="60"/>
      <c r="ASA43" s="60"/>
      <c r="ASB43" s="60"/>
      <c r="ASC43" s="60"/>
      <c r="ASD43" s="60"/>
      <c r="ASE43" s="60"/>
      <c r="ASF43" s="60"/>
      <c r="ASG43" s="60"/>
      <c r="ASH43" s="60"/>
      <c r="ASI43" s="60"/>
      <c r="ASJ43" s="60"/>
      <c r="ASK43" s="60"/>
      <c r="ASL43" s="60"/>
      <c r="ASM43" s="60"/>
      <c r="ASN43" s="60"/>
      <c r="ASO43" s="60"/>
      <c r="ASP43" s="60"/>
      <c r="ASQ43" s="60"/>
      <c r="ASR43" s="60"/>
      <c r="ASS43" s="60"/>
      <c r="AST43" s="60"/>
      <c r="ASU43" s="60"/>
      <c r="ASV43" s="60"/>
      <c r="ASW43" s="60"/>
      <c r="ASX43" s="60"/>
      <c r="ASY43" s="60"/>
      <c r="ASZ43" s="60"/>
      <c r="ATA43" s="60"/>
      <c r="ATB43" s="60"/>
      <c r="ATC43" s="60"/>
      <c r="ATD43" s="60"/>
      <c r="ATE43" s="60"/>
      <c r="ATF43" s="60"/>
      <c r="ATG43" s="60"/>
      <c r="ATH43" s="60"/>
      <c r="ATI43" s="60"/>
      <c r="ATJ43" s="60"/>
      <c r="ATK43" s="60"/>
      <c r="ATL43" s="60"/>
      <c r="ATM43" s="60"/>
      <c r="ATN43" s="60"/>
      <c r="ATO43" s="60"/>
      <c r="ATP43" s="60"/>
      <c r="ATQ43" s="60"/>
      <c r="ATR43" s="60"/>
      <c r="ATS43" s="60"/>
      <c r="ATT43" s="60"/>
      <c r="ATU43" s="60"/>
      <c r="ATV43" s="60"/>
      <c r="ATW43" s="60"/>
      <c r="ATX43" s="60"/>
      <c r="ATY43" s="60"/>
      <c r="ATZ43" s="60"/>
      <c r="AUA43" s="60"/>
      <c r="AUB43" s="60"/>
      <c r="AUC43" s="60"/>
      <c r="AUD43" s="60"/>
      <c r="AUE43" s="60"/>
      <c r="AUF43" s="60"/>
      <c r="AUG43" s="60"/>
      <c r="AUH43" s="60"/>
      <c r="AUI43" s="60"/>
      <c r="AUJ43" s="60"/>
      <c r="AUK43" s="60"/>
      <c r="AUL43" s="60"/>
      <c r="AUM43" s="60"/>
      <c r="AUN43" s="60"/>
      <c r="AUO43" s="60"/>
      <c r="AUP43" s="60"/>
      <c r="AUQ43" s="60"/>
      <c r="AUR43" s="60"/>
      <c r="AUS43" s="60"/>
      <c r="AUT43" s="60"/>
      <c r="AUU43" s="60"/>
      <c r="AUV43" s="60"/>
      <c r="AUW43" s="60"/>
      <c r="AUX43" s="60"/>
      <c r="AUY43" s="60"/>
      <c r="AUZ43" s="60"/>
      <c r="AVA43" s="60"/>
      <c r="AVB43" s="60"/>
      <c r="AVC43" s="60"/>
      <c r="AVD43" s="60"/>
      <c r="AVE43" s="60"/>
      <c r="AVF43" s="60"/>
      <c r="AVG43" s="60"/>
      <c r="AVH43" s="60"/>
      <c r="AVI43" s="60"/>
      <c r="AVJ43" s="60"/>
      <c r="AVK43" s="60"/>
      <c r="AVL43" s="60"/>
      <c r="AVM43" s="60"/>
      <c r="AVN43" s="60"/>
      <c r="AVO43" s="60"/>
      <c r="AVP43" s="60"/>
      <c r="AVQ43" s="60"/>
      <c r="AVR43" s="60"/>
      <c r="AVS43" s="60"/>
      <c r="AVT43" s="60"/>
      <c r="AVU43" s="60"/>
      <c r="AVV43" s="60"/>
      <c r="AVW43" s="60"/>
      <c r="AVX43" s="60"/>
      <c r="AVY43" s="60"/>
      <c r="AVZ43" s="60"/>
      <c r="AWA43" s="60"/>
      <c r="AWB43" s="60"/>
      <c r="AWC43" s="60"/>
      <c r="AWD43" s="60"/>
      <c r="AWE43" s="60"/>
      <c r="AWF43" s="60"/>
      <c r="AWG43" s="60"/>
      <c r="AWH43" s="60"/>
      <c r="AWI43" s="60"/>
      <c r="AWJ43" s="60"/>
      <c r="AWK43" s="60"/>
      <c r="AWL43" s="60"/>
      <c r="AWM43" s="60"/>
      <c r="AWN43" s="60"/>
      <c r="AWO43" s="60"/>
      <c r="AWP43" s="60"/>
      <c r="AWQ43" s="60"/>
      <c r="AWR43" s="60"/>
      <c r="AWS43" s="60"/>
      <c r="AWT43" s="60"/>
      <c r="AWU43" s="60"/>
      <c r="AWV43" s="60"/>
      <c r="AWW43" s="60"/>
      <c r="AWX43" s="60"/>
      <c r="AWY43" s="60"/>
      <c r="AWZ43" s="60"/>
      <c r="AXA43" s="60"/>
      <c r="AXB43" s="60"/>
      <c r="AXC43" s="60"/>
      <c r="AXD43" s="60"/>
      <c r="AXE43" s="60"/>
      <c r="AXF43" s="60"/>
      <c r="AXG43" s="60"/>
      <c r="AXH43" s="60"/>
      <c r="AXI43" s="60"/>
      <c r="AXJ43" s="60"/>
      <c r="AXK43" s="60"/>
      <c r="AXL43" s="60"/>
      <c r="AXM43" s="60"/>
      <c r="AXN43" s="60"/>
      <c r="AXO43" s="60"/>
      <c r="AXP43" s="60"/>
      <c r="AXQ43" s="60"/>
      <c r="AXR43" s="60"/>
      <c r="AXS43" s="60"/>
      <c r="AXT43" s="60"/>
      <c r="AXU43" s="60"/>
      <c r="AXV43" s="60"/>
      <c r="AXW43" s="60"/>
      <c r="AXX43" s="60"/>
      <c r="AXY43" s="60"/>
      <c r="AXZ43" s="60"/>
      <c r="AYA43" s="60"/>
      <c r="AYB43" s="60"/>
      <c r="AYC43" s="60"/>
      <c r="AYD43" s="60"/>
      <c r="AYE43" s="60"/>
      <c r="AYF43" s="60"/>
      <c r="AYG43" s="60"/>
      <c r="AYH43" s="60"/>
      <c r="AYI43" s="60"/>
      <c r="AYJ43" s="60"/>
      <c r="AYK43" s="60"/>
      <c r="AYL43" s="60"/>
      <c r="AYM43" s="60"/>
      <c r="AYN43" s="60"/>
      <c r="AYO43" s="60"/>
      <c r="AYP43" s="60"/>
      <c r="AYQ43" s="60"/>
      <c r="AYR43" s="60"/>
      <c r="AYS43" s="60"/>
      <c r="AYT43" s="60"/>
      <c r="AYU43" s="60"/>
      <c r="AYV43" s="60"/>
      <c r="AYW43" s="60"/>
      <c r="AYX43" s="60"/>
      <c r="AYY43" s="60"/>
      <c r="AYZ43" s="60"/>
      <c r="AZA43" s="60"/>
      <c r="AZB43" s="60"/>
      <c r="AZC43" s="60"/>
      <c r="AZD43" s="60"/>
      <c r="AZE43" s="60"/>
      <c r="AZF43" s="60"/>
      <c r="AZG43" s="60"/>
      <c r="AZH43" s="60"/>
      <c r="AZI43" s="60"/>
      <c r="AZJ43" s="60"/>
      <c r="AZK43" s="60"/>
      <c r="AZL43" s="60"/>
      <c r="AZM43" s="60"/>
      <c r="AZN43" s="60"/>
      <c r="AZO43" s="60"/>
      <c r="AZP43" s="60"/>
      <c r="AZQ43" s="60"/>
      <c r="AZR43" s="60"/>
      <c r="AZS43" s="60"/>
      <c r="AZT43" s="60"/>
      <c r="AZU43" s="60"/>
      <c r="AZV43" s="60"/>
      <c r="AZW43" s="60"/>
      <c r="AZX43" s="60"/>
      <c r="AZY43" s="60"/>
      <c r="AZZ43" s="60"/>
      <c r="BAA43" s="60"/>
      <c r="BAB43" s="60"/>
      <c r="BAC43" s="60"/>
      <c r="BAD43" s="60"/>
      <c r="BAE43" s="60"/>
      <c r="BAF43" s="60"/>
      <c r="BAG43" s="60"/>
      <c r="BAH43" s="60"/>
      <c r="BAI43" s="60"/>
      <c r="BAJ43" s="60"/>
      <c r="BAK43" s="60"/>
      <c r="BAL43" s="60"/>
      <c r="BAM43" s="60"/>
      <c r="BAN43" s="60"/>
      <c r="BAO43" s="60"/>
      <c r="BAP43" s="60"/>
      <c r="BAQ43" s="60"/>
      <c r="BAR43" s="60"/>
      <c r="BAS43" s="60"/>
      <c r="BAT43" s="60"/>
      <c r="BAU43" s="60"/>
      <c r="BAV43" s="60"/>
      <c r="BAW43" s="60"/>
      <c r="BAX43" s="60"/>
      <c r="BAY43" s="60"/>
      <c r="BAZ43" s="60"/>
      <c r="BBA43" s="60"/>
      <c r="BBB43" s="60"/>
      <c r="BBC43" s="60"/>
      <c r="BBD43" s="60"/>
      <c r="BBE43" s="60"/>
      <c r="BBF43" s="60"/>
      <c r="BBG43" s="60"/>
      <c r="BBH43" s="60"/>
      <c r="BBI43" s="60"/>
      <c r="BBJ43" s="60"/>
      <c r="BBK43" s="60"/>
      <c r="BBL43" s="60"/>
      <c r="BBM43" s="60"/>
      <c r="BBN43" s="60"/>
      <c r="BBO43" s="60"/>
      <c r="BBP43" s="60"/>
      <c r="BBQ43" s="60"/>
      <c r="BBR43" s="60"/>
      <c r="BBS43" s="60"/>
      <c r="BBT43" s="60"/>
      <c r="BBU43" s="60"/>
      <c r="BBV43" s="60"/>
      <c r="BBW43" s="60"/>
      <c r="BBX43" s="60"/>
      <c r="BBY43" s="60"/>
      <c r="BBZ43" s="60"/>
      <c r="BCA43" s="60"/>
      <c r="BCB43" s="60"/>
      <c r="BCC43" s="60"/>
      <c r="BCD43" s="60"/>
      <c r="BCE43" s="60"/>
      <c r="BCF43" s="60"/>
      <c r="BCG43" s="60"/>
      <c r="BCH43" s="60"/>
      <c r="BCI43" s="60"/>
      <c r="BCJ43" s="60"/>
      <c r="BCK43" s="60"/>
      <c r="BCL43" s="60"/>
      <c r="BCM43" s="60"/>
      <c r="BCN43" s="60"/>
      <c r="BCO43" s="60"/>
      <c r="BCP43" s="60"/>
      <c r="BCQ43" s="60"/>
      <c r="BCR43" s="60"/>
      <c r="BCS43" s="60"/>
      <c r="BCT43" s="60"/>
      <c r="BCU43" s="60"/>
      <c r="BCV43" s="60"/>
      <c r="BCW43" s="60"/>
      <c r="BCX43" s="60"/>
      <c r="BCY43" s="60"/>
      <c r="BCZ43" s="60"/>
      <c r="BDA43" s="60"/>
      <c r="BDB43" s="60"/>
      <c r="BDC43" s="60"/>
      <c r="BDD43" s="60"/>
      <c r="BDE43" s="60"/>
      <c r="BDF43" s="60"/>
      <c r="BDG43" s="60"/>
      <c r="BDH43" s="60"/>
      <c r="BDI43" s="60"/>
      <c r="BDJ43" s="60"/>
      <c r="BDK43" s="60"/>
      <c r="BDL43" s="60"/>
      <c r="BDM43" s="60"/>
      <c r="BDN43" s="60"/>
      <c r="BDO43" s="60"/>
      <c r="BDP43" s="60"/>
      <c r="BDQ43" s="60"/>
      <c r="BDR43" s="60"/>
      <c r="BDS43" s="60"/>
      <c r="BDT43" s="60"/>
      <c r="BDU43" s="60"/>
      <c r="BDV43" s="60"/>
      <c r="BDW43" s="60"/>
      <c r="BDX43" s="60"/>
      <c r="BDY43" s="60"/>
      <c r="BDZ43" s="60"/>
      <c r="BEA43" s="60"/>
      <c r="BEB43" s="60"/>
      <c r="BEC43" s="60"/>
      <c r="BED43" s="60"/>
      <c r="BEE43" s="60"/>
      <c r="BEF43" s="60"/>
      <c r="BEG43" s="60"/>
      <c r="BEH43" s="60"/>
      <c r="BEI43" s="60"/>
      <c r="BEJ43" s="60"/>
      <c r="BEK43" s="60"/>
      <c r="BEL43" s="60"/>
      <c r="BEM43" s="60"/>
      <c r="BEN43" s="60"/>
      <c r="BEO43" s="60"/>
      <c r="BEP43" s="60"/>
      <c r="BEQ43" s="60"/>
      <c r="BER43" s="60"/>
      <c r="BES43" s="60"/>
      <c r="BET43" s="60"/>
      <c r="BEU43" s="60"/>
      <c r="BEV43" s="60"/>
      <c r="BEW43" s="60"/>
      <c r="BEX43" s="60"/>
      <c r="BEY43" s="60"/>
      <c r="BEZ43" s="60"/>
      <c r="BFA43" s="60"/>
      <c r="BFB43" s="60"/>
      <c r="BFC43" s="60"/>
      <c r="BFD43" s="60"/>
      <c r="BFE43" s="60"/>
      <c r="BFF43" s="60"/>
      <c r="BFG43" s="60"/>
      <c r="BFH43" s="60"/>
      <c r="BFI43" s="60"/>
      <c r="BFJ43" s="60"/>
      <c r="BFK43" s="60"/>
      <c r="BFL43" s="60"/>
      <c r="BFM43" s="60"/>
      <c r="BFN43" s="60"/>
      <c r="BFO43" s="60"/>
      <c r="BFP43" s="60"/>
      <c r="BFQ43" s="60"/>
      <c r="BFR43" s="60"/>
      <c r="BFS43" s="60"/>
      <c r="BFT43" s="60"/>
      <c r="BFU43" s="60"/>
      <c r="BFV43" s="60"/>
      <c r="BFW43" s="60"/>
      <c r="BFX43" s="60"/>
      <c r="BFY43" s="60"/>
      <c r="BFZ43" s="60"/>
      <c r="BGA43" s="60"/>
      <c r="BGB43" s="60"/>
      <c r="BGC43" s="60"/>
      <c r="BGD43" s="60"/>
      <c r="BGE43" s="60"/>
      <c r="BGF43" s="60"/>
      <c r="BGG43" s="60"/>
      <c r="BGH43" s="60"/>
      <c r="BGI43" s="60"/>
      <c r="BGJ43" s="60"/>
      <c r="BGK43" s="60"/>
      <c r="BGL43" s="60"/>
      <c r="BGM43" s="60"/>
      <c r="BGN43" s="60"/>
      <c r="BGO43" s="60"/>
      <c r="BGP43" s="60"/>
      <c r="BGQ43" s="60"/>
      <c r="BGR43" s="60"/>
      <c r="BGS43" s="60"/>
      <c r="BGT43" s="60"/>
      <c r="BGU43" s="60"/>
      <c r="BGV43" s="60"/>
      <c r="BGW43" s="60"/>
      <c r="BGX43" s="60"/>
      <c r="BGY43" s="60"/>
      <c r="BGZ43" s="60"/>
      <c r="BHA43" s="60"/>
      <c r="BHB43" s="60"/>
      <c r="BHC43" s="60"/>
      <c r="BHD43" s="60"/>
      <c r="BHE43" s="60"/>
      <c r="BHF43" s="60"/>
      <c r="BHG43" s="60"/>
      <c r="BHH43" s="60"/>
      <c r="BHI43" s="60"/>
      <c r="BHJ43" s="60"/>
      <c r="BHK43" s="60"/>
      <c r="BHL43" s="60"/>
      <c r="BHM43" s="60"/>
      <c r="BHN43" s="60"/>
      <c r="BHO43" s="60"/>
      <c r="BHP43" s="60"/>
      <c r="BHQ43" s="60"/>
      <c r="BHR43" s="60"/>
      <c r="BHS43" s="60"/>
      <c r="BHT43" s="60"/>
      <c r="BHU43" s="60"/>
      <c r="BHV43" s="60"/>
      <c r="BHW43" s="60"/>
      <c r="BHX43" s="60"/>
      <c r="BHY43" s="60"/>
      <c r="BHZ43" s="60"/>
      <c r="BIA43" s="60"/>
      <c r="BIB43" s="60"/>
      <c r="BIC43" s="60"/>
      <c r="BID43" s="60"/>
      <c r="BIE43" s="60"/>
      <c r="BIF43" s="60"/>
      <c r="BIG43" s="60"/>
      <c r="BIH43" s="60"/>
      <c r="BII43" s="60"/>
      <c r="BIJ43" s="60"/>
      <c r="BIK43" s="60"/>
      <c r="BIL43" s="60"/>
      <c r="BIM43" s="60"/>
      <c r="BIN43" s="60"/>
      <c r="BIO43" s="60"/>
      <c r="BIP43" s="60"/>
      <c r="BIQ43" s="60"/>
      <c r="BIR43" s="60"/>
      <c r="BIS43" s="60"/>
      <c r="BIT43" s="60"/>
      <c r="BIU43" s="60"/>
      <c r="BIV43" s="60"/>
      <c r="BIW43" s="60"/>
      <c r="BIX43" s="60"/>
      <c r="BIY43" s="60"/>
      <c r="BIZ43" s="60"/>
      <c r="BJA43" s="60"/>
      <c r="BJB43" s="60"/>
      <c r="BJC43" s="60"/>
      <c r="BJD43" s="60"/>
      <c r="BJE43" s="60"/>
      <c r="BJF43" s="60"/>
      <c r="BJG43" s="60"/>
      <c r="BJH43" s="60"/>
      <c r="BJI43" s="60"/>
      <c r="BJJ43" s="60"/>
      <c r="BJK43" s="60"/>
      <c r="BJL43" s="60"/>
      <c r="BJM43" s="60"/>
      <c r="BJN43" s="60"/>
      <c r="BJO43" s="60"/>
      <c r="BJP43" s="60"/>
      <c r="BJQ43" s="60"/>
      <c r="BJR43" s="60"/>
      <c r="BJS43" s="60"/>
      <c r="BJT43" s="60"/>
      <c r="BJU43" s="60"/>
      <c r="BJV43" s="60"/>
      <c r="BJW43" s="60"/>
      <c r="BJX43" s="60"/>
      <c r="BJY43" s="60"/>
      <c r="BJZ43" s="60"/>
      <c r="BKA43" s="60"/>
      <c r="BKB43" s="60"/>
      <c r="BKC43" s="60"/>
      <c r="BKD43" s="60"/>
      <c r="BKE43" s="60"/>
      <c r="BKF43" s="60"/>
      <c r="BKG43" s="60"/>
      <c r="BKH43" s="60"/>
      <c r="BKI43" s="60"/>
      <c r="BKJ43" s="60"/>
      <c r="BKK43" s="60"/>
      <c r="BKL43" s="60"/>
      <c r="BKM43" s="60"/>
      <c r="BKN43" s="60"/>
      <c r="BKO43" s="60"/>
      <c r="BKP43" s="60"/>
      <c r="BKQ43" s="60"/>
      <c r="BKR43" s="60"/>
      <c r="BKS43" s="60"/>
      <c r="BKT43" s="60"/>
      <c r="BKU43" s="60"/>
      <c r="BKV43" s="60"/>
      <c r="BKW43" s="60"/>
      <c r="BKX43" s="60"/>
      <c r="BKY43" s="60"/>
      <c r="BKZ43" s="60"/>
      <c r="BLA43" s="60"/>
      <c r="BLB43" s="60"/>
      <c r="BLC43" s="60"/>
      <c r="BLD43" s="60"/>
      <c r="BLE43" s="60"/>
      <c r="BLF43" s="60"/>
      <c r="BLG43" s="60"/>
      <c r="BLH43" s="60"/>
      <c r="BLI43" s="60"/>
      <c r="BLJ43" s="60"/>
      <c r="BLK43" s="60"/>
      <c r="BLL43" s="60"/>
      <c r="BLM43" s="60"/>
      <c r="BLN43" s="60"/>
      <c r="BLO43" s="60"/>
      <c r="BLP43" s="60"/>
      <c r="BLQ43" s="60"/>
      <c r="BLR43" s="60"/>
      <c r="BLS43" s="60"/>
      <c r="BLT43" s="60"/>
      <c r="BLU43" s="60"/>
      <c r="BLV43" s="60"/>
      <c r="BLW43" s="60"/>
      <c r="BLX43" s="60"/>
      <c r="BLY43" s="60"/>
      <c r="BLZ43" s="60"/>
      <c r="BMA43" s="60"/>
      <c r="BMB43" s="60"/>
      <c r="BMC43" s="60"/>
      <c r="BMD43" s="60"/>
      <c r="BME43" s="60"/>
      <c r="BMF43" s="60"/>
      <c r="BMG43" s="60"/>
      <c r="BMH43" s="60"/>
      <c r="BMI43" s="60"/>
      <c r="BMJ43" s="60"/>
      <c r="BMK43" s="60"/>
      <c r="BML43" s="60"/>
      <c r="BMM43" s="60"/>
      <c r="BMN43" s="60"/>
      <c r="BMO43" s="60"/>
      <c r="BMP43" s="60"/>
      <c r="BMQ43" s="60"/>
      <c r="BMR43" s="60"/>
      <c r="BMS43" s="60"/>
      <c r="BMT43" s="60"/>
      <c r="BMU43" s="60"/>
      <c r="BMV43" s="60"/>
      <c r="BMW43" s="60"/>
      <c r="BMX43" s="60"/>
      <c r="BMY43" s="60"/>
      <c r="BMZ43" s="60"/>
      <c r="BNA43" s="60"/>
      <c r="BNB43" s="60"/>
      <c r="BNC43" s="60"/>
      <c r="BND43" s="60"/>
      <c r="BNE43" s="60"/>
      <c r="BNF43" s="60"/>
      <c r="BNG43" s="60"/>
      <c r="BNH43" s="60"/>
      <c r="BNI43" s="60"/>
      <c r="BNJ43" s="60"/>
      <c r="BNK43" s="60"/>
      <c r="BNL43" s="60"/>
      <c r="BNM43" s="60"/>
      <c r="BNN43" s="60"/>
      <c r="BNO43" s="60"/>
      <c r="BNP43" s="60"/>
      <c r="BNQ43" s="60"/>
      <c r="BNR43" s="60"/>
      <c r="BNS43" s="60"/>
      <c r="BNT43" s="60"/>
      <c r="BNU43" s="60"/>
      <c r="BNV43" s="60"/>
      <c r="BNW43" s="60"/>
      <c r="BNX43" s="60"/>
      <c r="BNY43" s="60"/>
      <c r="BNZ43" s="60"/>
      <c r="BOA43" s="60"/>
      <c r="BOB43" s="60"/>
      <c r="BOC43" s="60"/>
      <c r="BOD43" s="60"/>
      <c r="BOE43" s="60"/>
      <c r="BOF43" s="60"/>
      <c r="BOG43" s="60"/>
      <c r="BOH43" s="60"/>
      <c r="BOI43" s="60"/>
      <c r="BOJ43" s="60"/>
      <c r="BOK43" s="60"/>
      <c r="BOL43" s="60"/>
      <c r="BOM43" s="60"/>
      <c r="BON43" s="60"/>
      <c r="BOO43" s="60"/>
      <c r="BOP43" s="60"/>
      <c r="BOQ43" s="60"/>
      <c r="BOR43" s="60"/>
      <c r="BOS43" s="60"/>
      <c r="BOT43" s="60"/>
      <c r="BOU43" s="60"/>
      <c r="BOV43" s="60"/>
      <c r="BOW43" s="60"/>
      <c r="BOX43" s="60"/>
      <c r="BOY43" s="60"/>
      <c r="BOZ43" s="60"/>
      <c r="BPA43" s="60"/>
      <c r="BPB43" s="60"/>
      <c r="BPC43" s="60"/>
      <c r="BPD43" s="60"/>
      <c r="BPE43" s="60"/>
      <c r="BPF43" s="60"/>
      <c r="BPG43" s="60"/>
      <c r="BPH43" s="60"/>
      <c r="BPI43" s="60"/>
      <c r="BPJ43" s="60"/>
      <c r="BPK43" s="60"/>
      <c r="BPL43" s="60"/>
      <c r="BPM43" s="60"/>
      <c r="BPN43" s="60"/>
      <c r="BPO43" s="60"/>
      <c r="BPP43" s="60"/>
      <c r="BPQ43" s="60"/>
      <c r="BPR43" s="60"/>
      <c r="BPS43" s="60"/>
      <c r="BPT43" s="60"/>
      <c r="BPU43" s="60"/>
      <c r="BPV43" s="60"/>
      <c r="BPW43" s="60"/>
      <c r="BPX43" s="60"/>
      <c r="BPY43" s="60"/>
      <c r="BPZ43" s="60"/>
      <c r="BQA43" s="60"/>
      <c r="BQB43" s="60"/>
      <c r="BQC43" s="60"/>
      <c r="BQD43" s="60"/>
      <c r="BQE43" s="60"/>
      <c r="BQF43" s="60"/>
      <c r="BQG43" s="60"/>
      <c r="BQH43" s="60"/>
      <c r="BQI43" s="60"/>
      <c r="BQJ43" s="60"/>
      <c r="BQK43" s="60"/>
      <c r="BQL43" s="60"/>
      <c r="BQM43" s="60"/>
      <c r="BQN43" s="60"/>
      <c r="BQO43" s="60"/>
      <c r="BQP43" s="60"/>
      <c r="BQQ43" s="60"/>
      <c r="BQR43" s="60"/>
      <c r="BQS43" s="60"/>
      <c r="BQT43" s="60"/>
      <c r="BQU43" s="60"/>
      <c r="BQV43" s="60"/>
      <c r="BQW43" s="60"/>
      <c r="BQX43" s="60"/>
      <c r="BQY43" s="60"/>
      <c r="BQZ43" s="60"/>
      <c r="BRA43" s="60"/>
      <c r="BRB43" s="60"/>
      <c r="BRC43" s="60"/>
      <c r="BRD43" s="60"/>
      <c r="BRE43" s="60"/>
      <c r="BRF43" s="60"/>
      <c r="BRG43" s="60"/>
      <c r="BRH43" s="60"/>
      <c r="BRI43" s="60"/>
      <c r="BRJ43" s="60"/>
      <c r="BRK43" s="60"/>
      <c r="BRL43" s="60"/>
      <c r="BRM43" s="60"/>
      <c r="BRN43" s="60"/>
      <c r="BRO43" s="60"/>
      <c r="BRP43" s="60"/>
      <c r="BRQ43" s="60"/>
      <c r="BRR43" s="60"/>
      <c r="BRS43" s="60"/>
      <c r="BRT43" s="60"/>
      <c r="BRU43" s="60"/>
      <c r="BRV43" s="60"/>
      <c r="BRW43" s="60"/>
      <c r="BRX43" s="60"/>
      <c r="BRY43" s="60"/>
      <c r="BRZ43" s="60"/>
      <c r="BSA43" s="60"/>
      <c r="BSB43" s="60"/>
      <c r="BSC43" s="60"/>
      <c r="BSD43" s="60"/>
      <c r="BSE43" s="60"/>
      <c r="BSF43" s="60"/>
      <c r="BSG43" s="60"/>
      <c r="BSH43" s="60"/>
      <c r="BSI43" s="60"/>
      <c r="BSJ43" s="60"/>
      <c r="BSK43" s="60"/>
      <c r="BSL43" s="60"/>
      <c r="BSM43" s="60"/>
      <c r="BSN43" s="60"/>
      <c r="BSO43" s="60"/>
      <c r="BSP43" s="60"/>
      <c r="BSQ43" s="60"/>
      <c r="BSR43" s="60"/>
      <c r="BSS43" s="60"/>
      <c r="BST43" s="60"/>
      <c r="BSU43" s="60"/>
      <c r="BSV43" s="60"/>
      <c r="BSW43" s="60"/>
      <c r="BSX43" s="60"/>
      <c r="BSY43" s="60"/>
      <c r="BSZ43" s="60"/>
      <c r="BTA43" s="60"/>
      <c r="BTB43" s="60"/>
      <c r="BTC43" s="60"/>
      <c r="BTD43" s="60"/>
      <c r="BTE43" s="60"/>
      <c r="BTF43" s="60"/>
      <c r="BTG43" s="60"/>
      <c r="BTH43" s="60"/>
      <c r="BTI43" s="60"/>
      <c r="BTJ43" s="60"/>
      <c r="BTK43" s="60"/>
      <c r="BTL43" s="60"/>
      <c r="BTM43" s="60"/>
      <c r="BTN43" s="60"/>
      <c r="BTO43" s="60"/>
      <c r="BTP43" s="60"/>
      <c r="BTQ43" s="60"/>
      <c r="BTR43" s="60"/>
      <c r="BTS43" s="60"/>
      <c r="BTT43" s="60"/>
      <c r="BTU43" s="60"/>
      <c r="BTV43" s="60"/>
      <c r="BTW43" s="60"/>
      <c r="BTX43" s="60"/>
      <c r="BTY43" s="60"/>
      <c r="BTZ43" s="60"/>
      <c r="BUA43" s="60"/>
      <c r="BUB43" s="60"/>
      <c r="BUC43" s="60"/>
      <c r="BUD43" s="60"/>
      <c r="BUE43" s="60"/>
      <c r="BUF43" s="60"/>
      <c r="BUG43" s="60"/>
      <c r="BUH43" s="60"/>
      <c r="BUI43" s="60"/>
      <c r="BUJ43" s="60"/>
      <c r="BUK43" s="60"/>
      <c r="BUL43" s="60"/>
      <c r="BUM43" s="60"/>
      <c r="BUN43" s="60"/>
      <c r="BUO43" s="60"/>
      <c r="BUP43" s="60"/>
      <c r="BUQ43" s="60"/>
      <c r="BUR43" s="60"/>
      <c r="BUS43" s="60"/>
      <c r="BUT43" s="60"/>
      <c r="BUU43" s="60"/>
      <c r="BUV43" s="60"/>
      <c r="BUW43" s="60"/>
      <c r="BUX43" s="60"/>
      <c r="BUY43" s="60"/>
      <c r="BUZ43" s="60"/>
      <c r="BVA43" s="60"/>
      <c r="BVB43" s="60"/>
      <c r="BVC43" s="60"/>
      <c r="BVD43" s="60"/>
      <c r="BVE43" s="60"/>
      <c r="BVF43" s="60"/>
      <c r="BVG43" s="60"/>
      <c r="BVH43" s="60"/>
      <c r="BVI43" s="60"/>
      <c r="BVJ43" s="60"/>
      <c r="BVK43" s="60"/>
      <c r="BVL43" s="60"/>
      <c r="BVM43" s="60"/>
      <c r="BVN43" s="60"/>
      <c r="BVO43" s="60"/>
      <c r="BVP43" s="60"/>
      <c r="BVQ43" s="60"/>
      <c r="BVR43" s="60"/>
      <c r="BVS43" s="60"/>
      <c r="BVT43" s="60"/>
      <c r="BVU43" s="60"/>
      <c r="BVV43" s="60"/>
      <c r="BVW43" s="60"/>
      <c r="BVX43" s="60"/>
      <c r="BVY43" s="60"/>
      <c r="BVZ43" s="60"/>
      <c r="BWA43" s="60"/>
      <c r="BWB43" s="60"/>
      <c r="BWC43" s="60"/>
      <c r="BWD43" s="60"/>
      <c r="BWE43" s="60"/>
      <c r="BWF43" s="60"/>
      <c r="BWG43" s="60"/>
      <c r="BWH43" s="60"/>
      <c r="BWI43" s="60"/>
      <c r="BWJ43" s="60"/>
      <c r="BWK43" s="60"/>
      <c r="BWL43" s="60"/>
      <c r="BWM43" s="60"/>
      <c r="BWN43" s="60"/>
      <c r="BWO43" s="60"/>
      <c r="BWP43" s="60"/>
      <c r="BWQ43" s="60"/>
      <c r="BWR43" s="60"/>
      <c r="BWS43" s="60"/>
      <c r="BWT43" s="60"/>
      <c r="BWU43" s="60"/>
      <c r="BWV43" s="60"/>
      <c r="BWW43" s="60"/>
      <c r="BWX43" s="60"/>
      <c r="BWY43" s="60"/>
      <c r="BWZ43" s="60"/>
      <c r="BXA43" s="60"/>
      <c r="BXB43" s="60"/>
      <c r="BXC43" s="60"/>
      <c r="BXD43" s="60"/>
      <c r="BXE43" s="60"/>
      <c r="BXF43" s="60"/>
      <c r="BXG43" s="60"/>
      <c r="BXH43" s="60"/>
      <c r="BXI43" s="60"/>
      <c r="BXJ43" s="60"/>
      <c r="BXK43" s="60"/>
      <c r="BXL43" s="60"/>
      <c r="BXM43" s="60"/>
      <c r="BXN43" s="60"/>
      <c r="BXO43" s="60"/>
      <c r="BXP43" s="60"/>
      <c r="BXQ43" s="60"/>
      <c r="BXR43" s="60"/>
      <c r="BXS43" s="60"/>
      <c r="BXT43" s="60"/>
      <c r="BXU43" s="60"/>
      <c r="BXV43" s="60"/>
      <c r="BXW43" s="60"/>
      <c r="BXX43" s="60"/>
      <c r="BXY43" s="60"/>
      <c r="BXZ43" s="60"/>
      <c r="BYA43" s="60"/>
      <c r="BYB43" s="60"/>
      <c r="BYC43" s="60"/>
      <c r="BYD43" s="60"/>
      <c r="BYE43" s="60"/>
      <c r="BYF43" s="60"/>
      <c r="BYG43" s="60"/>
      <c r="BYH43" s="60"/>
      <c r="BYI43" s="60"/>
      <c r="BYJ43" s="60"/>
      <c r="BYK43" s="60"/>
      <c r="BYL43" s="60"/>
      <c r="BYM43" s="60"/>
      <c r="BYN43" s="60"/>
      <c r="BYO43" s="60"/>
      <c r="BYP43" s="60"/>
      <c r="BYQ43" s="60"/>
      <c r="BYR43" s="60"/>
      <c r="BYS43" s="60"/>
      <c r="BYT43" s="60"/>
      <c r="BYU43" s="60"/>
      <c r="BYV43" s="60"/>
      <c r="BYW43" s="60"/>
      <c r="BYX43" s="60"/>
      <c r="BYY43" s="60"/>
      <c r="BYZ43" s="60"/>
      <c r="BZA43" s="60"/>
      <c r="BZB43" s="60"/>
      <c r="BZC43" s="60"/>
      <c r="BZD43" s="60"/>
      <c r="BZE43" s="60"/>
      <c r="BZF43" s="60"/>
      <c r="BZG43" s="60"/>
      <c r="BZH43" s="60"/>
      <c r="BZI43" s="60"/>
      <c r="BZJ43" s="60"/>
      <c r="BZK43" s="60"/>
      <c r="BZL43" s="60"/>
      <c r="BZM43" s="60"/>
      <c r="BZN43" s="60"/>
      <c r="BZO43" s="60"/>
      <c r="BZP43" s="60"/>
      <c r="BZQ43" s="60"/>
      <c r="BZR43" s="60"/>
      <c r="BZS43" s="60"/>
      <c r="BZT43" s="60"/>
      <c r="BZU43" s="60"/>
      <c r="BZV43" s="60"/>
      <c r="BZW43" s="60"/>
      <c r="BZX43" s="60"/>
      <c r="BZY43" s="60"/>
      <c r="BZZ43" s="60"/>
      <c r="CAA43" s="60"/>
      <c r="CAB43" s="60"/>
      <c r="CAC43" s="60"/>
      <c r="CAD43" s="60"/>
      <c r="CAE43" s="60"/>
      <c r="CAF43" s="60"/>
      <c r="CAG43" s="60"/>
      <c r="CAH43" s="60"/>
      <c r="CAI43" s="60"/>
      <c r="CAJ43" s="60"/>
      <c r="CAK43" s="60"/>
      <c r="CAL43" s="60"/>
      <c r="CAM43" s="60"/>
      <c r="CAN43" s="60"/>
      <c r="CAO43" s="60"/>
      <c r="CAP43" s="60"/>
      <c r="CAQ43" s="60"/>
      <c r="CAR43" s="60"/>
      <c r="CAS43" s="60"/>
      <c r="CAT43" s="60"/>
      <c r="CAU43" s="60"/>
      <c r="CAV43" s="60"/>
      <c r="CAW43" s="60"/>
      <c r="CAX43" s="60"/>
      <c r="CAY43" s="60"/>
      <c r="CAZ43" s="60"/>
      <c r="CBA43" s="60"/>
      <c r="CBB43" s="60"/>
      <c r="CBC43" s="60"/>
      <c r="CBD43" s="60"/>
      <c r="CBE43" s="60"/>
      <c r="CBF43" s="60"/>
      <c r="CBG43" s="60"/>
      <c r="CBH43" s="60"/>
      <c r="CBI43" s="60"/>
      <c r="CBJ43" s="60"/>
      <c r="CBK43" s="60"/>
      <c r="CBL43" s="60"/>
      <c r="CBM43" s="60"/>
      <c r="CBN43" s="60"/>
      <c r="CBO43" s="60"/>
      <c r="CBP43" s="60"/>
      <c r="CBQ43" s="60"/>
      <c r="CBR43" s="60"/>
      <c r="CBS43" s="60"/>
      <c r="CBT43" s="60"/>
      <c r="CBU43" s="60"/>
      <c r="CBV43" s="60"/>
      <c r="CBW43" s="60"/>
      <c r="CBX43" s="60"/>
      <c r="CBY43" s="60"/>
      <c r="CBZ43" s="60"/>
      <c r="CCA43" s="60"/>
      <c r="CCB43" s="60"/>
      <c r="CCC43" s="60"/>
      <c r="CCD43" s="60"/>
      <c r="CCE43" s="60"/>
      <c r="CCF43" s="60"/>
      <c r="CCG43" s="60"/>
      <c r="CCH43" s="60"/>
      <c r="CCI43" s="60"/>
      <c r="CCJ43" s="60"/>
      <c r="CCK43" s="60"/>
      <c r="CCL43" s="60"/>
      <c r="CCM43" s="60"/>
      <c r="CCN43" s="60"/>
      <c r="CCO43" s="60"/>
      <c r="CCP43" s="60"/>
      <c r="CCQ43" s="60"/>
      <c r="CCR43" s="60"/>
      <c r="CCS43" s="60"/>
      <c r="CCT43" s="60"/>
      <c r="CCU43" s="60"/>
      <c r="CCV43" s="60"/>
      <c r="CCW43" s="60"/>
      <c r="CCX43" s="60"/>
      <c r="CCY43" s="60"/>
      <c r="CCZ43" s="60"/>
      <c r="CDA43" s="60"/>
      <c r="CDB43" s="60"/>
      <c r="CDC43" s="60"/>
      <c r="CDD43" s="60"/>
      <c r="CDE43" s="60"/>
      <c r="CDF43" s="60"/>
      <c r="CDG43" s="60"/>
      <c r="CDH43" s="60"/>
      <c r="CDI43" s="60"/>
      <c r="CDJ43" s="60"/>
      <c r="CDK43" s="60"/>
      <c r="CDL43" s="60"/>
      <c r="CDM43" s="60"/>
      <c r="CDN43" s="60"/>
      <c r="CDO43" s="60"/>
      <c r="CDP43" s="60"/>
      <c r="CDQ43" s="60"/>
      <c r="CDR43" s="60"/>
      <c r="CDS43" s="60"/>
      <c r="CDT43" s="60"/>
      <c r="CDU43" s="60"/>
      <c r="CDV43" s="60"/>
      <c r="CDW43" s="60"/>
      <c r="CDX43" s="60"/>
      <c r="CDY43" s="60"/>
      <c r="CDZ43" s="60"/>
      <c r="CEA43" s="60"/>
      <c r="CEB43" s="60"/>
      <c r="CEC43" s="60"/>
      <c r="CED43" s="60"/>
      <c r="CEE43" s="60"/>
      <c r="CEF43" s="60"/>
      <c r="CEG43" s="60"/>
      <c r="CEH43" s="60"/>
      <c r="CEI43" s="60"/>
      <c r="CEJ43" s="60"/>
      <c r="CEK43" s="60"/>
      <c r="CEL43" s="60"/>
      <c r="CEM43" s="60"/>
      <c r="CEN43" s="60"/>
      <c r="CEO43" s="60"/>
      <c r="CEP43" s="60"/>
      <c r="CEQ43" s="60"/>
      <c r="CER43" s="60"/>
      <c r="CES43" s="60"/>
      <c r="CET43" s="60"/>
      <c r="CEU43" s="60"/>
      <c r="CEV43" s="60"/>
      <c r="CEW43" s="60"/>
      <c r="CEX43" s="60"/>
      <c r="CEY43" s="60"/>
      <c r="CEZ43" s="60"/>
      <c r="CFA43" s="60"/>
      <c r="CFB43" s="60"/>
      <c r="CFC43" s="60"/>
      <c r="CFD43" s="60"/>
      <c r="CFE43" s="60"/>
      <c r="CFF43" s="60"/>
      <c r="CFG43" s="60"/>
      <c r="CFH43" s="60"/>
      <c r="CFI43" s="60"/>
      <c r="CFJ43" s="60"/>
      <c r="CFK43" s="60"/>
      <c r="CFL43" s="60"/>
      <c r="CFM43" s="60"/>
      <c r="CFN43" s="60"/>
      <c r="CFO43" s="60"/>
      <c r="CFP43" s="60"/>
      <c r="CFQ43" s="60"/>
      <c r="CFR43" s="60"/>
      <c r="CFS43" s="60"/>
      <c r="CFT43" s="60"/>
      <c r="CFU43" s="60"/>
      <c r="CFV43" s="60"/>
      <c r="CFW43" s="60"/>
      <c r="CFX43" s="60"/>
      <c r="CFY43" s="60"/>
      <c r="CFZ43" s="60"/>
      <c r="CGA43" s="60"/>
      <c r="CGB43" s="60"/>
      <c r="CGC43" s="60"/>
      <c r="CGD43" s="60"/>
      <c r="CGE43" s="60"/>
      <c r="CGF43" s="60"/>
      <c r="CGG43" s="60"/>
      <c r="CGH43" s="60"/>
      <c r="CGI43" s="60"/>
      <c r="CGJ43" s="60"/>
      <c r="CGK43" s="60"/>
      <c r="CGL43" s="60"/>
      <c r="CGM43" s="60"/>
      <c r="CGN43" s="60"/>
      <c r="CGO43" s="60"/>
      <c r="CGP43" s="60"/>
      <c r="CGQ43" s="60"/>
      <c r="CGR43" s="60"/>
      <c r="CGS43" s="60"/>
      <c r="CGT43" s="60"/>
      <c r="CGU43" s="60"/>
      <c r="CGV43" s="60"/>
      <c r="CGW43" s="60"/>
      <c r="CGX43" s="60"/>
      <c r="CGY43" s="60"/>
      <c r="CGZ43" s="60"/>
      <c r="CHA43" s="60"/>
      <c r="CHB43" s="60"/>
      <c r="CHC43" s="60"/>
      <c r="CHD43" s="60"/>
      <c r="CHE43" s="60"/>
      <c r="CHF43" s="60"/>
      <c r="CHG43" s="60"/>
      <c r="CHH43" s="60"/>
      <c r="CHI43" s="60"/>
      <c r="CHJ43" s="60"/>
      <c r="CHK43" s="60"/>
      <c r="CHL43" s="60"/>
      <c r="CHM43" s="60"/>
      <c r="CHN43" s="60"/>
      <c r="CHO43" s="60"/>
      <c r="CHP43" s="60"/>
      <c r="CHQ43" s="60"/>
      <c r="CHR43" s="60"/>
      <c r="CHS43" s="60"/>
      <c r="CHT43" s="60"/>
      <c r="CHU43" s="60"/>
      <c r="CHV43" s="60"/>
      <c r="CHW43" s="60"/>
      <c r="CHX43" s="60"/>
      <c r="CHY43" s="60"/>
      <c r="CHZ43" s="60"/>
      <c r="CIA43" s="60"/>
      <c r="CIB43" s="60"/>
      <c r="CIC43" s="60"/>
      <c r="CID43" s="60"/>
      <c r="CIE43" s="60"/>
      <c r="CIF43" s="60"/>
      <c r="CIG43" s="60"/>
      <c r="CIH43" s="60"/>
      <c r="CII43" s="60"/>
      <c r="CIJ43" s="60"/>
      <c r="CIK43" s="60"/>
      <c r="CIL43" s="60"/>
      <c r="CIM43" s="60"/>
      <c r="CIN43" s="60"/>
      <c r="CIO43" s="60"/>
      <c r="CIP43" s="60"/>
      <c r="CIQ43" s="60"/>
      <c r="CIR43" s="60"/>
      <c r="CIS43" s="60"/>
      <c r="CIT43" s="60"/>
      <c r="CIU43" s="60"/>
      <c r="CIV43" s="60"/>
      <c r="CIW43" s="60"/>
      <c r="CIX43" s="60"/>
      <c r="CIY43" s="60"/>
      <c r="CIZ43" s="60"/>
      <c r="CJA43" s="60"/>
      <c r="CJB43" s="60"/>
      <c r="CJC43" s="60"/>
      <c r="CJD43" s="60"/>
      <c r="CJE43" s="60"/>
      <c r="CJF43" s="60"/>
      <c r="CJG43" s="60"/>
      <c r="CJH43" s="60"/>
      <c r="CJI43" s="60"/>
      <c r="CJJ43" s="60"/>
      <c r="CJK43" s="60"/>
      <c r="CJL43" s="60"/>
      <c r="CJM43" s="60"/>
      <c r="CJN43" s="60"/>
      <c r="CJO43" s="60"/>
      <c r="CJP43" s="60"/>
      <c r="CJQ43" s="60"/>
      <c r="CJR43" s="60"/>
      <c r="CJS43" s="60"/>
      <c r="CJT43" s="60"/>
      <c r="CJU43" s="60"/>
      <c r="CJV43" s="60"/>
      <c r="CJW43" s="60"/>
      <c r="CJX43" s="60"/>
      <c r="CJY43" s="60"/>
      <c r="CJZ43" s="60"/>
      <c r="CKA43" s="60"/>
      <c r="CKB43" s="60"/>
      <c r="CKC43" s="60"/>
      <c r="CKD43" s="60"/>
      <c r="CKE43" s="60"/>
      <c r="CKF43" s="60"/>
      <c r="CKG43" s="60"/>
      <c r="CKH43" s="60"/>
      <c r="CKI43" s="60"/>
      <c r="CKJ43" s="60"/>
      <c r="CKK43" s="60"/>
      <c r="CKL43" s="60"/>
      <c r="CKM43" s="60"/>
      <c r="CKN43" s="60"/>
      <c r="CKO43" s="60"/>
      <c r="CKP43" s="60"/>
      <c r="CKQ43" s="60"/>
      <c r="CKR43" s="60"/>
      <c r="CKS43" s="60"/>
      <c r="CKT43" s="60"/>
      <c r="CKU43" s="60"/>
      <c r="CKV43" s="60"/>
      <c r="CKW43" s="60"/>
      <c r="CKX43" s="60"/>
      <c r="CKY43" s="60"/>
      <c r="CKZ43" s="60"/>
      <c r="CLA43" s="60"/>
      <c r="CLB43" s="60"/>
      <c r="CLC43" s="60"/>
      <c r="CLD43" s="60"/>
      <c r="CLE43" s="60"/>
      <c r="CLF43" s="60"/>
      <c r="CLG43" s="60"/>
      <c r="CLH43" s="60"/>
      <c r="CLI43" s="60"/>
      <c r="CLJ43" s="60"/>
      <c r="CLK43" s="60"/>
      <c r="CLL43" s="60"/>
      <c r="CLM43" s="60"/>
      <c r="CLN43" s="60"/>
      <c r="CLO43" s="60"/>
      <c r="CLP43" s="60"/>
      <c r="CLQ43" s="60"/>
      <c r="CLR43" s="60"/>
      <c r="CLS43" s="60"/>
      <c r="CLT43" s="60"/>
      <c r="CLU43" s="60"/>
      <c r="CLV43" s="60"/>
      <c r="CLW43" s="60"/>
      <c r="CLX43" s="60"/>
      <c r="CLY43" s="60"/>
      <c r="CLZ43" s="60"/>
      <c r="CMA43" s="60"/>
      <c r="CMB43" s="60"/>
      <c r="CMC43" s="60"/>
      <c r="CMD43" s="60"/>
      <c r="CME43" s="60"/>
      <c r="CMF43" s="60"/>
      <c r="CMG43" s="60"/>
      <c r="CMH43" s="60"/>
      <c r="CMI43" s="60"/>
      <c r="CMJ43" s="60"/>
      <c r="CMK43" s="60"/>
      <c r="CML43" s="60"/>
      <c r="CMM43" s="60"/>
      <c r="CMN43" s="60"/>
      <c r="CMO43" s="60"/>
      <c r="CMP43" s="60"/>
      <c r="CMQ43" s="60"/>
      <c r="CMR43" s="60"/>
      <c r="CMS43" s="60"/>
      <c r="CMT43" s="60"/>
      <c r="CMU43" s="60"/>
      <c r="CMV43" s="60"/>
      <c r="CMW43" s="60"/>
      <c r="CMX43" s="60"/>
      <c r="CMY43" s="60"/>
      <c r="CMZ43" s="60"/>
      <c r="CNA43" s="60"/>
      <c r="CNB43" s="60"/>
      <c r="CNC43" s="60"/>
      <c r="CND43" s="60"/>
      <c r="CNE43" s="60"/>
      <c r="CNF43" s="60"/>
      <c r="CNG43" s="60"/>
      <c r="CNH43" s="60"/>
      <c r="CNI43" s="60"/>
      <c r="CNJ43" s="60"/>
      <c r="CNK43" s="60"/>
      <c r="CNL43" s="60"/>
      <c r="CNM43" s="60"/>
      <c r="CNN43" s="60"/>
      <c r="CNO43" s="60"/>
      <c r="CNP43" s="60"/>
      <c r="CNQ43" s="60"/>
      <c r="CNR43" s="60"/>
      <c r="CNS43" s="60"/>
      <c r="CNT43" s="60"/>
      <c r="CNU43" s="60"/>
      <c r="CNV43" s="60"/>
      <c r="CNW43" s="60"/>
      <c r="CNX43" s="60"/>
      <c r="CNY43" s="60"/>
      <c r="CNZ43" s="60"/>
      <c r="COA43" s="60"/>
      <c r="COB43" s="60"/>
      <c r="COC43" s="60"/>
      <c r="COD43" s="60"/>
      <c r="COE43" s="60"/>
      <c r="COF43" s="60"/>
      <c r="COG43" s="60"/>
      <c r="COH43" s="60"/>
      <c r="COI43" s="60"/>
      <c r="COJ43" s="60"/>
      <c r="COK43" s="60"/>
      <c r="COL43" s="60"/>
      <c r="COM43" s="60"/>
      <c r="CON43" s="60"/>
      <c r="COO43" s="60"/>
      <c r="COP43" s="60"/>
      <c r="COQ43" s="60"/>
      <c r="COR43" s="60"/>
      <c r="COS43" s="60"/>
      <c r="COT43" s="60"/>
      <c r="COU43" s="60"/>
      <c r="COV43" s="60"/>
      <c r="COW43" s="60"/>
      <c r="COX43" s="60"/>
      <c r="COY43" s="60"/>
      <c r="COZ43" s="60"/>
      <c r="CPA43" s="60"/>
      <c r="CPB43" s="60"/>
      <c r="CPC43" s="60"/>
      <c r="CPD43" s="60"/>
      <c r="CPE43" s="60"/>
      <c r="CPF43" s="60"/>
      <c r="CPG43" s="60"/>
      <c r="CPH43" s="60"/>
      <c r="CPI43" s="60"/>
      <c r="CPJ43" s="60"/>
      <c r="CPK43" s="60"/>
      <c r="CPL43" s="60"/>
      <c r="CPM43" s="60"/>
      <c r="CPN43" s="60"/>
      <c r="CPO43" s="60"/>
      <c r="CPP43" s="60"/>
      <c r="CPQ43" s="60"/>
      <c r="CPR43" s="60"/>
      <c r="CPS43" s="60"/>
      <c r="CPT43" s="60"/>
      <c r="CPU43" s="60"/>
      <c r="CPV43" s="60"/>
      <c r="CPW43" s="60"/>
      <c r="CPX43" s="60"/>
      <c r="CPY43" s="60"/>
      <c r="CPZ43" s="60"/>
      <c r="CQA43" s="60"/>
      <c r="CQB43" s="60"/>
      <c r="CQC43" s="60"/>
      <c r="CQD43" s="60"/>
      <c r="CQE43" s="60"/>
      <c r="CQF43" s="60"/>
      <c r="CQG43" s="60"/>
      <c r="CQH43" s="60"/>
      <c r="CQI43" s="60"/>
      <c r="CQJ43" s="60"/>
      <c r="CQK43" s="60"/>
      <c r="CQL43" s="60"/>
      <c r="CQM43" s="60"/>
      <c r="CQN43" s="60"/>
      <c r="CQO43" s="60"/>
      <c r="CQP43" s="60"/>
      <c r="CQQ43" s="60"/>
      <c r="CQR43" s="60"/>
      <c r="CQS43" s="60"/>
      <c r="CQT43" s="60"/>
      <c r="CQU43" s="60"/>
      <c r="CQV43" s="60"/>
      <c r="CQW43" s="60"/>
      <c r="CQX43" s="60"/>
      <c r="CQY43" s="60"/>
      <c r="CQZ43" s="60"/>
      <c r="CRA43" s="60"/>
      <c r="CRB43" s="60"/>
      <c r="CRC43" s="60"/>
      <c r="CRD43" s="60"/>
      <c r="CRE43" s="60"/>
      <c r="CRF43" s="60"/>
      <c r="CRG43" s="60"/>
      <c r="CRH43" s="60"/>
      <c r="CRI43" s="60"/>
      <c r="CRJ43" s="60"/>
      <c r="CRK43" s="60"/>
      <c r="CRL43" s="60"/>
      <c r="CRM43" s="60"/>
      <c r="CRN43" s="60"/>
      <c r="CRO43" s="60"/>
      <c r="CRP43" s="60"/>
      <c r="CRQ43" s="60"/>
      <c r="CRR43" s="60"/>
      <c r="CRS43" s="60"/>
      <c r="CRT43" s="60"/>
      <c r="CRU43" s="60"/>
      <c r="CRV43" s="60"/>
      <c r="CRW43" s="60"/>
      <c r="CRX43" s="60"/>
      <c r="CRY43" s="60"/>
      <c r="CRZ43" s="60"/>
      <c r="CSA43" s="60"/>
      <c r="CSB43" s="60"/>
      <c r="CSC43" s="60"/>
      <c r="CSD43" s="60"/>
      <c r="CSE43" s="60"/>
      <c r="CSF43" s="60"/>
      <c r="CSG43" s="60"/>
      <c r="CSH43" s="60"/>
      <c r="CSI43" s="60"/>
      <c r="CSJ43" s="60"/>
      <c r="CSK43" s="60"/>
      <c r="CSL43" s="60"/>
      <c r="CSM43" s="60"/>
      <c r="CSN43" s="60"/>
      <c r="CSO43" s="60"/>
      <c r="CSP43" s="60"/>
      <c r="CSQ43" s="60"/>
      <c r="CSR43" s="60"/>
      <c r="CSS43" s="60"/>
      <c r="CST43" s="60"/>
      <c r="CSU43" s="60"/>
      <c r="CSV43" s="60"/>
      <c r="CSW43" s="60"/>
      <c r="CSX43" s="60"/>
      <c r="CSY43" s="60"/>
      <c r="CSZ43" s="60"/>
      <c r="CTA43" s="60"/>
      <c r="CTB43" s="60"/>
      <c r="CTC43" s="60"/>
      <c r="CTD43" s="60"/>
      <c r="CTE43" s="60"/>
      <c r="CTF43" s="60"/>
      <c r="CTG43" s="60"/>
      <c r="CTH43" s="60"/>
      <c r="CTI43" s="60"/>
      <c r="CTJ43" s="60"/>
      <c r="CTK43" s="60"/>
      <c r="CTL43" s="60"/>
      <c r="CTM43" s="60"/>
      <c r="CTN43" s="60"/>
      <c r="CTO43" s="60"/>
      <c r="CTP43" s="60"/>
      <c r="CTQ43" s="60"/>
      <c r="CTR43" s="60"/>
      <c r="CTS43" s="60"/>
      <c r="CTT43" s="60"/>
      <c r="CTU43" s="60"/>
      <c r="CTV43" s="60"/>
      <c r="CTW43" s="60"/>
      <c r="CTX43" s="60"/>
      <c r="CTY43" s="60"/>
      <c r="CTZ43" s="60"/>
      <c r="CUA43" s="60"/>
      <c r="CUB43" s="60"/>
      <c r="CUC43" s="60"/>
      <c r="CUD43" s="60"/>
      <c r="CUE43" s="60"/>
      <c r="CUF43" s="60"/>
      <c r="CUG43" s="60"/>
      <c r="CUH43" s="60"/>
      <c r="CUI43" s="60"/>
      <c r="CUJ43" s="60"/>
      <c r="CUK43" s="60"/>
      <c r="CUL43" s="60"/>
      <c r="CUM43" s="60"/>
      <c r="CUN43" s="60"/>
      <c r="CUO43" s="60"/>
      <c r="CUP43" s="60"/>
      <c r="CUQ43" s="60"/>
      <c r="CUR43" s="60"/>
      <c r="CUS43" s="60"/>
      <c r="CUT43" s="60"/>
      <c r="CUU43" s="60"/>
      <c r="CUV43" s="60"/>
      <c r="CUW43" s="60"/>
      <c r="CUX43" s="60"/>
      <c r="CUY43" s="60"/>
      <c r="CUZ43" s="60"/>
      <c r="CVA43" s="60"/>
      <c r="CVB43" s="60"/>
      <c r="CVC43" s="60"/>
      <c r="CVD43" s="60"/>
      <c r="CVE43" s="60"/>
      <c r="CVF43" s="60"/>
      <c r="CVG43" s="60"/>
      <c r="CVH43" s="60"/>
      <c r="CVI43" s="60"/>
      <c r="CVJ43" s="60"/>
      <c r="CVK43" s="60"/>
      <c r="CVL43" s="60"/>
      <c r="CVM43" s="60"/>
      <c r="CVN43" s="60"/>
      <c r="CVO43" s="60"/>
      <c r="CVP43" s="60"/>
      <c r="CVQ43" s="60"/>
      <c r="CVR43" s="60"/>
      <c r="CVS43" s="60"/>
      <c r="CVT43" s="60"/>
      <c r="CVU43" s="60"/>
      <c r="CVV43" s="60"/>
      <c r="CVW43" s="60"/>
      <c r="CVX43" s="60"/>
      <c r="CVY43" s="60"/>
      <c r="CVZ43" s="60"/>
      <c r="CWA43" s="60"/>
      <c r="CWB43" s="60"/>
      <c r="CWC43" s="60"/>
      <c r="CWD43" s="60"/>
      <c r="CWE43" s="60"/>
      <c r="CWF43" s="60"/>
      <c r="CWG43" s="60"/>
      <c r="CWH43" s="60"/>
      <c r="CWI43" s="60"/>
      <c r="CWJ43" s="60"/>
      <c r="CWK43" s="60"/>
      <c r="CWL43" s="60"/>
      <c r="CWM43" s="60"/>
      <c r="CWN43" s="60"/>
      <c r="CWO43" s="60"/>
      <c r="CWP43" s="60"/>
      <c r="CWQ43" s="60"/>
      <c r="CWR43" s="60"/>
      <c r="CWS43" s="60"/>
      <c r="CWT43" s="60"/>
      <c r="CWU43" s="60"/>
      <c r="CWV43" s="60"/>
      <c r="CWW43" s="60"/>
      <c r="CWX43" s="60"/>
      <c r="CWY43" s="60"/>
      <c r="CWZ43" s="60"/>
      <c r="CXA43" s="60"/>
      <c r="CXB43" s="60"/>
      <c r="CXC43" s="60"/>
      <c r="CXD43" s="60"/>
      <c r="CXE43" s="60"/>
      <c r="CXF43" s="60"/>
      <c r="CXG43" s="60"/>
      <c r="CXH43" s="60"/>
      <c r="CXI43" s="60"/>
      <c r="CXJ43" s="60"/>
      <c r="CXK43" s="60"/>
      <c r="CXL43" s="60"/>
      <c r="CXM43" s="60"/>
      <c r="CXN43" s="60"/>
      <c r="CXO43" s="60"/>
      <c r="CXP43" s="60"/>
      <c r="CXQ43" s="60"/>
      <c r="CXR43" s="60"/>
      <c r="CXS43" s="60"/>
      <c r="CXT43" s="60"/>
      <c r="CXU43" s="60"/>
      <c r="CXV43" s="60"/>
      <c r="CXW43" s="60"/>
      <c r="CXX43" s="60"/>
      <c r="CXY43" s="60"/>
      <c r="CXZ43" s="60"/>
      <c r="CYA43" s="60"/>
      <c r="CYB43" s="60"/>
      <c r="CYC43" s="60"/>
      <c r="CYD43" s="60"/>
      <c r="CYE43" s="60"/>
      <c r="CYF43" s="60"/>
      <c r="CYG43" s="60"/>
      <c r="CYH43" s="60"/>
      <c r="CYI43" s="60"/>
      <c r="CYJ43" s="60"/>
      <c r="CYK43" s="60"/>
      <c r="CYL43" s="60"/>
      <c r="CYM43" s="60"/>
      <c r="CYN43" s="60"/>
      <c r="CYO43" s="60"/>
      <c r="CYP43" s="60"/>
      <c r="CYQ43" s="60"/>
      <c r="CYR43" s="60"/>
      <c r="CYS43" s="60"/>
      <c r="CYT43" s="60"/>
      <c r="CYU43" s="60"/>
      <c r="CYV43" s="60"/>
      <c r="CYW43" s="60"/>
      <c r="CYX43" s="60"/>
      <c r="CYY43" s="60"/>
      <c r="CYZ43" s="60"/>
      <c r="CZA43" s="60"/>
      <c r="CZB43" s="60"/>
      <c r="CZC43" s="60"/>
      <c r="CZD43" s="60"/>
      <c r="CZE43" s="60"/>
      <c r="CZF43" s="60"/>
      <c r="CZG43" s="60"/>
      <c r="CZH43" s="60"/>
      <c r="CZI43" s="60"/>
      <c r="CZJ43" s="60"/>
      <c r="CZK43" s="60"/>
      <c r="CZL43" s="60"/>
      <c r="CZM43" s="60"/>
      <c r="CZN43" s="60"/>
      <c r="CZO43" s="60"/>
      <c r="CZP43" s="60"/>
      <c r="CZQ43" s="60"/>
      <c r="CZR43" s="60"/>
      <c r="CZS43" s="60"/>
      <c r="CZT43" s="60"/>
      <c r="CZU43" s="60"/>
      <c r="CZV43" s="60"/>
      <c r="CZW43" s="60"/>
      <c r="CZX43" s="60"/>
      <c r="CZY43" s="60"/>
      <c r="CZZ43" s="60"/>
      <c r="DAA43" s="60"/>
      <c r="DAB43" s="60"/>
      <c r="DAC43" s="60"/>
      <c r="DAD43" s="60"/>
      <c r="DAE43" s="60"/>
      <c r="DAF43" s="60"/>
      <c r="DAG43" s="60"/>
      <c r="DAH43" s="60"/>
      <c r="DAI43" s="60"/>
      <c r="DAJ43" s="60"/>
      <c r="DAK43" s="60"/>
      <c r="DAL43" s="60"/>
      <c r="DAM43" s="60"/>
      <c r="DAN43" s="60"/>
      <c r="DAO43" s="60"/>
      <c r="DAP43" s="60"/>
      <c r="DAQ43" s="60"/>
      <c r="DAR43" s="60"/>
      <c r="DAS43" s="60"/>
      <c r="DAT43" s="60"/>
      <c r="DAU43" s="60"/>
      <c r="DAV43" s="60"/>
      <c r="DAW43" s="60"/>
      <c r="DAX43" s="60"/>
      <c r="DAY43" s="60"/>
      <c r="DAZ43" s="60"/>
      <c r="DBA43" s="60"/>
      <c r="DBB43" s="60"/>
      <c r="DBC43" s="60"/>
      <c r="DBD43" s="60"/>
      <c r="DBE43" s="60"/>
      <c r="DBF43" s="60"/>
      <c r="DBG43" s="60"/>
      <c r="DBH43" s="60"/>
      <c r="DBI43" s="60"/>
      <c r="DBJ43" s="60"/>
      <c r="DBK43" s="60"/>
      <c r="DBL43" s="60"/>
      <c r="DBM43" s="60"/>
      <c r="DBN43" s="60"/>
      <c r="DBO43" s="60"/>
      <c r="DBP43" s="60"/>
      <c r="DBQ43" s="60"/>
      <c r="DBR43" s="60"/>
      <c r="DBS43" s="60"/>
      <c r="DBT43" s="60"/>
      <c r="DBU43" s="60"/>
      <c r="DBV43" s="60"/>
      <c r="DBW43" s="60"/>
      <c r="DBX43" s="60"/>
      <c r="DBY43" s="60"/>
      <c r="DBZ43" s="60"/>
      <c r="DCA43" s="60"/>
      <c r="DCB43" s="60"/>
      <c r="DCC43" s="60"/>
      <c r="DCD43" s="60"/>
      <c r="DCE43" s="60"/>
      <c r="DCF43" s="60"/>
      <c r="DCG43" s="60"/>
      <c r="DCH43" s="60"/>
      <c r="DCI43" s="60"/>
      <c r="DCJ43" s="60"/>
      <c r="DCK43" s="60"/>
      <c r="DCL43" s="60"/>
      <c r="DCM43" s="60"/>
      <c r="DCN43" s="60"/>
      <c r="DCO43" s="60"/>
      <c r="DCP43" s="60"/>
      <c r="DCQ43" s="60"/>
      <c r="DCR43" s="60"/>
      <c r="DCS43" s="60"/>
      <c r="DCT43" s="60"/>
      <c r="DCU43" s="60"/>
      <c r="DCV43" s="60"/>
      <c r="DCW43" s="60"/>
      <c r="DCX43" s="60"/>
      <c r="DCY43" s="60"/>
      <c r="DCZ43" s="60"/>
      <c r="DDA43" s="60"/>
      <c r="DDB43" s="60"/>
      <c r="DDC43" s="60"/>
      <c r="DDD43" s="60"/>
      <c r="DDE43" s="60"/>
      <c r="DDF43" s="60"/>
      <c r="DDG43" s="60"/>
      <c r="DDH43" s="60"/>
      <c r="DDI43" s="60"/>
      <c r="DDJ43" s="60"/>
      <c r="DDK43" s="60"/>
      <c r="DDL43" s="60"/>
      <c r="DDM43" s="60"/>
      <c r="DDN43" s="60"/>
      <c r="DDO43" s="60"/>
      <c r="DDP43" s="60"/>
      <c r="DDQ43" s="60"/>
      <c r="DDR43" s="60"/>
      <c r="DDS43" s="60"/>
      <c r="DDT43" s="60"/>
      <c r="DDU43" s="60"/>
      <c r="DDV43" s="60"/>
      <c r="DDW43" s="60"/>
      <c r="DDX43" s="60"/>
      <c r="DDY43" s="60"/>
      <c r="DDZ43" s="60"/>
      <c r="DEA43" s="60"/>
      <c r="DEB43" s="60"/>
      <c r="DEC43" s="60"/>
      <c r="DED43" s="60"/>
      <c r="DEE43" s="60"/>
      <c r="DEF43" s="60"/>
      <c r="DEG43" s="60"/>
      <c r="DEH43" s="60"/>
      <c r="DEI43" s="60"/>
      <c r="DEJ43" s="60"/>
      <c r="DEK43" s="60"/>
      <c r="DEL43" s="60"/>
      <c r="DEM43" s="60"/>
      <c r="DEN43" s="60"/>
      <c r="DEO43" s="60"/>
      <c r="DEP43" s="60"/>
      <c r="DEQ43" s="60"/>
      <c r="DER43" s="60"/>
      <c r="DES43" s="60"/>
      <c r="DET43" s="60"/>
      <c r="DEU43" s="60"/>
      <c r="DEV43" s="60"/>
      <c r="DEW43" s="60"/>
      <c r="DEX43" s="60"/>
      <c r="DEY43" s="60"/>
      <c r="DEZ43" s="60"/>
      <c r="DFA43" s="60"/>
      <c r="DFB43" s="60"/>
      <c r="DFC43" s="60"/>
      <c r="DFD43" s="60"/>
      <c r="DFE43" s="60"/>
      <c r="DFF43" s="60"/>
      <c r="DFG43" s="60"/>
      <c r="DFH43" s="60"/>
      <c r="DFI43" s="60"/>
      <c r="DFJ43" s="60"/>
      <c r="DFK43" s="60"/>
      <c r="DFL43" s="60"/>
      <c r="DFM43" s="60"/>
      <c r="DFN43" s="60"/>
      <c r="DFO43" s="60"/>
      <c r="DFP43" s="60"/>
      <c r="DFQ43" s="60"/>
      <c r="DFR43" s="60"/>
      <c r="DFS43" s="60"/>
      <c r="DFT43" s="60"/>
      <c r="DFU43" s="60"/>
      <c r="DFV43" s="60"/>
      <c r="DFW43" s="60"/>
      <c r="DFX43" s="60"/>
      <c r="DFY43" s="60"/>
      <c r="DFZ43" s="60"/>
      <c r="DGA43" s="60"/>
      <c r="DGB43" s="60"/>
      <c r="DGC43" s="60"/>
      <c r="DGD43" s="60"/>
      <c r="DGE43" s="60"/>
      <c r="DGF43" s="60"/>
      <c r="DGG43" s="60"/>
      <c r="DGH43" s="60"/>
      <c r="DGI43" s="60"/>
      <c r="DGJ43" s="60"/>
      <c r="DGK43" s="60"/>
      <c r="DGL43" s="60"/>
      <c r="DGM43" s="60"/>
      <c r="DGN43" s="60"/>
      <c r="DGO43" s="60"/>
      <c r="DGP43" s="60"/>
      <c r="DGQ43" s="60"/>
      <c r="DGR43" s="60"/>
      <c r="DGS43" s="60"/>
      <c r="DGT43" s="60"/>
      <c r="DGU43" s="60"/>
      <c r="DGV43" s="60"/>
      <c r="DGW43" s="60"/>
      <c r="DGX43" s="60"/>
      <c r="DGY43" s="60"/>
      <c r="DGZ43" s="60"/>
      <c r="DHA43" s="60"/>
      <c r="DHB43" s="60"/>
      <c r="DHC43" s="60"/>
      <c r="DHD43" s="60"/>
      <c r="DHE43" s="60"/>
      <c r="DHF43" s="60"/>
      <c r="DHG43" s="60"/>
      <c r="DHH43" s="60"/>
      <c r="DHI43" s="60"/>
      <c r="DHJ43" s="60"/>
      <c r="DHK43" s="60"/>
      <c r="DHL43" s="60"/>
      <c r="DHM43" s="60"/>
      <c r="DHN43" s="60"/>
      <c r="DHO43" s="60"/>
      <c r="DHP43" s="60"/>
      <c r="DHQ43" s="60"/>
      <c r="DHR43" s="60"/>
      <c r="DHS43" s="60"/>
      <c r="DHT43" s="60"/>
      <c r="DHU43" s="60"/>
      <c r="DHV43" s="60"/>
      <c r="DHW43" s="60"/>
      <c r="DHX43" s="60"/>
      <c r="DHY43" s="60"/>
      <c r="DHZ43" s="60"/>
      <c r="DIA43" s="60"/>
      <c r="DIB43" s="60"/>
      <c r="DIC43" s="60"/>
      <c r="DID43" s="60"/>
      <c r="DIE43" s="60"/>
      <c r="DIF43" s="60"/>
      <c r="DIG43" s="60"/>
      <c r="DIH43" s="60"/>
      <c r="DII43" s="60"/>
      <c r="DIJ43" s="60"/>
      <c r="DIK43" s="60"/>
      <c r="DIL43" s="60"/>
      <c r="DIM43" s="60"/>
      <c r="DIN43" s="60"/>
      <c r="DIO43" s="60"/>
      <c r="DIP43" s="60"/>
      <c r="DIQ43" s="60"/>
      <c r="DIR43" s="60"/>
      <c r="DIS43" s="60"/>
      <c r="DIT43" s="60"/>
      <c r="DIU43" s="60"/>
      <c r="DIV43" s="60"/>
      <c r="DIW43" s="60"/>
      <c r="DIX43" s="60"/>
      <c r="DIY43" s="60"/>
      <c r="DIZ43" s="60"/>
      <c r="DJA43" s="60"/>
      <c r="DJB43" s="60"/>
      <c r="DJC43" s="60"/>
      <c r="DJD43" s="60"/>
      <c r="DJE43" s="60"/>
      <c r="DJF43" s="60"/>
      <c r="DJG43" s="60"/>
      <c r="DJH43" s="60"/>
      <c r="DJI43" s="60"/>
      <c r="DJJ43" s="60"/>
      <c r="DJK43" s="60"/>
      <c r="DJL43" s="60"/>
      <c r="DJM43" s="60"/>
      <c r="DJN43" s="60"/>
      <c r="DJO43" s="60"/>
      <c r="DJP43" s="60"/>
      <c r="DJQ43" s="60"/>
      <c r="DJR43" s="60"/>
      <c r="DJS43" s="60"/>
      <c r="DJT43" s="60"/>
      <c r="DJU43" s="60"/>
      <c r="DJV43" s="60"/>
      <c r="DJW43" s="60"/>
      <c r="DJX43" s="60"/>
      <c r="DJY43" s="60"/>
      <c r="DJZ43" s="60"/>
      <c r="DKA43" s="60"/>
      <c r="DKB43" s="60"/>
      <c r="DKC43" s="60"/>
      <c r="DKD43" s="60"/>
      <c r="DKE43" s="60"/>
      <c r="DKF43" s="60"/>
      <c r="DKG43" s="60"/>
      <c r="DKH43" s="60"/>
      <c r="DKI43" s="60"/>
      <c r="DKJ43" s="60"/>
      <c r="DKK43" s="60"/>
      <c r="DKL43" s="60"/>
      <c r="DKM43" s="60"/>
      <c r="DKN43" s="60"/>
      <c r="DKO43" s="60"/>
      <c r="DKP43" s="60"/>
      <c r="DKQ43" s="60"/>
      <c r="DKR43" s="60"/>
      <c r="DKS43" s="60"/>
      <c r="DKT43" s="60"/>
      <c r="DKU43" s="60"/>
      <c r="DKV43" s="60"/>
      <c r="DKW43" s="60"/>
      <c r="DKX43" s="60"/>
      <c r="DKY43" s="60"/>
      <c r="DKZ43" s="60"/>
      <c r="DLA43" s="60"/>
      <c r="DLB43" s="60"/>
      <c r="DLC43" s="60"/>
      <c r="DLD43" s="60"/>
      <c r="DLE43" s="60"/>
      <c r="DLF43" s="60"/>
      <c r="DLG43" s="60"/>
      <c r="DLH43" s="60"/>
      <c r="DLI43" s="60"/>
      <c r="DLJ43" s="60"/>
      <c r="DLK43" s="60"/>
      <c r="DLL43" s="60"/>
      <c r="DLM43" s="60"/>
      <c r="DLN43" s="60"/>
      <c r="DLO43" s="60"/>
      <c r="DLP43" s="60"/>
      <c r="DLQ43" s="60"/>
      <c r="DLR43" s="60"/>
      <c r="DLS43" s="60"/>
      <c r="DLT43" s="60"/>
      <c r="DLU43" s="60"/>
      <c r="DLV43" s="60"/>
      <c r="DLW43" s="60"/>
      <c r="DLX43" s="60"/>
      <c r="DLY43" s="60"/>
      <c r="DLZ43" s="60"/>
      <c r="DMA43" s="60"/>
      <c r="DMB43" s="60"/>
      <c r="DMC43" s="60"/>
      <c r="DMD43" s="60"/>
      <c r="DME43" s="60"/>
      <c r="DMF43" s="60"/>
      <c r="DMG43" s="60"/>
      <c r="DMH43" s="60"/>
      <c r="DMI43" s="60"/>
      <c r="DMJ43" s="60"/>
      <c r="DMK43" s="60"/>
      <c r="DML43" s="60"/>
      <c r="DMM43" s="60"/>
      <c r="DMN43" s="60"/>
      <c r="DMO43" s="60"/>
      <c r="DMP43" s="60"/>
      <c r="DMQ43" s="60"/>
      <c r="DMR43" s="60"/>
      <c r="DMS43" s="60"/>
      <c r="DMT43" s="60"/>
      <c r="DMU43" s="60"/>
      <c r="DMV43" s="60"/>
      <c r="DMW43" s="60"/>
      <c r="DMX43" s="60"/>
      <c r="DMY43" s="60"/>
      <c r="DMZ43" s="60"/>
      <c r="DNA43" s="60"/>
      <c r="DNB43" s="60"/>
      <c r="DNC43" s="60"/>
      <c r="DND43" s="60"/>
      <c r="DNE43" s="60"/>
      <c r="DNF43" s="60"/>
      <c r="DNG43" s="60"/>
      <c r="DNH43" s="60"/>
      <c r="DNI43" s="60"/>
      <c r="DNJ43" s="60"/>
      <c r="DNK43" s="60"/>
      <c r="DNL43" s="60"/>
      <c r="DNM43" s="60"/>
      <c r="DNN43" s="60"/>
      <c r="DNO43" s="60"/>
      <c r="DNP43" s="60"/>
      <c r="DNQ43" s="60"/>
      <c r="DNR43" s="60"/>
      <c r="DNS43" s="60"/>
      <c r="DNT43" s="60"/>
      <c r="DNU43" s="60"/>
      <c r="DNV43" s="60"/>
      <c r="DNW43" s="60"/>
      <c r="DNX43" s="60"/>
      <c r="DNY43" s="60"/>
      <c r="DNZ43" s="60"/>
      <c r="DOA43" s="60"/>
      <c r="DOB43" s="60"/>
      <c r="DOC43" s="60"/>
      <c r="DOD43" s="60"/>
      <c r="DOE43" s="60"/>
      <c r="DOF43" s="60"/>
      <c r="DOG43" s="60"/>
      <c r="DOH43" s="60"/>
      <c r="DOI43" s="60"/>
      <c r="DOJ43" s="60"/>
      <c r="DOK43" s="60"/>
      <c r="DOL43" s="60"/>
      <c r="DOM43" s="60"/>
      <c r="DON43" s="60"/>
      <c r="DOO43" s="60"/>
      <c r="DOP43" s="60"/>
      <c r="DOQ43" s="60"/>
      <c r="DOR43" s="60"/>
      <c r="DOS43" s="60"/>
      <c r="DOT43" s="60"/>
      <c r="DOU43" s="60"/>
      <c r="DOV43" s="60"/>
      <c r="DOW43" s="60"/>
      <c r="DOX43" s="60"/>
      <c r="DOY43" s="60"/>
      <c r="DOZ43" s="60"/>
      <c r="DPA43" s="60"/>
      <c r="DPB43" s="60"/>
      <c r="DPC43" s="60"/>
      <c r="DPD43" s="60"/>
      <c r="DPE43" s="60"/>
      <c r="DPF43" s="60"/>
      <c r="DPG43" s="60"/>
      <c r="DPH43" s="60"/>
      <c r="DPI43" s="60"/>
      <c r="DPJ43" s="60"/>
      <c r="DPK43" s="60"/>
      <c r="DPL43" s="60"/>
      <c r="DPM43" s="60"/>
      <c r="DPN43" s="60"/>
      <c r="DPO43" s="60"/>
      <c r="DPP43" s="60"/>
      <c r="DPQ43" s="60"/>
      <c r="DPR43" s="60"/>
      <c r="DPS43" s="60"/>
      <c r="DPT43" s="60"/>
      <c r="DPU43" s="60"/>
      <c r="DPV43" s="60"/>
      <c r="DPW43" s="60"/>
      <c r="DPX43" s="60"/>
      <c r="DPY43" s="60"/>
      <c r="DPZ43" s="60"/>
      <c r="DQA43" s="60"/>
      <c r="DQB43" s="60"/>
      <c r="DQC43" s="60"/>
      <c r="DQD43" s="60"/>
      <c r="DQE43" s="60"/>
      <c r="DQF43" s="60"/>
      <c r="DQG43" s="60"/>
      <c r="DQH43" s="60"/>
      <c r="DQI43" s="60"/>
      <c r="DQJ43" s="60"/>
      <c r="DQK43" s="60"/>
      <c r="DQL43" s="60"/>
      <c r="DQM43" s="60"/>
      <c r="DQN43" s="60"/>
      <c r="DQO43" s="60"/>
      <c r="DQP43" s="60"/>
      <c r="DQQ43" s="60"/>
      <c r="DQR43" s="60"/>
      <c r="DQS43" s="60"/>
      <c r="DQT43" s="60"/>
      <c r="DQU43" s="60"/>
      <c r="DQV43" s="60"/>
      <c r="DQW43" s="60"/>
      <c r="DQX43" s="60"/>
      <c r="DQY43" s="60"/>
      <c r="DQZ43" s="60"/>
      <c r="DRA43" s="60"/>
      <c r="DRB43" s="60"/>
      <c r="DRC43" s="60"/>
      <c r="DRD43" s="60"/>
      <c r="DRE43" s="60"/>
      <c r="DRF43" s="60"/>
      <c r="DRG43" s="60"/>
      <c r="DRH43" s="60"/>
      <c r="DRI43" s="60"/>
      <c r="DRJ43" s="60"/>
      <c r="DRK43" s="60"/>
      <c r="DRL43" s="60"/>
      <c r="DRM43" s="60"/>
      <c r="DRN43" s="60"/>
      <c r="DRO43" s="60"/>
      <c r="DRP43" s="60"/>
      <c r="DRQ43" s="60"/>
      <c r="DRR43" s="60"/>
      <c r="DRS43" s="60"/>
      <c r="DRT43" s="60"/>
      <c r="DRU43" s="60"/>
      <c r="DRV43" s="60"/>
      <c r="DRW43" s="60"/>
      <c r="DRX43" s="60"/>
      <c r="DRY43" s="60"/>
      <c r="DRZ43" s="60"/>
      <c r="DSA43" s="60"/>
      <c r="DSB43" s="60"/>
      <c r="DSC43" s="60"/>
      <c r="DSD43" s="60"/>
      <c r="DSE43" s="60"/>
      <c r="DSF43" s="60"/>
      <c r="DSG43" s="60"/>
      <c r="DSH43" s="60"/>
      <c r="DSI43" s="60"/>
      <c r="DSJ43" s="60"/>
      <c r="DSK43" s="60"/>
      <c r="DSL43" s="60"/>
      <c r="DSM43" s="60"/>
      <c r="DSN43" s="60"/>
      <c r="DSO43" s="60"/>
      <c r="DSP43" s="60"/>
      <c r="DSQ43" s="60"/>
      <c r="DSR43" s="60"/>
      <c r="DSS43" s="60"/>
      <c r="DST43" s="60"/>
      <c r="DSU43" s="60"/>
      <c r="DSV43" s="60"/>
      <c r="DSW43" s="60"/>
      <c r="DSX43" s="60"/>
      <c r="DSY43" s="60"/>
      <c r="DSZ43" s="60"/>
      <c r="DTA43" s="60"/>
      <c r="DTB43" s="60"/>
      <c r="DTC43" s="60"/>
      <c r="DTD43" s="60"/>
      <c r="DTE43" s="60"/>
      <c r="DTF43" s="60"/>
      <c r="DTG43" s="60"/>
      <c r="DTH43" s="60"/>
      <c r="DTI43" s="60"/>
      <c r="DTJ43" s="60"/>
      <c r="DTK43" s="60"/>
      <c r="DTL43" s="60"/>
      <c r="DTM43" s="60"/>
      <c r="DTN43" s="60"/>
      <c r="DTO43" s="60"/>
      <c r="DTP43" s="60"/>
      <c r="DTQ43" s="60"/>
      <c r="DTR43" s="60"/>
      <c r="DTS43" s="60"/>
      <c r="DTT43" s="60"/>
      <c r="DTU43" s="60"/>
      <c r="DTV43" s="60"/>
      <c r="DTW43" s="60"/>
      <c r="DTX43" s="60"/>
      <c r="DTY43" s="60"/>
      <c r="DTZ43" s="60"/>
      <c r="DUA43" s="60"/>
      <c r="DUB43" s="60"/>
      <c r="DUC43" s="60"/>
      <c r="DUD43" s="60"/>
      <c r="DUE43" s="60"/>
      <c r="DUF43" s="60"/>
      <c r="DUG43" s="60"/>
      <c r="DUH43" s="60"/>
      <c r="DUI43" s="60"/>
      <c r="DUJ43" s="60"/>
      <c r="DUK43" s="60"/>
      <c r="DUL43" s="60"/>
      <c r="DUM43" s="60"/>
      <c r="DUN43" s="60"/>
      <c r="DUO43" s="60"/>
      <c r="DUP43" s="60"/>
      <c r="DUQ43" s="60"/>
      <c r="DUR43" s="60"/>
      <c r="DUS43" s="60"/>
      <c r="DUT43" s="60"/>
      <c r="DUU43" s="60"/>
      <c r="DUV43" s="60"/>
      <c r="DUW43" s="60"/>
      <c r="DUX43" s="60"/>
      <c r="DUY43" s="60"/>
      <c r="DUZ43" s="60"/>
      <c r="DVA43" s="60"/>
      <c r="DVB43" s="60"/>
      <c r="DVC43" s="60"/>
      <c r="DVD43" s="60"/>
      <c r="DVE43" s="60"/>
      <c r="DVF43" s="60"/>
      <c r="DVG43" s="60"/>
      <c r="DVH43" s="60"/>
      <c r="DVI43" s="60"/>
      <c r="DVJ43" s="60"/>
      <c r="DVK43" s="60"/>
      <c r="DVL43" s="60"/>
      <c r="DVM43" s="60"/>
      <c r="DVN43" s="60"/>
      <c r="DVO43" s="60"/>
      <c r="DVP43" s="60"/>
      <c r="DVQ43" s="60"/>
      <c r="DVR43" s="60"/>
      <c r="DVS43" s="60"/>
      <c r="DVT43" s="60"/>
      <c r="DVU43" s="60"/>
      <c r="DVV43" s="60"/>
      <c r="DVW43" s="60"/>
      <c r="DVX43" s="60"/>
      <c r="DVY43" s="60"/>
      <c r="DVZ43" s="60"/>
      <c r="DWA43" s="60"/>
      <c r="DWB43" s="60"/>
      <c r="DWC43" s="60"/>
      <c r="DWD43" s="60"/>
      <c r="DWE43" s="60"/>
      <c r="DWF43" s="60"/>
      <c r="DWG43" s="60"/>
      <c r="DWH43" s="60"/>
      <c r="DWI43" s="60"/>
      <c r="DWJ43" s="60"/>
      <c r="DWK43" s="60"/>
      <c r="DWL43" s="60"/>
      <c r="DWM43" s="60"/>
      <c r="DWN43" s="60"/>
      <c r="DWO43" s="60"/>
      <c r="DWP43" s="60"/>
      <c r="DWQ43" s="60"/>
      <c r="DWR43" s="60"/>
      <c r="DWS43" s="60"/>
      <c r="DWT43" s="60"/>
      <c r="DWU43" s="60"/>
      <c r="DWV43" s="60"/>
      <c r="DWW43" s="60"/>
      <c r="DWX43" s="60"/>
      <c r="DWY43" s="60"/>
      <c r="DWZ43" s="60"/>
      <c r="DXA43" s="60"/>
      <c r="DXB43" s="60"/>
      <c r="DXC43" s="60"/>
      <c r="DXD43" s="60"/>
      <c r="DXE43" s="60"/>
      <c r="DXF43" s="60"/>
      <c r="DXG43" s="60"/>
      <c r="DXH43" s="60"/>
      <c r="DXI43" s="60"/>
      <c r="DXJ43" s="60"/>
      <c r="DXK43" s="60"/>
      <c r="DXL43" s="60"/>
      <c r="DXM43" s="60"/>
      <c r="DXN43" s="60"/>
      <c r="DXO43" s="60"/>
      <c r="DXP43" s="60"/>
      <c r="DXQ43" s="60"/>
      <c r="DXR43" s="60"/>
      <c r="DXS43" s="60"/>
      <c r="DXT43" s="60"/>
      <c r="DXU43" s="60"/>
      <c r="DXV43" s="60"/>
      <c r="DXW43" s="60"/>
      <c r="DXX43" s="60"/>
      <c r="DXY43" s="60"/>
      <c r="DXZ43" s="60"/>
      <c r="DYA43" s="60"/>
      <c r="DYB43" s="60"/>
      <c r="DYC43" s="60"/>
      <c r="DYD43" s="60"/>
      <c r="DYE43" s="60"/>
      <c r="DYF43" s="60"/>
      <c r="DYG43" s="60"/>
      <c r="DYH43" s="60"/>
      <c r="DYI43" s="60"/>
      <c r="DYJ43" s="60"/>
      <c r="DYK43" s="60"/>
      <c r="DYL43" s="60"/>
      <c r="DYM43" s="60"/>
      <c r="DYN43" s="60"/>
      <c r="DYO43" s="60"/>
      <c r="DYP43" s="60"/>
      <c r="DYQ43" s="60"/>
      <c r="DYR43" s="60"/>
      <c r="DYS43" s="60"/>
      <c r="DYT43" s="60"/>
      <c r="DYU43" s="60"/>
      <c r="DYV43" s="60"/>
      <c r="DYW43" s="60"/>
      <c r="DYX43" s="60"/>
      <c r="DYY43" s="60"/>
      <c r="DYZ43" s="60"/>
      <c r="DZA43" s="60"/>
      <c r="DZB43" s="60"/>
      <c r="DZC43" s="60"/>
      <c r="DZD43" s="60"/>
      <c r="DZE43" s="60"/>
      <c r="DZF43" s="60"/>
      <c r="DZG43" s="60"/>
      <c r="DZH43" s="60"/>
      <c r="DZI43" s="60"/>
      <c r="DZJ43" s="60"/>
      <c r="DZK43" s="60"/>
      <c r="DZL43" s="60"/>
      <c r="DZM43" s="60"/>
      <c r="DZN43" s="60"/>
      <c r="DZO43" s="60"/>
      <c r="DZP43" s="60"/>
      <c r="DZQ43" s="60"/>
      <c r="DZR43" s="60"/>
      <c r="DZS43" s="60"/>
      <c r="DZT43" s="60"/>
      <c r="DZU43" s="60"/>
      <c r="DZV43" s="60"/>
      <c r="DZW43" s="60"/>
      <c r="DZX43" s="60"/>
      <c r="DZY43" s="60"/>
      <c r="DZZ43" s="60"/>
      <c r="EAA43" s="60"/>
      <c r="EAB43" s="60"/>
      <c r="EAC43" s="60"/>
      <c r="EAD43" s="60"/>
      <c r="EAE43" s="60"/>
      <c r="EAF43" s="60"/>
      <c r="EAG43" s="60"/>
      <c r="EAH43" s="60"/>
      <c r="EAI43" s="60"/>
      <c r="EAJ43" s="60"/>
      <c r="EAK43" s="60"/>
      <c r="EAL43" s="60"/>
      <c r="EAM43" s="60"/>
      <c r="EAN43" s="60"/>
      <c r="EAO43" s="60"/>
      <c r="EAP43" s="60"/>
      <c r="EAQ43" s="60"/>
      <c r="EAR43" s="60"/>
      <c r="EAS43" s="60"/>
      <c r="EAT43" s="60"/>
      <c r="EAU43" s="60"/>
      <c r="EAV43" s="60"/>
      <c r="EAW43" s="60"/>
      <c r="EAX43" s="60"/>
      <c r="EAY43" s="60"/>
      <c r="EAZ43" s="60"/>
      <c r="EBA43" s="60"/>
      <c r="EBB43" s="60"/>
      <c r="EBC43" s="60"/>
      <c r="EBD43" s="60"/>
      <c r="EBE43" s="60"/>
      <c r="EBF43" s="60"/>
      <c r="EBG43" s="60"/>
      <c r="EBH43" s="60"/>
      <c r="EBI43" s="60"/>
      <c r="EBJ43" s="60"/>
      <c r="EBK43" s="60"/>
      <c r="EBL43" s="60"/>
      <c r="EBM43" s="60"/>
      <c r="EBN43" s="60"/>
      <c r="EBO43" s="60"/>
      <c r="EBP43" s="60"/>
      <c r="EBQ43" s="60"/>
      <c r="EBR43" s="60"/>
      <c r="EBS43" s="60"/>
      <c r="EBT43" s="60"/>
      <c r="EBU43" s="60"/>
      <c r="EBV43" s="60"/>
      <c r="EBW43" s="60"/>
      <c r="EBX43" s="60"/>
      <c r="EBY43" s="60"/>
      <c r="EBZ43" s="60"/>
      <c r="ECA43" s="60"/>
      <c r="ECB43" s="60"/>
      <c r="ECC43" s="60"/>
      <c r="ECD43" s="60"/>
      <c r="ECE43" s="60"/>
      <c r="ECF43" s="60"/>
      <c r="ECG43" s="60"/>
      <c r="ECH43" s="60"/>
      <c r="ECI43" s="60"/>
      <c r="ECJ43" s="60"/>
      <c r="ECK43" s="60"/>
      <c r="ECL43" s="60"/>
      <c r="ECM43" s="60"/>
      <c r="ECN43" s="60"/>
      <c r="ECO43" s="60"/>
      <c r="ECP43" s="60"/>
      <c r="ECQ43" s="60"/>
      <c r="ECR43" s="60"/>
      <c r="ECS43" s="60"/>
      <c r="ECT43" s="60"/>
      <c r="ECU43" s="60"/>
      <c r="ECV43" s="60"/>
      <c r="ECW43" s="60"/>
      <c r="ECX43" s="60"/>
      <c r="ECY43" s="60"/>
      <c r="ECZ43" s="60"/>
      <c r="EDA43" s="60"/>
      <c r="EDB43" s="60"/>
      <c r="EDC43" s="60"/>
      <c r="EDD43" s="60"/>
      <c r="EDE43" s="60"/>
      <c r="EDF43" s="60"/>
      <c r="EDG43" s="60"/>
      <c r="EDH43" s="60"/>
      <c r="EDI43" s="60"/>
      <c r="EDJ43" s="60"/>
      <c r="EDK43" s="60"/>
      <c r="EDL43" s="60"/>
      <c r="EDM43" s="60"/>
      <c r="EDN43" s="60"/>
      <c r="EDO43" s="60"/>
      <c r="EDP43" s="60"/>
      <c r="EDQ43" s="60"/>
      <c r="EDR43" s="60"/>
      <c r="EDS43" s="60"/>
      <c r="EDT43" s="60"/>
      <c r="EDU43" s="60"/>
      <c r="EDV43" s="60"/>
      <c r="EDW43" s="60"/>
      <c r="EDX43" s="60"/>
      <c r="EDY43" s="60"/>
      <c r="EDZ43" s="60"/>
      <c r="EEA43" s="60"/>
      <c r="EEB43" s="60"/>
      <c r="EEC43" s="60"/>
      <c r="EED43" s="60"/>
      <c r="EEE43" s="60"/>
      <c r="EEF43" s="60"/>
      <c r="EEG43" s="60"/>
      <c r="EEH43" s="60"/>
      <c r="EEI43" s="60"/>
      <c r="EEJ43" s="60"/>
      <c r="EEK43" s="60"/>
      <c r="EEL43" s="60"/>
      <c r="EEM43" s="60"/>
      <c r="EEN43" s="60"/>
      <c r="EEO43" s="60"/>
      <c r="EEP43" s="60"/>
      <c r="EEQ43" s="60"/>
      <c r="EER43" s="60"/>
      <c r="EES43" s="60"/>
      <c r="EET43" s="60"/>
      <c r="EEU43" s="60"/>
      <c r="EEV43" s="60"/>
      <c r="EEW43" s="60"/>
      <c r="EEX43" s="60"/>
      <c r="EEY43" s="60"/>
      <c r="EEZ43" s="60"/>
      <c r="EFA43" s="60"/>
      <c r="EFB43" s="60"/>
      <c r="EFC43" s="60"/>
      <c r="EFD43" s="60"/>
      <c r="EFE43" s="60"/>
      <c r="EFF43" s="60"/>
      <c r="EFG43" s="60"/>
      <c r="EFH43" s="60"/>
      <c r="EFI43" s="60"/>
      <c r="EFJ43" s="60"/>
      <c r="EFK43" s="60"/>
      <c r="EFL43" s="60"/>
      <c r="EFM43" s="60"/>
      <c r="EFN43" s="60"/>
      <c r="EFO43" s="60"/>
      <c r="EFP43" s="60"/>
      <c r="EFQ43" s="60"/>
      <c r="EFR43" s="60"/>
      <c r="EFS43" s="60"/>
      <c r="EFT43" s="60"/>
      <c r="EFU43" s="60"/>
      <c r="EFV43" s="60"/>
      <c r="EFW43" s="60"/>
      <c r="EFX43" s="60"/>
      <c r="EFY43" s="60"/>
      <c r="EFZ43" s="60"/>
      <c r="EGA43" s="60"/>
      <c r="EGB43" s="60"/>
      <c r="EGC43" s="60"/>
      <c r="EGD43" s="60"/>
      <c r="EGE43" s="60"/>
      <c r="EGF43" s="60"/>
      <c r="EGG43" s="60"/>
      <c r="EGH43" s="60"/>
      <c r="EGI43" s="60"/>
      <c r="EGJ43" s="60"/>
      <c r="EGK43" s="60"/>
      <c r="EGL43" s="60"/>
      <c r="EGM43" s="60"/>
      <c r="EGN43" s="60"/>
      <c r="EGO43" s="60"/>
      <c r="EGP43" s="60"/>
      <c r="EGQ43" s="60"/>
      <c r="EGR43" s="60"/>
      <c r="EGS43" s="60"/>
      <c r="EGT43" s="60"/>
      <c r="EGU43" s="60"/>
      <c r="EGV43" s="60"/>
      <c r="EGW43" s="60"/>
      <c r="EGX43" s="60"/>
      <c r="EGY43" s="60"/>
      <c r="EGZ43" s="60"/>
      <c r="EHA43" s="60"/>
      <c r="EHB43" s="60"/>
      <c r="EHC43" s="60"/>
      <c r="EHD43" s="60"/>
      <c r="EHE43" s="60"/>
      <c r="EHF43" s="60"/>
      <c r="EHG43" s="60"/>
      <c r="EHH43" s="60"/>
      <c r="EHI43" s="60"/>
      <c r="EHJ43" s="60"/>
      <c r="EHK43" s="60"/>
      <c r="EHL43" s="60"/>
      <c r="EHM43" s="60"/>
      <c r="EHN43" s="60"/>
      <c r="EHO43" s="60"/>
      <c r="EHP43" s="60"/>
      <c r="EHQ43" s="60"/>
      <c r="EHR43" s="60"/>
      <c r="EHS43" s="60"/>
      <c r="EHT43" s="60"/>
      <c r="EHU43" s="60"/>
      <c r="EHV43" s="60"/>
      <c r="EHW43" s="60"/>
      <c r="EHX43" s="60"/>
      <c r="EHY43" s="60"/>
      <c r="EHZ43" s="60"/>
      <c r="EIA43" s="60"/>
      <c r="EIB43" s="60"/>
      <c r="EIC43" s="60"/>
      <c r="EID43" s="60"/>
      <c r="EIE43" s="60"/>
      <c r="EIF43" s="60"/>
      <c r="EIG43" s="60"/>
      <c r="EIH43" s="60"/>
      <c r="EII43" s="60"/>
      <c r="EIJ43" s="60"/>
      <c r="EIK43" s="60"/>
      <c r="EIL43" s="60"/>
      <c r="EIM43" s="60"/>
      <c r="EIN43" s="60"/>
      <c r="EIO43" s="60"/>
      <c r="EIP43" s="60"/>
      <c r="EIQ43" s="60"/>
      <c r="EIR43" s="60"/>
      <c r="EIS43" s="60"/>
      <c r="EIT43" s="60"/>
      <c r="EIU43" s="60"/>
      <c r="EIV43" s="60"/>
      <c r="EIW43" s="60"/>
      <c r="EIX43" s="60"/>
      <c r="EIY43" s="60"/>
      <c r="EIZ43" s="60"/>
      <c r="EJA43" s="60"/>
      <c r="EJB43" s="60"/>
      <c r="EJC43" s="60"/>
      <c r="EJD43" s="60"/>
      <c r="EJE43" s="60"/>
      <c r="EJF43" s="60"/>
      <c r="EJG43" s="60"/>
      <c r="EJH43" s="60"/>
      <c r="EJI43" s="60"/>
      <c r="EJJ43" s="60"/>
      <c r="EJK43" s="60"/>
      <c r="EJL43" s="60"/>
      <c r="EJM43" s="60"/>
      <c r="EJN43" s="60"/>
      <c r="EJO43" s="60"/>
      <c r="EJP43" s="60"/>
      <c r="EJQ43" s="60"/>
      <c r="EJR43" s="60"/>
      <c r="EJS43" s="60"/>
      <c r="EJT43" s="60"/>
      <c r="EJU43" s="60"/>
      <c r="EJV43" s="60"/>
      <c r="EJW43" s="60"/>
      <c r="EJX43" s="60"/>
      <c r="EJY43" s="60"/>
      <c r="EJZ43" s="60"/>
      <c r="EKA43" s="60"/>
      <c r="EKB43" s="60"/>
      <c r="EKC43" s="60"/>
      <c r="EKD43" s="60"/>
      <c r="EKE43" s="60"/>
      <c r="EKF43" s="60"/>
      <c r="EKG43" s="60"/>
      <c r="EKH43" s="60"/>
      <c r="EKI43" s="60"/>
      <c r="EKJ43" s="60"/>
      <c r="EKK43" s="60"/>
      <c r="EKL43" s="60"/>
      <c r="EKM43" s="60"/>
      <c r="EKN43" s="60"/>
      <c r="EKO43" s="60"/>
      <c r="EKP43" s="60"/>
      <c r="EKQ43" s="60"/>
      <c r="EKR43" s="60"/>
      <c r="EKS43" s="60"/>
      <c r="EKT43" s="60"/>
      <c r="EKU43" s="60"/>
      <c r="EKV43" s="60"/>
      <c r="EKW43" s="60"/>
      <c r="EKX43" s="60"/>
      <c r="EKY43" s="60"/>
      <c r="EKZ43" s="60"/>
      <c r="ELA43" s="60"/>
      <c r="ELB43" s="60"/>
      <c r="ELC43" s="60"/>
      <c r="ELD43" s="60"/>
      <c r="ELE43" s="60"/>
      <c r="ELF43" s="60"/>
      <c r="ELG43" s="60"/>
      <c r="ELH43" s="60"/>
      <c r="ELI43" s="60"/>
      <c r="ELJ43" s="60"/>
      <c r="ELK43" s="60"/>
      <c r="ELL43" s="60"/>
      <c r="ELM43" s="60"/>
      <c r="ELN43" s="60"/>
      <c r="ELO43" s="60"/>
      <c r="ELP43" s="60"/>
      <c r="ELQ43" s="60"/>
      <c r="ELR43" s="60"/>
      <c r="ELS43" s="60"/>
      <c r="ELT43" s="60"/>
      <c r="ELU43" s="60"/>
      <c r="ELV43" s="60"/>
      <c r="ELW43" s="60"/>
      <c r="ELX43" s="60"/>
      <c r="ELY43" s="60"/>
      <c r="ELZ43" s="60"/>
      <c r="EMA43" s="60"/>
      <c r="EMB43" s="60"/>
      <c r="EMC43" s="60"/>
      <c r="EMD43" s="60"/>
      <c r="EME43" s="60"/>
      <c r="EMF43" s="60"/>
      <c r="EMG43" s="60"/>
      <c r="EMH43" s="60"/>
      <c r="EMI43" s="60"/>
      <c r="EMJ43" s="60"/>
      <c r="EMK43" s="60"/>
      <c r="EML43" s="60"/>
      <c r="EMM43" s="60"/>
      <c r="EMN43" s="60"/>
      <c r="EMO43" s="60"/>
      <c r="EMP43" s="60"/>
      <c r="EMQ43" s="60"/>
      <c r="EMR43" s="60"/>
      <c r="EMS43" s="60"/>
      <c r="EMT43" s="60"/>
      <c r="EMU43" s="60"/>
      <c r="EMV43" s="60"/>
      <c r="EMW43" s="60"/>
      <c r="EMX43" s="60"/>
      <c r="EMY43" s="60"/>
      <c r="EMZ43" s="60"/>
      <c r="ENA43" s="60"/>
      <c r="ENB43" s="60"/>
      <c r="ENC43" s="60"/>
      <c r="END43" s="60"/>
      <c r="ENE43" s="60"/>
      <c r="ENF43" s="60"/>
      <c r="ENG43" s="60"/>
      <c r="ENH43" s="60"/>
      <c r="ENI43" s="60"/>
      <c r="ENJ43" s="60"/>
      <c r="ENK43" s="60"/>
      <c r="ENL43" s="60"/>
      <c r="ENM43" s="60"/>
      <c r="ENN43" s="60"/>
      <c r="ENO43" s="60"/>
      <c r="ENP43" s="60"/>
      <c r="ENQ43" s="60"/>
      <c r="ENR43" s="60"/>
      <c r="ENS43" s="60"/>
      <c r="ENT43" s="60"/>
      <c r="ENU43" s="60"/>
      <c r="ENV43" s="60"/>
      <c r="ENW43" s="60"/>
      <c r="ENX43" s="60"/>
      <c r="ENY43" s="60"/>
      <c r="ENZ43" s="60"/>
      <c r="EOA43" s="60"/>
      <c r="EOB43" s="60"/>
      <c r="EOC43" s="60"/>
      <c r="EOD43" s="60"/>
      <c r="EOE43" s="60"/>
      <c r="EOF43" s="60"/>
      <c r="EOG43" s="60"/>
      <c r="EOH43" s="60"/>
      <c r="EOI43" s="60"/>
      <c r="EOJ43" s="60"/>
      <c r="EOK43" s="60"/>
      <c r="EOL43" s="60"/>
      <c r="EOM43" s="60"/>
      <c r="EON43" s="60"/>
      <c r="EOO43" s="60"/>
      <c r="EOP43" s="60"/>
      <c r="EOQ43" s="60"/>
      <c r="EOR43" s="60"/>
      <c r="EOS43" s="60"/>
      <c r="EOT43" s="60"/>
      <c r="EOU43" s="60"/>
      <c r="EOV43" s="60"/>
      <c r="EOW43" s="60"/>
      <c r="EOX43" s="60"/>
      <c r="EOY43" s="60"/>
      <c r="EOZ43" s="60"/>
      <c r="EPA43" s="60"/>
      <c r="EPB43" s="60"/>
      <c r="EPC43" s="60"/>
      <c r="EPD43" s="60"/>
      <c r="EPE43" s="60"/>
      <c r="EPF43" s="60"/>
      <c r="EPG43" s="60"/>
      <c r="EPH43" s="60"/>
      <c r="EPI43" s="60"/>
      <c r="EPJ43" s="60"/>
      <c r="EPK43" s="60"/>
      <c r="EPL43" s="60"/>
      <c r="EPM43" s="60"/>
      <c r="EPN43" s="60"/>
      <c r="EPO43" s="60"/>
      <c r="EPP43" s="60"/>
      <c r="EPQ43" s="60"/>
      <c r="EPR43" s="60"/>
      <c r="EPS43" s="60"/>
      <c r="EPT43" s="60"/>
      <c r="EPU43" s="60"/>
      <c r="EPV43" s="60"/>
      <c r="EPW43" s="60"/>
      <c r="EPX43" s="60"/>
      <c r="EPY43" s="60"/>
      <c r="EPZ43" s="60"/>
      <c r="EQA43" s="60"/>
      <c r="EQB43" s="60"/>
      <c r="EQC43" s="60"/>
      <c r="EQD43" s="60"/>
      <c r="EQE43" s="60"/>
      <c r="EQF43" s="60"/>
      <c r="EQG43" s="60"/>
      <c r="EQH43" s="60"/>
      <c r="EQI43" s="60"/>
      <c r="EQJ43" s="60"/>
      <c r="EQK43" s="60"/>
      <c r="EQL43" s="60"/>
      <c r="EQM43" s="60"/>
      <c r="EQN43" s="60"/>
      <c r="EQO43" s="60"/>
      <c r="EQP43" s="60"/>
      <c r="EQQ43" s="60"/>
      <c r="EQR43" s="60"/>
      <c r="EQS43" s="60"/>
      <c r="EQT43" s="60"/>
      <c r="EQU43" s="60"/>
      <c r="EQV43" s="60"/>
      <c r="EQW43" s="60"/>
      <c r="EQX43" s="60"/>
      <c r="EQY43" s="60"/>
      <c r="EQZ43" s="60"/>
      <c r="ERA43" s="60"/>
      <c r="ERB43" s="60"/>
      <c r="ERC43" s="60"/>
      <c r="ERD43" s="60"/>
      <c r="ERE43" s="60"/>
      <c r="ERF43" s="60"/>
      <c r="ERG43" s="60"/>
      <c r="ERH43" s="60"/>
      <c r="ERI43" s="60"/>
      <c r="ERJ43" s="60"/>
      <c r="ERK43" s="60"/>
      <c r="ERL43" s="60"/>
      <c r="ERM43" s="60"/>
      <c r="ERN43" s="60"/>
      <c r="ERO43" s="60"/>
      <c r="ERP43" s="60"/>
      <c r="ERQ43" s="60"/>
      <c r="ERR43" s="60"/>
      <c r="ERS43" s="60"/>
      <c r="ERT43" s="60"/>
      <c r="ERU43" s="60"/>
      <c r="ERV43" s="60"/>
      <c r="ERW43" s="60"/>
      <c r="ERX43" s="60"/>
      <c r="ERY43" s="60"/>
      <c r="ERZ43" s="60"/>
      <c r="ESA43" s="60"/>
      <c r="ESB43" s="60"/>
      <c r="ESC43" s="60"/>
      <c r="ESD43" s="60"/>
      <c r="ESE43" s="60"/>
      <c r="ESF43" s="60"/>
      <c r="ESG43" s="60"/>
      <c r="ESH43" s="60"/>
      <c r="ESI43" s="60"/>
      <c r="ESJ43" s="60"/>
      <c r="ESK43" s="60"/>
      <c r="ESL43" s="60"/>
      <c r="ESM43" s="60"/>
      <c r="ESN43" s="60"/>
      <c r="ESO43" s="60"/>
      <c r="ESP43" s="60"/>
      <c r="ESQ43" s="60"/>
      <c r="ESR43" s="60"/>
      <c r="ESS43" s="60"/>
      <c r="EST43" s="60"/>
      <c r="ESU43" s="60"/>
      <c r="ESV43" s="60"/>
      <c r="ESW43" s="60"/>
      <c r="ESX43" s="60"/>
      <c r="ESY43" s="60"/>
      <c r="ESZ43" s="60"/>
      <c r="ETA43" s="60"/>
      <c r="ETB43" s="60"/>
      <c r="ETC43" s="60"/>
      <c r="ETD43" s="60"/>
      <c r="ETE43" s="60"/>
      <c r="ETF43" s="60"/>
      <c r="ETG43" s="60"/>
      <c r="ETH43" s="60"/>
      <c r="ETI43" s="60"/>
      <c r="ETJ43" s="60"/>
      <c r="ETK43" s="60"/>
      <c r="ETL43" s="60"/>
      <c r="ETM43" s="60"/>
      <c r="ETN43" s="60"/>
      <c r="ETO43" s="60"/>
      <c r="ETP43" s="60"/>
      <c r="ETQ43" s="60"/>
      <c r="ETR43" s="60"/>
      <c r="ETS43" s="60"/>
      <c r="ETT43" s="60"/>
      <c r="ETU43" s="60"/>
      <c r="ETV43" s="60"/>
      <c r="ETW43" s="60"/>
      <c r="ETX43" s="60"/>
      <c r="ETY43" s="60"/>
      <c r="ETZ43" s="60"/>
      <c r="EUA43" s="60"/>
      <c r="EUB43" s="60"/>
      <c r="EUC43" s="60"/>
      <c r="EUD43" s="60"/>
      <c r="EUE43" s="60"/>
      <c r="EUF43" s="60"/>
      <c r="EUG43" s="60"/>
      <c r="EUH43" s="60"/>
      <c r="EUI43" s="60"/>
      <c r="EUJ43" s="60"/>
      <c r="EUK43" s="60"/>
      <c r="EUL43" s="60"/>
      <c r="EUM43" s="60"/>
      <c r="EUN43" s="60"/>
      <c r="EUO43" s="60"/>
      <c r="EUP43" s="60"/>
      <c r="EUQ43" s="60"/>
      <c r="EUR43" s="60"/>
      <c r="EUS43" s="60"/>
      <c r="EUT43" s="60"/>
      <c r="EUU43" s="60"/>
      <c r="EUV43" s="60"/>
      <c r="EUW43" s="60"/>
      <c r="EUX43" s="60"/>
      <c r="EUY43" s="60"/>
      <c r="EUZ43" s="60"/>
      <c r="EVA43" s="60"/>
      <c r="EVB43" s="60"/>
      <c r="EVC43" s="60"/>
      <c r="EVD43" s="60"/>
      <c r="EVE43" s="60"/>
      <c r="EVF43" s="60"/>
      <c r="EVG43" s="60"/>
      <c r="EVH43" s="60"/>
      <c r="EVI43" s="60"/>
      <c r="EVJ43" s="60"/>
      <c r="EVK43" s="60"/>
      <c r="EVL43" s="60"/>
      <c r="EVM43" s="60"/>
      <c r="EVN43" s="60"/>
      <c r="EVO43" s="60"/>
      <c r="EVP43" s="60"/>
      <c r="EVQ43" s="60"/>
      <c r="EVR43" s="60"/>
      <c r="EVS43" s="60"/>
      <c r="EVT43" s="60"/>
      <c r="EVU43" s="60"/>
      <c r="EVV43" s="60"/>
      <c r="EVW43" s="60"/>
      <c r="EVX43" s="60"/>
      <c r="EVY43" s="60"/>
      <c r="EVZ43" s="60"/>
      <c r="EWA43" s="60"/>
      <c r="EWB43" s="60"/>
      <c r="EWC43" s="60"/>
      <c r="EWD43" s="60"/>
      <c r="EWE43" s="60"/>
      <c r="EWF43" s="60"/>
      <c r="EWG43" s="60"/>
      <c r="EWH43" s="60"/>
      <c r="EWI43" s="60"/>
      <c r="EWJ43" s="60"/>
      <c r="EWK43" s="60"/>
      <c r="EWL43" s="60"/>
      <c r="EWM43" s="60"/>
      <c r="EWN43" s="60"/>
      <c r="EWO43" s="60"/>
      <c r="EWP43" s="60"/>
      <c r="EWQ43" s="60"/>
      <c r="EWR43" s="60"/>
      <c r="EWS43" s="60"/>
      <c r="EWT43" s="60"/>
      <c r="EWU43" s="60"/>
      <c r="EWV43" s="60"/>
      <c r="EWW43" s="60"/>
      <c r="EWX43" s="60"/>
      <c r="EWY43" s="60"/>
      <c r="EWZ43" s="60"/>
      <c r="EXA43" s="60"/>
      <c r="EXB43" s="60"/>
      <c r="EXC43" s="60"/>
      <c r="EXD43" s="60"/>
      <c r="EXE43" s="60"/>
      <c r="EXF43" s="60"/>
      <c r="EXG43" s="60"/>
      <c r="EXH43" s="60"/>
      <c r="EXI43" s="60"/>
      <c r="EXJ43" s="60"/>
      <c r="EXK43" s="60"/>
      <c r="EXL43" s="60"/>
      <c r="EXM43" s="60"/>
      <c r="EXN43" s="60"/>
      <c r="EXO43" s="60"/>
      <c r="EXP43" s="60"/>
      <c r="EXQ43" s="60"/>
      <c r="EXR43" s="60"/>
      <c r="EXS43" s="60"/>
      <c r="EXT43" s="60"/>
      <c r="EXU43" s="60"/>
      <c r="EXV43" s="60"/>
      <c r="EXW43" s="60"/>
      <c r="EXX43" s="60"/>
      <c r="EXY43" s="60"/>
      <c r="EXZ43" s="60"/>
      <c r="EYA43" s="60"/>
      <c r="EYB43" s="60"/>
      <c r="EYC43" s="60"/>
      <c r="EYD43" s="60"/>
      <c r="EYE43" s="60"/>
      <c r="EYF43" s="60"/>
      <c r="EYG43" s="60"/>
      <c r="EYH43" s="60"/>
      <c r="EYI43" s="60"/>
      <c r="EYJ43" s="60"/>
      <c r="EYK43" s="60"/>
      <c r="EYL43" s="60"/>
      <c r="EYM43" s="60"/>
      <c r="EYN43" s="60"/>
      <c r="EYO43" s="60"/>
      <c r="EYP43" s="60"/>
      <c r="EYQ43" s="60"/>
      <c r="EYR43" s="60"/>
      <c r="EYS43" s="60"/>
      <c r="EYT43" s="60"/>
      <c r="EYU43" s="60"/>
      <c r="EYV43" s="60"/>
      <c r="EYW43" s="60"/>
      <c r="EYX43" s="60"/>
      <c r="EYY43" s="60"/>
      <c r="EYZ43" s="60"/>
      <c r="EZA43" s="60"/>
      <c r="EZB43" s="60"/>
      <c r="EZC43" s="60"/>
      <c r="EZD43" s="60"/>
      <c r="EZE43" s="60"/>
      <c r="EZF43" s="60"/>
      <c r="EZG43" s="60"/>
      <c r="EZH43" s="60"/>
      <c r="EZI43" s="60"/>
      <c r="EZJ43" s="60"/>
      <c r="EZK43" s="60"/>
      <c r="EZL43" s="60"/>
      <c r="EZM43" s="60"/>
      <c r="EZN43" s="60"/>
      <c r="EZO43" s="60"/>
      <c r="EZP43" s="60"/>
      <c r="EZQ43" s="60"/>
      <c r="EZR43" s="60"/>
      <c r="EZS43" s="60"/>
      <c r="EZT43" s="60"/>
      <c r="EZU43" s="60"/>
      <c r="EZV43" s="60"/>
      <c r="EZW43" s="60"/>
      <c r="EZX43" s="60"/>
      <c r="EZY43" s="60"/>
      <c r="EZZ43" s="60"/>
      <c r="FAA43" s="60"/>
      <c r="FAB43" s="60"/>
      <c r="FAC43" s="60"/>
      <c r="FAD43" s="60"/>
      <c r="FAE43" s="60"/>
      <c r="FAF43" s="60"/>
      <c r="FAG43" s="60"/>
      <c r="FAH43" s="60"/>
      <c r="FAI43" s="60"/>
      <c r="FAJ43" s="60"/>
      <c r="FAK43" s="60"/>
      <c r="FAL43" s="60"/>
      <c r="FAM43" s="60"/>
      <c r="FAN43" s="60"/>
      <c r="FAO43" s="60"/>
      <c r="FAP43" s="60"/>
      <c r="FAQ43" s="60"/>
      <c r="FAR43" s="60"/>
      <c r="FAS43" s="60"/>
      <c r="FAT43" s="60"/>
      <c r="FAU43" s="60"/>
      <c r="FAV43" s="60"/>
      <c r="FAW43" s="60"/>
      <c r="FAX43" s="60"/>
      <c r="FAY43" s="60"/>
      <c r="FAZ43" s="60"/>
      <c r="FBA43" s="60"/>
      <c r="FBB43" s="60"/>
      <c r="FBC43" s="60"/>
      <c r="FBD43" s="60"/>
      <c r="FBE43" s="60"/>
      <c r="FBF43" s="60"/>
      <c r="FBG43" s="60"/>
      <c r="FBH43" s="60"/>
      <c r="FBI43" s="60"/>
      <c r="FBJ43" s="60"/>
      <c r="FBK43" s="60"/>
      <c r="FBL43" s="60"/>
      <c r="FBM43" s="60"/>
      <c r="FBN43" s="60"/>
      <c r="FBO43" s="60"/>
      <c r="FBP43" s="60"/>
      <c r="FBQ43" s="60"/>
      <c r="FBR43" s="60"/>
      <c r="FBS43" s="60"/>
      <c r="FBT43" s="60"/>
      <c r="FBU43" s="60"/>
      <c r="FBV43" s="60"/>
      <c r="FBW43" s="60"/>
      <c r="FBX43" s="60"/>
      <c r="FBY43" s="60"/>
      <c r="FBZ43" s="60"/>
      <c r="FCA43" s="60"/>
      <c r="FCB43" s="60"/>
      <c r="FCC43" s="60"/>
      <c r="FCD43" s="60"/>
      <c r="FCE43" s="60"/>
      <c r="FCF43" s="60"/>
      <c r="FCG43" s="60"/>
      <c r="FCH43" s="60"/>
      <c r="FCI43" s="60"/>
      <c r="FCJ43" s="60"/>
      <c r="FCK43" s="60"/>
      <c r="FCL43" s="60"/>
      <c r="FCM43" s="60"/>
      <c r="FCN43" s="60"/>
      <c r="FCO43" s="60"/>
      <c r="FCP43" s="60"/>
      <c r="FCQ43" s="60"/>
      <c r="FCR43" s="60"/>
      <c r="FCS43" s="60"/>
      <c r="FCT43" s="60"/>
      <c r="FCU43" s="60"/>
      <c r="FCV43" s="60"/>
      <c r="FCW43" s="60"/>
      <c r="FCX43" s="60"/>
      <c r="FCY43" s="60"/>
      <c r="FCZ43" s="60"/>
      <c r="FDA43" s="60"/>
      <c r="FDB43" s="60"/>
      <c r="FDC43" s="60"/>
      <c r="FDD43" s="60"/>
      <c r="FDE43" s="60"/>
      <c r="FDF43" s="60"/>
      <c r="FDG43" s="60"/>
      <c r="FDH43" s="60"/>
      <c r="FDI43" s="60"/>
      <c r="FDJ43" s="60"/>
      <c r="FDK43" s="60"/>
      <c r="FDL43" s="60"/>
      <c r="FDM43" s="60"/>
      <c r="FDN43" s="60"/>
      <c r="FDO43" s="60"/>
      <c r="FDP43" s="60"/>
      <c r="FDQ43" s="60"/>
      <c r="FDR43" s="60"/>
      <c r="FDS43" s="60"/>
      <c r="FDT43" s="60"/>
      <c r="FDU43" s="60"/>
      <c r="FDV43" s="60"/>
      <c r="FDW43" s="60"/>
      <c r="FDX43" s="60"/>
      <c r="FDY43" s="60"/>
      <c r="FDZ43" s="60"/>
      <c r="FEA43" s="60"/>
      <c r="FEB43" s="60"/>
      <c r="FEC43" s="60"/>
      <c r="FED43" s="60"/>
      <c r="FEE43" s="60"/>
      <c r="FEF43" s="60"/>
      <c r="FEG43" s="60"/>
      <c r="FEH43" s="60"/>
      <c r="FEI43" s="60"/>
      <c r="FEJ43" s="60"/>
      <c r="FEK43" s="60"/>
      <c r="FEL43" s="60"/>
      <c r="FEM43" s="60"/>
      <c r="FEN43" s="60"/>
      <c r="FEO43" s="60"/>
      <c r="FEP43" s="60"/>
      <c r="FEQ43" s="60"/>
      <c r="FER43" s="60"/>
      <c r="FES43" s="60"/>
      <c r="FET43" s="60"/>
      <c r="FEU43" s="60"/>
      <c r="FEV43" s="60"/>
      <c r="FEW43" s="60"/>
      <c r="FEX43" s="60"/>
      <c r="FEY43" s="60"/>
      <c r="FEZ43" s="60"/>
      <c r="FFA43" s="60"/>
      <c r="FFB43" s="60"/>
      <c r="FFC43" s="60"/>
      <c r="FFD43" s="60"/>
      <c r="FFE43" s="60"/>
      <c r="FFF43" s="60"/>
      <c r="FFG43" s="60"/>
      <c r="FFH43" s="60"/>
      <c r="FFI43" s="60"/>
      <c r="FFJ43" s="60"/>
      <c r="FFK43" s="60"/>
      <c r="FFL43" s="60"/>
      <c r="FFM43" s="60"/>
      <c r="FFN43" s="60"/>
      <c r="FFO43" s="60"/>
      <c r="FFP43" s="60"/>
      <c r="FFQ43" s="60"/>
      <c r="FFR43" s="60"/>
      <c r="FFS43" s="60"/>
      <c r="FFT43" s="60"/>
      <c r="FFU43" s="60"/>
      <c r="FFV43" s="60"/>
      <c r="FFW43" s="60"/>
      <c r="FFX43" s="60"/>
      <c r="FFY43" s="60"/>
      <c r="FFZ43" s="60"/>
      <c r="FGA43" s="60"/>
      <c r="FGB43" s="60"/>
      <c r="FGC43" s="60"/>
      <c r="FGD43" s="60"/>
      <c r="FGE43" s="60"/>
      <c r="FGF43" s="60"/>
      <c r="FGG43" s="60"/>
      <c r="FGH43" s="60"/>
      <c r="FGI43" s="60"/>
      <c r="FGJ43" s="60"/>
      <c r="FGK43" s="60"/>
      <c r="FGL43" s="60"/>
      <c r="FGM43" s="60"/>
      <c r="FGN43" s="60"/>
      <c r="FGO43" s="60"/>
      <c r="FGP43" s="60"/>
      <c r="FGQ43" s="60"/>
      <c r="FGR43" s="60"/>
      <c r="FGS43" s="60"/>
      <c r="FGT43" s="60"/>
      <c r="FGU43" s="60"/>
      <c r="FGV43" s="60"/>
      <c r="FGW43" s="60"/>
      <c r="FGX43" s="60"/>
      <c r="FGY43" s="60"/>
      <c r="FGZ43" s="60"/>
      <c r="FHA43" s="60"/>
      <c r="FHB43" s="60"/>
      <c r="FHC43" s="60"/>
      <c r="FHD43" s="60"/>
      <c r="FHE43" s="60"/>
      <c r="FHF43" s="60"/>
      <c r="FHG43" s="60"/>
      <c r="FHH43" s="60"/>
      <c r="FHI43" s="60"/>
      <c r="FHJ43" s="60"/>
      <c r="FHK43" s="60"/>
      <c r="FHL43" s="60"/>
      <c r="FHM43" s="60"/>
      <c r="FHN43" s="60"/>
      <c r="FHO43" s="60"/>
      <c r="FHP43" s="60"/>
      <c r="FHQ43" s="60"/>
      <c r="FHR43" s="60"/>
      <c r="FHS43" s="60"/>
      <c r="FHT43" s="60"/>
      <c r="FHU43" s="60"/>
      <c r="FHV43" s="60"/>
      <c r="FHW43" s="60"/>
      <c r="FHX43" s="60"/>
      <c r="FHY43" s="60"/>
      <c r="FHZ43" s="60"/>
      <c r="FIA43" s="60"/>
      <c r="FIB43" s="60"/>
      <c r="FIC43" s="60"/>
      <c r="FID43" s="60"/>
      <c r="FIE43" s="60"/>
      <c r="FIF43" s="60"/>
      <c r="FIG43" s="60"/>
      <c r="FIH43" s="60"/>
      <c r="FII43" s="60"/>
      <c r="FIJ43" s="60"/>
      <c r="FIK43" s="60"/>
      <c r="FIL43" s="60"/>
      <c r="FIM43" s="60"/>
      <c r="FIN43" s="60"/>
      <c r="FIO43" s="60"/>
      <c r="FIP43" s="60"/>
      <c r="FIQ43" s="60"/>
      <c r="FIR43" s="60"/>
      <c r="FIS43" s="60"/>
      <c r="FIT43" s="60"/>
      <c r="FIU43" s="60"/>
      <c r="FIV43" s="60"/>
      <c r="FIW43" s="60"/>
      <c r="FIX43" s="60"/>
      <c r="FIY43" s="60"/>
      <c r="FIZ43" s="60"/>
      <c r="FJA43" s="60"/>
      <c r="FJB43" s="60"/>
      <c r="FJC43" s="60"/>
      <c r="FJD43" s="60"/>
      <c r="FJE43" s="60"/>
      <c r="FJF43" s="60"/>
      <c r="FJG43" s="60"/>
      <c r="FJH43" s="60"/>
      <c r="FJI43" s="60"/>
      <c r="FJJ43" s="60"/>
      <c r="FJK43" s="60"/>
      <c r="FJL43" s="60"/>
      <c r="FJM43" s="60"/>
      <c r="FJN43" s="60"/>
      <c r="FJO43" s="60"/>
      <c r="FJP43" s="60"/>
      <c r="FJQ43" s="60"/>
      <c r="FJR43" s="60"/>
      <c r="FJS43" s="60"/>
      <c r="FJT43" s="60"/>
      <c r="FJU43" s="60"/>
      <c r="FJV43" s="60"/>
      <c r="FJW43" s="60"/>
      <c r="FJX43" s="60"/>
      <c r="FJY43" s="60"/>
      <c r="FJZ43" s="60"/>
      <c r="FKA43" s="60"/>
      <c r="FKB43" s="60"/>
      <c r="FKC43" s="60"/>
      <c r="FKD43" s="60"/>
      <c r="FKE43" s="60"/>
      <c r="FKF43" s="60"/>
      <c r="FKG43" s="60"/>
      <c r="FKH43" s="60"/>
      <c r="FKI43" s="60"/>
      <c r="FKJ43" s="60"/>
      <c r="FKK43" s="60"/>
      <c r="FKL43" s="60"/>
      <c r="FKM43" s="60"/>
      <c r="FKN43" s="60"/>
      <c r="FKO43" s="60"/>
      <c r="FKP43" s="60"/>
      <c r="FKQ43" s="60"/>
      <c r="FKR43" s="60"/>
      <c r="FKS43" s="60"/>
      <c r="FKT43" s="60"/>
      <c r="FKU43" s="60"/>
      <c r="FKV43" s="60"/>
      <c r="FKW43" s="60"/>
      <c r="FKX43" s="60"/>
      <c r="FKY43" s="60"/>
      <c r="FKZ43" s="60"/>
      <c r="FLA43" s="60"/>
      <c r="FLB43" s="60"/>
      <c r="FLC43" s="60"/>
      <c r="FLD43" s="60"/>
      <c r="FLE43" s="60"/>
      <c r="FLF43" s="60"/>
      <c r="FLG43" s="60"/>
      <c r="FLH43" s="60"/>
      <c r="FLI43" s="60"/>
      <c r="FLJ43" s="60"/>
      <c r="FLK43" s="60"/>
      <c r="FLL43" s="60"/>
      <c r="FLM43" s="60"/>
      <c r="FLN43" s="60"/>
      <c r="FLO43" s="60"/>
      <c r="FLP43" s="60"/>
      <c r="FLQ43" s="60"/>
      <c r="FLR43" s="60"/>
      <c r="FLS43" s="60"/>
      <c r="FLT43" s="60"/>
      <c r="FLU43" s="60"/>
      <c r="FLV43" s="60"/>
      <c r="FLW43" s="60"/>
      <c r="FLX43" s="60"/>
      <c r="FLY43" s="60"/>
      <c r="FLZ43" s="60"/>
      <c r="FMA43" s="60"/>
      <c r="FMB43" s="60"/>
      <c r="FMC43" s="60"/>
      <c r="FMD43" s="60"/>
      <c r="FME43" s="60"/>
      <c r="FMF43" s="60"/>
      <c r="FMG43" s="60"/>
      <c r="FMH43" s="60"/>
      <c r="FMI43" s="60"/>
      <c r="FMJ43" s="60"/>
      <c r="FMK43" s="60"/>
      <c r="FML43" s="60"/>
      <c r="FMM43" s="60"/>
      <c r="FMN43" s="60"/>
      <c r="FMO43" s="60"/>
      <c r="FMP43" s="60"/>
      <c r="FMQ43" s="60"/>
      <c r="FMR43" s="60"/>
      <c r="FMS43" s="60"/>
      <c r="FMT43" s="60"/>
      <c r="FMU43" s="60"/>
      <c r="FMV43" s="60"/>
      <c r="FMW43" s="60"/>
      <c r="FMX43" s="60"/>
      <c r="FMY43" s="60"/>
      <c r="FMZ43" s="60"/>
      <c r="FNA43" s="60"/>
      <c r="FNB43" s="60"/>
      <c r="FNC43" s="60"/>
      <c r="FND43" s="60"/>
      <c r="FNE43" s="60"/>
      <c r="FNF43" s="60"/>
      <c r="FNG43" s="60"/>
      <c r="FNH43" s="60"/>
      <c r="FNI43" s="60"/>
      <c r="FNJ43" s="60"/>
      <c r="FNK43" s="60"/>
      <c r="FNL43" s="60"/>
      <c r="FNM43" s="60"/>
      <c r="FNN43" s="60"/>
      <c r="FNO43" s="60"/>
      <c r="FNP43" s="60"/>
      <c r="FNQ43" s="60"/>
      <c r="FNR43" s="60"/>
      <c r="FNS43" s="60"/>
      <c r="FNT43" s="60"/>
      <c r="FNU43" s="60"/>
      <c r="FNV43" s="60"/>
      <c r="FNW43" s="60"/>
      <c r="FNX43" s="60"/>
      <c r="FNY43" s="60"/>
      <c r="FNZ43" s="60"/>
      <c r="FOA43" s="60"/>
      <c r="FOB43" s="60"/>
      <c r="FOC43" s="60"/>
      <c r="FOD43" s="60"/>
      <c r="FOE43" s="60"/>
      <c r="FOF43" s="60"/>
      <c r="FOG43" s="60"/>
      <c r="FOH43" s="60"/>
      <c r="FOI43" s="60"/>
      <c r="FOJ43" s="60"/>
      <c r="FOK43" s="60"/>
      <c r="FOL43" s="60"/>
      <c r="FOM43" s="60"/>
      <c r="FON43" s="60"/>
      <c r="FOO43" s="60"/>
      <c r="FOP43" s="60"/>
      <c r="FOQ43" s="60"/>
      <c r="FOR43" s="60"/>
      <c r="FOS43" s="60"/>
      <c r="FOT43" s="60"/>
      <c r="FOU43" s="60"/>
      <c r="FOV43" s="60"/>
      <c r="FOW43" s="60"/>
      <c r="FOX43" s="60"/>
      <c r="FOY43" s="60"/>
      <c r="FOZ43" s="60"/>
      <c r="FPA43" s="60"/>
      <c r="FPB43" s="60"/>
      <c r="FPC43" s="60"/>
      <c r="FPD43" s="60"/>
      <c r="FPE43" s="60"/>
      <c r="FPF43" s="60"/>
      <c r="FPG43" s="60"/>
      <c r="FPH43" s="60"/>
      <c r="FPI43" s="60"/>
      <c r="FPJ43" s="60"/>
      <c r="FPK43" s="60"/>
      <c r="FPL43" s="60"/>
      <c r="FPM43" s="60"/>
      <c r="FPN43" s="60"/>
      <c r="FPO43" s="60"/>
      <c r="FPP43" s="60"/>
      <c r="FPQ43" s="60"/>
      <c r="FPR43" s="60"/>
      <c r="FPS43" s="60"/>
      <c r="FPT43" s="60"/>
      <c r="FPU43" s="60"/>
      <c r="FPV43" s="60"/>
      <c r="FPW43" s="60"/>
      <c r="FPX43" s="60"/>
      <c r="FPY43" s="60"/>
      <c r="FPZ43" s="60"/>
      <c r="FQA43" s="60"/>
      <c r="FQB43" s="60"/>
      <c r="FQC43" s="60"/>
      <c r="FQD43" s="60"/>
      <c r="FQE43" s="60"/>
      <c r="FQF43" s="60"/>
      <c r="FQG43" s="60"/>
      <c r="FQH43" s="60"/>
      <c r="FQI43" s="60"/>
      <c r="FQJ43" s="60"/>
      <c r="FQK43" s="60"/>
      <c r="FQL43" s="60"/>
      <c r="FQM43" s="60"/>
      <c r="FQN43" s="60"/>
      <c r="FQO43" s="60"/>
      <c r="FQP43" s="60"/>
      <c r="FQQ43" s="60"/>
      <c r="FQR43" s="60"/>
      <c r="FQS43" s="60"/>
      <c r="FQT43" s="60"/>
      <c r="FQU43" s="60"/>
      <c r="FQV43" s="60"/>
      <c r="FQW43" s="60"/>
      <c r="FQX43" s="60"/>
      <c r="FQY43" s="60"/>
      <c r="FQZ43" s="60"/>
      <c r="FRA43" s="60"/>
      <c r="FRB43" s="60"/>
      <c r="FRC43" s="60"/>
      <c r="FRD43" s="60"/>
      <c r="FRE43" s="60"/>
      <c r="FRF43" s="60"/>
      <c r="FRG43" s="60"/>
      <c r="FRH43" s="60"/>
      <c r="FRI43" s="60"/>
      <c r="FRJ43" s="60"/>
      <c r="FRK43" s="60"/>
      <c r="FRL43" s="60"/>
      <c r="FRM43" s="60"/>
      <c r="FRN43" s="60"/>
      <c r="FRO43" s="60"/>
      <c r="FRP43" s="60"/>
      <c r="FRQ43" s="60"/>
      <c r="FRR43" s="60"/>
      <c r="FRS43" s="60"/>
      <c r="FRT43" s="60"/>
      <c r="FRU43" s="60"/>
      <c r="FRV43" s="60"/>
      <c r="FRW43" s="60"/>
      <c r="FRX43" s="60"/>
      <c r="FRY43" s="60"/>
      <c r="FRZ43" s="60"/>
      <c r="FSA43" s="60"/>
      <c r="FSB43" s="60"/>
      <c r="FSC43" s="60"/>
      <c r="FSD43" s="60"/>
      <c r="FSE43" s="60"/>
      <c r="FSF43" s="60"/>
      <c r="FSG43" s="60"/>
      <c r="FSH43" s="60"/>
      <c r="FSI43" s="60"/>
      <c r="FSJ43" s="60"/>
      <c r="FSK43" s="60"/>
      <c r="FSL43" s="60"/>
      <c r="FSM43" s="60"/>
      <c r="FSN43" s="60"/>
      <c r="FSO43" s="60"/>
      <c r="FSP43" s="60"/>
      <c r="FSQ43" s="60"/>
      <c r="FSR43" s="60"/>
      <c r="FSS43" s="60"/>
      <c r="FST43" s="60"/>
      <c r="FSU43" s="60"/>
      <c r="FSV43" s="60"/>
      <c r="FSW43" s="60"/>
      <c r="FSX43" s="60"/>
      <c r="FSY43" s="60"/>
      <c r="FSZ43" s="60"/>
      <c r="FTA43" s="60"/>
      <c r="FTB43" s="60"/>
      <c r="FTC43" s="60"/>
      <c r="FTD43" s="60"/>
      <c r="FTE43" s="60"/>
      <c r="FTF43" s="60"/>
      <c r="FTG43" s="60"/>
      <c r="FTH43" s="60"/>
      <c r="FTI43" s="60"/>
      <c r="FTJ43" s="60"/>
      <c r="FTK43" s="60"/>
      <c r="FTL43" s="60"/>
      <c r="FTM43" s="60"/>
      <c r="FTN43" s="60"/>
      <c r="FTO43" s="60"/>
      <c r="FTP43" s="60"/>
      <c r="FTQ43" s="60"/>
      <c r="FTR43" s="60"/>
      <c r="FTS43" s="60"/>
      <c r="FTT43" s="60"/>
      <c r="FTU43" s="60"/>
      <c r="FTV43" s="60"/>
      <c r="FTW43" s="60"/>
      <c r="FTX43" s="60"/>
      <c r="FTY43" s="60"/>
      <c r="FTZ43" s="60"/>
      <c r="FUA43" s="60"/>
      <c r="FUB43" s="60"/>
      <c r="FUC43" s="60"/>
      <c r="FUD43" s="60"/>
      <c r="FUE43" s="60"/>
      <c r="FUF43" s="60"/>
      <c r="FUG43" s="60"/>
      <c r="FUH43" s="60"/>
      <c r="FUI43" s="60"/>
      <c r="FUJ43" s="60"/>
      <c r="FUK43" s="60"/>
      <c r="FUL43" s="60"/>
      <c r="FUM43" s="60"/>
      <c r="FUN43" s="60"/>
      <c r="FUO43" s="60"/>
      <c r="FUP43" s="60"/>
      <c r="FUQ43" s="60"/>
      <c r="FUR43" s="60"/>
      <c r="FUS43" s="60"/>
      <c r="FUT43" s="60"/>
      <c r="FUU43" s="60"/>
      <c r="FUV43" s="60"/>
      <c r="FUW43" s="60"/>
      <c r="FUX43" s="60"/>
      <c r="FUY43" s="60"/>
      <c r="FUZ43" s="60"/>
      <c r="FVA43" s="60"/>
      <c r="FVB43" s="60"/>
      <c r="FVC43" s="60"/>
      <c r="FVD43" s="60"/>
      <c r="FVE43" s="60"/>
      <c r="FVF43" s="60"/>
      <c r="FVG43" s="60"/>
      <c r="FVH43" s="60"/>
      <c r="FVI43" s="60"/>
      <c r="FVJ43" s="60"/>
      <c r="FVK43" s="60"/>
      <c r="FVL43" s="60"/>
      <c r="FVM43" s="60"/>
      <c r="FVN43" s="60"/>
      <c r="FVO43" s="60"/>
      <c r="FVP43" s="60"/>
      <c r="FVQ43" s="60"/>
      <c r="FVR43" s="60"/>
      <c r="FVS43" s="60"/>
      <c r="FVT43" s="60"/>
      <c r="FVU43" s="60"/>
      <c r="FVV43" s="60"/>
      <c r="FVW43" s="60"/>
      <c r="FVX43" s="60"/>
      <c r="FVY43" s="60"/>
      <c r="FVZ43" s="60"/>
      <c r="FWA43" s="60"/>
      <c r="FWB43" s="60"/>
      <c r="FWC43" s="60"/>
      <c r="FWD43" s="60"/>
      <c r="FWE43" s="60"/>
      <c r="FWF43" s="60"/>
      <c r="FWG43" s="60"/>
      <c r="FWH43" s="60"/>
      <c r="FWI43" s="60"/>
      <c r="FWJ43" s="60"/>
      <c r="FWK43" s="60"/>
      <c r="FWL43" s="60"/>
      <c r="FWM43" s="60"/>
      <c r="FWN43" s="60"/>
      <c r="FWO43" s="60"/>
      <c r="FWP43" s="60"/>
      <c r="FWQ43" s="60"/>
      <c r="FWR43" s="60"/>
      <c r="FWS43" s="60"/>
      <c r="FWT43" s="60"/>
      <c r="FWU43" s="60"/>
      <c r="FWV43" s="60"/>
      <c r="FWW43" s="60"/>
      <c r="FWX43" s="60"/>
      <c r="FWY43" s="60"/>
      <c r="FWZ43" s="60"/>
      <c r="FXA43" s="60"/>
      <c r="FXB43" s="60"/>
      <c r="FXC43" s="60"/>
      <c r="FXD43" s="60"/>
      <c r="FXE43" s="60"/>
      <c r="FXF43" s="60"/>
      <c r="FXG43" s="60"/>
      <c r="FXH43" s="60"/>
      <c r="FXI43" s="60"/>
      <c r="FXJ43" s="60"/>
      <c r="FXK43" s="60"/>
      <c r="FXL43" s="60"/>
      <c r="FXM43" s="60"/>
      <c r="FXN43" s="60"/>
      <c r="FXO43" s="60"/>
      <c r="FXP43" s="60"/>
      <c r="FXQ43" s="60"/>
      <c r="FXR43" s="60"/>
      <c r="FXS43" s="60"/>
      <c r="FXT43" s="60"/>
      <c r="FXU43" s="60"/>
      <c r="FXV43" s="60"/>
      <c r="FXW43" s="60"/>
      <c r="FXX43" s="60"/>
      <c r="FXY43" s="60"/>
      <c r="FXZ43" s="60"/>
      <c r="FYA43" s="60"/>
      <c r="FYB43" s="60"/>
      <c r="FYC43" s="60"/>
      <c r="FYD43" s="60"/>
      <c r="FYE43" s="60"/>
      <c r="FYF43" s="60"/>
      <c r="FYG43" s="60"/>
      <c r="FYH43" s="60"/>
      <c r="FYI43" s="60"/>
      <c r="FYJ43" s="60"/>
      <c r="FYK43" s="60"/>
      <c r="FYL43" s="60"/>
      <c r="FYM43" s="60"/>
      <c r="FYN43" s="60"/>
      <c r="FYO43" s="60"/>
      <c r="FYP43" s="60"/>
      <c r="FYQ43" s="60"/>
      <c r="FYR43" s="60"/>
      <c r="FYS43" s="60"/>
      <c r="FYT43" s="60"/>
      <c r="FYU43" s="60"/>
      <c r="FYV43" s="60"/>
      <c r="FYW43" s="60"/>
      <c r="FYX43" s="60"/>
      <c r="FYY43" s="60"/>
      <c r="FYZ43" s="60"/>
      <c r="FZA43" s="60"/>
      <c r="FZB43" s="60"/>
      <c r="FZC43" s="60"/>
      <c r="FZD43" s="60"/>
      <c r="FZE43" s="60"/>
      <c r="FZF43" s="60"/>
      <c r="FZG43" s="60"/>
      <c r="FZH43" s="60"/>
      <c r="FZI43" s="60"/>
      <c r="FZJ43" s="60"/>
      <c r="FZK43" s="60"/>
      <c r="FZL43" s="60"/>
      <c r="FZM43" s="60"/>
      <c r="FZN43" s="60"/>
      <c r="FZO43" s="60"/>
      <c r="FZP43" s="60"/>
      <c r="FZQ43" s="60"/>
      <c r="FZR43" s="60"/>
      <c r="FZS43" s="60"/>
      <c r="FZT43" s="60"/>
      <c r="FZU43" s="60"/>
      <c r="FZV43" s="60"/>
      <c r="FZW43" s="60"/>
      <c r="FZX43" s="60"/>
      <c r="FZY43" s="60"/>
      <c r="FZZ43" s="60"/>
      <c r="GAA43" s="60"/>
      <c r="GAB43" s="60"/>
      <c r="GAC43" s="60"/>
      <c r="GAD43" s="60"/>
      <c r="GAE43" s="60"/>
      <c r="GAF43" s="60"/>
      <c r="GAG43" s="60"/>
      <c r="GAH43" s="60"/>
      <c r="GAI43" s="60"/>
      <c r="GAJ43" s="60"/>
      <c r="GAK43" s="60"/>
      <c r="GAL43" s="60"/>
      <c r="GAM43" s="60"/>
      <c r="GAN43" s="60"/>
      <c r="GAO43" s="60"/>
      <c r="GAP43" s="60"/>
      <c r="GAQ43" s="60"/>
      <c r="GAR43" s="60"/>
      <c r="GAS43" s="60"/>
      <c r="GAT43" s="60"/>
      <c r="GAU43" s="60"/>
      <c r="GAV43" s="60"/>
      <c r="GAW43" s="60"/>
      <c r="GAX43" s="60"/>
      <c r="GAY43" s="60"/>
      <c r="GAZ43" s="60"/>
      <c r="GBA43" s="60"/>
      <c r="GBB43" s="60"/>
      <c r="GBC43" s="60"/>
      <c r="GBD43" s="60"/>
      <c r="GBE43" s="60"/>
      <c r="GBF43" s="60"/>
      <c r="GBG43" s="60"/>
      <c r="GBH43" s="60"/>
      <c r="GBI43" s="60"/>
      <c r="GBJ43" s="60"/>
      <c r="GBK43" s="60"/>
      <c r="GBL43" s="60"/>
      <c r="GBM43" s="60"/>
      <c r="GBN43" s="60"/>
      <c r="GBO43" s="60"/>
      <c r="GBP43" s="60"/>
      <c r="GBQ43" s="60"/>
      <c r="GBR43" s="60"/>
      <c r="GBS43" s="60"/>
      <c r="GBT43" s="60"/>
      <c r="GBU43" s="60"/>
      <c r="GBV43" s="60"/>
      <c r="GBW43" s="60"/>
      <c r="GBX43" s="60"/>
      <c r="GBY43" s="60"/>
      <c r="GBZ43" s="60"/>
      <c r="GCA43" s="60"/>
      <c r="GCB43" s="60"/>
      <c r="GCC43" s="60"/>
      <c r="GCD43" s="60"/>
      <c r="GCE43" s="60"/>
      <c r="GCF43" s="60"/>
      <c r="GCG43" s="60"/>
      <c r="GCH43" s="60"/>
      <c r="GCI43" s="60"/>
      <c r="GCJ43" s="60"/>
      <c r="GCK43" s="60"/>
      <c r="GCL43" s="60"/>
      <c r="GCM43" s="60"/>
      <c r="GCN43" s="60"/>
      <c r="GCO43" s="60"/>
      <c r="GCP43" s="60"/>
      <c r="GCQ43" s="60"/>
      <c r="GCR43" s="60"/>
      <c r="GCS43" s="60"/>
      <c r="GCT43" s="60"/>
      <c r="GCU43" s="60"/>
      <c r="GCV43" s="60"/>
      <c r="GCW43" s="60"/>
      <c r="GCX43" s="60"/>
      <c r="GCY43" s="60"/>
      <c r="GCZ43" s="60"/>
      <c r="GDA43" s="60"/>
      <c r="GDB43" s="60"/>
      <c r="GDC43" s="60"/>
      <c r="GDD43" s="60"/>
      <c r="GDE43" s="60"/>
      <c r="GDF43" s="60"/>
      <c r="GDG43" s="60"/>
      <c r="GDH43" s="60"/>
      <c r="GDI43" s="60"/>
      <c r="GDJ43" s="60"/>
      <c r="GDK43" s="60"/>
      <c r="GDL43" s="60"/>
      <c r="GDM43" s="60"/>
      <c r="GDN43" s="60"/>
      <c r="GDO43" s="60"/>
      <c r="GDP43" s="60"/>
      <c r="GDQ43" s="60"/>
      <c r="GDR43" s="60"/>
      <c r="GDS43" s="60"/>
      <c r="GDT43" s="60"/>
      <c r="GDU43" s="60"/>
      <c r="GDV43" s="60"/>
      <c r="GDW43" s="60"/>
      <c r="GDX43" s="60"/>
      <c r="GDY43" s="60"/>
      <c r="GDZ43" s="60"/>
      <c r="GEA43" s="60"/>
      <c r="GEB43" s="60"/>
      <c r="GEC43" s="60"/>
      <c r="GED43" s="60"/>
      <c r="GEE43" s="60"/>
      <c r="GEF43" s="60"/>
      <c r="GEG43" s="60"/>
      <c r="GEH43" s="60"/>
      <c r="GEI43" s="60"/>
      <c r="GEJ43" s="60"/>
      <c r="GEK43" s="60"/>
      <c r="GEL43" s="60"/>
      <c r="GEM43" s="60"/>
      <c r="GEN43" s="60"/>
      <c r="GEO43" s="60"/>
      <c r="GEP43" s="60"/>
      <c r="GEQ43" s="60"/>
      <c r="GER43" s="60"/>
      <c r="GES43" s="60"/>
      <c r="GET43" s="60"/>
      <c r="GEU43" s="60"/>
      <c r="GEV43" s="60"/>
      <c r="GEW43" s="60"/>
      <c r="GEX43" s="60"/>
      <c r="GEY43" s="60"/>
      <c r="GEZ43" s="60"/>
      <c r="GFA43" s="60"/>
      <c r="GFB43" s="60"/>
      <c r="GFC43" s="60"/>
      <c r="GFD43" s="60"/>
      <c r="GFE43" s="60"/>
      <c r="GFF43" s="60"/>
      <c r="GFG43" s="60"/>
      <c r="GFH43" s="60"/>
      <c r="GFI43" s="60"/>
      <c r="GFJ43" s="60"/>
      <c r="GFK43" s="60"/>
      <c r="GFL43" s="60"/>
      <c r="GFM43" s="60"/>
      <c r="GFN43" s="60"/>
      <c r="GFO43" s="60"/>
      <c r="GFP43" s="60"/>
      <c r="GFQ43" s="60"/>
      <c r="GFR43" s="60"/>
      <c r="GFS43" s="60"/>
      <c r="GFT43" s="60"/>
      <c r="GFU43" s="60"/>
      <c r="GFV43" s="60"/>
      <c r="GFW43" s="60"/>
      <c r="GFX43" s="60"/>
      <c r="GFY43" s="60"/>
      <c r="GFZ43" s="60"/>
      <c r="GGA43" s="60"/>
      <c r="GGB43" s="60"/>
      <c r="GGC43" s="60"/>
      <c r="GGD43" s="60"/>
      <c r="GGE43" s="60"/>
      <c r="GGF43" s="60"/>
      <c r="GGG43" s="60"/>
      <c r="GGH43" s="60"/>
      <c r="GGI43" s="60"/>
      <c r="GGJ43" s="60"/>
      <c r="GGK43" s="60"/>
      <c r="GGL43" s="60"/>
      <c r="GGM43" s="60"/>
      <c r="GGN43" s="60"/>
      <c r="GGO43" s="60"/>
      <c r="GGP43" s="60"/>
      <c r="GGQ43" s="60"/>
      <c r="GGR43" s="60"/>
      <c r="GGS43" s="60"/>
      <c r="GGT43" s="60"/>
      <c r="GGU43" s="60"/>
      <c r="GGV43" s="60"/>
      <c r="GGW43" s="60"/>
      <c r="GGX43" s="60"/>
      <c r="GGY43" s="60"/>
      <c r="GGZ43" s="60"/>
      <c r="GHA43" s="60"/>
      <c r="GHB43" s="60"/>
      <c r="GHC43" s="60"/>
      <c r="GHD43" s="60"/>
      <c r="GHE43" s="60"/>
      <c r="GHF43" s="60"/>
      <c r="GHG43" s="60"/>
      <c r="GHH43" s="60"/>
      <c r="GHI43" s="60"/>
      <c r="GHJ43" s="60"/>
      <c r="GHK43" s="60"/>
      <c r="GHL43" s="60"/>
      <c r="GHM43" s="60"/>
      <c r="GHN43" s="60"/>
      <c r="GHO43" s="60"/>
      <c r="GHP43" s="60"/>
      <c r="GHQ43" s="60"/>
      <c r="GHR43" s="60"/>
      <c r="GHS43" s="60"/>
      <c r="GHT43" s="60"/>
      <c r="GHU43" s="60"/>
      <c r="GHV43" s="60"/>
      <c r="GHW43" s="60"/>
      <c r="GHX43" s="60"/>
      <c r="GHY43" s="60"/>
      <c r="GHZ43" s="60"/>
      <c r="GIA43" s="60"/>
      <c r="GIB43" s="60"/>
      <c r="GIC43" s="60"/>
      <c r="GID43" s="60"/>
      <c r="GIE43" s="60"/>
      <c r="GIF43" s="60"/>
      <c r="GIG43" s="60"/>
      <c r="GIH43" s="60"/>
      <c r="GII43" s="60"/>
      <c r="GIJ43" s="60"/>
      <c r="GIK43" s="60"/>
      <c r="GIL43" s="60"/>
      <c r="GIM43" s="60"/>
      <c r="GIN43" s="60"/>
      <c r="GIO43" s="60"/>
      <c r="GIP43" s="60"/>
      <c r="GIQ43" s="60"/>
      <c r="GIR43" s="60"/>
      <c r="GIS43" s="60"/>
      <c r="GIT43" s="60"/>
      <c r="GIU43" s="60"/>
      <c r="GIV43" s="60"/>
      <c r="GIW43" s="60"/>
      <c r="GIX43" s="60"/>
      <c r="GIY43" s="60"/>
      <c r="GIZ43" s="60"/>
      <c r="GJA43" s="60"/>
      <c r="GJB43" s="60"/>
      <c r="GJC43" s="60"/>
      <c r="GJD43" s="60"/>
      <c r="GJE43" s="60"/>
      <c r="GJF43" s="60"/>
      <c r="GJG43" s="60"/>
      <c r="GJH43" s="60"/>
      <c r="GJI43" s="60"/>
      <c r="GJJ43" s="60"/>
      <c r="GJK43" s="60"/>
      <c r="GJL43" s="60"/>
      <c r="GJM43" s="60"/>
      <c r="GJN43" s="60"/>
      <c r="GJO43" s="60"/>
      <c r="GJP43" s="60"/>
      <c r="GJQ43" s="60"/>
      <c r="GJR43" s="60"/>
      <c r="GJS43" s="60"/>
      <c r="GJT43" s="60"/>
      <c r="GJU43" s="60"/>
      <c r="GJV43" s="60"/>
      <c r="GJW43" s="60"/>
      <c r="GJX43" s="60"/>
      <c r="GJY43" s="60"/>
      <c r="GJZ43" s="60"/>
      <c r="GKA43" s="60"/>
      <c r="GKB43" s="60"/>
      <c r="GKC43" s="60"/>
      <c r="GKD43" s="60"/>
      <c r="GKE43" s="60"/>
      <c r="GKF43" s="60"/>
      <c r="GKG43" s="60"/>
      <c r="GKH43" s="60"/>
      <c r="GKI43" s="60"/>
      <c r="GKJ43" s="60"/>
      <c r="GKK43" s="60"/>
      <c r="GKL43" s="60"/>
      <c r="GKM43" s="60"/>
      <c r="GKN43" s="60"/>
      <c r="GKO43" s="60"/>
      <c r="GKP43" s="60"/>
      <c r="GKQ43" s="60"/>
      <c r="GKR43" s="60"/>
      <c r="GKS43" s="60"/>
      <c r="GKT43" s="60"/>
      <c r="GKU43" s="60"/>
      <c r="GKV43" s="60"/>
      <c r="GKW43" s="60"/>
      <c r="GKX43" s="60"/>
      <c r="GKY43" s="60"/>
      <c r="GKZ43" s="60"/>
      <c r="GLA43" s="60"/>
      <c r="GLB43" s="60"/>
      <c r="GLC43" s="60"/>
      <c r="GLD43" s="60"/>
      <c r="GLE43" s="60"/>
      <c r="GLF43" s="60"/>
      <c r="GLG43" s="60"/>
      <c r="GLH43" s="60"/>
      <c r="GLI43" s="60"/>
      <c r="GLJ43" s="60"/>
      <c r="GLK43" s="60"/>
      <c r="GLL43" s="60"/>
      <c r="GLM43" s="60"/>
      <c r="GLN43" s="60"/>
      <c r="GLO43" s="60"/>
      <c r="GLP43" s="60"/>
      <c r="GLQ43" s="60"/>
      <c r="GLR43" s="60"/>
      <c r="GLS43" s="60"/>
      <c r="GLT43" s="60"/>
      <c r="GLU43" s="60"/>
      <c r="GLV43" s="60"/>
      <c r="GLW43" s="60"/>
      <c r="GLX43" s="60"/>
      <c r="GLY43" s="60"/>
      <c r="GLZ43" s="60"/>
      <c r="GMA43" s="60"/>
      <c r="GMB43" s="60"/>
      <c r="GMC43" s="60"/>
      <c r="GMD43" s="60"/>
      <c r="GME43" s="60"/>
      <c r="GMF43" s="60"/>
      <c r="GMG43" s="60"/>
      <c r="GMH43" s="60"/>
      <c r="GMI43" s="60"/>
      <c r="GMJ43" s="60"/>
      <c r="GMK43" s="60"/>
      <c r="GML43" s="60"/>
      <c r="GMM43" s="60"/>
      <c r="GMN43" s="60"/>
      <c r="GMO43" s="60"/>
      <c r="GMP43" s="60"/>
      <c r="GMQ43" s="60"/>
      <c r="GMR43" s="60"/>
      <c r="GMS43" s="60"/>
      <c r="GMT43" s="60"/>
      <c r="GMU43" s="60"/>
      <c r="GMV43" s="60"/>
      <c r="GMW43" s="60"/>
      <c r="GMX43" s="60"/>
      <c r="GMY43" s="60"/>
      <c r="GMZ43" s="60"/>
      <c r="GNA43" s="60"/>
      <c r="GNB43" s="60"/>
      <c r="GNC43" s="60"/>
      <c r="GND43" s="60"/>
      <c r="GNE43" s="60"/>
      <c r="GNF43" s="60"/>
      <c r="GNG43" s="60"/>
      <c r="GNH43" s="60"/>
      <c r="GNI43" s="60"/>
      <c r="GNJ43" s="60"/>
      <c r="GNK43" s="60"/>
      <c r="GNL43" s="60"/>
      <c r="GNM43" s="60"/>
      <c r="GNN43" s="60"/>
      <c r="GNO43" s="60"/>
      <c r="GNP43" s="60"/>
      <c r="GNQ43" s="60"/>
      <c r="GNR43" s="60"/>
      <c r="GNS43" s="60"/>
      <c r="GNT43" s="60"/>
      <c r="GNU43" s="60"/>
      <c r="GNV43" s="60"/>
      <c r="GNW43" s="60"/>
      <c r="GNX43" s="60"/>
      <c r="GNY43" s="60"/>
      <c r="GNZ43" s="60"/>
      <c r="GOA43" s="60"/>
      <c r="GOB43" s="60"/>
      <c r="GOC43" s="60"/>
      <c r="GOD43" s="60"/>
      <c r="GOE43" s="60"/>
      <c r="GOF43" s="60"/>
      <c r="GOG43" s="60"/>
      <c r="GOH43" s="60"/>
      <c r="GOI43" s="60"/>
      <c r="GOJ43" s="60"/>
      <c r="GOK43" s="60"/>
      <c r="GOL43" s="60"/>
      <c r="GOM43" s="60"/>
      <c r="GON43" s="60"/>
      <c r="GOO43" s="60"/>
      <c r="GOP43" s="60"/>
      <c r="GOQ43" s="60"/>
      <c r="GOR43" s="60"/>
      <c r="GOS43" s="60"/>
      <c r="GOT43" s="60"/>
      <c r="GOU43" s="60"/>
      <c r="GOV43" s="60"/>
      <c r="GOW43" s="60"/>
      <c r="GOX43" s="60"/>
      <c r="GOY43" s="60"/>
      <c r="GOZ43" s="60"/>
      <c r="GPA43" s="60"/>
      <c r="GPB43" s="60"/>
      <c r="GPC43" s="60"/>
      <c r="GPD43" s="60"/>
      <c r="GPE43" s="60"/>
      <c r="GPF43" s="60"/>
      <c r="GPG43" s="60"/>
      <c r="GPH43" s="60"/>
      <c r="GPI43" s="60"/>
      <c r="GPJ43" s="60"/>
      <c r="GPK43" s="60"/>
      <c r="GPL43" s="60"/>
      <c r="GPM43" s="60"/>
      <c r="GPN43" s="60"/>
      <c r="GPO43" s="60"/>
      <c r="GPP43" s="60"/>
      <c r="GPQ43" s="60"/>
      <c r="GPR43" s="60"/>
      <c r="GPS43" s="60"/>
      <c r="GPT43" s="60"/>
      <c r="GPU43" s="60"/>
      <c r="GPV43" s="60"/>
      <c r="GPW43" s="60"/>
      <c r="GPX43" s="60"/>
      <c r="GPY43" s="60"/>
      <c r="GPZ43" s="60"/>
      <c r="GQA43" s="60"/>
      <c r="GQB43" s="60"/>
      <c r="GQC43" s="60"/>
      <c r="GQD43" s="60"/>
      <c r="GQE43" s="60"/>
      <c r="GQF43" s="60"/>
      <c r="GQG43" s="60"/>
      <c r="GQH43" s="60"/>
      <c r="GQI43" s="60"/>
      <c r="GQJ43" s="60"/>
      <c r="GQK43" s="60"/>
      <c r="GQL43" s="60"/>
      <c r="GQM43" s="60"/>
      <c r="GQN43" s="60"/>
      <c r="GQO43" s="60"/>
      <c r="GQP43" s="60"/>
      <c r="GQQ43" s="60"/>
      <c r="GQR43" s="60"/>
      <c r="GQS43" s="60"/>
      <c r="GQT43" s="60"/>
      <c r="GQU43" s="60"/>
      <c r="GQV43" s="60"/>
      <c r="GQW43" s="60"/>
      <c r="GQX43" s="60"/>
      <c r="GQY43" s="60"/>
      <c r="GQZ43" s="60"/>
      <c r="GRA43" s="60"/>
      <c r="GRB43" s="60"/>
      <c r="GRC43" s="60"/>
      <c r="GRD43" s="60"/>
      <c r="GRE43" s="60"/>
      <c r="GRF43" s="60"/>
      <c r="GRG43" s="60"/>
      <c r="GRH43" s="60"/>
      <c r="GRI43" s="60"/>
      <c r="GRJ43" s="60"/>
      <c r="GRK43" s="60"/>
      <c r="GRL43" s="60"/>
      <c r="GRM43" s="60"/>
      <c r="GRN43" s="60"/>
      <c r="GRO43" s="60"/>
      <c r="GRP43" s="60"/>
      <c r="GRQ43" s="60"/>
      <c r="GRR43" s="60"/>
      <c r="GRS43" s="60"/>
      <c r="GRT43" s="60"/>
      <c r="GRU43" s="60"/>
      <c r="GRV43" s="60"/>
      <c r="GRW43" s="60"/>
      <c r="GRX43" s="60"/>
      <c r="GRY43" s="60"/>
      <c r="GRZ43" s="60"/>
      <c r="GSA43" s="60"/>
      <c r="GSB43" s="60"/>
      <c r="GSC43" s="60"/>
      <c r="GSD43" s="60"/>
      <c r="GSE43" s="60"/>
      <c r="GSF43" s="60"/>
      <c r="GSG43" s="60"/>
      <c r="GSH43" s="60"/>
      <c r="GSI43" s="60"/>
      <c r="GSJ43" s="60"/>
      <c r="GSK43" s="60"/>
      <c r="GSL43" s="60"/>
      <c r="GSM43" s="60"/>
      <c r="GSN43" s="60"/>
      <c r="GSO43" s="60"/>
      <c r="GSP43" s="60"/>
      <c r="GSQ43" s="60"/>
      <c r="GSR43" s="60"/>
      <c r="GSS43" s="60"/>
      <c r="GST43" s="60"/>
      <c r="GSU43" s="60"/>
      <c r="GSV43" s="60"/>
      <c r="GSW43" s="60"/>
      <c r="GSX43" s="60"/>
      <c r="GSY43" s="60"/>
      <c r="GSZ43" s="60"/>
      <c r="GTA43" s="60"/>
      <c r="GTB43" s="60"/>
      <c r="GTC43" s="60"/>
      <c r="GTD43" s="60"/>
      <c r="GTE43" s="60"/>
      <c r="GTF43" s="60"/>
      <c r="GTG43" s="60"/>
      <c r="GTH43" s="60"/>
      <c r="GTI43" s="60"/>
      <c r="GTJ43" s="60"/>
      <c r="GTK43" s="60"/>
      <c r="GTL43" s="60"/>
      <c r="GTM43" s="60"/>
      <c r="GTN43" s="60"/>
      <c r="GTO43" s="60"/>
      <c r="GTP43" s="60"/>
      <c r="GTQ43" s="60"/>
      <c r="GTR43" s="60"/>
      <c r="GTS43" s="60"/>
      <c r="GTT43" s="60"/>
      <c r="GTU43" s="60"/>
      <c r="GTV43" s="60"/>
      <c r="GTW43" s="60"/>
      <c r="GTX43" s="60"/>
      <c r="GTY43" s="60"/>
      <c r="GTZ43" s="60"/>
      <c r="GUA43" s="60"/>
      <c r="GUB43" s="60"/>
      <c r="GUC43" s="60"/>
      <c r="GUD43" s="60"/>
      <c r="GUE43" s="60"/>
      <c r="GUF43" s="60"/>
      <c r="GUG43" s="60"/>
      <c r="GUH43" s="60"/>
      <c r="GUI43" s="60"/>
      <c r="GUJ43" s="60"/>
      <c r="GUK43" s="60"/>
      <c r="GUL43" s="60"/>
      <c r="GUM43" s="60"/>
      <c r="GUN43" s="60"/>
      <c r="GUO43" s="60"/>
      <c r="GUP43" s="60"/>
      <c r="GUQ43" s="60"/>
      <c r="GUR43" s="60"/>
      <c r="GUS43" s="60"/>
      <c r="GUT43" s="60"/>
      <c r="GUU43" s="60"/>
      <c r="GUV43" s="60"/>
      <c r="GUW43" s="60"/>
      <c r="GUX43" s="60"/>
      <c r="GUY43" s="60"/>
      <c r="GUZ43" s="60"/>
      <c r="GVA43" s="60"/>
      <c r="GVB43" s="60"/>
      <c r="GVC43" s="60"/>
      <c r="GVD43" s="60"/>
      <c r="GVE43" s="60"/>
      <c r="GVF43" s="60"/>
      <c r="GVG43" s="60"/>
      <c r="GVH43" s="60"/>
      <c r="GVI43" s="60"/>
      <c r="GVJ43" s="60"/>
      <c r="GVK43" s="60"/>
      <c r="GVL43" s="60"/>
      <c r="GVM43" s="60"/>
      <c r="GVN43" s="60"/>
      <c r="GVO43" s="60"/>
      <c r="GVP43" s="60"/>
      <c r="GVQ43" s="60"/>
      <c r="GVR43" s="60"/>
      <c r="GVS43" s="60"/>
      <c r="GVT43" s="60"/>
      <c r="GVU43" s="60"/>
      <c r="GVV43" s="60"/>
      <c r="GVW43" s="60"/>
      <c r="GVX43" s="60"/>
      <c r="GVY43" s="60"/>
      <c r="GVZ43" s="60"/>
      <c r="GWA43" s="60"/>
      <c r="GWB43" s="60"/>
      <c r="GWC43" s="60"/>
      <c r="GWD43" s="60"/>
      <c r="GWE43" s="60"/>
      <c r="GWF43" s="60"/>
      <c r="GWG43" s="60"/>
      <c r="GWH43" s="60"/>
      <c r="GWI43" s="60"/>
      <c r="GWJ43" s="60"/>
      <c r="GWK43" s="60"/>
      <c r="GWL43" s="60"/>
      <c r="GWM43" s="60"/>
      <c r="GWN43" s="60"/>
      <c r="GWO43" s="60"/>
      <c r="GWP43" s="60"/>
      <c r="GWQ43" s="60"/>
      <c r="GWR43" s="60"/>
      <c r="GWS43" s="60"/>
      <c r="GWT43" s="60"/>
      <c r="GWU43" s="60"/>
      <c r="GWV43" s="60"/>
      <c r="GWW43" s="60"/>
      <c r="GWX43" s="60"/>
      <c r="GWY43" s="60"/>
      <c r="GWZ43" s="60"/>
      <c r="GXA43" s="60"/>
      <c r="GXB43" s="60"/>
      <c r="GXC43" s="60"/>
      <c r="GXD43" s="60"/>
      <c r="GXE43" s="60"/>
      <c r="GXF43" s="60"/>
      <c r="GXG43" s="60"/>
      <c r="GXH43" s="60"/>
      <c r="GXI43" s="60"/>
      <c r="GXJ43" s="60"/>
      <c r="GXK43" s="60"/>
      <c r="GXL43" s="60"/>
      <c r="GXM43" s="60"/>
      <c r="GXN43" s="60"/>
      <c r="GXO43" s="60"/>
      <c r="GXP43" s="60"/>
      <c r="GXQ43" s="60"/>
      <c r="GXR43" s="60"/>
      <c r="GXS43" s="60"/>
      <c r="GXT43" s="60"/>
      <c r="GXU43" s="60"/>
      <c r="GXV43" s="60"/>
      <c r="GXW43" s="60"/>
      <c r="GXX43" s="60"/>
      <c r="GXY43" s="60"/>
      <c r="GXZ43" s="60"/>
      <c r="GYA43" s="60"/>
      <c r="GYB43" s="60"/>
      <c r="GYC43" s="60"/>
      <c r="GYD43" s="60"/>
      <c r="GYE43" s="60"/>
      <c r="GYF43" s="60"/>
      <c r="GYG43" s="60"/>
      <c r="GYH43" s="60"/>
      <c r="GYI43" s="60"/>
      <c r="GYJ43" s="60"/>
      <c r="GYK43" s="60"/>
      <c r="GYL43" s="60"/>
      <c r="GYM43" s="60"/>
      <c r="GYN43" s="60"/>
      <c r="GYO43" s="60"/>
      <c r="GYP43" s="60"/>
      <c r="GYQ43" s="60"/>
      <c r="GYR43" s="60"/>
      <c r="GYS43" s="60"/>
      <c r="GYT43" s="60"/>
      <c r="GYU43" s="60"/>
      <c r="GYV43" s="60"/>
      <c r="GYW43" s="60"/>
      <c r="GYX43" s="60"/>
      <c r="GYY43" s="60"/>
      <c r="GYZ43" s="60"/>
      <c r="GZA43" s="60"/>
      <c r="GZB43" s="60"/>
      <c r="GZC43" s="60"/>
      <c r="GZD43" s="60"/>
      <c r="GZE43" s="60"/>
      <c r="GZF43" s="60"/>
      <c r="GZG43" s="60"/>
      <c r="GZH43" s="60"/>
      <c r="GZI43" s="60"/>
      <c r="GZJ43" s="60"/>
      <c r="GZK43" s="60"/>
      <c r="GZL43" s="60"/>
      <c r="GZM43" s="60"/>
      <c r="GZN43" s="60"/>
      <c r="GZO43" s="60"/>
      <c r="GZP43" s="60"/>
      <c r="GZQ43" s="60"/>
      <c r="GZR43" s="60"/>
      <c r="GZS43" s="60"/>
      <c r="GZT43" s="60"/>
      <c r="GZU43" s="60"/>
      <c r="GZV43" s="60"/>
      <c r="GZW43" s="60"/>
      <c r="GZX43" s="60"/>
      <c r="GZY43" s="60"/>
      <c r="GZZ43" s="60"/>
      <c r="HAA43" s="60"/>
      <c r="HAB43" s="60"/>
      <c r="HAC43" s="60"/>
      <c r="HAD43" s="60"/>
      <c r="HAE43" s="60"/>
      <c r="HAF43" s="60"/>
      <c r="HAG43" s="60"/>
      <c r="HAH43" s="60"/>
      <c r="HAI43" s="60"/>
      <c r="HAJ43" s="60"/>
      <c r="HAK43" s="60"/>
      <c r="HAL43" s="60"/>
      <c r="HAM43" s="60"/>
      <c r="HAN43" s="60"/>
      <c r="HAO43" s="60"/>
      <c r="HAP43" s="60"/>
      <c r="HAQ43" s="60"/>
      <c r="HAR43" s="60"/>
      <c r="HAS43" s="60"/>
      <c r="HAT43" s="60"/>
      <c r="HAU43" s="60"/>
      <c r="HAV43" s="60"/>
      <c r="HAW43" s="60"/>
      <c r="HAX43" s="60"/>
      <c r="HAY43" s="60"/>
      <c r="HAZ43" s="60"/>
      <c r="HBA43" s="60"/>
      <c r="HBB43" s="60"/>
      <c r="HBC43" s="60"/>
      <c r="HBD43" s="60"/>
      <c r="HBE43" s="60"/>
      <c r="HBF43" s="60"/>
      <c r="HBG43" s="60"/>
      <c r="HBH43" s="60"/>
      <c r="HBI43" s="60"/>
      <c r="HBJ43" s="60"/>
      <c r="HBK43" s="60"/>
      <c r="HBL43" s="60"/>
      <c r="HBM43" s="60"/>
      <c r="HBN43" s="60"/>
      <c r="HBO43" s="60"/>
      <c r="HBP43" s="60"/>
      <c r="HBQ43" s="60"/>
      <c r="HBR43" s="60"/>
      <c r="HBS43" s="60"/>
      <c r="HBT43" s="60"/>
      <c r="HBU43" s="60"/>
      <c r="HBV43" s="60"/>
      <c r="HBW43" s="60"/>
      <c r="HBX43" s="60"/>
      <c r="HBY43" s="60"/>
      <c r="HBZ43" s="60"/>
      <c r="HCA43" s="60"/>
      <c r="HCB43" s="60"/>
      <c r="HCC43" s="60"/>
      <c r="HCD43" s="60"/>
      <c r="HCE43" s="60"/>
      <c r="HCF43" s="60"/>
      <c r="HCG43" s="60"/>
      <c r="HCH43" s="60"/>
      <c r="HCI43" s="60"/>
      <c r="HCJ43" s="60"/>
      <c r="HCK43" s="60"/>
      <c r="HCL43" s="60"/>
      <c r="HCM43" s="60"/>
      <c r="HCN43" s="60"/>
      <c r="HCO43" s="60"/>
      <c r="HCP43" s="60"/>
      <c r="HCQ43" s="60"/>
      <c r="HCR43" s="60"/>
      <c r="HCS43" s="60"/>
      <c r="HCT43" s="60"/>
      <c r="HCU43" s="60"/>
      <c r="HCV43" s="60"/>
      <c r="HCW43" s="60"/>
      <c r="HCX43" s="60"/>
      <c r="HCY43" s="60"/>
      <c r="HCZ43" s="60"/>
      <c r="HDA43" s="60"/>
      <c r="HDB43" s="60"/>
      <c r="HDC43" s="60"/>
      <c r="HDD43" s="60"/>
      <c r="HDE43" s="60"/>
      <c r="HDF43" s="60"/>
      <c r="HDG43" s="60"/>
      <c r="HDH43" s="60"/>
      <c r="HDI43" s="60"/>
      <c r="HDJ43" s="60"/>
      <c r="HDK43" s="60"/>
      <c r="HDL43" s="60"/>
      <c r="HDM43" s="60"/>
      <c r="HDN43" s="60"/>
      <c r="HDO43" s="60"/>
      <c r="HDP43" s="60"/>
      <c r="HDQ43" s="60"/>
      <c r="HDR43" s="60"/>
      <c r="HDS43" s="60"/>
      <c r="HDT43" s="60"/>
      <c r="HDU43" s="60"/>
      <c r="HDV43" s="60"/>
      <c r="HDW43" s="60"/>
      <c r="HDX43" s="60"/>
      <c r="HDY43" s="60"/>
      <c r="HDZ43" s="60"/>
      <c r="HEA43" s="60"/>
      <c r="HEB43" s="60"/>
      <c r="HEC43" s="60"/>
      <c r="HED43" s="60"/>
      <c r="HEE43" s="60"/>
      <c r="HEF43" s="60"/>
      <c r="HEG43" s="60"/>
      <c r="HEH43" s="60"/>
      <c r="HEI43" s="60"/>
      <c r="HEJ43" s="60"/>
      <c r="HEK43" s="60"/>
      <c r="HEL43" s="60"/>
      <c r="HEM43" s="60"/>
      <c r="HEN43" s="60"/>
      <c r="HEO43" s="60"/>
      <c r="HEP43" s="60"/>
      <c r="HEQ43" s="60"/>
      <c r="HER43" s="60"/>
      <c r="HES43" s="60"/>
      <c r="HET43" s="60"/>
      <c r="HEU43" s="60"/>
      <c r="HEV43" s="60"/>
      <c r="HEW43" s="60"/>
      <c r="HEX43" s="60"/>
      <c r="HEY43" s="60"/>
      <c r="HEZ43" s="60"/>
      <c r="HFA43" s="60"/>
      <c r="HFB43" s="60"/>
      <c r="HFC43" s="60"/>
      <c r="HFD43" s="60"/>
      <c r="HFE43" s="60"/>
      <c r="HFF43" s="60"/>
      <c r="HFG43" s="60"/>
      <c r="HFH43" s="60"/>
      <c r="HFI43" s="60"/>
      <c r="HFJ43" s="60"/>
      <c r="HFK43" s="60"/>
      <c r="HFL43" s="60"/>
      <c r="HFM43" s="60"/>
      <c r="HFN43" s="60"/>
      <c r="HFO43" s="60"/>
      <c r="HFP43" s="60"/>
      <c r="HFQ43" s="60"/>
      <c r="HFR43" s="60"/>
      <c r="HFS43" s="60"/>
      <c r="HFT43" s="60"/>
      <c r="HFU43" s="60"/>
      <c r="HFV43" s="60"/>
      <c r="HFW43" s="60"/>
      <c r="HFX43" s="60"/>
      <c r="HFY43" s="60"/>
      <c r="HFZ43" s="60"/>
      <c r="HGA43" s="60"/>
      <c r="HGB43" s="60"/>
      <c r="HGC43" s="60"/>
      <c r="HGD43" s="60"/>
      <c r="HGE43" s="60"/>
      <c r="HGF43" s="60"/>
      <c r="HGG43" s="60"/>
      <c r="HGH43" s="60"/>
      <c r="HGI43" s="60"/>
      <c r="HGJ43" s="60"/>
      <c r="HGK43" s="60"/>
      <c r="HGL43" s="60"/>
      <c r="HGM43" s="60"/>
      <c r="HGN43" s="60"/>
      <c r="HGO43" s="60"/>
      <c r="HGP43" s="60"/>
      <c r="HGQ43" s="60"/>
      <c r="HGR43" s="60"/>
      <c r="HGS43" s="60"/>
      <c r="HGT43" s="60"/>
      <c r="HGU43" s="60"/>
      <c r="HGV43" s="60"/>
      <c r="HGW43" s="60"/>
      <c r="HGX43" s="60"/>
      <c r="HGY43" s="60"/>
      <c r="HGZ43" s="60"/>
      <c r="HHA43" s="60"/>
      <c r="HHB43" s="60"/>
      <c r="HHC43" s="60"/>
      <c r="HHD43" s="60"/>
      <c r="HHE43" s="60"/>
      <c r="HHF43" s="60"/>
      <c r="HHG43" s="60"/>
      <c r="HHH43" s="60"/>
      <c r="HHI43" s="60"/>
      <c r="HHJ43" s="60"/>
      <c r="HHK43" s="60"/>
      <c r="HHL43" s="60"/>
      <c r="HHM43" s="60"/>
      <c r="HHN43" s="60"/>
      <c r="HHO43" s="60"/>
      <c r="HHP43" s="60"/>
      <c r="HHQ43" s="60"/>
      <c r="HHR43" s="60"/>
      <c r="HHS43" s="60"/>
      <c r="HHT43" s="60"/>
      <c r="HHU43" s="60"/>
      <c r="HHV43" s="60"/>
      <c r="HHW43" s="60"/>
      <c r="HHX43" s="60"/>
      <c r="HHY43" s="60"/>
      <c r="HHZ43" s="60"/>
      <c r="HIA43" s="60"/>
      <c r="HIB43" s="60"/>
      <c r="HIC43" s="60"/>
      <c r="HID43" s="60"/>
      <c r="HIE43" s="60"/>
      <c r="HIF43" s="60"/>
      <c r="HIG43" s="60"/>
      <c r="HIH43" s="60"/>
      <c r="HII43" s="60"/>
      <c r="HIJ43" s="60"/>
      <c r="HIK43" s="60"/>
      <c r="HIL43" s="60"/>
      <c r="HIM43" s="60"/>
      <c r="HIN43" s="60"/>
      <c r="HIO43" s="60"/>
      <c r="HIP43" s="60"/>
      <c r="HIQ43" s="60"/>
      <c r="HIR43" s="60"/>
      <c r="HIS43" s="60"/>
      <c r="HIT43" s="60"/>
      <c r="HIU43" s="60"/>
      <c r="HIV43" s="60"/>
      <c r="HIW43" s="60"/>
      <c r="HIX43" s="60"/>
      <c r="HIY43" s="60"/>
      <c r="HIZ43" s="60"/>
      <c r="HJA43" s="60"/>
      <c r="HJB43" s="60"/>
      <c r="HJC43" s="60"/>
      <c r="HJD43" s="60"/>
      <c r="HJE43" s="60"/>
      <c r="HJF43" s="60"/>
      <c r="HJG43" s="60"/>
      <c r="HJH43" s="60"/>
      <c r="HJI43" s="60"/>
      <c r="HJJ43" s="60"/>
      <c r="HJK43" s="60"/>
      <c r="HJL43" s="60"/>
      <c r="HJM43" s="60"/>
      <c r="HJN43" s="60"/>
      <c r="HJO43" s="60"/>
      <c r="HJP43" s="60"/>
      <c r="HJQ43" s="60"/>
      <c r="HJR43" s="60"/>
      <c r="HJS43" s="60"/>
      <c r="HJT43" s="60"/>
      <c r="HJU43" s="60"/>
      <c r="HJV43" s="60"/>
      <c r="HJW43" s="60"/>
      <c r="HJX43" s="60"/>
      <c r="HJY43" s="60"/>
      <c r="HJZ43" s="60"/>
      <c r="HKA43" s="60"/>
      <c r="HKB43" s="60"/>
      <c r="HKC43" s="60"/>
      <c r="HKD43" s="60"/>
      <c r="HKE43" s="60"/>
      <c r="HKF43" s="60"/>
      <c r="HKG43" s="60"/>
      <c r="HKH43" s="60"/>
      <c r="HKI43" s="60"/>
      <c r="HKJ43" s="60"/>
      <c r="HKK43" s="60"/>
      <c r="HKL43" s="60"/>
      <c r="HKM43" s="60"/>
      <c r="HKN43" s="60"/>
      <c r="HKO43" s="60"/>
      <c r="HKP43" s="60"/>
      <c r="HKQ43" s="60"/>
      <c r="HKR43" s="60"/>
      <c r="HKS43" s="60"/>
      <c r="HKT43" s="60"/>
      <c r="HKU43" s="60"/>
      <c r="HKV43" s="60"/>
      <c r="HKW43" s="60"/>
      <c r="HKX43" s="60"/>
      <c r="HKY43" s="60"/>
      <c r="HKZ43" s="60"/>
      <c r="HLA43" s="60"/>
      <c r="HLB43" s="60"/>
      <c r="HLC43" s="60"/>
      <c r="HLD43" s="60"/>
      <c r="HLE43" s="60"/>
      <c r="HLF43" s="60"/>
      <c r="HLG43" s="60"/>
      <c r="HLH43" s="60"/>
      <c r="HLI43" s="60"/>
      <c r="HLJ43" s="60"/>
      <c r="HLK43" s="60"/>
      <c r="HLL43" s="60"/>
      <c r="HLM43" s="60"/>
      <c r="HLN43" s="60"/>
      <c r="HLO43" s="60"/>
      <c r="HLP43" s="60"/>
      <c r="HLQ43" s="60"/>
      <c r="HLR43" s="60"/>
      <c r="HLS43" s="60"/>
      <c r="HLT43" s="60"/>
      <c r="HLU43" s="60"/>
      <c r="HLV43" s="60"/>
      <c r="HLW43" s="60"/>
      <c r="HLX43" s="60"/>
      <c r="HLY43" s="60"/>
      <c r="HLZ43" s="60"/>
      <c r="HMA43" s="60"/>
      <c r="HMB43" s="60"/>
      <c r="HMC43" s="60"/>
      <c r="HMD43" s="60"/>
      <c r="HME43" s="60"/>
      <c r="HMF43" s="60"/>
      <c r="HMG43" s="60"/>
      <c r="HMH43" s="60"/>
      <c r="HMI43" s="60"/>
      <c r="HMJ43" s="60"/>
      <c r="HMK43" s="60"/>
      <c r="HML43" s="60"/>
      <c r="HMM43" s="60"/>
      <c r="HMN43" s="60"/>
      <c r="HMO43" s="60"/>
      <c r="HMP43" s="60"/>
      <c r="HMQ43" s="60"/>
      <c r="HMR43" s="60"/>
      <c r="HMS43" s="60"/>
      <c r="HMT43" s="60"/>
      <c r="HMU43" s="60"/>
      <c r="HMV43" s="60"/>
      <c r="HMW43" s="60"/>
      <c r="HMX43" s="60"/>
      <c r="HMY43" s="60"/>
      <c r="HMZ43" s="60"/>
      <c r="HNA43" s="60"/>
      <c r="HNB43" s="60"/>
      <c r="HNC43" s="60"/>
      <c r="HND43" s="60"/>
      <c r="HNE43" s="60"/>
      <c r="HNF43" s="60"/>
      <c r="HNG43" s="60"/>
      <c r="HNH43" s="60"/>
      <c r="HNI43" s="60"/>
      <c r="HNJ43" s="60"/>
      <c r="HNK43" s="60"/>
      <c r="HNL43" s="60"/>
      <c r="HNM43" s="60"/>
      <c r="HNN43" s="60"/>
      <c r="HNO43" s="60"/>
      <c r="HNP43" s="60"/>
      <c r="HNQ43" s="60"/>
      <c r="HNR43" s="60"/>
      <c r="HNS43" s="60"/>
      <c r="HNT43" s="60"/>
      <c r="HNU43" s="60"/>
      <c r="HNV43" s="60"/>
      <c r="HNW43" s="60"/>
      <c r="HNX43" s="60"/>
      <c r="HNY43" s="60"/>
      <c r="HNZ43" s="60"/>
      <c r="HOA43" s="60"/>
      <c r="HOB43" s="60"/>
      <c r="HOC43" s="60"/>
      <c r="HOD43" s="60"/>
      <c r="HOE43" s="60"/>
      <c r="HOF43" s="60"/>
      <c r="HOG43" s="60"/>
      <c r="HOH43" s="60"/>
      <c r="HOI43" s="60"/>
      <c r="HOJ43" s="60"/>
      <c r="HOK43" s="60"/>
      <c r="HOL43" s="60"/>
      <c r="HOM43" s="60"/>
      <c r="HON43" s="60"/>
      <c r="HOO43" s="60"/>
      <c r="HOP43" s="60"/>
      <c r="HOQ43" s="60"/>
      <c r="HOR43" s="60"/>
      <c r="HOS43" s="60"/>
      <c r="HOT43" s="60"/>
      <c r="HOU43" s="60"/>
      <c r="HOV43" s="60"/>
      <c r="HOW43" s="60"/>
      <c r="HOX43" s="60"/>
      <c r="HOY43" s="60"/>
      <c r="HOZ43" s="60"/>
      <c r="HPA43" s="60"/>
      <c r="HPB43" s="60"/>
      <c r="HPC43" s="60"/>
      <c r="HPD43" s="60"/>
      <c r="HPE43" s="60"/>
      <c r="HPF43" s="60"/>
      <c r="HPG43" s="60"/>
      <c r="HPH43" s="60"/>
      <c r="HPI43" s="60"/>
      <c r="HPJ43" s="60"/>
      <c r="HPK43" s="60"/>
      <c r="HPL43" s="60"/>
      <c r="HPM43" s="60"/>
      <c r="HPN43" s="60"/>
      <c r="HPO43" s="60"/>
      <c r="HPP43" s="60"/>
      <c r="HPQ43" s="60"/>
      <c r="HPR43" s="60"/>
      <c r="HPS43" s="60"/>
      <c r="HPT43" s="60"/>
      <c r="HPU43" s="60"/>
      <c r="HPV43" s="60"/>
      <c r="HPW43" s="60"/>
      <c r="HPX43" s="60"/>
      <c r="HPY43" s="60"/>
      <c r="HPZ43" s="60"/>
      <c r="HQA43" s="60"/>
      <c r="HQB43" s="60"/>
      <c r="HQC43" s="60"/>
      <c r="HQD43" s="60"/>
      <c r="HQE43" s="60"/>
      <c r="HQF43" s="60"/>
      <c r="HQG43" s="60"/>
      <c r="HQH43" s="60"/>
      <c r="HQI43" s="60"/>
      <c r="HQJ43" s="60"/>
      <c r="HQK43" s="60"/>
      <c r="HQL43" s="60"/>
      <c r="HQM43" s="60"/>
      <c r="HQN43" s="60"/>
      <c r="HQO43" s="60"/>
      <c r="HQP43" s="60"/>
      <c r="HQQ43" s="60"/>
      <c r="HQR43" s="60"/>
      <c r="HQS43" s="60"/>
      <c r="HQT43" s="60"/>
      <c r="HQU43" s="60"/>
      <c r="HQV43" s="60"/>
      <c r="HQW43" s="60"/>
      <c r="HQX43" s="60"/>
      <c r="HQY43" s="60"/>
      <c r="HQZ43" s="60"/>
      <c r="HRA43" s="60"/>
      <c r="HRB43" s="60"/>
      <c r="HRC43" s="60"/>
      <c r="HRD43" s="60"/>
      <c r="HRE43" s="60"/>
      <c r="HRF43" s="60"/>
      <c r="HRG43" s="60"/>
      <c r="HRH43" s="60"/>
      <c r="HRI43" s="60"/>
      <c r="HRJ43" s="60"/>
      <c r="HRK43" s="60"/>
      <c r="HRL43" s="60"/>
      <c r="HRM43" s="60"/>
      <c r="HRN43" s="60"/>
      <c r="HRO43" s="60"/>
      <c r="HRP43" s="60"/>
      <c r="HRQ43" s="60"/>
      <c r="HRR43" s="60"/>
      <c r="HRS43" s="60"/>
      <c r="HRT43" s="60"/>
      <c r="HRU43" s="60"/>
      <c r="HRV43" s="60"/>
      <c r="HRW43" s="60"/>
      <c r="HRX43" s="60"/>
      <c r="HRY43" s="60"/>
      <c r="HRZ43" s="60"/>
      <c r="HSA43" s="60"/>
      <c r="HSB43" s="60"/>
      <c r="HSC43" s="60"/>
      <c r="HSD43" s="60"/>
      <c r="HSE43" s="60"/>
      <c r="HSF43" s="60"/>
      <c r="HSG43" s="60"/>
      <c r="HSH43" s="60"/>
      <c r="HSI43" s="60"/>
      <c r="HSJ43" s="60"/>
      <c r="HSK43" s="60"/>
      <c r="HSL43" s="60"/>
      <c r="HSM43" s="60"/>
      <c r="HSN43" s="60"/>
      <c r="HSO43" s="60"/>
      <c r="HSP43" s="60"/>
      <c r="HSQ43" s="60"/>
      <c r="HSR43" s="60"/>
      <c r="HSS43" s="60"/>
      <c r="HST43" s="60"/>
      <c r="HSU43" s="60"/>
      <c r="HSV43" s="60"/>
      <c r="HSW43" s="60"/>
      <c r="HSX43" s="60"/>
      <c r="HSY43" s="60"/>
      <c r="HSZ43" s="60"/>
      <c r="HTA43" s="60"/>
      <c r="HTB43" s="60"/>
      <c r="HTC43" s="60"/>
      <c r="HTD43" s="60"/>
      <c r="HTE43" s="60"/>
      <c r="HTF43" s="60"/>
      <c r="HTG43" s="60"/>
      <c r="HTH43" s="60"/>
      <c r="HTI43" s="60"/>
      <c r="HTJ43" s="60"/>
      <c r="HTK43" s="60"/>
      <c r="HTL43" s="60"/>
      <c r="HTM43" s="60"/>
      <c r="HTN43" s="60"/>
      <c r="HTO43" s="60"/>
      <c r="HTP43" s="60"/>
      <c r="HTQ43" s="60"/>
      <c r="HTR43" s="60"/>
      <c r="HTS43" s="60"/>
      <c r="HTT43" s="60"/>
      <c r="HTU43" s="60"/>
      <c r="HTV43" s="60"/>
      <c r="HTW43" s="60"/>
      <c r="HTX43" s="60"/>
      <c r="HTY43" s="60"/>
      <c r="HTZ43" s="60"/>
      <c r="HUA43" s="60"/>
      <c r="HUB43" s="60"/>
      <c r="HUC43" s="60"/>
      <c r="HUD43" s="60"/>
      <c r="HUE43" s="60"/>
      <c r="HUF43" s="60"/>
      <c r="HUG43" s="60"/>
      <c r="HUH43" s="60"/>
      <c r="HUI43" s="60"/>
      <c r="HUJ43" s="60"/>
      <c r="HUK43" s="60"/>
      <c r="HUL43" s="60"/>
      <c r="HUM43" s="60"/>
      <c r="HUN43" s="60"/>
      <c r="HUO43" s="60"/>
      <c r="HUP43" s="60"/>
      <c r="HUQ43" s="60"/>
      <c r="HUR43" s="60"/>
      <c r="HUS43" s="60"/>
      <c r="HUT43" s="60"/>
      <c r="HUU43" s="60"/>
      <c r="HUV43" s="60"/>
      <c r="HUW43" s="60"/>
      <c r="HUX43" s="60"/>
      <c r="HUY43" s="60"/>
      <c r="HUZ43" s="60"/>
      <c r="HVA43" s="60"/>
      <c r="HVB43" s="60"/>
      <c r="HVC43" s="60"/>
      <c r="HVD43" s="60"/>
      <c r="HVE43" s="60"/>
      <c r="HVF43" s="60"/>
      <c r="HVG43" s="60"/>
      <c r="HVH43" s="60"/>
      <c r="HVI43" s="60"/>
      <c r="HVJ43" s="60"/>
      <c r="HVK43" s="60"/>
      <c r="HVL43" s="60"/>
      <c r="HVM43" s="60"/>
      <c r="HVN43" s="60"/>
      <c r="HVO43" s="60"/>
      <c r="HVP43" s="60"/>
      <c r="HVQ43" s="60"/>
      <c r="HVR43" s="60"/>
      <c r="HVS43" s="60"/>
      <c r="HVT43" s="60"/>
      <c r="HVU43" s="60"/>
      <c r="HVV43" s="60"/>
      <c r="HVW43" s="60"/>
      <c r="HVX43" s="60"/>
      <c r="HVY43" s="60"/>
      <c r="HVZ43" s="60"/>
      <c r="HWA43" s="60"/>
      <c r="HWB43" s="60"/>
      <c r="HWC43" s="60"/>
      <c r="HWD43" s="60"/>
      <c r="HWE43" s="60"/>
      <c r="HWF43" s="60"/>
      <c r="HWG43" s="60"/>
      <c r="HWH43" s="60"/>
      <c r="HWI43" s="60"/>
      <c r="HWJ43" s="60"/>
      <c r="HWK43" s="60"/>
      <c r="HWL43" s="60"/>
      <c r="HWM43" s="60"/>
      <c r="HWN43" s="60"/>
      <c r="HWO43" s="60"/>
      <c r="HWP43" s="60"/>
      <c r="HWQ43" s="60"/>
      <c r="HWR43" s="60"/>
      <c r="HWS43" s="60"/>
      <c r="HWT43" s="60"/>
      <c r="HWU43" s="60"/>
      <c r="HWV43" s="60"/>
      <c r="HWW43" s="60"/>
      <c r="HWX43" s="60"/>
      <c r="HWY43" s="60"/>
      <c r="HWZ43" s="60"/>
      <c r="HXA43" s="60"/>
      <c r="HXB43" s="60"/>
      <c r="HXC43" s="60"/>
      <c r="HXD43" s="60"/>
      <c r="HXE43" s="60"/>
      <c r="HXF43" s="60"/>
      <c r="HXG43" s="60"/>
      <c r="HXH43" s="60"/>
      <c r="HXI43" s="60"/>
      <c r="HXJ43" s="60"/>
      <c r="HXK43" s="60"/>
      <c r="HXL43" s="60"/>
      <c r="HXM43" s="60"/>
      <c r="HXN43" s="60"/>
      <c r="HXO43" s="60"/>
      <c r="HXP43" s="60"/>
      <c r="HXQ43" s="60"/>
      <c r="HXR43" s="60"/>
      <c r="HXS43" s="60"/>
      <c r="HXT43" s="60"/>
      <c r="HXU43" s="60"/>
      <c r="HXV43" s="60"/>
      <c r="HXW43" s="60"/>
      <c r="HXX43" s="60"/>
      <c r="HXY43" s="60"/>
      <c r="HXZ43" s="60"/>
      <c r="HYA43" s="60"/>
      <c r="HYB43" s="60"/>
      <c r="HYC43" s="60"/>
      <c r="HYD43" s="60"/>
      <c r="HYE43" s="60"/>
      <c r="HYF43" s="60"/>
      <c r="HYG43" s="60"/>
      <c r="HYH43" s="60"/>
      <c r="HYI43" s="60"/>
      <c r="HYJ43" s="60"/>
      <c r="HYK43" s="60"/>
      <c r="HYL43" s="60"/>
      <c r="HYM43" s="60"/>
      <c r="HYN43" s="60"/>
      <c r="HYO43" s="60"/>
      <c r="HYP43" s="60"/>
      <c r="HYQ43" s="60"/>
      <c r="HYR43" s="60"/>
      <c r="HYS43" s="60"/>
      <c r="HYT43" s="60"/>
      <c r="HYU43" s="60"/>
      <c r="HYV43" s="60"/>
      <c r="HYW43" s="60"/>
      <c r="HYX43" s="60"/>
      <c r="HYY43" s="60"/>
      <c r="HYZ43" s="60"/>
      <c r="HZA43" s="60"/>
      <c r="HZB43" s="60"/>
      <c r="HZC43" s="60"/>
      <c r="HZD43" s="60"/>
      <c r="HZE43" s="60"/>
      <c r="HZF43" s="60"/>
      <c r="HZG43" s="60"/>
      <c r="HZH43" s="60"/>
      <c r="HZI43" s="60"/>
      <c r="HZJ43" s="60"/>
      <c r="HZK43" s="60"/>
      <c r="HZL43" s="60"/>
      <c r="HZM43" s="60"/>
      <c r="HZN43" s="60"/>
      <c r="HZO43" s="60"/>
      <c r="HZP43" s="60"/>
      <c r="HZQ43" s="60"/>
      <c r="HZR43" s="60"/>
      <c r="HZS43" s="60"/>
      <c r="HZT43" s="60"/>
      <c r="HZU43" s="60"/>
      <c r="HZV43" s="60"/>
      <c r="HZW43" s="60"/>
      <c r="HZX43" s="60"/>
      <c r="HZY43" s="60"/>
      <c r="HZZ43" s="60"/>
      <c r="IAA43" s="60"/>
      <c r="IAB43" s="60"/>
      <c r="IAC43" s="60"/>
      <c r="IAD43" s="60"/>
      <c r="IAE43" s="60"/>
      <c r="IAF43" s="60"/>
      <c r="IAG43" s="60"/>
      <c r="IAH43" s="60"/>
      <c r="IAI43" s="60"/>
      <c r="IAJ43" s="60"/>
      <c r="IAK43" s="60"/>
      <c r="IAL43" s="60"/>
      <c r="IAM43" s="60"/>
      <c r="IAN43" s="60"/>
      <c r="IAO43" s="60"/>
      <c r="IAP43" s="60"/>
      <c r="IAQ43" s="60"/>
      <c r="IAR43" s="60"/>
      <c r="IAS43" s="60"/>
      <c r="IAT43" s="60"/>
      <c r="IAU43" s="60"/>
      <c r="IAV43" s="60"/>
      <c r="IAW43" s="60"/>
      <c r="IAX43" s="60"/>
      <c r="IAY43" s="60"/>
      <c r="IAZ43" s="60"/>
      <c r="IBA43" s="60"/>
      <c r="IBB43" s="60"/>
      <c r="IBC43" s="60"/>
      <c r="IBD43" s="60"/>
      <c r="IBE43" s="60"/>
      <c r="IBF43" s="60"/>
      <c r="IBG43" s="60"/>
      <c r="IBH43" s="60"/>
      <c r="IBI43" s="60"/>
      <c r="IBJ43" s="60"/>
      <c r="IBK43" s="60"/>
      <c r="IBL43" s="60"/>
      <c r="IBM43" s="60"/>
      <c r="IBN43" s="60"/>
      <c r="IBO43" s="60"/>
      <c r="IBP43" s="60"/>
      <c r="IBQ43" s="60"/>
      <c r="IBR43" s="60"/>
      <c r="IBS43" s="60"/>
      <c r="IBT43" s="60"/>
      <c r="IBU43" s="60"/>
      <c r="IBV43" s="60"/>
      <c r="IBW43" s="60"/>
      <c r="IBX43" s="60"/>
      <c r="IBY43" s="60"/>
      <c r="IBZ43" s="60"/>
      <c r="ICA43" s="60"/>
      <c r="ICB43" s="60"/>
      <c r="ICC43" s="60"/>
      <c r="ICD43" s="60"/>
      <c r="ICE43" s="60"/>
      <c r="ICF43" s="60"/>
      <c r="ICG43" s="60"/>
      <c r="ICH43" s="60"/>
      <c r="ICI43" s="60"/>
      <c r="ICJ43" s="60"/>
      <c r="ICK43" s="60"/>
      <c r="ICL43" s="60"/>
      <c r="ICM43" s="60"/>
      <c r="ICN43" s="60"/>
      <c r="ICO43" s="60"/>
      <c r="ICP43" s="60"/>
      <c r="ICQ43" s="60"/>
      <c r="ICR43" s="60"/>
      <c r="ICS43" s="60"/>
      <c r="ICT43" s="60"/>
      <c r="ICU43" s="60"/>
      <c r="ICV43" s="60"/>
      <c r="ICW43" s="60"/>
      <c r="ICX43" s="60"/>
      <c r="ICY43" s="60"/>
      <c r="ICZ43" s="60"/>
      <c r="IDA43" s="60"/>
      <c r="IDB43" s="60"/>
      <c r="IDC43" s="60"/>
      <c r="IDD43" s="60"/>
      <c r="IDE43" s="60"/>
      <c r="IDF43" s="60"/>
      <c r="IDG43" s="60"/>
      <c r="IDH43" s="60"/>
      <c r="IDI43" s="60"/>
      <c r="IDJ43" s="60"/>
      <c r="IDK43" s="60"/>
      <c r="IDL43" s="60"/>
      <c r="IDM43" s="60"/>
      <c r="IDN43" s="60"/>
      <c r="IDO43" s="60"/>
      <c r="IDP43" s="60"/>
      <c r="IDQ43" s="60"/>
      <c r="IDR43" s="60"/>
      <c r="IDS43" s="60"/>
      <c r="IDT43" s="60"/>
      <c r="IDU43" s="60"/>
      <c r="IDV43" s="60"/>
      <c r="IDW43" s="60"/>
      <c r="IDX43" s="60"/>
      <c r="IDY43" s="60"/>
      <c r="IDZ43" s="60"/>
      <c r="IEA43" s="60"/>
      <c r="IEB43" s="60"/>
      <c r="IEC43" s="60"/>
      <c r="IED43" s="60"/>
      <c r="IEE43" s="60"/>
      <c r="IEF43" s="60"/>
      <c r="IEG43" s="60"/>
      <c r="IEH43" s="60"/>
      <c r="IEI43" s="60"/>
      <c r="IEJ43" s="60"/>
      <c r="IEK43" s="60"/>
      <c r="IEL43" s="60"/>
      <c r="IEM43" s="60"/>
      <c r="IEN43" s="60"/>
      <c r="IEO43" s="60"/>
      <c r="IEP43" s="60"/>
      <c r="IEQ43" s="60"/>
      <c r="IER43" s="60"/>
      <c r="IES43" s="60"/>
      <c r="IET43" s="60"/>
      <c r="IEU43" s="60"/>
      <c r="IEV43" s="60"/>
      <c r="IEW43" s="60"/>
      <c r="IEX43" s="60"/>
      <c r="IEY43" s="60"/>
      <c r="IEZ43" s="60"/>
      <c r="IFA43" s="60"/>
      <c r="IFB43" s="60"/>
      <c r="IFC43" s="60"/>
      <c r="IFD43" s="60"/>
      <c r="IFE43" s="60"/>
      <c r="IFF43" s="60"/>
      <c r="IFG43" s="60"/>
      <c r="IFH43" s="60"/>
      <c r="IFI43" s="60"/>
      <c r="IFJ43" s="60"/>
      <c r="IFK43" s="60"/>
      <c r="IFL43" s="60"/>
      <c r="IFM43" s="60"/>
      <c r="IFN43" s="60"/>
      <c r="IFO43" s="60"/>
      <c r="IFP43" s="60"/>
      <c r="IFQ43" s="60"/>
      <c r="IFR43" s="60"/>
      <c r="IFS43" s="60"/>
      <c r="IFT43" s="60"/>
      <c r="IFU43" s="60"/>
      <c r="IFV43" s="60"/>
      <c r="IFW43" s="60"/>
      <c r="IFX43" s="60"/>
      <c r="IFY43" s="60"/>
      <c r="IFZ43" s="60"/>
      <c r="IGA43" s="60"/>
      <c r="IGB43" s="60"/>
      <c r="IGC43" s="60"/>
      <c r="IGD43" s="60"/>
      <c r="IGE43" s="60"/>
      <c r="IGF43" s="60"/>
      <c r="IGG43" s="60"/>
      <c r="IGH43" s="60"/>
      <c r="IGI43" s="60"/>
      <c r="IGJ43" s="60"/>
      <c r="IGK43" s="60"/>
      <c r="IGL43" s="60"/>
      <c r="IGM43" s="60"/>
      <c r="IGN43" s="60"/>
      <c r="IGO43" s="60"/>
      <c r="IGP43" s="60"/>
      <c r="IGQ43" s="60"/>
      <c r="IGR43" s="60"/>
      <c r="IGS43" s="60"/>
      <c r="IGT43" s="60"/>
      <c r="IGU43" s="60"/>
      <c r="IGV43" s="60"/>
      <c r="IGW43" s="60"/>
      <c r="IGX43" s="60"/>
      <c r="IGY43" s="60"/>
      <c r="IGZ43" s="60"/>
      <c r="IHA43" s="60"/>
      <c r="IHB43" s="60"/>
      <c r="IHC43" s="60"/>
      <c r="IHD43" s="60"/>
      <c r="IHE43" s="60"/>
      <c r="IHF43" s="60"/>
      <c r="IHG43" s="60"/>
      <c r="IHH43" s="60"/>
      <c r="IHI43" s="60"/>
      <c r="IHJ43" s="60"/>
      <c r="IHK43" s="60"/>
      <c r="IHL43" s="60"/>
      <c r="IHM43" s="60"/>
      <c r="IHN43" s="60"/>
      <c r="IHO43" s="60"/>
      <c r="IHP43" s="60"/>
      <c r="IHQ43" s="60"/>
      <c r="IHR43" s="60"/>
      <c r="IHS43" s="60"/>
      <c r="IHT43" s="60"/>
      <c r="IHU43" s="60"/>
      <c r="IHV43" s="60"/>
      <c r="IHW43" s="60"/>
      <c r="IHX43" s="60"/>
      <c r="IHY43" s="60"/>
      <c r="IHZ43" s="60"/>
      <c r="IIA43" s="60"/>
      <c r="IIB43" s="60"/>
      <c r="IIC43" s="60"/>
      <c r="IID43" s="60"/>
      <c r="IIE43" s="60"/>
      <c r="IIF43" s="60"/>
      <c r="IIG43" s="60"/>
      <c r="IIH43" s="60"/>
      <c r="III43" s="60"/>
      <c r="IIJ43" s="60"/>
      <c r="IIK43" s="60"/>
      <c r="IIL43" s="60"/>
      <c r="IIM43" s="60"/>
      <c r="IIN43" s="60"/>
      <c r="IIO43" s="60"/>
      <c r="IIP43" s="60"/>
      <c r="IIQ43" s="60"/>
      <c r="IIR43" s="60"/>
      <c r="IIS43" s="60"/>
      <c r="IIT43" s="60"/>
      <c r="IIU43" s="60"/>
      <c r="IIV43" s="60"/>
      <c r="IIW43" s="60"/>
      <c r="IIX43" s="60"/>
      <c r="IIY43" s="60"/>
      <c r="IIZ43" s="60"/>
      <c r="IJA43" s="60"/>
      <c r="IJB43" s="60"/>
      <c r="IJC43" s="60"/>
      <c r="IJD43" s="60"/>
      <c r="IJE43" s="60"/>
      <c r="IJF43" s="60"/>
      <c r="IJG43" s="60"/>
      <c r="IJH43" s="60"/>
      <c r="IJI43" s="60"/>
      <c r="IJJ43" s="60"/>
      <c r="IJK43" s="60"/>
      <c r="IJL43" s="60"/>
      <c r="IJM43" s="60"/>
      <c r="IJN43" s="60"/>
      <c r="IJO43" s="60"/>
      <c r="IJP43" s="60"/>
      <c r="IJQ43" s="60"/>
      <c r="IJR43" s="60"/>
      <c r="IJS43" s="60"/>
      <c r="IJT43" s="60"/>
      <c r="IJU43" s="60"/>
      <c r="IJV43" s="60"/>
      <c r="IJW43" s="60"/>
      <c r="IJX43" s="60"/>
      <c r="IJY43" s="60"/>
      <c r="IJZ43" s="60"/>
      <c r="IKA43" s="60"/>
      <c r="IKB43" s="60"/>
      <c r="IKC43" s="60"/>
      <c r="IKD43" s="60"/>
      <c r="IKE43" s="60"/>
      <c r="IKF43" s="60"/>
      <c r="IKG43" s="60"/>
      <c r="IKH43" s="60"/>
      <c r="IKI43" s="60"/>
      <c r="IKJ43" s="60"/>
      <c r="IKK43" s="60"/>
      <c r="IKL43" s="60"/>
      <c r="IKM43" s="60"/>
      <c r="IKN43" s="60"/>
      <c r="IKO43" s="60"/>
      <c r="IKP43" s="60"/>
      <c r="IKQ43" s="60"/>
      <c r="IKR43" s="60"/>
      <c r="IKS43" s="60"/>
      <c r="IKT43" s="60"/>
      <c r="IKU43" s="60"/>
      <c r="IKV43" s="60"/>
      <c r="IKW43" s="60"/>
      <c r="IKX43" s="60"/>
      <c r="IKY43" s="60"/>
      <c r="IKZ43" s="60"/>
      <c r="ILA43" s="60"/>
      <c r="ILB43" s="60"/>
      <c r="ILC43" s="60"/>
      <c r="ILD43" s="60"/>
      <c r="ILE43" s="60"/>
      <c r="ILF43" s="60"/>
      <c r="ILG43" s="60"/>
      <c r="ILH43" s="60"/>
      <c r="ILI43" s="60"/>
      <c r="ILJ43" s="60"/>
      <c r="ILK43" s="60"/>
      <c r="ILL43" s="60"/>
      <c r="ILM43" s="60"/>
      <c r="ILN43" s="60"/>
      <c r="ILO43" s="60"/>
      <c r="ILP43" s="60"/>
      <c r="ILQ43" s="60"/>
      <c r="ILR43" s="60"/>
      <c r="ILS43" s="60"/>
      <c r="ILT43" s="60"/>
      <c r="ILU43" s="60"/>
      <c r="ILV43" s="60"/>
      <c r="ILW43" s="60"/>
      <c r="ILX43" s="60"/>
      <c r="ILY43" s="60"/>
      <c r="ILZ43" s="60"/>
      <c r="IMA43" s="60"/>
      <c r="IMB43" s="60"/>
      <c r="IMC43" s="60"/>
      <c r="IMD43" s="60"/>
      <c r="IME43" s="60"/>
      <c r="IMF43" s="60"/>
      <c r="IMG43" s="60"/>
      <c r="IMH43" s="60"/>
      <c r="IMI43" s="60"/>
      <c r="IMJ43" s="60"/>
      <c r="IMK43" s="60"/>
      <c r="IML43" s="60"/>
      <c r="IMM43" s="60"/>
      <c r="IMN43" s="60"/>
      <c r="IMO43" s="60"/>
      <c r="IMP43" s="60"/>
      <c r="IMQ43" s="60"/>
      <c r="IMR43" s="60"/>
      <c r="IMS43" s="60"/>
      <c r="IMT43" s="60"/>
      <c r="IMU43" s="60"/>
      <c r="IMV43" s="60"/>
      <c r="IMW43" s="60"/>
      <c r="IMX43" s="60"/>
      <c r="IMY43" s="60"/>
      <c r="IMZ43" s="60"/>
      <c r="INA43" s="60"/>
      <c r="INB43" s="60"/>
      <c r="INC43" s="60"/>
      <c r="IND43" s="60"/>
      <c r="INE43" s="60"/>
      <c r="INF43" s="60"/>
      <c r="ING43" s="60"/>
      <c r="INH43" s="60"/>
      <c r="INI43" s="60"/>
      <c r="INJ43" s="60"/>
      <c r="INK43" s="60"/>
      <c r="INL43" s="60"/>
      <c r="INM43" s="60"/>
      <c r="INN43" s="60"/>
      <c r="INO43" s="60"/>
      <c r="INP43" s="60"/>
      <c r="INQ43" s="60"/>
      <c r="INR43" s="60"/>
      <c r="INS43" s="60"/>
      <c r="INT43" s="60"/>
      <c r="INU43" s="60"/>
      <c r="INV43" s="60"/>
      <c r="INW43" s="60"/>
      <c r="INX43" s="60"/>
      <c r="INY43" s="60"/>
      <c r="INZ43" s="60"/>
      <c r="IOA43" s="60"/>
      <c r="IOB43" s="60"/>
      <c r="IOC43" s="60"/>
      <c r="IOD43" s="60"/>
      <c r="IOE43" s="60"/>
      <c r="IOF43" s="60"/>
      <c r="IOG43" s="60"/>
      <c r="IOH43" s="60"/>
      <c r="IOI43" s="60"/>
      <c r="IOJ43" s="60"/>
      <c r="IOK43" s="60"/>
      <c r="IOL43" s="60"/>
      <c r="IOM43" s="60"/>
      <c r="ION43" s="60"/>
      <c r="IOO43" s="60"/>
      <c r="IOP43" s="60"/>
      <c r="IOQ43" s="60"/>
      <c r="IOR43" s="60"/>
      <c r="IOS43" s="60"/>
      <c r="IOT43" s="60"/>
      <c r="IOU43" s="60"/>
      <c r="IOV43" s="60"/>
      <c r="IOW43" s="60"/>
      <c r="IOX43" s="60"/>
      <c r="IOY43" s="60"/>
      <c r="IOZ43" s="60"/>
      <c r="IPA43" s="60"/>
      <c r="IPB43" s="60"/>
      <c r="IPC43" s="60"/>
      <c r="IPD43" s="60"/>
      <c r="IPE43" s="60"/>
      <c r="IPF43" s="60"/>
      <c r="IPG43" s="60"/>
      <c r="IPH43" s="60"/>
      <c r="IPI43" s="60"/>
      <c r="IPJ43" s="60"/>
      <c r="IPK43" s="60"/>
      <c r="IPL43" s="60"/>
      <c r="IPM43" s="60"/>
      <c r="IPN43" s="60"/>
      <c r="IPO43" s="60"/>
      <c r="IPP43" s="60"/>
      <c r="IPQ43" s="60"/>
      <c r="IPR43" s="60"/>
      <c r="IPS43" s="60"/>
      <c r="IPT43" s="60"/>
      <c r="IPU43" s="60"/>
      <c r="IPV43" s="60"/>
      <c r="IPW43" s="60"/>
      <c r="IPX43" s="60"/>
      <c r="IPY43" s="60"/>
      <c r="IPZ43" s="60"/>
      <c r="IQA43" s="60"/>
      <c r="IQB43" s="60"/>
      <c r="IQC43" s="60"/>
      <c r="IQD43" s="60"/>
      <c r="IQE43" s="60"/>
      <c r="IQF43" s="60"/>
      <c r="IQG43" s="60"/>
      <c r="IQH43" s="60"/>
      <c r="IQI43" s="60"/>
      <c r="IQJ43" s="60"/>
      <c r="IQK43" s="60"/>
      <c r="IQL43" s="60"/>
      <c r="IQM43" s="60"/>
      <c r="IQN43" s="60"/>
      <c r="IQO43" s="60"/>
      <c r="IQP43" s="60"/>
      <c r="IQQ43" s="60"/>
      <c r="IQR43" s="60"/>
      <c r="IQS43" s="60"/>
      <c r="IQT43" s="60"/>
      <c r="IQU43" s="60"/>
      <c r="IQV43" s="60"/>
      <c r="IQW43" s="60"/>
      <c r="IQX43" s="60"/>
      <c r="IQY43" s="60"/>
      <c r="IQZ43" s="60"/>
      <c r="IRA43" s="60"/>
      <c r="IRB43" s="60"/>
      <c r="IRC43" s="60"/>
      <c r="IRD43" s="60"/>
      <c r="IRE43" s="60"/>
      <c r="IRF43" s="60"/>
      <c r="IRG43" s="60"/>
      <c r="IRH43" s="60"/>
      <c r="IRI43" s="60"/>
      <c r="IRJ43" s="60"/>
      <c r="IRK43" s="60"/>
      <c r="IRL43" s="60"/>
      <c r="IRM43" s="60"/>
      <c r="IRN43" s="60"/>
      <c r="IRO43" s="60"/>
      <c r="IRP43" s="60"/>
      <c r="IRQ43" s="60"/>
      <c r="IRR43" s="60"/>
      <c r="IRS43" s="60"/>
      <c r="IRT43" s="60"/>
      <c r="IRU43" s="60"/>
      <c r="IRV43" s="60"/>
      <c r="IRW43" s="60"/>
      <c r="IRX43" s="60"/>
      <c r="IRY43" s="60"/>
      <c r="IRZ43" s="60"/>
      <c r="ISA43" s="60"/>
      <c r="ISB43" s="60"/>
      <c r="ISC43" s="60"/>
      <c r="ISD43" s="60"/>
      <c r="ISE43" s="60"/>
      <c r="ISF43" s="60"/>
      <c r="ISG43" s="60"/>
      <c r="ISH43" s="60"/>
      <c r="ISI43" s="60"/>
      <c r="ISJ43" s="60"/>
      <c r="ISK43" s="60"/>
      <c r="ISL43" s="60"/>
      <c r="ISM43" s="60"/>
      <c r="ISN43" s="60"/>
      <c r="ISO43" s="60"/>
      <c r="ISP43" s="60"/>
      <c r="ISQ43" s="60"/>
      <c r="ISR43" s="60"/>
      <c r="ISS43" s="60"/>
      <c r="IST43" s="60"/>
      <c r="ISU43" s="60"/>
      <c r="ISV43" s="60"/>
      <c r="ISW43" s="60"/>
      <c r="ISX43" s="60"/>
      <c r="ISY43" s="60"/>
      <c r="ISZ43" s="60"/>
      <c r="ITA43" s="60"/>
      <c r="ITB43" s="60"/>
      <c r="ITC43" s="60"/>
      <c r="ITD43" s="60"/>
      <c r="ITE43" s="60"/>
      <c r="ITF43" s="60"/>
      <c r="ITG43" s="60"/>
      <c r="ITH43" s="60"/>
      <c r="ITI43" s="60"/>
      <c r="ITJ43" s="60"/>
      <c r="ITK43" s="60"/>
      <c r="ITL43" s="60"/>
      <c r="ITM43" s="60"/>
      <c r="ITN43" s="60"/>
      <c r="ITO43" s="60"/>
      <c r="ITP43" s="60"/>
      <c r="ITQ43" s="60"/>
      <c r="ITR43" s="60"/>
      <c r="ITS43" s="60"/>
      <c r="ITT43" s="60"/>
      <c r="ITU43" s="60"/>
      <c r="ITV43" s="60"/>
      <c r="ITW43" s="60"/>
      <c r="ITX43" s="60"/>
      <c r="ITY43" s="60"/>
      <c r="ITZ43" s="60"/>
      <c r="IUA43" s="60"/>
      <c r="IUB43" s="60"/>
      <c r="IUC43" s="60"/>
      <c r="IUD43" s="60"/>
      <c r="IUE43" s="60"/>
      <c r="IUF43" s="60"/>
      <c r="IUG43" s="60"/>
      <c r="IUH43" s="60"/>
      <c r="IUI43" s="60"/>
      <c r="IUJ43" s="60"/>
      <c r="IUK43" s="60"/>
      <c r="IUL43" s="60"/>
      <c r="IUM43" s="60"/>
      <c r="IUN43" s="60"/>
      <c r="IUO43" s="60"/>
      <c r="IUP43" s="60"/>
      <c r="IUQ43" s="60"/>
      <c r="IUR43" s="60"/>
      <c r="IUS43" s="60"/>
      <c r="IUT43" s="60"/>
      <c r="IUU43" s="60"/>
      <c r="IUV43" s="60"/>
      <c r="IUW43" s="60"/>
      <c r="IUX43" s="60"/>
      <c r="IUY43" s="60"/>
      <c r="IUZ43" s="60"/>
      <c r="IVA43" s="60"/>
      <c r="IVB43" s="60"/>
      <c r="IVC43" s="60"/>
      <c r="IVD43" s="60"/>
      <c r="IVE43" s="60"/>
      <c r="IVF43" s="60"/>
      <c r="IVG43" s="60"/>
      <c r="IVH43" s="60"/>
      <c r="IVI43" s="60"/>
      <c r="IVJ43" s="60"/>
      <c r="IVK43" s="60"/>
      <c r="IVL43" s="60"/>
      <c r="IVM43" s="60"/>
      <c r="IVN43" s="60"/>
      <c r="IVO43" s="60"/>
      <c r="IVP43" s="60"/>
      <c r="IVQ43" s="60"/>
      <c r="IVR43" s="60"/>
      <c r="IVS43" s="60"/>
      <c r="IVT43" s="60"/>
      <c r="IVU43" s="60"/>
      <c r="IVV43" s="60"/>
      <c r="IVW43" s="60"/>
      <c r="IVX43" s="60"/>
      <c r="IVY43" s="60"/>
      <c r="IVZ43" s="60"/>
      <c r="IWA43" s="60"/>
      <c r="IWB43" s="60"/>
      <c r="IWC43" s="60"/>
      <c r="IWD43" s="60"/>
      <c r="IWE43" s="60"/>
      <c r="IWF43" s="60"/>
      <c r="IWG43" s="60"/>
      <c r="IWH43" s="60"/>
      <c r="IWI43" s="60"/>
      <c r="IWJ43" s="60"/>
      <c r="IWK43" s="60"/>
      <c r="IWL43" s="60"/>
      <c r="IWM43" s="60"/>
      <c r="IWN43" s="60"/>
      <c r="IWO43" s="60"/>
      <c r="IWP43" s="60"/>
      <c r="IWQ43" s="60"/>
      <c r="IWR43" s="60"/>
      <c r="IWS43" s="60"/>
      <c r="IWT43" s="60"/>
      <c r="IWU43" s="60"/>
      <c r="IWV43" s="60"/>
      <c r="IWW43" s="60"/>
      <c r="IWX43" s="60"/>
      <c r="IWY43" s="60"/>
      <c r="IWZ43" s="60"/>
      <c r="IXA43" s="60"/>
      <c r="IXB43" s="60"/>
      <c r="IXC43" s="60"/>
      <c r="IXD43" s="60"/>
      <c r="IXE43" s="60"/>
      <c r="IXF43" s="60"/>
      <c r="IXG43" s="60"/>
      <c r="IXH43" s="60"/>
      <c r="IXI43" s="60"/>
      <c r="IXJ43" s="60"/>
      <c r="IXK43" s="60"/>
      <c r="IXL43" s="60"/>
      <c r="IXM43" s="60"/>
      <c r="IXN43" s="60"/>
      <c r="IXO43" s="60"/>
      <c r="IXP43" s="60"/>
      <c r="IXQ43" s="60"/>
      <c r="IXR43" s="60"/>
      <c r="IXS43" s="60"/>
      <c r="IXT43" s="60"/>
      <c r="IXU43" s="60"/>
      <c r="IXV43" s="60"/>
      <c r="IXW43" s="60"/>
      <c r="IXX43" s="60"/>
      <c r="IXY43" s="60"/>
      <c r="IXZ43" s="60"/>
      <c r="IYA43" s="60"/>
      <c r="IYB43" s="60"/>
      <c r="IYC43" s="60"/>
      <c r="IYD43" s="60"/>
      <c r="IYE43" s="60"/>
      <c r="IYF43" s="60"/>
      <c r="IYG43" s="60"/>
      <c r="IYH43" s="60"/>
      <c r="IYI43" s="60"/>
      <c r="IYJ43" s="60"/>
      <c r="IYK43" s="60"/>
      <c r="IYL43" s="60"/>
      <c r="IYM43" s="60"/>
      <c r="IYN43" s="60"/>
      <c r="IYO43" s="60"/>
      <c r="IYP43" s="60"/>
      <c r="IYQ43" s="60"/>
      <c r="IYR43" s="60"/>
      <c r="IYS43" s="60"/>
      <c r="IYT43" s="60"/>
      <c r="IYU43" s="60"/>
      <c r="IYV43" s="60"/>
      <c r="IYW43" s="60"/>
      <c r="IYX43" s="60"/>
      <c r="IYY43" s="60"/>
      <c r="IYZ43" s="60"/>
      <c r="IZA43" s="60"/>
      <c r="IZB43" s="60"/>
      <c r="IZC43" s="60"/>
      <c r="IZD43" s="60"/>
      <c r="IZE43" s="60"/>
      <c r="IZF43" s="60"/>
      <c r="IZG43" s="60"/>
      <c r="IZH43" s="60"/>
      <c r="IZI43" s="60"/>
      <c r="IZJ43" s="60"/>
      <c r="IZK43" s="60"/>
      <c r="IZL43" s="60"/>
      <c r="IZM43" s="60"/>
      <c r="IZN43" s="60"/>
      <c r="IZO43" s="60"/>
      <c r="IZP43" s="60"/>
      <c r="IZQ43" s="60"/>
      <c r="IZR43" s="60"/>
      <c r="IZS43" s="60"/>
      <c r="IZT43" s="60"/>
      <c r="IZU43" s="60"/>
      <c r="IZV43" s="60"/>
      <c r="IZW43" s="60"/>
      <c r="IZX43" s="60"/>
      <c r="IZY43" s="60"/>
      <c r="IZZ43" s="60"/>
      <c r="JAA43" s="60"/>
      <c r="JAB43" s="60"/>
      <c r="JAC43" s="60"/>
      <c r="JAD43" s="60"/>
      <c r="JAE43" s="60"/>
      <c r="JAF43" s="60"/>
      <c r="JAG43" s="60"/>
      <c r="JAH43" s="60"/>
      <c r="JAI43" s="60"/>
      <c r="JAJ43" s="60"/>
      <c r="JAK43" s="60"/>
      <c r="JAL43" s="60"/>
      <c r="JAM43" s="60"/>
      <c r="JAN43" s="60"/>
      <c r="JAO43" s="60"/>
      <c r="JAP43" s="60"/>
      <c r="JAQ43" s="60"/>
      <c r="JAR43" s="60"/>
      <c r="JAS43" s="60"/>
      <c r="JAT43" s="60"/>
      <c r="JAU43" s="60"/>
      <c r="JAV43" s="60"/>
      <c r="JAW43" s="60"/>
      <c r="JAX43" s="60"/>
      <c r="JAY43" s="60"/>
      <c r="JAZ43" s="60"/>
      <c r="JBA43" s="60"/>
      <c r="JBB43" s="60"/>
      <c r="JBC43" s="60"/>
      <c r="JBD43" s="60"/>
      <c r="JBE43" s="60"/>
      <c r="JBF43" s="60"/>
      <c r="JBG43" s="60"/>
      <c r="JBH43" s="60"/>
      <c r="JBI43" s="60"/>
      <c r="JBJ43" s="60"/>
      <c r="JBK43" s="60"/>
      <c r="JBL43" s="60"/>
      <c r="JBM43" s="60"/>
      <c r="JBN43" s="60"/>
      <c r="JBO43" s="60"/>
      <c r="JBP43" s="60"/>
      <c r="JBQ43" s="60"/>
      <c r="JBR43" s="60"/>
      <c r="JBS43" s="60"/>
      <c r="JBT43" s="60"/>
      <c r="JBU43" s="60"/>
      <c r="JBV43" s="60"/>
      <c r="JBW43" s="60"/>
      <c r="JBX43" s="60"/>
      <c r="JBY43" s="60"/>
      <c r="JBZ43" s="60"/>
      <c r="JCA43" s="60"/>
      <c r="JCB43" s="60"/>
      <c r="JCC43" s="60"/>
      <c r="JCD43" s="60"/>
      <c r="JCE43" s="60"/>
      <c r="JCF43" s="60"/>
      <c r="JCG43" s="60"/>
      <c r="JCH43" s="60"/>
      <c r="JCI43" s="60"/>
      <c r="JCJ43" s="60"/>
      <c r="JCK43" s="60"/>
      <c r="JCL43" s="60"/>
      <c r="JCM43" s="60"/>
      <c r="JCN43" s="60"/>
      <c r="JCO43" s="60"/>
      <c r="JCP43" s="60"/>
      <c r="JCQ43" s="60"/>
      <c r="JCR43" s="60"/>
      <c r="JCS43" s="60"/>
      <c r="JCT43" s="60"/>
      <c r="JCU43" s="60"/>
      <c r="JCV43" s="60"/>
      <c r="JCW43" s="60"/>
      <c r="JCX43" s="60"/>
      <c r="JCY43" s="60"/>
      <c r="JCZ43" s="60"/>
      <c r="JDA43" s="60"/>
      <c r="JDB43" s="60"/>
      <c r="JDC43" s="60"/>
      <c r="JDD43" s="60"/>
      <c r="JDE43" s="60"/>
      <c r="JDF43" s="60"/>
      <c r="JDG43" s="60"/>
      <c r="JDH43" s="60"/>
      <c r="JDI43" s="60"/>
      <c r="JDJ43" s="60"/>
      <c r="JDK43" s="60"/>
      <c r="JDL43" s="60"/>
      <c r="JDM43" s="60"/>
      <c r="JDN43" s="60"/>
      <c r="JDO43" s="60"/>
      <c r="JDP43" s="60"/>
      <c r="JDQ43" s="60"/>
      <c r="JDR43" s="60"/>
      <c r="JDS43" s="60"/>
      <c r="JDT43" s="60"/>
      <c r="JDU43" s="60"/>
      <c r="JDV43" s="60"/>
      <c r="JDW43" s="60"/>
      <c r="JDX43" s="60"/>
      <c r="JDY43" s="60"/>
      <c r="JDZ43" s="60"/>
      <c r="JEA43" s="60"/>
      <c r="JEB43" s="60"/>
      <c r="JEC43" s="60"/>
      <c r="JED43" s="60"/>
      <c r="JEE43" s="60"/>
      <c r="JEF43" s="60"/>
      <c r="JEG43" s="60"/>
      <c r="JEH43" s="60"/>
      <c r="JEI43" s="60"/>
      <c r="JEJ43" s="60"/>
      <c r="JEK43" s="60"/>
      <c r="JEL43" s="60"/>
      <c r="JEM43" s="60"/>
      <c r="JEN43" s="60"/>
      <c r="JEO43" s="60"/>
      <c r="JEP43" s="60"/>
      <c r="JEQ43" s="60"/>
      <c r="JER43" s="60"/>
      <c r="JES43" s="60"/>
      <c r="JET43" s="60"/>
      <c r="JEU43" s="60"/>
      <c r="JEV43" s="60"/>
      <c r="JEW43" s="60"/>
      <c r="JEX43" s="60"/>
      <c r="JEY43" s="60"/>
      <c r="JEZ43" s="60"/>
      <c r="JFA43" s="60"/>
      <c r="JFB43" s="60"/>
      <c r="JFC43" s="60"/>
      <c r="JFD43" s="60"/>
      <c r="JFE43" s="60"/>
      <c r="JFF43" s="60"/>
      <c r="JFG43" s="60"/>
      <c r="JFH43" s="60"/>
      <c r="JFI43" s="60"/>
      <c r="JFJ43" s="60"/>
      <c r="JFK43" s="60"/>
      <c r="JFL43" s="60"/>
      <c r="JFM43" s="60"/>
      <c r="JFN43" s="60"/>
      <c r="JFO43" s="60"/>
      <c r="JFP43" s="60"/>
      <c r="JFQ43" s="60"/>
      <c r="JFR43" s="60"/>
      <c r="JFS43" s="60"/>
      <c r="JFT43" s="60"/>
      <c r="JFU43" s="60"/>
      <c r="JFV43" s="60"/>
      <c r="JFW43" s="60"/>
      <c r="JFX43" s="60"/>
      <c r="JFY43" s="60"/>
      <c r="JFZ43" s="60"/>
      <c r="JGA43" s="60"/>
      <c r="JGB43" s="60"/>
      <c r="JGC43" s="60"/>
      <c r="JGD43" s="60"/>
      <c r="JGE43" s="60"/>
      <c r="JGF43" s="60"/>
      <c r="JGG43" s="60"/>
      <c r="JGH43" s="60"/>
      <c r="JGI43" s="60"/>
      <c r="JGJ43" s="60"/>
      <c r="JGK43" s="60"/>
      <c r="JGL43" s="60"/>
      <c r="JGM43" s="60"/>
      <c r="JGN43" s="60"/>
      <c r="JGO43" s="60"/>
      <c r="JGP43" s="60"/>
      <c r="JGQ43" s="60"/>
      <c r="JGR43" s="60"/>
      <c r="JGS43" s="60"/>
      <c r="JGT43" s="60"/>
      <c r="JGU43" s="60"/>
      <c r="JGV43" s="60"/>
      <c r="JGW43" s="60"/>
      <c r="JGX43" s="60"/>
      <c r="JGY43" s="60"/>
      <c r="JGZ43" s="60"/>
      <c r="JHA43" s="60"/>
      <c r="JHB43" s="60"/>
      <c r="JHC43" s="60"/>
      <c r="JHD43" s="60"/>
      <c r="JHE43" s="60"/>
      <c r="JHF43" s="60"/>
      <c r="JHG43" s="60"/>
      <c r="JHH43" s="60"/>
      <c r="JHI43" s="60"/>
      <c r="JHJ43" s="60"/>
      <c r="JHK43" s="60"/>
      <c r="JHL43" s="60"/>
      <c r="JHM43" s="60"/>
      <c r="JHN43" s="60"/>
      <c r="JHO43" s="60"/>
      <c r="JHP43" s="60"/>
      <c r="JHQ43" s="60"/>
      <c r="JHR43" s="60"/>
      <c r="JHS43" s="60"/>
      <c r="JHT43" s="60"/>
      <c r="JHU43" s="60"/>
      <c r="JHV43" s="60"/>
      <c r="JHW43" s="60"/>
      <c r="JHX43" s="60"/>
      <c r="JHY43" s="60"/>
      <c r="JHZ43" s="60"/>
      <c r="JIA43" s="60"/>
      <c r="JIB43" s="60"/>
      <c r="JIC43" s="60"/>
      <c r="JID43" s="60"/>
      <c r="JIE43" s="60"/>
      <c r="JIF43" s="60"/>
      <c r="JIG43" s="60"/>
      <c r="JIH43" s="60"/>
      <c r="JII43" s="60"/>
      <c r="JIJ43" s="60"/>
      <c r="JIK43" s="60"/>
      <c r="JIL43" s="60"/>
      <c r="JIM43" s="60"/>
      <c r="JIN43" s="60"/>
      <c r="JIO43" s="60"/>
      <c r="JIP43" s="60"/>
      <c r="JIQ43" s="60"/>
      <c r="JIR43" s="60"/>
      <c r="JIS43" s="60"/>
      <c r="JIT43" s="60"/>
      <c r="JIU43" s="60"/>
      <c r="JIV43" s="60"/>
      <c r="JIW43" s="60"/>
      <c r="JIX43" s="60"/>
      <c r="JIY43" s="60"/>
      <c r="JIZ43" s="60"/>
      <c r="JJA43" s="60"/>
      <c r="JJB43" s="60"/>
      <c r="JJC43" s="60"/>
      <c r="JJD43" s="60"/>
      <c r="JJE43" s="60"/>
      <c r="JJF43" s="60"/>
      <c r="JJG43" s="60"/>
      <c r="JJH43" s="60"/>
      <c r="JJI43" s="60"/>
      <c r="JJJ43" s="60"/>
      <c r="JJK43" s="60"/>
      <c r="JJL43" s="60"/>
      <c r="JJM43" s="60"/>
      <c r="JJN43" s="60"/>
      <c r="JJO43" s="60"/>
      <c r="JJP43" s="60"/>
      <c r="JJQ43" s="60"/>
      <c r="JJR43" s="60"/>
      <c r="JJS43" s="60"/>
      <c r="JJT43" s="60"/>
      <c r="JJU43" s="60"/>
      <c r="JJV43" s="60"/>
      <c r="JJW43" s="60"/>
      <c r="JJX43" s="60"/>
      <c r="JJY43" s="60"/>
      <c r="JJZ43" s="60"/>
      <c r="JKA43" s="60"/>
      <c r="JKB43" s="60"/>
      <c r="JKC43" s="60"/>
      <c r="JKD43" s="60"/>
      <c r="JKE43" s="60"/>
      <c r="JKF43" s="60"/>
      <c r="JKG43" s="60"/>
      <c r="JKH43" s="60"/>
      <c r="JKI43" s="60"/>
      <c r="JKJ43" s="60"/>
      <c r="JKK43" s="60"/>
      <c r="JKL43" s="60"/>
      <c r="JKM43" s="60"/>
      <c r="JKN43" s="60"/>
      <c r="JKO43" s="60"/>
      <c r="JKP43" s="60"/>
      <c r="JKQ43" s="60"/>
      <c r="JKR43" s="60"/>
      <c r="JKS43" s="60"/>
      <c r="JKT43" s="60"/>
      <c r="JKU43" s="60"/>
      <c r="JKV43" s="60"/>
      <c r="JKW43" s="60"/>
      <c r="JKX43" s="60"/>
      <c r="JKY43" s="60"/>
      <c r="JKZ43" s="60"/>
      <c r="JLA43" s="60"/>
      <c r="JLB43" s="60"/>
      <c r="JLC43" s="60"/>
      <c r="JLD43" s="60"/>
      <c r="JLE43" s="60"/>
      <c r="JLF43" s="60"/>
      <c r="JLG43" s="60"/>
      <c r="JLH43" s="60"/>
      <c r="JLI43" s="60"/>
      <c r="JLJ43" s="60"/>
      <c r="JLK43" s="60"/>
      <c r="JLL43" s="60"/>
      <c r="JLM43" s="60"/>
      <c r="JLN43" s="60"/>
      <c r="JLO43" s="60"/>
      <c r="JLP43" s="60"/>
      <c r="JLQ43" s="60"/>
      <c r="JLR43" s="60"/>
      <c r="JLS43" s="60"/>
      <c r="JLT43" s="60"/>
      <c r="JLU43" s="60"/>
      <c r="JLV43" s="60"/>
      <c r="JLW43" s="60"/>
      <c r="JLX43" s="60"/>
      <c r="JLY43" s="60"/>
      <c r="JLZ43" s="60"/>
      <c r="JMA43" s="60"/>
      <c r="JMB43" s="60"/>
      <c r="JMC43" s="60"/>
      <c r="JMD43" s="60"/>
      <c r="JME43" s="60"/>
      <c r="JMF43" s="60"/>
      <c r="JMG43" s="60"/>
      <c r="JMH43" s="60"/>
      <c r="JMI43" s="60"/>
      <c r="JMJ43" s="60"/>
      <c r="JMK43" s="60"/>
      <c r="JML43" s="60"/>
      <c r="JMM43" s="60"/>
      <c r="JMN43" s="60"/>
      <c r="JMO43" s="60"/>
      <c r="JMP43" s="60"/>
      <c r="JMQ43" s="60"/>
      <c r="JMR43" s="60"/>
      <c r="JMS43" s="60"/>
      <c r="JMT43" s="60"/>
      <c r="JMU43" s="60"/>
      <c r="JMV43" s="60"/>
      <c r="JMW43" s="60"/>
      <c r="JMX43" s="60"/>
      <c r="JMY43" s="60"/>
      <c r="JMZ43" s="60"/>
      <c r="JNA43" s="60"/>
      <c r="JNB43" s="60"/>
      <c r="JNC43" s="60"/>
      <c r="JND43" s="60"/>
      <c r="JNE43" s="60"/>
      <c r="JNF43" s="60"/>
      <c r="JNG43" s="60"/>
      <c r="JNH43" s="60"/>
      <c r="JNI43" s="60"/>
      <c r="JNJ43" s="60"/>
      <c r="JNK43" s="60"/>
      <c r="JNL43" s="60"/>
      <c r="JNM43" s="60"/>
      <c r="JNN43" s="60"/>
      <c r="JNO43" s="60"/>
      <c r="JNP43" s="60"/>
      <c r="JNQ43" s="60"/>
      <c r="JNR43" s="60"/>
      <c r="JNS43" s="60"/>
      <c r="JNT43" s="60"/>
      <c r="JNU43" s="60"/>
      <c r="JNV43" s="60"/>
      <c r="JNW43" s="60"/>
      <c r="JNX43" s="60"/>
      <c r="JNY43" s="60"/>
      <c r="JNZ43" s="60"/>
      <c r="JOA43" s="60"/>
      <c r="JOB43" s="60"/>
      <c r="JOC43" s="60"/>
      <c r="JOD43" s="60"/>
      <c r="JOE43" s="60"/>
      <c r="JOF43" s="60"/>
      <c r="JOG43" s="60"/>
      <c r="JOH43" s="60"/>
      <c r="JOI43" s="60"/>
      <c r="JOJ43" s="60"/>
      <c r="JOK43" s="60"/>
      <c r="JOL43" s="60"/>
      <c r="JOM43" s="60"/>
      <c r="JON43" s="60"/>
      <c r="JOO43" s="60"/>
      <c r="JOP43" s="60"/>
      <c r="JOQ43" s="60"/>
      <c r="JOR43" s="60"/>
      <c r="JOS43" s="60"/>
      <c r="JOT43" s="60"/>
      <c r="JOU43" s="60"/>
      <c r="JOV43" s="60"/>
      <c r="JOW43" s="60"/>
      <c r="JOX43" s="60"/>
      <c r="JOY43" s="60"/>
      <c r="JOZ43" s="60"/>
      <c r="JPA43" s="60"/>
      <c r="JPB43" s="60"/>
      <c r="JPC43" s="60"/>
      <c r="JPD43" s="60"/>
      <c r="JPE43" s="60"/>
      <c r="JPF43" s="60"/>
      <c r="JPG43" s="60"/>
      <c r="JPH43" s="60"/>
      <c r="JPI43" s="60"/>
      <c r="JPJ43" s="60"/>
      <c r="JPK43" s="60"/>
      <c r="JPL43" s="60"/>
      <c r="JPM43" s="60"/>
      <c r="JPN43" s="60"/>
      <c r="JPO43" s="60"/>
      <c r="JPP43" s="60"/>
      <c r="JPQ43" s="60"/>
      <c r="JPR43" s="60"/>
      <c r="JPS43" s="60"/>
      <c r="JPT43" s="60"/>
      <c r="JPU43" s="60"/>
      <c r="JPV43" s="60"/>
      <c r="JPW43" s="60"/>
      <c r="JPX43" s="60"/>
      <c r="JPY43" s="60"/>
      <c r="JPZ43" s="60"/>
      <c r="JQA43" s="60"/>
      <c r="JQB43" s="60"/>
      <c r="JQC43" s="60"/>
      <c r="JQD43" s="60"/>
      <c r="JQE43" s="60"/>
      <c r="JQF43" s="60"/>
      <c r="JQG43" s="60"/>
      <c r="JQH43" s="60"/>
      <c r="JQI43" s="60"/>
      <c r="JQJ43" s="60"/>
      <c r="JQK43" s="60"/>
      <c r="JQL43" s="60"/>
      <c r="JQM43" s="60"/>
      <c r="JQN43" s="60"/>
      <c r="JQO43" s="60"/>
      <c r="JQP43" s="60"/>
      <c r="JQQ43" s="60"/>
      <c r="JQR43" s="60"/>
      <c r="JQS43" s="60"/>
      <c r="JQT43" s="60"/>
      <c r="JQU43" s="60"/>
      <c r="JQV43" s="60"/>
      <c r="JQW43" s="60"/>
      <c r="JQX43" s="60"/>
      <c r="JQY43" s="60"/>
      <c r="JQZ43" s="60"/>
      <c r="JRA43" s="60"/>
      <c r="JRB43" s="60"/>
      <c r="JRC43" s="60"/>
      <c r="JRD43" s="60"/>
      <c r="JRE43" s="60"/>
      <c r="JRF43" s="60"/>
      <c r="JRG43" s="60"/>
      <c r="JRH43" s="60"/>
      <c r="JRI43" s="60"/>
      <c r="JRJ43" s="60"/>
      <c r="JRK43" s="60"/>
      <c r="JRL43" s="60"/>
      <c r="JRM43" s="60"/>
      <c r="JRN43" s="60"/>
      <c r="JRO43" s="60"/>
      <c r="JRP43" s="60"/>
      <c r="JRQ43" s="60"/>
      <c r="JRR43" s="60"/>
      <c r="JRS43" s="60"/>
      <c r="JRT43" s="60"/>
      <c r="JRU43" s="60"/>
      <c r="JRV43" s="60"/>
      <c r="JRW43" s="60"/>
      <c r="JRX43" s="60"/>
      <c r="JRY43" s="60"/>
      <c r="JRZ43" s="60"/>
      <c r="JSA43" s="60"/>
      <c r="JSB43" s="60"/>
      <c r="JSC43" s="60"/>
      <c r="JSD43" s="60"/>
      <c r="JSE43" s="60"/>
      <c r="JSF43" s="60"/>
      <c r="JSG43" s="60"/>
      <c r="JSH43" s="60"/>
      <c r="JSI43" s="60"/>
      <c r="JSJ43" s="60"/>
      <c r="JSK43" s="60"/>
      <c r="JSL43" s="60"/>
      <c r="JSM43" s="60"/>
      <c r="JSN43" s="60"/>
      <c r="JSO43" s="60"/>
      <c r="JSP43" s="60"/>
      <c r="JSQ43" s="60"/>
      <c r="JSR43" s="60"/>
      <c r="JSS43" s="60"/>
      <c r="JST43" s="60"/>
      <c r="JSU43" s="60"/>
      <c r="JSV43" s="60"/>
      <c r="JSW43" s="60"/>
      <c r="JSX43" s="60"/>
      <c r="JSY43" s="60"/>
      <c r="JSZ43" s="60"/>
      <c r="JTA43" s="60"/>
      <c r="JTB43" s="60"/>
      <c r="JTC43" s="60"/>
      <c r="JTD43" s="60"/>
      <c r="JTE43" s="60"/>
      <c r="JTF43" s="60"/>
      <c r="JTG43" s="60"/>
      <c r="JTH43" s="60"/>
      <c r="JTI43" s="60"/>
      <c r="JTJ43" s="60"/>
      <c r="JTK43" s="60"/>
      <c r="JTL43" s="60"/>
      <c r="JTM43" s="60"/>
      <c r="JTN43" s="60"/>
      <c r="JTO43" s="60"/>
      <c r="JTP43" s="60"/>
      <c r="JTQ43" s="60"/>
      <c r="JTR43" s="60"/>
      <c r="JTS43" s="60"/>
      <c r="JTT43" s="60"/>
      <c r="JTU43" s="60"/>
      <c r="JTV43" s="60"/>
      <c r="JTW43" s="60"/>
      <c r="JTX43" s="60"/>
      <c r="JTY43" s="60"/>
      <c r="JTZ43" s="60"/>
      <c r="JUA43" s="60"/>
      <c r="JUB43" s="60"/>
      <c r="JUC43" s="60"/>
      <c r="JUD43" s="60"/>
      <c r="JUE43" s="60"/>
      <c r="JUF43" s="60"/>
      <c r="JUG43" s="60"/>
      <c r="JUH43" s="60"/>
      <c r="JUI43" s="60"/>
      <c r="JUJ43" s="60"/>
      <c r="JUK43" s="60"/>
      <c r="JUL43" s="60"/>
      <c r="JUM43" s="60"/>
      <c r="JUN43" s="60"/>
      <c r="JUO43" s="60"/>
      <c r="JUP43" s="60"/>
      <c r="JUQ43" s="60"/>
      <c r="JUR43" s="60"/>
      <c r="JUS43" s="60"/>
      <c r="JUT43" s="60"/>
      <c r="JUU43" s="60"/>
      <c r="JUV43" s="60"/>
      <c r="JUW43" s="60"/>
      <c r="JUX43" s="60"/>
      <c r="JUY43" s="60"/>
      <c r="JUZ43" s="60"/>
      <c r="JVA43" s="60"/>
      <c r="JVB43" s="60"/>
      <c r="JVC43" s="60"/>
      <c r="JVD43" s="60"/>
      <c r="JVE43" s="60"/>
      <c r="JVF43" s="60"/>
      <c r="JVG43" s="60"/>
      <c r="JVH43" s="60"/>
      <c r="JVI43" s="60"/>
      <c r="JVJ43" s="60"/>
      <c r="JVK43" s="60"/>
      <c r="JVL43" s="60"/>
      <c r="JVM43" s="60"/>
      <c r="JVN43" s="60"/>
      <c r="JVO43" s="60"/>
      <c r="JVP43" s="60"/>
      <c r="JVQ43" s="60"/>
      <c r="JVR43" s="60"/>
      <c r="JVS43" s="60"/>
      <c r="JVT43" s="60"/>
      <c r="JVU43" s="60"/>
      <c r="JVV43" s="60"/>
      <c r="JVW43" s="60"/>
      <c r="JVX43" s="60"/>
      <c r="JVY43" s="60"/>
      <c r="JVZ43" s="60"/>
      <c r="JWA43" s="60"/>
      <c r="JWB43" s="60"/>
      <c r="JWC43" s="60"/>
      <c r="JWD43" s="60"/>
      <c r="JWE43" s="60"/>
      <c r="JWF43" s="60"/>
      <c r="JWG43" s="60"/>
      <c r="JWH43" s="60"/>
      <c r="JWI43" s="60"/>
      <c r="JWJ43" s="60"/>
      <c r="JWK43" s="60"/>
      <c r="JWL43" s="60"/>
      <c r="JWM43" s="60"/>
      <c r="JWN43" s="60"/>
      <c r="JWO43" s="60"/>
      <c r="JWP43" s="60"/>
      <c r="JWQ43" s="60"/>
      <c r="JWR43" s="60"/>
      <c r="JWS43" s="60"/>
      <c r="JWT43" s="60"/>
      <c r="JWU43" s="60"/>
      <c r="JWV43" s="60"/>
      <c r="JWW43" s="60"/>
      <c r="JWX43" s="60"/>
      <c r="JWY43" s="60"/>
      <c r="JWZ43" s="60"/>
      <c r="JXA43" s="60"/>
      <c r="JXB43" s="60"/>
      <c r="JXC43" s="60"/>
      <c r="JXD43" s="60"/>
      <c r="JXE43" s="60"/>
      <c r="JXF43" s="60"/>
      <c r="JXG43" s="60"/>
      <c r="JXH43" s="60"/>
      <c r="JXI43" s="60"/>
      <c r="JXJ43" s="60"/>
      <c r="JXK43" s="60"/>
      <c r="JXL43" s="60"/>
      <c r="JXM43" s="60"/>
      <c r="JXN43" s="60"/>
      <c r="JXO43" s="60"/>
      <c r="JXP43" s="60"/>
      <c r="JXQ43" s="60"/>
      <c r="JXR43" s="60"/>
      <c r="JXS43" s="60"/>
      <c r="JXT43" s="60"/>
      <c r="JXU43" s="60"/>
      <c r="JXV43" s="60"/>
      <c r="JXW43" s="60"/>
      <c r="JXX43" s="60"/>
      <c r="JXY43" s="60"/>
      <c r="JXZ43" s="60"/>
      <c r="JYA43" s="60"/>
      <c r="JYB43" s="60"/>
      <c r="JYC43" s="60"/>
      <c r="JYD43" s="60"/>
      <c r="JYE43" s="60"/>
      <c r="JYF43" s="60"/>
      <c r="JYG43" s="60"/>
      <c r="JYH43" s="60"/>
      <c r="JYI43" s="60"/>
      <c r="JYJ43" s="60"/>
      <c r="JYK43" s="60"/>
      <c r="JYL43" s="60"/>
      <c r="JYM43" s="60"/>
      <c r="JYN43" s="60"/>
      <c r="JYO43" s="60"/>
      <c r="JYP43" s="60"/>
      <c r="JYQ43" s="60"/>
      <c r="JYR43" s="60"/>
      <c r="JYS43" s="60"/>
      <c r="JYT43" s="60"/>
      <c r="JYU43" s="60"/>
      <c r="JYV43" s="60"/>
      <c r="JYW43" s="60"/>
      <c r="JYX43" s="60"/>
      <c r="JYY43" s="60"/>
      <c r="JYZ43" s="60"/>
      <c r="JZA43" s="60"/>
      <c r="JZB43" s="60"/>
      <c r="JZC43" s="60"/>
      <c r="JZD43" s="60"/>
      <c r="JZE43" s="60"/>
      <c r="JZF43" s="60"/>
      <c r="JZG43" s="60"/>
      <c r="JZH43" s="60"/>
      <c r="JZI43" s="60"/>
      <c r="JZJ43" s="60"/>
      <c r="JZK43" s="60"/>
      <c r="JZL43" s="60"/>
      <c r="JZM43" s="60"/>
      <c r="JZN43" s="60"/>
      <c r="JZO43" s="60"/>
      <c r="JZP43" s="60"/>
      <c r="JZQ43" s="60"/>
      <c r="JZR43" s="60"/>
      <c r="JZS43" s="60"/>
      <c r="JZT43" s="60"/>
      <c r="JZU43" s="60"/>
      <c r="JZV43" s="60"/>
      <c r="JZW43" s="60"/>
      <c r="JZX43" s="60"/>
      <c r="JZY43" s="60"/>
      <c r="JZZ43" s="60"/>
      <c r="KAA43" s="60"/>
      <c r="KAB43" s="60"/>
      <c r="KAC43" s="60"/>
      <c r="KAD43" s="60"/>
      <c r="KAE43" s="60"/>
      <c r="KAF43" s="60"/>
      <c r="KAG43" s="60"/>
      <c r="KAH43" s="60"/>
      <c r="KAI43" s="60"/>
      <c r="KAJ43" s="60"/>
      <c r="KAK43" s="60"/>
      <c r="KAL43" s="60"/>
      <c r="KAM43" s="60"/>
      <c r="KAN43" s="60"/>
      <c r="KAO43" s="60"/>
      <c r="KAP43" s="60"/>
      <c r="KAQ43" s="60"/>
      <c r="KAR43" s="60"/>
      <c r="KAS43" s="60"/>
      <c r="KAT43" s="60"/>
      <c r="KAU43" s="60"/>
      <c r="KAV43" s="60"/>
      <c r="KAW43" s="60"/>
      <c r="KAX43" s="60"/>
      <c r="KAY43" s="60"/>
      <c r="KAZ43" s="60"/>
      <c r="KBA43" s="60"/>
      <c r="KBB43" s="60"/>
      <c r="KBC43" s="60"/>
      <c r="KBD43" s="60"/>
      <c r="KBE43" s="60"/>
      <c r="KBF43" s="60"/>
      <c r="KBG43" s="60"/>
      <c r="KBH43" s="60"/>
      <c r="KBI43" s="60"/>
      <c r="KBJ43" s="60"/>
      <c r="KBK43" s="60"/>
      <c r="KBL43" s="60"/>
      <c r="KBM43" s="60"/>
      <c r="KBN43" s="60"/>
      <c r="KBO43" s="60"/>
      <c r="KBP43" s="60"/>
      <c r="KBQ43" s="60"/>
      <c r="KBR43" s="60"/>
      <c r="KBS43" s="60"/>
      <c r="KBT43" s="60"/>
      <c r="KBU43" s="60"/>
      <c r="KBV43" s="60"/>
      <c r="KBW43" s="60"/>
      <c r="KBX43" s="60"/>
      <c r="KBY43" s="60"/>
      <c r="KBZ43" s="60"/>
      <c r="KCA43" s="60"/>
      <c r="KCB43" s="60"/>
      <c r="KCC43" s="60"/>
      <c r="KCD43" s="60"/>
      <c r="KCE43" s="60"/>
      <c r="KCF43" s="60"/>
      <c r="KCG43" s="60"/>
      <c r="KCH43" s="60"/>
      <c r="KCI43" s="60"/>
      <c r="KCJ43" s="60"/>
      <c r="KCK43" s="60"/>
      <c r="KCL43" s="60"/>
      <c r="KCM43" s="60"/>
      <c r="KCN43" s="60"/>
      <c r="KCO43" s="60"/>
      <c r="KCP43" s="60"/>
      <c r="KCQ43" s="60"/>
      <c r="KCR43" s="60"/>
      <c r="KCS43" s="60"/>
      <c r="KCT43" s="60"/>
      <c r="KCU43" s="60"/>
      <c r="KCV43" s="60"/>
      <c r="KCW43" s="60"/>
      <c r="KCX43" s="60"/>
      <c r="KCY43" s="60"/>
      <c r="KCZ43" s="60"/>
      <c r="KDA43" s="60"/>
      <c r="KDB43" s="60"/>
      <c r="KDC43" s="60"/>
      <c r="KDD43" s="60"/>
      <c r="KDE43" s="60"/>
      <c r="KDF43" s="60"/>
      <c r="KDG43" s="60"/>
      <c r="KDH43" s="60"/>
      <c r="KDI43" s="60"/>
      <c r="KDJ43" s="60"/>
      <c r="KDK43" s="60"/>
      <c r="KDL43" s="60"/>
      <c r="KDM43" s="60"/>
      <c r="KDN43" s="60"/>
      <c r="KDO43" s="60"/>
      <c r="KDP43" s="60"/>
      <c r="KDQ43" s="60"/>
      <c r="KDR43" s="60"/>
      <c r="KDS43" s="60"/>
      <c r="KDT43" s="60"/>
      <c r="KDU43" s="60"/>
      <c r="KDV43" s="60"/>
      <c r="KDW43" s="60"/>
      <c r="KDX43" s="60"/>
      <c r="KDY43" s="60"/>
      <c r="KDZ43" s="60"/>
      <c r="KEA43" s="60"/>
      <c r="KEB43" s="60"/>
      <c r="KEC43" s="60"/>
      <c r="KED43" s="60"/>
      <c r="KEE43" s="60"/>
      <c r="KEF43" s="60"/>
      <c r="KEG43" s="60"/>
      <c r="KEH43" s="60"/>
      <c r="KEI43" s="60"/>
      <c r="KEJ43" s="60"/>
      <c r="KEK43" s="60"/>
      <c r="KEL43" s="60"/>
      <c r="KEM43" s="60"/>
      <c r="KEN43" s="60"/>
      <c r="KEO43" s="60"/>
      <c r="KEP43" s="60"/>
      <c r="KEQ43" s="60"/>
      <c r="KER43" s="60"/>
      <c r="KES43" s="60"/>
      <c r="KET43" s="60"/>
      <c r="KEU43" s="60"/>
      <c r="KEV43" s="60"/>
      <c r="KEW43" s="60"/>
      <c r="KEX43" s="60"/>
      <c r="KEY43" s="60"/>
      <c r="KEZ43" s="60"/>
      <c r="KFA43" s="60"/>
      <c r="KFB43" s="60"/>
      <c r="KFC43" s="60"/>
      <c r="KFD43" s="60"/>
      <c r="KFE43" s="60"/>
      <c r="KFF43" s="60"/>
      <c r="KFG43" s="60"/>
      <c r="KFH43" s="60"/>
      <c r="KFI43" s="60"/>
      <c r="KFJ43" s="60"/>
      <c r="KFK43" s="60"/>
      <c r="KFL43" s="60"/>
      <c r="KFM43" s="60"/>
      <c r="KFN43" s="60"/>
      <c r="KFO43" s="60"/>
      <c r="KFP43" s="60"/>
      <c r="KFQ43" s="60"/>
      <c r="KFR43" s="60"/>
      <c r="KFS43" s="60"/>
      <c r="KFT43" s="60"/>
      <c r="KFU43" s="60"/>
      <c r="KFV43" s="60"/>
      <c r="KFW43" s="60"/>
      <c r="KFX43" s="60"/>
      <c r="KFY43" s="60"/>
      <c r="KFZ43" s="60"/>
      <c r="KGA43" s="60"/>
      <c r="KGB43" s="60"/>
      <c r="KGC43" s="60"/>
      <c r="KGD43" s="60"/>
      <c r="KGE43" s="60"/>
      <c r="KGF43" s="60"/>
      <c r="KGG43" s="60"/>
      <c r="KGH43" s="60"/>
      <c r="KGI43" s="60"/>
      <c r="KGJ43" s="60"/>
      <c r="KGK43" s="60"/>
      <c r="KGL43" s="60"/>
      <c r="KGM43" s="60"/>
      <c r="KGN43" s="60"/>
      <c r="KGO43" s="60"/>
      <c r="KGP43" s="60"/>
      <c r="KGQ43" s="60"/>
      <c r="KGR43" s="60"/>
      <c r="KGS43" s="60"/>
      <c r="KGT43" s="60"/>
      <c r="KGU43" s="60"/>
      <c r="KGV43" s="60"/>
      <c r="KGW43" s="60"/>
      <c r="KGX43" s="60"/>
      <c r="KGY43" s="60"/>
      <c r="KGZ43" s="60"/>
      <c r="KHA43" s="60"/>
      <c r="KHB43" s="60"/>
      <c r="KHC43" s="60"/>
      <c r="KHD43" s="60"/>
      <c r="KHE43" s="60"/>
      <c r="KHF43" s="60"/>
      <c r="KHG43" s="60"/>
      <c r="KHH43" s="60"/>
      <c r="KHI43" s="60"/>
      <c r="KHJ43" s="60"/>
      <c r="KHK43" s="60"/>
      <c r="KHL43" s="60"/>
      <c r="KHM43" s="60"/>
      <c r="KHN43" s="60"/>
      <c r="KHO43" s="60"/>
      <c r="KHP43" s="60"/>
      <c r="KHQ43" s="60"/>
      <c r="KHR43" s="60"/>
      <c r="KHS43" s="60"/>
      <c r="KHT43" s="60"/>
      <c r="KHU43" s="60"/>
      <c r="KHV43" s="60"/>
      <c r="KHW43" s="60"/>
      <c r="KHX43" s="60"/>
      <c r="KHY43" s="60"/>
      <c r="KHZ43" s="60"/>
      <c r="KIA43" s="60"/>
      <c r="KIB43" s="60"/>
      <c r="KIC43" s="60"/>
      <c r="KID43" s="60"/>
      <c r="KIE43" s="60"/>
      <c r="KIF43" s="60"/>
      <c r="KIG43" s="60"/>
      <c r="KIH43" s="60"/>
      <c r="KII43" s="60"/>
      <c r="KIJ43" s="60"/>
      <c r="KIK43" s="60"/>
      <c r="KIL43" s="60"/>
      <c r="KIM43" s="60"/>
      <c r="KIN43" s="60"/>
      <c r="KIO43" s="60"/>
      <c r="KIP43" s="60"/>
      <c r="KIQ43" s="60"/>
      <c r="KIR43" s="60"/>
      <c r="KIS43" s="60"/>
      <c r="KIT43" s="60"/>
      <c r="KIU43" s="60"/>
      <c r="KIV43" s="60"/>
      <c r="KIW43" s="60"/>
      <c r="KIX43" s="60"/>
      <c r="KIY43" s="60"/>
      <c r="KIZ43" s="60"/>
      <c r="KJA43" s="60"/>
      <c r="KJB43" s="60"/>
      <c r="KJC43" s="60"/>
      <c r="KJD43" s="60"/>
      <c r="KJE43" s="60"/>
      <c r="KJF43" s="60"/>
      <c r="KJG43" s="60"/>
      <c r="KJH43" s="60"/>
      <c r="KJI43" s="60"/>
      <c r="KJJ43" s="60"/>
      <c r="KJK43" s="60"/>
      <c r="KJL43" s="60"/>
      <c r="KJM43" s="60"/>
      <c r="KJN43" s="60"/>
      <c r="KJO43" s="60"/>
      <c r="KJP43" s="60"/>
      <c r="KJQ43" s="60"/>
      <c r="KJR43" s="60"/>
      <c r="KJS43" s="60"/>
      <c r="KJT43" s="60"/>
      <c r="KJU43" s="60"/>
      <c r="KJV43" s="60"/>
      <c r="KJW43" s="60"/>
      <c r="KJX43" s="60"/>
      <c r="KJY43" s="60"/>
      <c r="KJZ43" s="60"/>
      <c r="KKA43" s="60"/>
      <c r="KKB43" s="60"/>
      <c r="KKC43" s="60"/>
      <c r="KKD43" s="60"/>
      <c r="KKE43" s="60"/>
      <c r="KKF43" s="60"/>
      <c r="KKG43" s="60"/>
      <c r="KKH43" s="60"/>
      <c r="KKI43" s="60"/>
      <c r="KKJ43" s="60"/>
      <c r="KKK43" s="60"/>
      <c r="KKL43" s="60"/>
      <c r="KKM43" s="60"/>
      <c r="KKN43" s="60"/>
      <c r="KKO43" s="60"/>
      <c r="KKP43" s="60"/>
      <c r="KKQ43" s="60"/>
      <c r="KKR43" s="60"/>
      <c r="KKS43" s="60"/>
      <c r="KKT43" s="60"/>
      <c r="KKU43" s="60"/>
      <c r="KKV43" s="60"/>
      <c r="KKW43" s="60"/>
      <c r="KKX43" s="60"/>
      <c r="KKY43" s="60"/>
      <c r="KKZ43" s="60"/>
      <c r="KLA43" s="60"/>
      <c r="KLB43" s="60"/>
      <c r="KLC43" s="60"/>
      <c r="KLD43" s="60"/>
      <c r="KLE43" s="60"/>
      <c r="KLF43" s="60"/>
      <c r="KLG43" s="60"/>
      <c r="KLH43" s="60"/>
      <c r="KLI43" s="60"/>
      <c r="KLJ43" s="60"/>
      <c r="KLK43" s="60"/>
      <c r="KLL43" s="60"/>
      <c r="KLM43" s="60"/>
      <c r="KLN43" s="60"/>
      <c r="KLO43" s="60"/>
      <c r="KLP43" s="60"/>
      <c r="KLQ43" s="60"/>
      <c r="KLR43" s="60"/>
      <c r="KLS43" s="60"/>
      <c r="KLT43" s="60"/>
      <c r="KLU43" s="60"/>
      <c r="KLV43" s="60"/>
      <c r="KLW43" s="60"/>
      <c r="KLX43" s="60"/>
      <c r="KLY43" s="60"/>
      <c r="KLZ43" s="60"/>
      <c r="KMA43" s="60"/>
      <c r="KMB43" s="60"/>
      <c r="KMC43" s="60"/>
      <c r="KMD43" s="60"/>
      <c r="KME43" s="60"/>
      <c r="KMF43" s="60"/>
      <c r="KMG43" s="60"/>
      <c r="KMH43" s="60"/>
      <c r="KMI43" s="60"/>
      <c r="KMJ43" s="60"/>
      <c r="KMK43" s="60"/>
      <c r="KML43" s="60"/>
      <c r="KMM43" s="60"/>
      <c r="KMN43" s="60"/>
      <c r="KMO43" s="60"/>
      <c r="KMP43" s="60"/>
      <c r="KMQ43" s="60"/>
      <c r="KMR43" s="60"/>
      <c r="KMS43" s="60"/>
      <c r="KMT43" s="60"/>
      <c r="KMU43" s="60"/>
      <c r="KMV43" s="60"/>
      <c r="KMW43" s="60"/>
      <c r="KMX43" s="60"/>
      <c r="KMY43" s="60"/>
      <c r="KMZ43" s="60"/>
      <c r="KNA43" s="60"/>
      <c r="KNB43" s="60"/>
      <c r="KNC43" s="60"/>
      <c r="KND43" s="60"/>
      <c r="KNE43" s="60"/>
      <c r="KNF43" s="60"/>
      <c r="KNG43" s="60"/>
      <c r="KNH43" s="60"/>
      <c r="KNI43" s="60"/>
      <c r="KNJ43" s="60"/>
      <c r="KNK43" s="60"/>
      <c r="KNL43" s="60"/>
      <c r="KNM43" s="60"/>
      <c r="KNN43" s="60"/>
      <c r="KNO43" s="60"/>
      <c r="KNP43" s="60"/>
      <c r="KNQ43" s="60"/>
      <c r="KNR43" s="60"/>
      <c r="KNS43" s="60"/>
      <c r="KNT43" s="60"/>
      <c r="KNU43" s="60"/>
      <c r="KNV43" s="60"/>
      <c r="KNW43" s="60"/>
      <c r="KNX43" s="60"/>
      <c r="KNY43" s="60"/>
      <c r="KNZ43" s="60"/>
      <c r="KOA43" s="60"/>
      <c r="KOB43" s="60"/>
      <c r="KOC43" s="60"/>
      <c r="KOD43" s="60"/>
      <c r="KOE43" s="60"/>
      <c r="KOF43" s="60"/>
      <c r="KOG43" s="60"/>
      <c r="KOH43" s="60"/>
      <c r="KOI43" s="60"/>
      <c r="KOJ43" s="60"/>
      <c r="KOK43" s="60"/>
      <c r="KOL43" s="60"/>
      <c r="KOM43" s="60"/>
      <c r="KON43" s="60"/>
      <c r="KOO43" s="60"/>
      <c r="KOP43" s="60"/>
      <c r="KOQ43" s="60"/>
      <c r="KOR43" s="60"/>
      <c r="KOS43" s="60"/>
      <c r="KOT43" s="60"/>
      <c r="KOU43" s="60"/>
      <c r="KOV43" s="60"/>
      <c r="KOW43" s="60"/>
      <c r="KOX43" s="60"/>
      <c r="KOY43" s="60"/>
      <c r="KOZ43" s="60"/>
      <c r="KPA43" s="60"/>
      <c r="KPB43" s="60"/>
      <c r="KPC43" s="60"/>
      <c r="KPD43" s="60"/>
      <c r="KPE43" s="60"/>
      <c r="KPF43" s="60"/>
      <c r="KPG43" s="60"/>
      <c r="KPH43" s="60"/>
      <c r="KPI43" s="60"/>
      <c r="KPJ43" s="60"/>
      <c r="KPK43" s="60"/>
      <c r="KPL43" s="60"/>
      <c r="KPM43" s="60"/>
      <c r="KPN43" s="60"/>
      <c r="KPO43" s="60"/>
      <c r="KPP43" s="60"/>
      <c r="KPQ43" s="60"/>
      <c r="KPR43" s="60"/>
      <c r="KPS43" s="60"/>
      <c r="KPT43" s="60"/>
      <c r="KPU43" s="60"/>
      <c r="KPV43" s="60"/>
      <c r="KPW43" s="60"/>
      <c r="KPX43" s="60"/>
      <c r="KPY43" s="60"/>
      <c r="KPZ43" s="60"/>
      <c r="KQA43" s="60"/>
      <c r="KQB43" s="60"/>
      <c r="KQC43" s="60"/>
      <c r="KQD43" s="60"/>
      <c r="KQE43" s="60"/>
      <c r="KQF43" s="60"/>
      <c r="KQG43" s="60"/>
      <c r="KQH43" s="60"/>
      <c r="KQI43" s="60"/>
      <c r="KQJ43" s="60"/>
      <c r="KQK43" s="60"/>
      <c r="KQL43" s="60"/>
      <c r="KQM43" s="60"/>
      <c r="KQN43" s="60"/>
      <c r="KQO43" s="60"/>
      <c r="KQP43" s="60"/>
      <c r="KQQ43" s="60"/>
      <c r="KQR43" s="60"/>
      <c r="KQS43" s="60"/>
      <c r="KQT43" s="60"/>
      <c r="KQU43" s="60"/>
      <c r="KQV43" s="60"/>
      <c r="KQW43" s="60"/>
      <c r="KQX43" s="60"/>
      <c r="KQY43" s="60"/>
      <c r="KQZ43" s="60"/>
      <c r="KRA43" s="60"/>
      <c r="KRB43" s="60"/>
      <c r="KRC43" s="60"/>
      <c r="KRD43" s="60"/>
      <c r="KRE43" s="60"/>
      <c r="KRF43" s="60"/>
      <c r="KRG43" s="60"/>
      <c r="KRH43" s="60"/>
      <c r="KRI43" s="60"/>
      <c r="KRJ43" s="60"/>
      <c r="KRK43" s="60"/>
      <c r="KRL43" s="60"/>
      <c r="KRM43" s="60"/>
      <c r="KRN43" s="60"/>
      <c r="KRO43" s="60"/>
      <c r="KRP43" s="60"/>
      <c r="KRQ43" s="60"/>
      <c r="KRR43" s="60"/>
      <c r="KRS43" s="60"/>
      <c r="KRT43" s="60"/>
      <c r="KRU43" s="60"/>
      <c r="KRV43" s="60"/>
      <c r="KRW43" s="60"/>
      <c r="KRX43" s="60"/>
      <c r="KRY43" s="60"/>
      <c r="KRZ43" s="60"/>
      <c r="KSA43" s="60"/>
      <c r="KSB43" s="60"/>
      <c r="KSC43" s="60"/>
      <c r="KSD43" s="60"/>
      <c r="KSE43" s="60"/>
      <c r="KSF43" s="60"/>
      <c r="KSG43" s="60"/>
      <c r="KSH43" s="60"/>
      <c r="KSI43" s="60"/>
      <c r="KSJ43" s="60"/>
      <c r="KSK43" s="60"/>
      <c r="KSL43" s="60"/>
      <c r="KSM43" s="60"/>
      <c r="KSN43" s="60"/>
      <c r="KSO43" s="60"/>
      <c r="KSP43" s="60"/>
      <c r="KSQ43" s="60"/>
      <c r="KSR43" s="60"/>
      <c r="KSS43" s="60"/>
      <c r="KST43" s="60"/>
      <c r="KSU43" s="60"/>
      <c r="KSV43" s="60"/>
      <c r="KSW43" s="60"/>
      <c r="KSX43" s="60"/>
      <c r="KSY43" s="60"/>
      <c r="KSZ43" s="60"/>
      <c r="KTA43" s="60"/>
      <c r="KTB43" s="60"/>
      <c r="KTC43" s="60"/>
      <c r="KTD43" s="60"/>
      <c r="KTE43" s="60"/>
      <c r="KTF43" s="60"/>
      <c r="KTG43" s="60"/>
      <c r="KTH43" s="60"/>
      <c r="KTI43" s="60"/>
      <c r="KTJ43" s="60"/>
      <c r="KTK43" s="60"/>
      <c r="KTL43" s="60"/>
      <c r="KTM43" s="60"/>
      <c r="KTN43" s="60"/>
      <c r="KTO43" s="60"/>
      <c r="KTP43" s="60"/>
      <c r="KTQ43" s="60"/>
      <c r="KTR43" s="60"/>
      <c r="KTS43" s="60"/>
      <c r="KTT43" s="60"/>
      <c r="KTU43" s="60"/>
      <c r="KTV43" s="60"/>
      <c r="KTW43" s="60"/>
      <c r="KTX43" s="60"/>
      <c r="KTY43" s="60"/>
      <c r="KTZ43" s="60"/>
      <c r="KUA43" s="60"/>
      <c r="KUB43" s="60"/>
      <c r="KUC43" s="60"/>
      <c r="KUD43" s="60"/>
      <c r="KUE43" s="60"/>
      <c r="KUF43" s="60"/>
      <c r="KUG43" s="60"/>
      <c r="KUH43" s="60"/>
      <c r="KUI43" s="60"/>
      <c r="KUJ43" s="60"/>
      <c r="KUK43" s="60"/>
      <c r="KUL43" s="60"/>
      <c r="KUM43" s="60"/>
      <c r="KUN43" s="60"/>
      <c r="KUO43" s="60"/>
      <c r="KUP43" s="60"/>
      <c r="KUQ43" s="60"/>
      <c r="KUR43" s="60"/>
      <c r="KUS43" s="60"/>
      <c r="KUT43" s="60"/>
      <c r="KUU43" s="60"/>
      <c r="KUV43" s="60"/>
      <c r="KUW43" s="60"/>
      <c r="KUX43" s="60"/>
      <c r="KUY43" s="60"/>
      <c r="KUZ43" s="60"/>
      <c r="KVA43" s="60"/>
      <c r="KVB43" s="60"/>
      <c r="KVC43" s="60"/>
      <c r="KVD43" s="60"/>
      <c r="KVE43" s="60"/>
      <c r="KVF43" s="60"/>
      <c r="KVG43" s="60"/>
      <c r="KVH43" s="60"/>
      <c r="KVI43" s="60"/>
      <c r="KVJ43" s="60"/>
      <c r="KVK43" s="60"/>
      <c r="KVL43" s="60"/>
      <c r="KVM43" s="60"/>
      <c r="KVN43" s="60"/>
      <c r="KVO43" s="60"/>
      <c r="KVP43" s="60"/>
      <c r="KVQ43" s="60"/>
      <c r="KVR43" s="60"/>
      <c r="KVS43" s="60"/>
      <c r="KVT43" s="60"/>
      <c r="KVU43" s="60"/>
      <c r="KVV43" s="60"/>
      <c r="KVW43" s="60"/>
      <c r="KVX43" s="60"/>
      <c r="KVY43" s="60"/>
      <c r="KVZ43" s="60"/>
      <c r="KWA43" s="60"/>
      <c r="KWB43" s="60"/>
      <c r="KWC43" s="60"/>
      <c r="KWD43" s="60"/>
      <c r="KWE43" s="60"/>
      <c r="KWF43" s="60"/>
      <c r="KWG43" s="60"/>
      <c r="KWH43" s="60"/>
      <c r="KWI43" s="60"/>
      <c r="KWJ43" s="60"/>
      <c r="KWK43" s="60"/>
      <c r="KWL43" s="60"/>
      <c r="KWM43" s="60"/>
      <c r="KWN43" s="60"/>
      <c r="KWO43" s="60"/>
      <c r="KWP43" s="60"/>
      <c r="KWQ43" s="60"/>
      <c r="KWR43" s="60"/>
      <c r="KWS43" s="60"/>
      <c r="KWT43" s="60"/>
      <c r="KWU43" s="60"/>
      <c r="KWV43" s="60"/>
      <c r="KWW43" s="60"/>
      <c r="KWX43" s="60"/>
      <c r="KWY43" s="60"/>
      <c r="KWZ43" s="60"/>
      <c r="KXA43" s="60"/>
      <c r="KXB43" s="60"/>
      <c r="KXC43" s="60"/>
      <c r="KXD43" s="60"/>
      <c r="KXE43" s="60"/>
      <c r="KXF43" s="60"/>
      <c r="KXG43" s="60"/>
      <c r="KXH43" s="60"/>
      <c r="KXI43" s="60"/>
      <c r="KXJ43" s="60"/>
      <c r="KXK43" s="60"/>
      <c r="KXL43" s="60"/>
      <c r="KXM43" s="60"/>
      <c r="KXN43" s="60"/>
      <c r="KXO43" s="60"/>
      <c r="KXP43" s="60"/>
      <c r="KXQ43" s="60"/>
      <c r="KXR43" s="60"/>
      <c r="KXS43" s="60"/>
      <c r="KXT43" s="60"/>
      <c r="KXU43" s="60"/>
      <c r="KXV43" s="60"/>
      <c r="KXW43" s="60"/>
      <c r="KXX43" s="60"/>
      <c r="KXY43" s="60"/>
      <c r="KXZ43" s="60"/>
      <c r="KYA43" s="60"/>
      <c r="KYB43" s="60"/>
      <c r="KYC43" s="60"/>
      <c r="KYD43" s="60"/>
      <c r="KYE43" s="60"/>
      <c r="KYF43" s="60"/>
      <c r="KYG43" s="60"/>
      <c r="KYH43" s="60"/>
      <c r="KYI43" s="60"/>
      <c r="KYJ43" s="60"/>
      <c r="KYK43" s="60"/>
      <c r="KYL43" s="60"/>
      <c r="KYM43" s="60"/>
      <c r="KYN43" s="60"/>
      <c r="KYO43" s="60"/>
      <c r="KYP43" s="60"/>
      <c r="KYQ43" s="60"/>
      <c r="KYR43" s="60"/>
      <c r="KYS43" s="60"/>
      <c r="KYT43" s="60"/>
      <c r="KYU43" s="60"/>
      <c r="KYV43" s="60"/>
      <c r="KYW43" s="60"/>
      <c r="KYX43" s="60"/>
      <c r="KYY43" s="60"/>
      <c r="KYZ43" s="60"/>
      <c r="KZA43" s="60"/>
      <c r="KZB43" s="60"/>
      <c r="KZC43" s="60"/>
      <c r="KZD43" s="60"/>
      <c r="KZE43" s="60"/>
      <c r="KZF43" s="60"/>
      <c r="KZG43" s="60"/>
      <c r="KZH43" s="60"/>
      <c r="KZI43" s="60"/>
      <c r="KZJ43" s="60"/>
      <c r="KZK43" s="60"/>
      <c r="KZL43" s="60"/>
      <c r="KZM43" s="60"/>
      <c r="KZN43" s="60"/>
      <c r="KZO43" s="60"/>
      <c r="KZP43" s="60"/>
      <c r="KZQ43" s="60"/>
      <c r="KZR43" s="60"/>
      <c r="KZS43" s="60"/>
      <c r="KZT43" s="60"/>
      <c r="KZU43" s="60"/>
      <c r="KZV43" s="60"/>
      <c r="KZW43" s="60"/>
      <c r="KZX43" s="60"/>
      <c r="KZY43" s="60"/>
      <c r="KZZ43" s="60"/>
      <c r="LAA43" s="60"/>
      <c r="LAB43" s="60"/>
      <c r="LAC43" s="60"/>
      <c r="LAD43" s="60"/>
      <c r="LAE43" s="60"/>
      <c r="LAF43" s="60"/>
      <c r="LAG43" s="60"/>
      <c r="LAH43" s="60"/>
      <c r="LAI43" s="60"/>
      <c r="LAJ43" s="60"/>
      <c r="LAK43" s="60"/>
      <c r="LAL43" s="60"/>
      <c r="LAM43" s="60"/>
      <c r="LAN43" s="60"/>
      <c r="LAO43" s="60"/>
      <c r="LAP43" s="60"/>
      <c r="LAQ43" s="60"/>
      <c r="LAR43" s="60"/>
      <c r="LAS43" s="60"/>
      <c r="LAT43" s="60"/>
      <c r="LAU43" s="60"/>
      <c r="LAV43" s="60"/>
      <c r="LAW43" s="60"/>
      <c r="LAX43" s="60"/>
      <c r="LAY43" s="60"/>
      <c r="LAZ43" s="60"/>
      <c r="LBA43" s="60"/>
      <c r="LBB43" s="60"/>
      <c r="LBC43" s="60"/>
      <c r="LBD43" s="60"/>
      <c r="LBE43" s="60"/>
      <c r="LBF43" s="60"/>
      <c r="LBG43" s="60"/>
      <c r="LBH43" s="60"/>
      <c r="LBI43" s="60"/>
      <c r="LBJ43" s="60"/>
      <c r="LBK43" s="60"/>
      <c r="LBL43" s="60"/>
      <c r="LBM43" s="60"/>
      <c r="LBN43" s="60"/>
      <c r="LBO43" s="60"/>
      <c r="LBP43" s="60"/>
      <c r="LBQ43" s="60"/>
      <c r="LBR43" s="60"/>
      <c r="LBS43" s="60"/>
      <c r="LBT43" s="60"/>
      <c r="LBU43" s="60"/>
      <c r="LBV43" s="60"/>
      <c r="LBW43" s="60"/>
      <c r="LBX43" s="60"/>
      <c r="LBY43" s="60"/>
      <c r="LBZ43" s="60"/>
      <c r="LCA43" s="60"/>
      <c r="LCB43" s="60"/>
      <c r="LCC43" s="60"/>
      <c r="LCD43" s="60"/>
      <c r="LCE43" s="60"/>
      <c r="LCF43" s="60"/>
      <c r="LCG43" s="60"/>
      <c r="LCH43" s="60"/>
      <c r="LCI43" s="60"/>
      <c r="LCJ43" s="60"/>
      <c r="LCK43" s="60"/>
      <c r="LCL43" s="60"/>
      <c r="LCM43" s="60"/>
      <c r="LCN43" s="60"/>
      <c r="LCO43" s="60"/>
      <c r="LCP43" s="60"/>
      <c r="LCQ43" s="60"/>
      <c r="LCR43" s="60"/>
      <c r="LCS43" s="60"/>
      <c r="LCT43" s="60"/>
      <c r="LCU43" s="60"/>
      <c r="LCV43" s="60"/>
      <c r="LCW43" s="60"/>
      <c r="LCX43" s="60"/>
      <c r="LCY43" s="60"/>
      <c r="LCZ43" s="60"/>
      <c r="LDA43" s="60"/>
      <c r="LDB43" s="60"/>
      <c r="LDC43" s="60"/>
      <c r="LDD43" s="60"/>
      <c r="LDE43" s="60"/>
      <c r="LDF43" s="60"/>
      <c r="LDG43" s="60"/>
      <c r="LDH43" s="60"/>
      <c r="LDI43" s="60"/>
      <c r="LDJ43" s="60"/>
      <c r="LDK43" s="60"/>
      <c r="LDL43" s="60"/>
      <c r="LDM43" s="60"/>
      <c r="LDN43" s="60"/>
      <c r="LDO43" s="60"/>
      <c r="LDP43" s="60"/>
      <c r="LDQ43" s="60"/>
      <c r="LDR43" s="60"/>
      <c r="LDS43" s="60"/>
      <c r="LDT43" s="60"/>
      <c r="LDU43" s="60"/>
      <c r="LDV43" s="60"/>
      <c r="LDW43" s="60"/>
      <c r="LDX43" s="60"/>
      <c r="LDY43" s="60"/>
      <c r="LDZ43" s="60"/>
      <c r="LEA43" s="60"/>
      <c r="LEB43" s="60"/>
      <c r="LEC43" s="60"/>
      <c r="LED43" s="60"/>
      <c r="LEE43" s="60"/>
      <c r="LEF43" s="60"/>
      <c r="LEG43" s="60"/>
      <c r="LEH43" s="60"/>
      <c r="LEI43" s="60"/>
      <c r="LEJ43" s="60"/>
      <c r="LEK43" s="60"/>
      <c r="LEL43" s="60"/>
      <c r="LEM43" s="60"/>
      <c r="LEN43" s="60"/>
      <c r="LEO43" s="60"/>
      <c r="LEP43" s="60"/>
      <c r="LEQ43" s="60"/>
      <c r="LER43" s="60"/>
      <c r="LES43" s="60"/>
      <c r="LET43" s="60"/>
      <c r="LEU43" s="60"/>
      <c r="LEV43" s="60"/>
      <c r="LEW43" s="60"/>
      <c r="LEX43" s="60"/>
      <c r="LEY43" s="60"/>
      <c r="LEZ43" s="60"/>
      <c r="LFA43" s="60"/>
      <c r="LFB43" s="60"/>
      <c r="LFC43" s="60"/>
      <c r="LFD43" s="60"/>
      <c r="LFE43" s="60"/>
      <c r="LFF43" s="60"/>
      <c r="LFG43" s="60"/>
      <c r="LFH43" s="60"/>
      <c r="LFI43" s="60"/>
      <c r="LFJ43" s="60"/>
      <c r="LFK43" s="60"/>
      <c r="LFL43" s="60"/>
      <c r="LFM43" s="60"/>
      <c r="LFN43" s="60"/>
      <c r="LFO43" s="60"/>
      <c r="LFP43" s="60"/>
      <c r="LFQ43" s="60"/>
      <c r="LFR43" s="60"/>
      <c r="LFS43" s="60"/>
      <c r="LFT43" s="60"/>
      <c r="LFU43" s="60"/>
      <c r="LFV43" s="60"/>
      <c r="LFW43" s="60"/>
      <c r="LFX43" s="60"/>
      <c r="LFY43" s="60"/>
      <c r="LFZ43" s="60"/>
      <c r="LGA43" s="60"/>
      <c r="LGB43" s="60"/>
      <c r="LGC43" s="60"/>
      <c r="LGD43" s="60"/>
      <c r="LGE43" s="60"/>
      <c r="LGF43" s="60"/>
      <c r="LGG43" s="60"/>
      <c r="LGH43" s="60"/>
      <c r="LGI43" s="60"/>
      <c r="LGJ43" s="60"/>
      <c r="LGK43" s="60"/>
      <c r="LGL43" s="60"/>
      <c r="LGM43" s="60"/>
      <c r="LGN43" s="60"/>
      <c r="LGO43" s="60"/>
      <c r="LGP43" s="60"/>
      <c r="LGQ43" s="60"/>
      <c r="LGR43" s="60"/>
      <c r="LGS43" s="60"/>
      <c r="LGT43" s="60"/>
      <c r="LGU43" s="60"/>
      <c r="LGV43" s="60"/>
      <c r="LGW43" s="60"/>
      <c r="LGX43" s="60"/>
      <c r="LGY43" s="60"/>
      <c r="LGZ43" s="60"/>
      <c r="LHA43" s="60"/>
      <c r="LHB43" s="60"/>
      <c r="LHC43" s="60"/>
      <c r="LHD43" s="60"/>
      <c r="LHE43" s="60"/>
      <c r="LHF43" s="60"/>
      <c r="LHG43" s="60"/>
      <c r="LHH43" s="60"/>
      <c r="LHI43" s="60"/>
      <c r="LHJ43" s="60"/>
      <c r="LHK43" s="60"/>
      <c r="LHL43" s="60"/>
      <c r="LHM43" s="60"/>
      <c r="LHN43" s="60"/>
      <c r="LHO43" s="60"/>
      <c r="LHP43" s="60"/>
      <c r="LHQ43" s="60"/>
      <c r="LHR43" s="60"/>
      <c r="LHS43" s="60"/>
      <c r="LHT43" s="60"/>
      <c r="LHU43" s="60"/>
      <c r="LHV43" s="60"/>
      <c r="LHW43" s="60"/>
      <c r="LHX43" s="60"/>
      <c r="LHY43" s="60"/>
      <c r="LHZ43" s="60"/>
      <c r="LIA43" s="60"/>
      <c r="LIB43" s="60"/>
      <c r="LIC43" s="60"/>
      <c r="LID43" s="60"/>
      <c r="LIE43" s="60"/>
      <c r="LIF43" s="60"/>
      <c r="LIG43" s="60"/>
      <c r="LIH43" s="60"/>
      <c r="LII43" s="60"/>
      <c r="LIJ43" s="60"/>
      <c r="LIK43" s="60"/>
      <c r="LIL43" s="60"/>
      <c r="LIM43" s="60"/>
      <c r="LIN43" s="60"/>
      <c r="LIO43" s="60"/>
      <c r="LIP43" s="60"/>
      <c r="LIQ43" s="60"/>
      <c r="LIR43" s="60"/>
      <c r="LIS43" s="60"/>
      <c r="LIT43" s="60"/>
      <c r="LIU43" s="60"/>
      <c r="LIV43" s="60"/>
      <c r="LIW43" s="60"/>
      <c r="LIX43" s="60"/>
      <c r="LIY43" s="60"/>
      <c r="LIZ43" s="60"/>
      <c r="LJA43" s="60"/>
      <c r="LJB43" s="60"/>
      <c r="LJC43" s="60"/>
      <c r="LJD43" s="60"/>
      <c r="LJE43" s="60"/>
      <c r="LJF43" s="60"/>
      <c r="LJG43" s="60"/>
      <c r="LJH43" s="60"/>
      <c r="LJI43" s="60"/>
      <c r="LJJ43" s="60"/>
      <c r="LJK43" s="60"/>
      <c r="LJL43" s="60"/>
      <c r="LJM43" s="60"/>
      <c r="LJN43" s="60"/>
      <c r="LJO43" s="60"/>
      <c r="LJP43" s="60"/>
      <c r="LJQ43" s="60"/>
      <c r="LJR43" s="60"/>
      <c r="LJS43" s="60"/>
      <c r="LJT43" s="60"/>
      <c r="LJU43" s="60"/>
      <c r="LJV43" s="60"/>
      <c r="LJW43" s="60"/>
      <c r="LJX43" s="60"/>
      <c r="LJY43" s="60"/>
      <c r="LJZ43" s="60"/>
      <c r="LKA43" s="60"/>
      <c r="LKB43" s="60"/>
      <c r="LKC43" s="60"/>
      <c r="LKD43" s="60"/>
      <c r="LKE43" s="60"/>
      <c r="LKF43" s="60"/>
      <c r="LKG43" s="60"/>
      <c r="LKH43" s="60"/>
      <c r="LKI43" s="60"/>
      <c r="LKJ43" s="60"/>
      <c r="LKK43" s="60"/>
      <c r="LKL43" s="60"/>
      <c r="LKM43" s="60"/>
      <c r="LKN43" s="60"/>
      <c r="LKO43" s="60"/>
      <c r="LKP43" s="60"/>
      <c r="LKQ43" s="60"/>
      <c r="LKR43" s="60"/>
      <c r="LKS43" s="60"/>
      <c r="LKT43" s="60"/>
      <c r="LKU43" s="60"/>
      <c r="LKV43" s="60"/>
      <c r="LKW43" s="60"/>
      <c r="LKX43" s="60"/>
      <c r="LKY43" s="60"/>
      <c r="LKZ43" s="60"/>
      <c r="LLA43" s="60"/>
      <c r="LLB43" s="60"/>
      <c r="LLC43" s="60"/>
      <c r="LLD43" s="60"/>
      <c r="LLE43" s="60"/>
      <c r="LLF43" s="60"/>
      <c r="LLG43" s="60"/>
      <c r="LLH43" s="60"/>
      <c r="LLI43" s="60"/>
      <c r="LLJ43" s="60"/>
      <c r="LLK43" s="60"/>
      <c r="LLL43" s="60"/>
      <c r="LLM43" s="60"/>
      <c r="LLN43" s="60"/>
      <c r="LLO43" s="60"/>
      <c r="LLP43" s="60"/>
      <c r="LLQ43" s="60"/>
      <c r="LLR43" s="60"/>
      <c r="LLS43" s="60"/>
      <c r="LLT43" s="60"/>
      <c r="LLU43" s="60"/>
      <c r="LLV43" s="60"/>
      <c r="LLW43" s="60"/>
      <c r="LLX43" s="60"/>
      <c r="LLY43" s="60"/>
      <c r="LLZ43" s="60"/>
      <c r="LMA43" s="60"/>
      <c r="LMB43" s="60"/>
      <c r="LMC43" s="60"/>
      <c r="LMD43" s="60"/>
      <c r="LME43" s="60"/>
      <c r="LMF43" s="60"/>
      <c r="LMG43" s="60"/>
      <c r="LMH43" s="60"/>
      <c r="LMI43" s="60"/>
      <c r="LMJ43" s="60"/>
      <c r="LMK43" s="60"/>
      <c r="LML43" s="60"/>
      <c r="LMM43" s="60"/>
      <c r="LMN43" s="60"/>
      <c r="LMO43" s="60"/>
      <c r="LMP43" s="60"/>
      <c r="LMQ43" s="60"/>
      <c r="LMR43" s="60"/>
      <c r="LMS43" s="60"/>
      <c r="LMT43" s="60"/>
      <c r="LMU43" s="60"/>
      <c r="LMV43" s="60"/>
      <c r="LMW43" s="60"/>
      <c r="LMX43" s="60"/>
      <c r="LMY43" s="60"/>
      <c r="LMZ43" s="60"/>
      <c r="LNA43" s="60"/>
      <c r="LNB43" s="60"/>
      <c r="LNC43" s="60"/>
      <c r="LND43" s="60"/>
      <c r="LNE43" s="60"/>
      <c r="LNF43" s="60"/>
      <c r="LNG43" s="60"/>
      <c r="LNH43" s="60"/>
      <c r="LNI43" s="60"/>
      <c r="LNJ43" s="60"/>
      <c r="LNK43" s="60"/>
      <c r="LNL43" s="60"/>
      <c r="LNM43" s="60"/>
      <c r="LNN43" s="60"/>
      <c r="LNO43" s="60"/>
      <c r="LNP43" s="60"/>
      <c r="LNQ43" s="60"/>
      <c r="LNR43" s="60"/>
      <c r="LNS43" s="60"/>
      <c r="LNT43" s="60"/>
      <c r="LNU43" s="60"/>
      <c r="LNV43" s="60"/>
      <c r="LNW43" s="60"/>
      <c r="LNX43" s="60"/>
      <c r="LNY43" s="60"/>
      <c r="LNZ43" s="60"/>
      <c r="LOA43" s="60"/>
      <c r="LOB43" s="60"/>
      <c r="LOC43" s="60"/>
      <c r="LOD43" s="60"/>
      <c r="LOE43" s="60"/>
      <c r="LOF43" s="60"/>
      <c r="LOG43" s="60"/>
      <c r="LOH43" s="60"/>
      <c r="LOI43" s="60"/>
      <c r="LOJ43" s="60"/>
      <c r="LOK43" s="60"/>
      <c r="LOL43" s="60"/>
      <c r="LOM43" s="60"/>
      <c r="LON43" s="60"/>
      <c r="LOO43" s="60"/>
      <c r="LOP43" s="60"/>
      <c r="LOQ43" s="60"/>
      <c r="LOR43" s="60"/>
      <c r="LOS43" s="60"/>
      <c r="LOT43" s="60"/>
      <c r="LOU43" s="60"/>
      <c r="LOV43" s="60"/>
      <c r="LOW43" s="60"/>
      <c r="LOX43" s="60"/>
      <c r="LOY43" s="60"/>
      <c r="LOZ43" s="60"/>
      <c r="LPA43" s="60"/>
      <c r="LPB43" s="60"/>
      <c r="LPC43" s="60"/>
      <c r="LPD43" s="60"/>
      <c r="LPE43" s="60"/>
      <c r="LPF43" s="60"/>
      <c r="LPG43" s="60"/>
      <c r="LPH43" s="60"/>
      <c r="LPI43" s="60"/>
      <c r="LPJ43" s="60"/>
      <c r="LPK43" s="60"/>
      <c r="LPL43" s="60"/>
      <c r="LPM43" s="60"/>
      <c r="LPN43" s="60"/>
      <c r="LPO43" s="60"/>
      <c r="LPP43" s="60"/>
      <c r="LPQ43" s="60"/>
      <c r="LPR43" s="60"/>
      <c r="LPS43" s="60"/>
      <c r="LPT43" s="60"/>
      <c r="LPU43" s="60"/>
      <c r="LPV43" s="60"/>
      <c r="LPW43" s="60"/>
      <c r="LPX43" s="60"/>
      <c r="LPY43" s="60"/>
      <c r="LPZ43" s="60"/>
      <c r="LQA43" s="60"/>
      <c r="LQB43" s="60"/>
      <c r="LQC43" s="60"/>
      <c r="LQD43" s="60"/>
      <c r="LQE43" s="60"/>
      <c r="LQF43" s="60"/>
      <c r="LQG43" s="60"/>
      <c r="LQH43" s="60"/>
      <c r="LQI43" s="60"/>
      <c r="LQJ43" s="60"/>
      <c r="LQK43" s="60"/>
      <c r="LQL43" s="60"/>
      <c r="LQM43" s="60"/>
      <c r="LQN43" s="60"/>
      <c r="LQO43" s="60"/>
      <c r="LQP43" s="60"/>
      <c r="LQQ43" s="60"/>
      <c r="LQR43" s="60"/>
      <c r="LQS43" s="60"/>
      <c r="LQT43" s="60"/>
      <c r="LQU43" s="60"/>
      <c r="LQV43" s="60"/>
      <c r="LQW43" s="60"/>
      <c r="LQX43" s="60"/>
      <c r="LQY43" s="60"/>
      <c r="LQZ43" s="60"/>
      <c r="LRA43" s="60"/>
      <c r="LRB43" s="60"/>
      <c r="LRC43" s="60"/>
      <c r="LRD43" s="60"/>
      <c r="LRE43" s="60"/>
      <c r="LRF43" s="60"/>
      <c r="LRG43" s="60"/>
      <c r="LRH43" s="60"/>
      <c r="LRI43" s="60"/>
      <c r="LRJ43" s="60"/>
      <c r="LRK43" s="60"/>
      <c r="LRL43" s="60"/>
      <c r="LRM43" s="60"/>
      <c r="LRN43" s="60"/>
      <c r="LRO43" s="60"/>
      <c r="LRP43" s="60"/>
      <c r="LRQ43" s="60"/>
      <c r="LRR43" s="60"/>
      <c r="LRS43" s="60"/>
      <c r="LRT43" s="60"/>
      <c r="LRU43" s="60"/>
      <c r="LRV43" s="60"/>
      <c r="LRW43" s="60"/>
      <c r="LRX43" s="60"/>
      <c r="LRY43" s="60"/>
      <c r="LRZ43" s="60"/>
      <c r="LSA43" s="60"/>
      <c r="LSB43" s="60"/>
      <c r="LSC43" s="60"/>
      <c r="LSD43" s="60"/>
      <c r="LSE43" s="60"/>
      <c r="LSF43" s="60"/>
      <c r="LSG43" s="60"/>
      <c r="LSH43" s="60"/>
      <c r="LSI43" s="60"/>
      <c r="LSJ43" s="60"/>
      <c r="LSK43" s="60"/>
      <c r="LSL43" s="60"/>
      <c r="LSM43" s="60"/>
      <c r="LSN43" s="60"/>
      <c r="LSO43" s="60"/>
      <c r="LSP43" s="60"/>
      <c r="LSQ43" s="60"/>
      <c r="LSR43" s="60"/>
      <c r="LSS43" s="60"/>
      <c r="LST43" s="60"/>
      <c r="LSU43" s="60"/>
      <c r="LSV43" s="60"/>
      <c r="LSW43" s="60"/>
      <c r="LSX43" s="60"/>
      <c r="LSY43" s="60"/>
      <c r="LSZ43" s="60"/>
      <c r="LTA43" s="60"/>
      <c r="LTB43" s="60"/>
      <c r="LTC43" s="60"/>
      <c r="LTD43" s="60"/>
      <c r="LTE43" s="60"/>
      <c r="LTF43" s="60"/>
      <c r="LTG43" s="60"/>
      <c r="LTH43" s="60"/>
      <c r="LTI43" s="60"/>
      <c r="LTJ43" s="60"/>
      <c r="LTK43" s="60"/>
      <c r="LTL43" s="60"/>
      <c r="LTM43" s="60"/>
      <c r="LTN43" s="60"/>
      <c r="LTO43" s="60"/>
      <c r="LTP43" s="60"/>
      <c r="LTQ43" s="60"/>
      <c r="LTR43" s="60"/>
      <c r="LTS43" s="60"/>
      <c r="LTT43" s="60"/>
      <c r="LTU43" s="60"/>
      <c r="LTV43" s="60"/>
      <c r="LTW43" s="60"/>
      <c r="LTX43" s="60"/>
      <c r="LTY43" s="60"/>
      <c r="LTZ43" s="60"/>
      <c r="LUA43" s="60"/>
      <c r="LUB43" s="60"/>
      <c r="LUC43" s="60"/>
      <c r="LUD43" s="60"/>
      <c r="LUE43" s="60"/>
      <c r="LUF43" s="60"/>
      <c r="LUG43" s="60"/>
      <c r="LUH43" s="60"/>
      <c r="LUI43" s="60"/>
      <c r="LUJ43" s="60"/>
      <c r="LUK43" s="60"/>
      <c r="LUL43" s="60"/>
      <c r="LUM43" s="60"/>
      <c r="LUN43" s="60"/>
      <c r="LUO43" s="60"/>
      <c r="LUP43" s="60"/>
      <c r="LUQ43" s="60"/>
      <c r="LUR43" s="60"/>
      <c r="LUS43" s="60"/>
      <c r="LUT43" s="60"/>
      <c r="LUU43" s="60"/>
      <c r="LUV43" s="60"/>
      <c r="LUW43" s="60"/>
      <c r="LUX43" s="60"/>
      <c r="LUY43" s="60"/>
      <c r="LUZ43" s="60"/>
      <c r="LVA43" s="60"/>
      <c r="LVB43" s="60"/>
      <c r="LVC43" s="60"/>
      <c r="LVD43" s="60"/>
      <c r="LVE43" s="60"/>
      <c r="LVF43" s="60"/>
      <c r="LVG43" s="60"/>
      <c r="LVH43" s="60"/>
      <c r="LVI43" s="60"/>
      <c r="LVJ43" s="60"/>
      <c r="LVK43" s="60"/>
      <c r="LVL43" s="60"/>
      <c r="LVM43" s="60"/>
      <c r="LVN43" s="60"/>
      <c r="LVO43" s="60"/>
      <c r="LVP43" s="60"/>
      <c r="LVQ43" s="60"/>
      <c r="LVR43" s="60"/>
      <c r="LVS43" s="60"/>
      <c r="LVT43" s="60"/>
      <c r="LVU43" s="60"/>
      <c r="LVV43" s="60"/>
      <c r="LVW43" s="60"/>
      <c r="LVX43" s="60"/>
      <c r="LVY43" s="60"/>
      <c r="LVZ43" s="60"/>
      <c r="LWA43" s="60"/>
      <c r="LWB43" s="60"/>
      <c r="LWC43" s="60"/>
      <c r="LWD43" s="60"/>
      <c r="LWE43" s="60"/>
      <c r="LWF43" s="60"/>
      <c r="LWG43" s="60"/>
      <c r="LWH43" s="60"/>
      <c r="LWI43" s="60"/>
      <c r="LWJ43" s="60"/>
      <c r="LWK43" s="60"/>
      <c r="LWL43" s="60"/>
      <c r="LWM43" s="60"/>
      <c r="LWN43" s="60"/>
      <c r="LWO43" s="60"/>
      <c r="LWP43" s="60"/>
      <c r="LWQ43" s="60"/>
      <c r="LWR43" s="60"/>
      <c r="LWS43" s="60"/>
      <c r="LWT43" s="60"/>
      <c r="LWU43" s="60"/>
      <c r="LWV43" s="60"/>
      <c r="LWW43" s="60"/>
      <c r="LWX43" s="60"/>
      <c r="LWY43" s="60"/>
      <c r="LWZ43" s="60"/>
      <c r="LXA43" s="60"/>
      <c r="LXB43" s="60"/>
      <c r="LXC43" s="60"/>
      <c r="LXD43" s="60"/>
      <c r="LXE43" s="60"/>
      <c r="LXF43" s="60"/>
      <c r="LXG43" s="60"/>
      <c r="LXH43" s="60"/>
      <c r="LXI43" s="60"/>
      <c r="LXJ43" s="60"/>
      <c r="LXK43" s="60"/>
      <c r="LXL43" s="60"/>
      <c r="LXM43" s="60"/>
      <c r="LXN43" s="60"/>
      <c r="LXO43" s="60"/>
      <c r="LXP43" s="60"/>
      <c r="LXQ43" s="60"/>
      <c r="LXR43" s="60"/>
      <c r="LXS43" s="60"/>
      <c r="LXT43" s="60"/>
      <c r="LXU43" s="60"/>
      <c r="LXV43" s="60"/>
      <c r="LXW43" s="60"/>
      <c r="LXX43" s="60"/>
      <c r="LXY43" s="60"/>
      <c r="LXZ43" s="60"/>
      <c r="LYA43" s="60"/>
      <c r="LYB43" s="60"/>
      <c r="LYC43" s="60"/>
      <c r="LYD43" s="60"/>
      <c r="LYE43" s="60"/>
      <c r="LYF43" s="60"/>
      <c r="LYG43" s="60"/>
      <c r="LYH43" s="60"/>
      <c r="LYI43" s="60"/>
      <c r="LYJ43" s="60"/>
      <c r="LYK43" s="60"/>
      <c r="LYL43" s="60"/>
      <c r="LYM43" s="60"/>
      <c r="LYN43" s="60"/>
      <c r="LYO43" s="60"/>
      <c r="LYP43" s="60"/>
      <c r="LYQ43" s="60"/>
      <c r="LYR43" s="60"/>
      <c r="LYS43" s="60"/>
      <c r="LYT43" s="60"/>
      <c r="LYU43" s="60"/>
      <c r="LYV43" s="60"/>
      <c r="LYW43" s="60"/>
      <c r="LYX43" s="60"/>
      <c r="LYY43" s="60"/>
      <c r="LYZ43" s="60"/>
      <c r="LZA43" s="60"/>
      <c r="LZB43" s="60"/>
      <c r="LZC43" s="60"/>
      <c r="LZD43" s="60"/>
      <c r="LZE43" s="60"/>
      <c r="LZF43" s="60"/>
      <c r="LZG43" s="60"/>
      <c r="LZH43" s="60"/>
      <c r="LZI43" s="60"/>
      <c r="LZJ43" s="60"/>
      <c r="LZK43" s="60"/>
      <c r="LZL43" s="60"/>
      <c r="LZM43" s="60"/>
      <c r="LZN43" s="60"/>
      <c r="LZO43" s="60"/>
      <c r="LZP43" s="60"/>
      <c r="LZQ43" s="60"/>
      <c r="LZR43" s="60"/>
      <c r="LZS43" s="60"/>
      <c r="LZT43" s="60"/>
      <c r="LZU43" s="60"/>
      <c r="LZV43" s="60"/>
      <c r="LZW43" s="60"/>
      <c r="LZX43" s="60"/>
      <c r="LZY43" s="60"/>
      <c r="LZZ43" s="60"/>
      <c r="MAA43" s="60"/>
      <c r="MAB43" s="60"/>
      <c r="MAC43" s="60"/>
      <c r="MAD43" s="60"/>
      <c r="MAE43" s="60"/>
      <c r="MAF43" s="60"/>
      <c r="MAG43" s="60"/>
      <c r="MAH43" s="60"/>
      <c r="MAI43" s="60"/>
      <c r="MAJ43" s="60"/>
      <c r="MAK43" s="60"/>
      <c r="MAL43" s="60"/>
      <c r="MAM43" s="60"/>
      <c r="MAN43" s="60"/>
      <c r="MAO43" s="60"/>
      <c r="MAP43" s="60"/>
      <c r="MAQ43" s="60"/>
      <c r="MAR43" s="60"/>
      <c r="MAS43" s="60"/>
      <c r="MAT43" s="60"/>
      <c r="MAU43" s="60"/>
      <c r="MAV43" s="60"/>
      <c r="MAW43" s="60"/>
      <c r="MAX43" s="60"/>
      <c r="MAY43" s="60"/>
      <c r="MAZ43" s="60"/>
      <c r="MBA43" s="60"/>
      <c r="MBB43" s="60"/>
      <c r="MBC43" s="60"/>
      <c r="MBD43" s="60"/>
      <c r="MBE43" s="60"/>
      <c r="MBF43" s="60"/>
      <c r="MBG43" s="60"/>
      <c r="MBH43" s="60"/>
      <c r="MBI43" s="60"/>
      <c r="MBJ43" s="60"/>
      <c r="MBK43" s="60"/>
      <c r="MBL43" s="60"/>
      <c r="MBM43" s="60"/>
      <c r="MBN43" s="60"/>
      <c r="MBO43" s="60"/>
      <c r="MBP43" s="60"/>
      <c r="MBQ43" s="60"/>
      <c r="MBR43" s="60"/>
      <c r="MBS43" s="60"/>
      <c r="MBT43" s="60"/>
      <c r="MBU43" s="60"/>
      <c r="MBV43" s="60"/>
      <c r="MBW43" s="60"/>
      <c r="MBX43" s="60"/>
      <c r="MBY43" s="60"/>
      <c r="MBZ43" s="60"/>
      <c r="MCA43" s="60"/>
      <c r="MCB43" s="60"/>
      <c r="MCC43" s="60"/>
      <c r="MCD43" s="60"/>
      <c r="MCE43" s="60"/>
      <c r="MCF43" s="60"/>
      <c r="MCG43" s="60"/>
      <c r="MCH43" s="60"/>
      <c r="MCI43" s="60"/>
      <c r="MCJ43" s="60"/>
      <c r="MCK43" s="60"/>
      <c r="MCL43" s="60"/>
      <c r="MCM43" s="60"/>
      <c r="MCN43" s="60"/>
      <c r="MCO43" s="60"/>
      <c r="MCP43" s="60"/>
      <c r="MCQ43" s="60"/>
      <c r="MCR43" s="60"/>
      <c r="MCS43" s="60"/>
      <c r="MCT43" s="60"/>
      <c r="MCU43" s="60"/>
      <c r="MCV43" s="60"/>
      <c r="MCW43" s="60"/>
      <c r="MCX43" s="60"/>
      <c r="MCY43" s="60"/>
      <c r="MCZ43" s="60"/>
      <c r="MDA43" s="60"/>
      <c r="MDB43" s="60"/>
      <c r="MDC43" s="60"/>
      <c r="MDD43" s="60"/>
      <c r="MDE43" s="60"/>
      <c r="MDF43" s="60"/>
      <c r="MDG43" s="60"/>
      <c r="MDH43" s="60"/>
      <c r="MDI43" s="60"/>
      <c r="MDJ43" s="60"/>
      <c r="MDK43" s="60"/>
      <c r="MDL43" s="60"/>
      <c r="MDM43" s="60"/>
      <c r="MDN43" s="60"/>
      <c r="MDO43" s="60"/>
      <c r="MDP43" s="60"/>
      <c r="MDQ43" s="60"/>
      <c r="MDR43" s="60"/>
      <c r="MDS43" s="60"/>
      <c r="MDT43" s="60"/>
      <c r="MDU43" s="60"/>
      <c r="MDV43" s="60"/>
      <c r="MDW43" s="60"/>
      <c r="MDX43" s="60"/>
      <c r="MDY43" s="60"/>
      <c r="MDZ43" s="60"/>
      <c r="MEA43" s="60"/>
      <c r="MEB43" s="60"/>
      <c r="MEC43" s="60"/>
      <c r="MED43" s="60"/>
      <c r="MEE43" s="60"/>
      <c r="MEF43" s="60"/>
      <c r="MEG43" s="60"/>
      <c r="MEH43" s="60"/>
      <c r="MEI43" s="60"/>
      <c r="MEJ43" s="60"/>
      <c r="MEK43" s="60"/>
      <c r="MEL43" s="60"/>
      <c r="MEM43" s="60"/>
      <c r="MEN43" s="60"/>
      <c r="MEO43" s="60"/>
      <c r="MEP43" s="60"/>
      <c r="MEQ43" s="60"/>
      <c r="MER43" s="60"/>
      <c r="MES43" s="60"/>
      <c r="MET43" s="60"/>
      <c r="MEU43" s="60"/>
      <c r="MEV43" s="60"/>
      <c r="MEW43" s="60"/>
      <c r="MEX43" s="60"/>
      <c r="MEY43" s="60"/>
      <c r="MEZ43" s="60"/>
      <c r="MFA43" s="60"/>
      <c r="MFB43" s="60"/>
      <c r="MFC43" s="60"/>
      <c r="MFD43" s="60"/>
      <c r="MFE43" s="60"/>
      <c r="MFF43" s="60"/>
      <c r="MFG43" s="60"/>
      <c r="MFH43" s="60"/>
      <c r="MFI43" s="60"/>
      <c r="MFJ43" s="60"/>
      <c r="MFK43" s="60"/>
      <c r="MFL43" s="60"/>
      <c r="MFM43" s="60"/>
      <c r="MFN43" s="60"/>
      <c r="MFO43" s="60"/>
      <c r="MFP43" s="60"/>
      <c r="MFQ43" s="60"/>
      <c r="MFR43" s="60"/>
      <c r="MFS43" s="60"/>
      <c r="MFT43" s="60"/>
      <c r="MFU43" s="60"/>
      <c r="MFV43" s="60"/>
      <c r="MFW43" s="60"/>
      <c r="MFX43" s="60"/>
      <c r="MFY43" s="60"/>
      <c r="MFZ43" s="60"/>
      <c r="MGA43" s="60"/>
      <c r="MGB43" s="60"/>
      <c r="MGC43" s="60"/>
      <c r="MGD43" s="60"/>
      <c r="MGE43" s="60"/>
      <c r="MGF43" s="60"/>
      <c r="MGG43" s="60"/>
      <c r="MGH43" s="60"/>
      <c r="MGI43" s="60"/>
      <c r="MGJ43" s="60"/>
      <c r="MGK43" s="60"/>
      <c r="MGL43" s="60"/>
      <c r="MGM43" s="60"/>
      <c r="MGN43" s="60"/>
      <c r="MGO43" s="60"/>
      <c r="MGP43" s="60"/>
      <c r="MGQ43" s="60"/>
      <c r="MGR43" s="60"/>
      <c r="MGS43" s="60"/>
      <c r="MGT43" s="60"/>
      <c r="MGU43" s="60"/>
      <c r="MGV43" s="60"/>
      <c r="MGW43" s="60"/>
      <c r="MGX43" s="60"/>
      <c r="MGY43" s="60"/>
      <c r="MGZ43" s="60"/>
      <c r="MHA43" s="60"/>
      <c r="MHB43" s="60"/>
      <c r="MHC43" s="60"/>
      <c r="MHD43" s="60"/>
      <c r="MHE43" s="60"/>
      <c r="MHF43" s="60"/>
      <c r="MHG43" s="60"/>
      <c r="MHH43" s="60"/>
      <c r="MHI43" s="60"/>
      <c r="MHJ43" s="60"/>
      <c r="MHK43" s="60"/>
      <c r="MHL43" s="60"/>
      <c r="MHM43" s="60"/>
      <c r="MHN43" s="60"/>
      <c r="MHO43" s="60"/>
      <c r="MHP43" s="60"/>
      <c r="MHQ43" s="60"/>
      <c r="MHR43" s="60"/>
      <c r="MHS43" s="60"/>
      <c r="MHT43" s="60"/>
      <c r="MHU43" s="60"/>
      <c r="MHV43" s="60"/>
      <c r="MHW43" s="60"/>
      <c r="MHX43" s="60"/>
      <c r="MHY43" s="60"/>
      <c r="MHZ43" s="60"/>
      <c r="MIA43" s="60"/>
      <c r="MIB43" s="60"/>
      <c r="MIC43" s="60"/>
      <c r="MID43" s="60"/>
      <c r="MIE43" s="60"/>
      <c r="MIF43" s="60"/>
      <c r="MIG43" s="60"/>
      <c r="MIH43" s="60"/>
      <c r="MII43" s="60"/>
      <c r="MIJ43" s="60"/>
      <c r="MIK43" s="60"/>
      <c r="MIL43" s="60"/>
      <c r="MIM43" s="60"/>
      <c r="MIN43" s="60"/>
      <c r="MIO43" s="60"/>
      <c r="MIP43" s="60"/>
      <c r="MIQ43" s="60"/>
      <c r="MIR43" s="60"/>
      <c r="MIS43" s="60"/>
      <c r="MIT43" s="60"/>
      <c r="MIU43" s="60"/>
      <c r="MIV43" s="60"/>
      <c r="MIW43" s="60"/>
      <c r="MIX43" s="60"/>
      <c r="MIY43" s="60"/>
      <c r="MIZ43" s="60"/>
      <c r="MJA43" s="60"/>
      <c r="MJB43" s="60"/>
      <c r="MJC43" s="60"/>
      <c r="MJD43" s="60"/>
      <c r="MJE43" s="60"/>
      <c r="MJF43" s="60"/>
      <c r="MJG43" s="60"/>
      <c r="MJH43" s="60"/>
      <c r="MJI43" s="60"/>
      <c r="MJJ43" s="60"/>
      <c r="MJK43" s="60"/>
      <c r="MJL43" s="60"/>
      <c r="MJM43" s="60"/>
      <c r="MJN43" s="60"/>
      <c r="MJO43" s="60"/>
      <c r="MJP43" s="60"/>
      <c r="MJQ43" s="60"/>
      <c r="MJR43" s="60"/>
      <c r="MJS43" s="60"/>
      <c r="MJT43" s="60"/>
      <c r="MJU43" s="60"/>
      <c r="MJV43" s="60"/>
      <c r="MJW43" s="60"/>
      <c r="MJX43" s="60"/>
      <c r="MJY43" s="60"/>
      <c r="MJZ43" s="60"/>
      <c r="MKA43" s="60"/>
      <c r="MKB43" s="60"/>
      <c r="MKC43" s="60"/>
      <c r="MKD43" s="60"/>
      <c r="MKE43" s="60"/>
      <c r="MKF43" s="60"/>
      <c r="MKG43" s="60"/>
      <c r="MKH43" s="60"/>
      <c r="MKI43" s="60"/>
      <c r="MKJ43" s="60"/>
      <c r="MKK43" s="60"/>
      <c r="MKL43" s="60"/>
      <c r="MKM43" s="60"/>
      <c r="MKN43" s="60"/>
      <c r="MKO43" s="60"/>
      <c r="MKP43" s="60"/>
      <c r="MKQ43" s="60"/>
      <c r="MKR43" s="60"/>
      <c r="MKS43" s="60"/>
      <c r="MKT43" s="60"/>
      <c r="MKU43" s="60"/>
      <c r="MKV43" s="60"/>
      <c r="MKW43" s="60"/>
      <c r="MKX43" s="60"/>
      <c r="MKY43" s="60"/>
      <c r="MKZ43" s="60"/>
      <c r="MLA43" s="60"/>
      <c r="MLB43" s="60"/>
      <c r="MLC43" s="60"/>
      <c r="MLD43" s="60"/>
      <c r="MLE43" s="60"/>
      <c r="MLF43" s="60"/>
      <c r="MLG43" s="60"/>
      <c r="MLH43" s="60"/>
      <c r="MLI43" s="60"/>
      <c r="MLJ43" s="60"/>
      <c r="MLK43" s="60"/>
      <c r="MLL43" s="60"/>
      <c r="MLM43" s="60"/>
      <c r="MLN43" s="60"/>
      <c r="MLO43" s="60"/>
      <c r="MLP43" s="60"/>
      <c r="MLQ43" s="60"/>
      <c r="MLR43" s="60"/>
      <c r="MLS43" s="60"/>
      <c r="MLT43" s="60"/>
      <c r="MLU43" s="60"/>
      <c r="MLV43" s="60"/>
      <c r="MLW43" s="60"/>
      <c r="MLX43" s="60"/>
      <c r="MLY43" s="60"/>
      <c r="MLZ43" s="60"/>
      <c r="MMA43" s="60"/>
      <c r="MMB43" s="60"/>
      <c r="MMC43" s="60"/>
      <c r="MMD43" s="60"/>
      <c r="MME43" s="60"/>
      <c r="MMF43" s="60"/>
      <c r="MMG43" s="60"/>
      <c r="MMH43" s="60"/>
      <c r="MMI43" s="60"/>
      <c r="MMJ43" s="60"/>
      <c r="MMK43" s="60"/>
      <c r="MML43" s="60"/>
      <c r="MMM43" s="60"/>
      <c r="MMN43" s="60"/>
      <c r="MMO43" s="60"/>
      <c r="MMP43" s="60"/>
      <c r="MMQ43" s="60"/>
      <c r="MMR43" s="60"/>
      <c r="MMS43" s="60"/>
      <c r="MMT43" s="60"/>
      <c r="MMU43" s="60"/>
      <c r="MMV43" s="60"/>
      <c r="MMW43" s="60"/>
      <c r="MMX43" s="60"/>
      <c r="MMY43" s="60"/>
      <c r="MMZ43" s="60"/>
      <c r="MNA43" s="60"/>
      <c r="MNB43" s="60"/>
      <c r="MNC43" s="60"/>
      <c r="MND43" s="60"/>
      <c r="MNE43" s="60"/>
      <c r="MNF43" s="60"/>
      <c r="MNG43" s="60"/>
      <c r="MNH43" s="60"/>
      <c r="MNI43" s="60"/>
      <c r="MNJ43" s="60"/>
      <c r="MNK43" s="60"/>
      <c r="MNL43" s="60"/>
      <c r="MNM43" s="60"/>
      <c r="MNN43" s="60"/>
      <c r="MNO43" s="60"/>
      <c r="MNP43" s="60"/>
      <c r="MNQ43" s="60"/>
      <c r="MNR43" s="60"/>
      <c r="MNS43" s="60"/>
      <c r="MNT43" s="60"/>
      <c r="MNU43" s="60"/>
      <c r="MNV43" s="60"/>
      <c r="MNW43" s="60"/>
      <c r="MNX43" s="60"/>
      <c r="MNY43" s="60"/>
      <c r="MNZ43" s="60"/>
      <c r="MOA43" s="60"/>
      <c r="MOB43" s="60"/>
      <c r="MOC43" s="60"/>
      <c r="MOD43" s="60"/>
      <c r="MOE43" s="60"/>
      <c r="MOF43" s="60"/>
      <c r="MOG43" s="60"/>
      <c r="MOH43" s="60"/>
      <c r="MOI43" s="60"/>
      <c r="MOJ43" s="60"/>
      <c r="MOK43" s="60"/>
      <c r="MOL43" s="60"/>
      <c r="MOM43" s="60"/>
      <c r="MON43" s="60"/>
      <c r="MOO43" s="60"/>
      <c r="MOP43" s="60"/>
      <c r="MOQ43" s="60"/>
      <c r="MOR43" s="60"/>
      <c r="MOS43" s="60"/>
      <c r="MOT43" s="60"/>
      <c r="MOU43" s="60"/>
      <c r="MOV43" s="60"/>
      <c r="MOW43" s="60"/>
      <c r="MOX43" s="60"/>
      <c r="MOY43" s="60"/>
      <c r="MOZ43" s="60"/>
      <c r="MPA43" s="60"/>
      <c r="MPB43" s="60"/>
      <c r="MPC43" s="60"/>
      <c r="MPD43" s="60"/>
      <c r="MPE43" s="60"/>
      <c r="MPF43" s="60"/>
      <c r="MPG43" s="60"/>
      <c r="MPH43" s="60"/>
      <c r="MPI43" s="60"/>
      <c r="MPJ43" s="60"/>
      <c r="MPK43" s="60"/>
      <c r="MPL43" s="60"/>
      <c r="MPM43" s="60"/>
      <c r="MPN43" s="60"/>
      <c r="MPO43" s="60"/>
      <c r="MPP43" s="60"/>
      <c r="MPQ43" s="60"/>
      <c r="MPR43" s="60"/>
      <c r="MPS43" s="60"/>
      <c r="MPT43" s="60"/>
      <c r="MPU43" s="60"/>
      <c r="MPV43" s="60"/>
      <c r="MPW43" s="60"/>
      <c r="MPX43" s="60"/>
      <c r="MPY43" s="60"/>
      <c r="MPZ43" s="60"/>
      <c r="MQA43" s="60"/>
      <c r="MQB43" s="60"/>
      <c r="MQC43" s="60"/>
      <c r="MQD43" s="60"/>
      <c r="MQE43" s="60"/>
      <c r="MQF43" s="60"/>
      <c r="MQG43" s="60"/>
      <c r="MQH43" s="60"/>
      <c r="MQI43" s="60"/>
      <c r="MQJ43" s="60"/>
      <c r="MQK43" s="60"/>
      <c r="MQL43" s="60"/>
      <c r="MQM43" s="60"/>
      <c r="MQN43" s="60"/>
      <c r="MQO43" s="60"/>
      <c r="MQP43" s="60"/>
      <c r="MQQ43" s="60"/>
      <c r="MQR43" s="60"/>
      <c r="MQS43" s="60"/>
      <c r="MQT43" s="60"/>
      <c r="MQU43" s="60"/>
      <c r="MQV43" s="60"/>
      <c r="MQW43" s="60"/>
      <c r="MQX43" s="60"/>
      <c r="MQY43" s="60"/>
      <c r="MQZ43" s="60"/>
      <c r="MRA43" s="60"/>
      <c r="MRB43" s="60"/>
      <c r="MRC43" s="60"/>
      <c r="MRD43" s="60"/>
      <c r="MRE43" s="60"/>
      <c r="MRF43" s="60"/>
      <c r="MRG43" s="60"/>
      <c r="MRH43" s="60"/>
      <c r="MRI43" s="60"/>
      <c r="MRJ43" s="60"/>
      <c r="MRK43" s="60"/>
      <c r="MRL43" s="60"/>
      <c r="MRM43" s="60"/>
      <c r="MRN43" s="60"/>
      <c r="MRO43" s="60"/>
      <c r="MRP43" s="60"/>
      <c r="MRQ43" s="60"/>
      <c r="MRR43" s="60"/>
      <c r="MRS43" s="60"/>
      <c r="MRT43" s="60"/>
      <c r="MRU43" s="60"/>
      <c r="MRV43" s="60"/>
      <c r="MRW43" s="60"/>
      <c r="MRX43" s="60"/>
      <c r="MRY43" s="60"/>
      <c r="MRZ43" s="60"/>
      <c r="MSA43" s="60"/>
      <c r="MSB43" s="60"/>
      <c r="MSC43" s="60"/>
      <c r="MSD43" s="60"/>
      <c r="MSE43" s="60"/>
      <c r="MSF43" s="60"/>
      <c r="MSG43" s="60"/>
      <c r="MSH43" s="60"/>
      <c r="MSI43" s="60"/>
      <c r="MSJ43" s="60"/>
      <c r="MSK43" s="60"/>
      <c r="MSL43" s="60"/>
      <c r="MSM43" s="60"/>
      <c r="MSN43" s="60"/>
      <c r="MSO43" s="60"/>
      <c r="MSP43" s="60"/>
      <c r="MSQ43" s="60"/>
      <c r="MSR43" s="60"/>
      <c r="MSS43" s="60"/>
      <c r="MST43" s="60"/>
      <c r="MSU43" s="60"/>
      <c r="MSV43" s="60"/>
      <c r="MSW43" s="60"/>
      <c r="MSX43" s="60"/>
      <c r="MSY43" s="60"/>
      <c r="MSZ43" s="60"/>
      <c r="MTA43" s="60"/>
      <c r="MTB43" s="60"/>
      <c r="MTC43" s="60"/>
      <c r="MTD43" s="60"/>
      <c r="MTE43" s="60"/>
      <c r="MTF43" s="60"/>
      <c r="MTG43" s="60"/>
      <c r="MTH43" s="60"/>
      <c r="MTI43" s="60"/>
      <c r="MTJ43" s="60"/>
      <c r="MTK43" s="60"/>
      <c r="MTL43" s="60"/>
      <c r="MTM43" s="60"/>
      <c r="MTN43" s="60"/>
      <c r="MTO43" s="60"/>
      <c r="MTP43" s="60"/>
      <c r="MTQ43" s="60"/>
      <c r="MTR43" s="60"/>
      <c r="MTS43" s="60"/>
      <c r="MTT43" s="60"/>
      <c r="MTU43" s="60"/>
      <c r="MTV43" s="60"/>
      <c r="MTW43" s="60"/>
      <c r="MTX43" s="60"/>
      <c r="MTY43" s="60"/>
      <c r="MTZ43" s="60"/>
      <c r="MUA43" s="60"/>
      <c r="MUB43" s="60"/>
      <c r="MUC43" s="60"/>
      <c r="MUD43" s="60"/>
      <c r="MUE43" s="60"/>
      <c r="MUF43" s="60"/>
      <c r="MUG43" s="60"/>
      <c r="MUH43" s="60"/>
      <c r="MUI43" s="60"/>
      <c r="MUJ43" s="60"/>
      <c r="MUK43" s="60"/>
      <c r="MUL43" s="60"/>
      <c r="MUM43" s="60"/>
      <c r="MUN43" s="60"/>
      <c r="MUO43" s="60"/>
      <c r="MUP43" s="60"/>
      <c r="MUQ43" s="60"/>
      <c r="MUR43" s="60"/>
      <c r="MUS43" s="60"/>
      <c r="MUT43" s="60"/>
      <c r="MUU43" s="60"/>
      <c r="MUV43" s="60"/>
      <c r="MUW43" s="60"/>
      <c r="MUX43" s="60"/>
      <c r="MUY43" s="60"/>
      <c r="MUZ43" s="60"/>
      <c r="MVA43" s="60"/>
      <c r="MVB43" s="60"/>
      <c r="MVC43" s="60"/>
      <c r="MVD43" s="60"/>
      <c r="MVE43" s="60"/>
      <c r="MVF43" s="60"/>
      <c r="MVG43" s="60"/>
      <c r="MVH43" s="60"/>
      <c r="MVI43" s="60"/>
      <c r="MVJ43" s="60"/>
      <c r="MVK43" s="60"/>
      <c r="MVL43" s="60"/>
      <c r="MVM43" s="60"/>
      <c r="MVN43" s="60"/>
      <c r="MVO43" s="60"/>
      <c r="MVP43" s="60"/>
      <c r="MVQ43" s="60"/>
      <c r="MVR43" s="60"/>
      <c r="MVS43" s="60"/>
      <c r="MVT43" s="60"/>
      <c r="MVU43" s="60"/>
      <c r="MVV43" s="60"/>
      <c r="MVW43" s="60"/>
      <c r="MVX43" s="60"/>
      <c r="MVY43" s="60"/>
      <c r="MVZ43" s="60"/>
      <c r="MWA43" s="60"/>
      <c r="MWB43" s="60"/>
      <c r="MWC43" s="60"/>
      <c r="MWD43" s="60"/>
      <c r="MWE43" s="60"/>
      <c r="MWF43" s="60"/>
      <c r="MWG43" s="60"/>
      <c r="MWH43" s="60"/>
      <c r="MWI43" s="60"/>
      <c r="MWJ43" s="60"/>
      <c r="MWK43" s="60"/>
      <c r="MWL43" s="60"/>
      <c r="MWM43" s="60"/>
      <c r="MWN43" s="60"/>
      <c r="MWO43" s="60"/>
      <c r="MWP43" s="60"/>
      <c r="MWQ43" s="60"/>
      <c r="MWR43" s="60"/>
      <c r="MWS43" s="60"/>
      <c r="MWT43" s="60"/>
      <c r="MWU43" s="60"/>
      <c r="MWV43" s="60"/>
      <c r="MWW43" s="60"/>
      <c r="MWX43" s="60"/>
      <c r="MWY43" s="60"/>
      <c r="MWZ43" s="60"/>
      <c r="MXA43" s="60"/>
      <c r="MXB43" s="60"/>
      <c r="MXC43" s="60"/>
      <c r="MXD43" s="60"/>
      <c r="MXE43" s="60"/>
      <c r="MXF43" s="60"/>
      <c r="MXG43" s="60"/>
      <c r="MXH43" s="60"/>
      <c r="MXI43" s="60"/>
      <c r="MXJ43" s="60"/>
      <c r="MXK43" s="60"/>
      <c r="MXL43" s="60"/>
      <c r="MXM43" s="60"/>
      <c r="MXN43" s="60"/>
      <c r="MXO43" s="60"/>
      <c r="MXP43" s="60"/>
      <c r="MXQ43" s="60"/>
      <c r="MXR43" s="60"/>
      <c r="MXS43" s="60"/>
      <c r="MXT43" s="60"/>
      <c r="MXU43" s="60"/>
      <c r="MXV43" s="60"/>
      <c r="MXW43" s="60"/>
      <c r="MXX43" s="60"/>
      <c r="MXY43" s="60"/>
      <c r="MXZ43" s="60"/>
      <c r="MYA43" s="60"/>
      <c r="MYB43" s="60"/>
      <c r="MYC43" s="60"/>
      <c r="MYD43" s="60"/>
      <c r="MYE43" s="60"/>
      <c r="MYF43" s="60"/>
      <c r="MYG43" s="60"/>
      <c r="MYH43" s="60"/>
      <c r="MYI43" s="60"/>
      <c r="MYJ43" s="60"/>
      <c r="MYK43" s="60"/>
      <c r="MYL43" s="60"/>
      <c r="MYM43" s="60"/>
      <c r="MYN43" s="60"/>
      <c r="MYO43" s="60"/>
      <c r="MYP43" s="60"/>
      <c r="MYQ43" s="60"/>
      <c r="MYR43" s="60"/>
      <c r="MYS43" s="60"/>
      <c r="MYT43" s="60"/>
      <c r="MYU43" s="60"/>
      <c r="MYV43" s="60"/>
      <c r="MYW43" s="60"/>
      <c r="MYX43" s="60"/>
      <c r="MYY43" s="60"/>
      <c r="MYZ43" s="60"/>
      <c r="MZA43" s="60"/>
      <c r="MZB43" s="60"/>
      <c r="MZC43" s="60"/>
      <c r="MZD43" s="60"/>
      <c r="MZE43" s="60"/>
      <c r="MZF43" s="60"/>
      <c r="MZG43" s="60"/>
      <c r="MZH43" s="60"/>
      <c r="MZI43" s="60"/>
      <c r="MZJ43" s="60"/>
      <c r="MZK43" s="60"/>
      <c r="MZL43" s="60"/>
      <c r="MZM43" s="60"/>
      <c r="MZN43" s="60"/>
      <c r="MZO43" s="60"/>
      <c r="MZP43" s="60"/>
      <c r="MZQ43" s="60"/>
      <c r="MZR43" s="60"/>
      <c r="MZS43" s="60"/>
      <c r="MZT43" s="60"/>
      <c r="MZU43" s="60"/>
      <c r="MZV43" s="60"/>
      <c r="MZW43" s="60"/>
      <c r="MZX43" s="60"/>
      <c r="MZY43" s="60"/>
      <c r="MZZ43" s="60"/>
      <c r="NAA43" s="60"/>
      <c r="NAB43" s="60"/>
      <c r="NAC43" s="60"/>
      <c r="NAD43" s="60"/>
      <c r="NAE43" s="60"/>
      <c r="NAF43" s="60"/>
      <c r="NAG43" s="60"/>
      <c r="NAH43" s="60"/>
      <c r="NAI43" s="60"/>
      <c r="NAJ43" s="60"/>
      <c r="NAK43" s="60"/>
      <c r="NAL43" s="60"/>
      <c r="NAM43" s="60"/>
      <c r="NAN43" s="60"/>
      <c r="NAO43" s="60"/>
      <c r="NAP43" s="60"/>
      <c r="NAQ43" s="60"/>
      <c r="NAR43" s="60"/>
      <c r="NAS43" s="60"/>
      <c r="NAT43" s="60"/>
      <c r="NAU43" s="60"/>
      <c r="NAV43" s="60"/>
      <c r="NAW43" s="60"/>
      <c r="NAX43" s="60"/>
      <c r="NAY43" s="60"/>
      <c r="NAZ43" s="60"/>
      <c r="NBA43" s="60"/>
      <c r="NBB43" s="60"/>
      <c r="NBC43" s="60"/>
      <c r="NBD43" s="60"/>
      <c r="NBE43" s="60"/>
      <c r="NBF43" s="60"/>
      <c r="NBG43" s="60"/>
      <c r="NBH43" s="60"/>
      <c r="NBI43" s="60"/>
      <c r="NBJ43" s="60"/>
      <c r="NBK43" s="60"/>
      <c r="NBL43" s="60"/>
      <c r="NBM43" s="60"/>
      <c r="NBN43" s="60"/>
      <c r="NBO43" s="60"/>
      <c r="NBP43" s="60"/>
      <c r="NBQ43" s="60"/>
      <c r="NBR43" s="60"/>
      <c r="NBS43" s="60"/>
      <c r="NBT43" s="60"/>
      <c r="NBU43" s="60"/>
      <c r="NBV43" s="60"/>
      <c r="NBW43" s="60"/>
      <c r="NBX43" s="60"/>
      <c r="NBY43" s="60"/>
      <c r="NBZ43" s="60"/>
      <c r="NCA43" s="60"/>
      <c r="NCB43" s="60"/>
      <c r="NCC43" s="60"/>
      <c r="NCD43" s="60"/>
      <c r="NCE43" s="60"/>
      <c r="NCF43" s="60"/>
      <c r="NCG43" s="60"/>
      <c r="NCH43" s="60"/>
      <c r="NCI43" s="60"/>
      <c r="NCJ43" s="60"/>
      <c r="NCK43" s="60"/>
      <c r="NCL43" s="60"/>
      <c r="NCM43" s="60"/>
      <c r="NCN43" s="60"/>
      <c r="NCO43" s="60"/>
      <c r="NCP43" s="60"/>
      <c r="NCQ43" s="60"/>
      <c r="NCR43" s="60"/>
      <c r="NCS43" s="60"/>
      <c r="NCT43" s="60"/>
      <c r="NCU43" s="60"/>
      <c r="NCV43" s="60"/>
      <c r="NCW43" s="60"/>
      <c r="NCX43" s="60"/>
      <c r="NCY43" s="60"/>
      <c r="NCZ43" s="60"/>
      <c r="NDA43" s="60"/>
      <c r="NDB43" s="60"/>
      <c r="NDC43" s="60"/>
      <c r="NDD43" s="60"/>
      <c r="NDE43" s="60"/>
      <c r="NDF43" s="60"/>
      <c r="NDG43" s="60"/>
      <c r="NDH43" s="60"/>
      <c r="NDI43" s="60"/>
      <c r="NDJ43" s="60"/>
      <c r="NDK43" s="60"/>
      <c r="NDL43" s="60"/>
      <c r="NDM43" s="60"/>
      <c r="NDN43" s="60"/>
      <c r="NDO43" s="60"/>
      <c r="NDP43" s="60"/>
      <c r="NDQ43" s="60"/>
      <c r="NDR43" s="60"/>
      <c r="NDS43" s="60"/>
      <c r="NDT43" s="60"/>
      <c r="NDU43" s="60"/>
      <c r="NDV43" s="60"/>
      <c r="NDW43" s="60"/>
      <c r="NDX43" s="60"/>
      <c r="NDY43" s="60"/>
      <c r="NDZ43" s="60"/>
      <c r="NEA43" s="60"/>
      <c r="NEB43" s="60"/>
      <c r="NEC43" s="60"/>
      <c r="NED43" s="60"/>
      <c r="NEE43" s="60"/>
      <c r="NEF43" s="60"/>
      <c r="NEG43" s="60"/>
      <c r="NEH43" s="60"/>
      <c r="NEI43" s="60"/>
      <c r="NEJ43" s="60"/>
      <c r="NEK43" s="60"/>
      <c r="NEL43" s="60"/>
      <c r="NEM43" s="60"/>
      <c r="NEN43" s="60"/>
      <c r="NEO43" s="60"/>
      <c r="NEP43" s="60"/>
      <c r="NEQ43" s="60"/>
      <c r="NER43" s="60"/>
      <c r="NES43" s="60"/>
      <c r="NET43" s="60"/>
      <c r="NEU43" s="60"/>
      <c r="NEV43" s="60"/>
      <c r="NEW43" s="60"/>
      <c r="NEX43" s="60"/>
      <c r="NEY43" s="60"/>
      <c r="NEZ43" s="60"/>
      <c r="NFA43" s="60"/>
      <c r="NFB43" s="60"/>
      <c r="NFC43" s="60"/>
      <c r="NFD43" s="60"/>
      <c r="NFE43" s="60"/>
      <c r="NFF43" s="60"/>
      <c r="NFG43" s="60"/>
      <c r="NFH43" s="60"/>
      <c r="NFI43" s="60"/>
      <c r="NFJ43" s="60"/>
      <c r="NFK43" s="60"/>
      <c r="NFL43" s="60"/>
      <c r="NFM43" s="60"/>
      <c r="NFN43" s="60"/>
      <c r="NFO43" s="60"/>
      <c r="NFP43" s="60"/>
      <c r="NFQ43" s="60"/>
      <c r="NFR43" s="60"/>
      <c r="NFS43" s="60"/>
      <c r="NFT43" s="60"/>
      <c r="NFU43" s="60"/>
      <c r="NFV43" s="60"/>
      <c r="NFW43" s="60"/>
      <c r="NFX43" s="60"/>
      <c r="NFY43" s="60"/>
      <c r="NFZ43" s="60"/>
      <c r="NGA43" s="60"/>
      <c r="NGB43" s="60"/>
      <c r="NGC43" s="60"/>
      <c r="NGD43" s="60"/>
      <c r="NGE43" s="60"/>
      <c r="NGF43" s="60"/>
      <c r="NGG43" s="60"/>
      <c r="NGH43" s="60"/>
      <c r="NGI43" s="60"/>
      <c r="NGJ43" s="60"/>
      <c r="NGK43" s="60"/>
      <c r="NGL43" s="60"/>
      <c r="NGM43" s="60"/>
      <c r="NGN43" s="60"/>
      <c r="NGO43" s="60"/>
      <c r="NGP43" s="60"/>
      <c r="NGQ43" s="60"/>
      <c r="NGR43" s="60"/>
      <c r="NGS43" s="60"/>
      <c r="NGT43" s="60"/>
      <c r="NGU43" s="60"/>
      <c r="NGV43" s="60"/>
      <c r="NGW43" s="60"/>
      <c r="NGX43" s="60"/>
      <c r="NGY43" s="60"/>
      <c r="NGZ43" s="60"/>
      <c r="NHA43" s="60"/>
      <c r="NHB43" s="60"/>
      <c r="NHC43" s="60"/>
      <c r="NHD43" s="60"/>
      <c r="NHE43" s="60"/>
      <c r="NHF43" s="60"/>
      <c r="NHG43" s="60"/>
      <c r="NHH43" s="60"/>
      <c r="NHI43" s="60"/>
      <c r="NHJ43" s="60"/>
      <c r="NHK43" s="60"/>
      <c r="NHL43" s="60"/>
      <c r="NHM43" s="60"/>
      <c r="NHN43" s="60"/>
      <c r="NHO43" s="60"/>
      <c r="NHP43" s="60"/>
      <c r="NHQ43" s="60"/>
      <c r="NHR43" s="60"/>
      <c r="NHS43" s="60"/>
      <c r="NHT43" s="60"/>
      <c r="NHU43" s="60"/>
      <c r="NHV43" s="60"/>
      <c r="NHW43" s="60"/>
      <c r="NHX43" s="60"/>
      <c r="NHY43" s="60"/>
      <c r="NHZ43" s="60"/>
      <c r="NIA43" s="60"/>
      <c r="NIB43" s="60"/>
      <c r="NIC43" s="60"/>
      <c r="NID43" s="60"/>
      <c r="NIE43" s="60"/>
      <c r="NIF43" s="60"/>
      <c r="NIG43" s="60"/>
      <c r="NIH43" s="60"/>
      <c r="NII43" s="60"/>
      <c r="NIJ43" s="60"/>
      <c r="NIK43" s="60"/>
      <c r="NIL43" s="60"/>
      <c r="NIM43" s="60"/>
      <c r="NIN43" s="60"/>
      <c r="NIO43" s="60"/>
      <c r="NIP43" s="60"/>
      <c r="NIQ43" s="60"/>
      <c r="NIR43" s="60"/>
      <c r="NIS43" s="60"/>
      <c r="NIT43" s="60"/>
      <c r="NIU43" s="60"/>
      <c r="NIV43" s="60"/>
      <c r="NIW43" s="60"/>
      <c r="NIX43" s="60"/>
      <c r="NIY43" s="60"/>
      <c r="NIZ43" s="60"/>
      <c r="NJA43" s="60"/>
      <c r="NJB43" s="60"/>
      <c r="NJC43" s="60"/>
      <c r="NJD43" s="60"/>
      <c r="NJE43" s="60"/>
      <c r="NJF43" s="60"/>
      <c r="NJG43" s="60"/>
      <c r="NJH43" s="60"/>
      <c r="NJI43" s="60"/>
      <c r="NJJ43" s="60"/>
      <c r="NJK43" s="60"/>
      <c r="NJL43" s="60"/>
      <c r="NJM43" s="60"/>
      <c r="NJN43" s="60"/>
      <c r="NJO43" s="60"/>
      <c r="NJP43" s="60"/>
      <c r="NJQ43" s="60"/>
      <c r="NJR43" s="60"/>
      <c r="NJS43" s="60"/>
      <c r="NJT43" s="60"/>
      <c r="NJU43" s="60"/>
      <c r="NJV43" s="60"/>
      <c r="NJW43" s="60"/>
      <c r="NJX43" s="60"/>
      <c r="NJY43" s="60"/>
      <c r="NJZ43" s="60"/>
      <c r="NKA43" s="60"/>
      <c r="NKB43" s="60"/>
      <c r="NKC43" s="60"/>
      <c r="NKD43" s="60"/>
      <c r="NKE43" s="60"/>
      <c r="NKF43" s="60"/>
      <c r="NKG43" s="60"/>
      <c r="NKH43" s="60"/>
      <c r="NKI43" s="60"/>
      <c r="NKJ43" s="60"/>
      <c r="NKK43" s="60"/>
      <c r="NKL43" s="60"/>
      <c r="NKM43" s="60"/>
      <c r="NKN43" s="60"/>
      <c r="NKO43" s="60"/>
      <c r="NKP43" s="60"/>
      <c r="NKQ43" s="60"/>
      <c r="NKR43" s="60"/>
      <c r="NKS43" s="60"/>
      <c r="NKT43" s="60"/>
      <c r="NKU43" s="60"/>
      <c r="NKV43" s="60"/>
      <c r="NKW43" s="60"/>
      <c r="NKX43" s="60"/>
      <c r="NKY43" s="60"/>
      <c r="NKZ43" s="60"/>
      <c r="NLA43" s="60"/>
      <c r="NLB43" s="60"/>
      <c r="NLC43" s="60"/>
      <c r="NLD43" s="60"/>
      <c r="NLE43" s="60"/>
      <c r="NLF43" s="60"/>
      <c r="NLG43" s="60"/>
      <c r="NLH43" s="60"/>
      <c r="NLI43" s="60"/>
      <c r="NLJ43" s="60"/>
      <c r="NLK43" s="60"/>
      <c r="NLL43" s="60"/>
      <c r="NLM43" s="60"/>
      <c r="NLN43" s="60"/>
      <c r="NLO43" s="60"/>
      <c r="NLP43" s="60"/>
      <c r="NLQ43" s="60"/>
      <c r="NLR43" s="60"/>
      <c r="NLS43" s="60"/>
      <c r="NLT43" s="60"/>
      <c r="NLU43" s="60"/>
      <c r="NLV43" s="60"/>
      <c r="NLW43" s="60"/>
      <c r="NLX43" s="60"/>
      <c r="NLY43" s="60"/>
      <c r="NLZ43" s="60"/>
      <c r="NMA43" s="60"/>
      <c r="NMB43" s="60"/>
      <c r="NMC43" s="60"/>
      <c r="NMD43" s="60"/>
      <c r="NME43" s="60"/>
      <c r="NMF43" s="60"/>
      <c r="NMG43" s="60"/>
      <c r="NMH43" s="60"/>
      <c r="NMI43" s="60"/>
      <c r="NMJ43" s="60"/>
      <c r="NMK43" s="60"/>
      <c r="NML43" s="60"/>
      <c r="NMM43" s="60"/>
      <c r="NMN43" s="60"/>
      <c r="NMO43" s="60"/>
      <c r="NMP43" s="60"/>
      <c r="NMQ43" s="60"/>
      <c r="NMR43" s="60"/>
      <c r="NMS43" s="60"/>
      <c r="NMT43" s="60"/>
      <c r="NMU43" s="60"/>
      <c r="NMV43" s="60"/>
      <c r="NMW43" s="60"/>
      <c r="NMX43" s="60"/>
      <c r="NMY43" s="60"/>
      <c r="NMZ43" s="60"/>
      <c r="NNA43" s="60"/>
      <c r="NNB43" s="60"/>
      <c r="NNC43" s="60"/>
      <c r="NND43" s="60"/>
      <c r="NNE43" s="60"/>
      <c r="NNF43" s="60"/>
      <c r="NNG43" s="60"/>
      <c r="NNH43" s="60"/>
      <c r="NNI43" s="60"/>
      <c r="NNJ43" s="60"/>
      <c r="NNK43" s="60"/>
      <c r="NNL43" s="60"/>
      <c r="NNM43" s="60"/>
      <c r="NNN43" s="60"/>
      <c r="NNO43" s="60"/>
      <c r="NNP43" s="60"/>
      <c r="NNQ43" s="60"/>
      <c r="NNR43" s="60"/>
      <c r="NNS43" s="60"/>
      <c r="NNT43" s="60"/>
      <c r="NNU43" s="60"/>
      <c r="NNV43" s="60"/>
      <c r="NNW43" s="60"/>
      <c r="NNX43" s="60"/>
      <c r="NNY43" s="60"/>
      <c r="NNZ43" s="60"/>
      <c r="NOA43" s="60"/>
      <c r="NOB43" s="60"/>
      <c r="NOC43" s="60"/>
      <c r="NOD43" s="60"/>
      <c r="NOE43" s="60"/>
      <c r="NOF43" s="60"/>
      <c r="NOG43" s="60"/>
      <c r="NOH43" s="60"/>
      <c r="NOI43" s="60"/>
      <c r="NOJ43" s="60"/>
      <c r="NOK43" s="60"/>
      <c r="NOL43" s="60"/>
      <c r="NOM43" s="60"/>
      <c r="NON43" s="60"/>
      <c r="NOO43" s="60"/>
      <c r="NOP43" s="60"/>
      <c r="NOQ43" s="60"/>
      <c r="NOR43" s="60"/>
      <c r="NOS43" s="60"/>
      <c r="NOT43" s="60"/>
      <c r="NOU43" s="60"/>
      <c r="NOV43" s="60"/>
      <c r="NOW43" s="60"/>
      <c r="NOX43" s="60"/>
      <c r="NOY43" s="60"/>
      <c r="NOZ43" s="60"/>
      <c r="NPA43" s="60"/>
      <c r="NPB43" s="60"/>
      <c r="NPC43" s="60"/>
      <c r="NPD43" s="60"/>
      <c r="NPE43" s="60"/>
      <c r="NPF43" s="60"/>
      <c r="NPG43" s="60"/>
      <c r="NPH43" s="60"/>
      <c r="NPI43" s="60"/>
      <c r="NPJ43" s="60"/>
      <c r="NPK43" s="60"/>
      <c r="NPL43" s="60"/>
      <c r="NPM43" s="60"/>
      <c r="NPN43" s="60"/>
      <c r="NPO43" s="60"/>
      <c r="NPP43" s="60"/>
      <c r="NPQ43" s="60"/>
      <c r="NPR43" s="60"/>
      <c r="NPS43" s="60"/>
      <c r="NPT43" s="60"/>
      <c r="NPU43" s="60"/>
      <c r="NPV43" s="60"/>
      <c r="NPW43" s="60"/>
      <c r="NPX43" s="60"/>
      <c r="NPY43" s="60"/>
      <c r="NPZ43" s="60"/>
      <c r="NQA43" s="60"/>
      <c r="NQB43" s="60"/>
      <c r="NQC43" s="60"/>
      <c r="NQD43" s="60"/>
      <c r="NQE43" s="60"/>
      <c r="NQF43" s="60"/>
      <c r="NQG43" s="60"/>
      <c r="NQH43" s="60"/>
      <c r="NQI43" s="60"/>
      <c r="NQJ43" s="60"/>
      <c r="NQK43" s="60"/>
      <c r="NQL43" s="60"/>
      <c r="NQM43" s="60"/>
      <c r="NQN43" s="60"/>
      <c r="NQO43" s="60"/>
      <c r="NQP43" s="60"/>
      <c r="NQQ43" s="60"/>
      <c r="NQR43" s="60"/>
      <c r="NQS43" s="60"/>
      <c r="NQT43" s="60"/>
      <c r="NQU43" s="60"/>
      <c r="NQV43" s="60"/>
      <c r="NQW43" s="60"/>
      <c r="NQX43" s="60"/>
      <c r="NQY43" s="60"/>
      <c r="NQZ43" s="60"/>
      <c r="NRA43" s="60"/>
      <c r="NRB43" s="60"/>
      <c r="NRC43" s="60"/>
      <c r="NRD43" s="60"/>
      <c r="NRE43" s="60"/>
      <c r="NRF43" s="60"/>
      <c r="NRG43" s="60"/>
      <c r="NRH43" s="60"/>
      <c r="NRI43" s="60"/>
      <c r="NRJ43" s="60"/>
      <c r="NRK43" s="60"/>
      <c r="NRL43" s="60"/>
      <c r="NRM43" s="60"/>
      <c r="NRN43" s="60"/>
      <c r="NRO43" s="60"/>
      <c r="NRP43" s="60"/>
      <c r="NRQ43" s="60"/>
      <c r="NRR43" s="60"/>
      <c r="NRS43" s="60"/>
      <c r="NRT43" s="60"/>
      <c r="NRU43" s="60"/>
      <c r="NRV43" s="60"/>
      <c r="NRW43" s="60"/>
      <c r="NRX43" s="60"/>
      <c r="NRY43" s="60"/>
      <c r="NRZ43" s="60"/>
      <c r="NSA43" s="60"/>
      <c r="NSB43" s="60"/>
      <c r="NSC43" s="60"/>
      <c r="NSD43" s="60"/>
      <c r="NSE43" s="60"/>
      <c r="NSF43" s="60"/>
      <c r="NSG43" s="60"/>
      <c r="NSH43" s="60"/>
      <c r="NSI43" s="60"/>
      <c r="NSJ43" s="60"/>
      <c r="NSK43" s="60"/>
      <c r="NSL43" s="60"/>
      <c r="NSM43" s="60"/>
      <c r="NSN43" s="60"/>
      <c r="NSO43" s="60"/>
      <c r="NSP43" s="60"/>
      <c r="NSQ43" s="60"/>
      <c r="NSR43" s="60"/>
      <c r="NSS43" s="60"/>
      <c r="NST43" s="60"/>
      <c r="NSU43" s="60"/>
      <c r="NSV43" s="60"/>
      <c r="NSW43" s="60"/>
      <c r="NSX43" s="60"/>
      <c r="NSY43" s="60"/>
      <c r="NSZ43" s="60"/>
      <c r="NTA43" s="60"/>
      <c r="NTB43" s="60"/>
      <c r="NTC43" s="60"/>
      <c r="NTD43" s="60"/>
      <c r="NTE43" s="60"/>
      <c r="NTF43" s="60"/>
      <c r="NTG43" s="60"/>
      <c r="NTH43" s="60"/>
      <c r="NTI43" s="60"/>
      <c r="NTJ43" s="60"/>
      <c r="NTK43" s="60"/>
      <c r="NTL43" s="60"/>
      <c r="NTM43" s="60"/>
      <c r="NTN43" s="60"/>
      <c r="NTO43" s="60"/>
      <c r="NTP43" s="60"/>
      <c r="NTQ43" s="60"/>
      <c r="NTR43" s="60"/>
      <c r="NTS43" s="60"/>
      <c r="NTT43" s="60"/>
      <c r="NTU43" s="60"/>
      <c r="NTV43" s="60"/>
      <c r="NTW43" s="60"/>
      <c r="NTX43" s="60"/>
      <c r="NTY43" s="60"/>
      <c r="NTZ43" s="60"/>
      <c r="NUA43" s="60"/>
      <c r="NUB43" s="60"/>
      <c r="NUC43" s="60"/>
      <c r="NUD43" s="60"/>
      <c r="NUE43" s="60"/>
      <c r="NUF43" s="60"/>
      <c r="NUG43" s="60"/>
      <c r="NUH43" s="60"/>
      <c r="NUI43" s="60"/>
      <c r="NUJ43" s="60"/>
      <c r="NUK43" s="60"/>
      <c r="NUL43" s="60"/>
      <c r="NUM43" s="60"/>
      <c r="NUN43" s="60"/>
      <c r="NUO43" s="60"/>
      <c r="NUP43" s="60"/>
      <c r="NUQ43" s="60"/>
      <c r="NUR43" s="60"/>
      <c r="NUS43" s="60"/>
      <c r="NUT43" s="60"/>
      <c r="NUU43" s="60"/>
      <c r="NUV43" s="60"/>
      <c r="NUW43" s="60"/>
      <c r="NUX43" s="60"/>
      <c r="NUY43" s="60"/>
      <c r="NUZ43" s="60"/>
      <c r="NVA43" s="60"/>
      <c r="NVB43" s="60"/>
      <c r="NVC43" s="60"/>
      <c r="NVD43" s="60"/>
      <c r="NVE43" s="60"/>
      <c r="NVF43" s="60"/>
      <c r="NVG43" s="60"/>
      <c r="NVH43" s="60"/>
      <c r="NVI43" s="60"/>
      <c r="NVJ43" s="60"/>
      <c r="NVK43" s="60"/>
      <c r="NVL43" s="60"/>
      <c r="NVM43" s="60"/>
      <c r="NVN43" s="60"/>
      <c r="NVO43" s="60"/>
      <c r="NVP43" s="60"/>
      <c r="NVQ43" s="60"/>
      <c r="NVR43" s="60"/>
      <c r="NVS43" s="60"/>
      <c r="NVT43" s="60"/>
      <c r="NVU43" s="60"/>
      <c r="NVV43" s="60"/>
      <c r="NVW43" s="60"/>
      <c r="NVX43" s="60"/>
      <c r="NVY43" s="60"/>
      <c r="NVZ43" s="60"/>
      <c r="NWA43" s="60"/>
      <c r="NWB43" s="60"/>
      <c r="NWC43" s="60"/>
      <c r="NWD43" s="60"/>
      <c r="NWE43" s="60"/>
      <c r="NWF43" s="60"/>
      <c r="NWG43" s="60"/>
      <c r="NWH43" s="60"/>
      <c r="NWI43" s="60"/>
      <c r="NWJ43" s="60"/>
      <c r="NWK43" s="60"/>
      <c r="NWL43" s="60"/>
      <c r="NWM43" s="60"/>
      <c r="NWN43" s="60"/>
      <c r="NWO43" s="60"/>
      <c r="NWP43" s="60"/>
      <c r="NWQ43" s="60"/>
      <c r="NWR43" s="60"/>
      <c r="NWS43" s="60"/>
      <c r="NWT43" s="60"/>
      <c r="NWU43" s="60"/>
      <c r="NWV43" s="60"/>
      <c r="NWW43" s="60"/>
      <c r="NWX43" s="60"/>
      <c r="NWY43" s="60"/>
      <c r="NWZ43" s="60"/>
      <c r="NXA43" s="60"/>
      <c r="NXB43" s="60"/>
      <c r="NXC43" s="60"/>
      <c r="NXD43" s="60"/>
      <c r="NXE43" s="60"/>
      <c r="NXF43" s="60"/>
      <c r="NXG43" s="60"/>
      <c r="NXH43" s="60"/>
      <c r="NXI43" s="60"/>
      <c r="NXJ43" s="60"/>
      <c r="NXK43" s="60"/>
      <c r="NXL43" s="60"/>
      <c r="NXM43" s="60"/>
      <c r="NXN43" s="60"/>
      <c r="NXO43" s="60"/>
      <c r="NXP43" s="60"/>
      <c r="NXQ43" s="60"/>
      <c r="NXR43" s="60"/>
      <c r="NXS43" s="60"/>
      <c r="NXT43" s="60"/>
      <c r="NXU43" s="60"/>
      <c r="NXV43" s="60"/>
      <c r="NXW43" s="60"/>
      <c r="NXX43" s="60"/>
      <c r="NXY43" s="60"/>
      <c r="NXZ43" s="60"/>
      <c r="NYA43" s="60"/>
      <c r="NYB43" s="60"/>
      <c r="NYC43" s="60"/>
      <c r="NYD43" s="60"/>
      <c r="NYE43" s="60"/>
      <c r="NYF43" s="60"/>
      <c r="NYG43" s="60"/>
      <c r="NYH43" s="60"/>
      <c r="NYI43" s="60"/>
      <c r="NYJ43" s="60"/>
      <c r="NYK43" s="60"/>
      <c r="NYL43" s="60"/>
      <c r="NYM43" s="60"/>
      <c r="NYN43" s="60"/>
      <c r="NYO43" s="60"/>
      <c r="NYP43" s="60"/>
      <c r="NYQ43" s="60"/>
      <c r="NYR43" s="60"/>
      <c r="NYS43" s="60"/>
      <c r="NYT43" s="60"/>
      <c r="NYU43" s="60"/>
      <c r="NYV43" s="60"/>
      <c r="NYW43" s="60"/>
      <c r="NYX43" s="60"/>
      <c r="NYY43" s="60"/>
      <c r="NYZ43" s="60"/>
      <c r="NZA43" s="60"/>
      <c r="NZB43" s="60"/>
      <c r="NZC43" s="60"/>
      <c r="NZD43" s="60"/>
      <c r="NZE43" s="60"/>
      <c r="NZF43" s="60"/>
      <c r="NZG43" s="60"/>
      <c r="NZH43" s="60"/>
      <c r="NZI43" s="60"/>
      <c r="NZJ43" s="60"/>
      <c r="NZK43" s="60"/>
      <c r="NZL43" s="60"/>
      <c r="NZM43" s="60"/>
      <c r="NZN43" s="60"/>
      <c r="NZO43" s="60"/>
      <c r="NZP43" s="60"/>
      <c r="NZQ43" s="60"/>
      <c r="NZR43" s="60"/>
      <c r="NZS43" s="60"/>
      <c r="NZT43" s="60"/>
      <c r="NZU43" s="60"/>
      <c r="NZV43" s="60"/>
      <c r="NZW43" s="60"/>
      <c r="NZX43" s="60"/>
      <c r="NZY43" s="60"/>
      <c r="NZZ43" s="60"/>
      <c r="OAA43" s="60"/>
      <c r="OAB43" s="60"/>
      <c r="OAC43" s="60"/>
      <c r="OAD43" s="60"/>
      <c r="OAE43" s="60"/>
      <c r="OAF43" s="60"/>
      <c r="OAG43" s="60"/>
      <c r="OAH43" s="60"/>
      <c r="OAI43" s="60"/>
      <c r="OAJ43" s="60"/>
      <c r="OAK43" s="60"/>
      <c r="OAL43" s="60"/>
      <c r="OAM43" s="60"/>
      <c r="OAN43" s="60"/>
      <c r="OAO43" s="60"/>
      <c r="OAP43" s="60"/>
      <c r="OAQ43" s="60"/>
      <c r="OAR43" s="60"/>
      <c r="OAS43" s="60"/>
      <c r="OAT43" s="60"/>
      <c r="OAU43" s="60"/>
      <c r="OAV43" s="60"/>
      <c r="OAW43" s="60"/>
      <c r="OAX43" s="60"/>
      <c r="OAY43" s="60"/>
      <c r="OAZ43" s="60"/>
      <c r="OBA43" s="60"/>
      <c r="OBB43" s="60"/>
      <c r="OBC43" s="60"/>
      <c r="OBD43" s="60"/>
      <c r="OBE43" s="60"/>
      <c r="OBF43" s="60"/>
      <c r="OBG43" s="60"/>
      <c r="OBH43" s="60"/>
      <c r="OBI43" s="60"/>
      <c r="OBJ43" s="60"/>
      <c r="OBK43" s="60"/>
      <c r="OBL43" s="60"/>
      <c r="OBM43" s="60"/>
      <c r="OBN43" s="60"/>
      <c r="OBO43" s="60"/>
      <c r="OBP43" s="60"/>
      <c r="OBQ43" s="60"/>
      <c r="OBR43" s="60"/>
      <c r="OBS43" s="60"/>
      <c r="OBT43" s="60"/>
      <c r="OBU43" s="60"/>
      <c r="OBV43" s="60"/>
      <c r="OBW43" s="60"/>
      <c r="OBX43" s="60"/>
      <c r="OBY43" s="60"/>
      <c r="OBZ43" s="60"/>
      <c r="OCA43" s="60"/>
      <c r="OCB43" s="60"/>
      <c r="OCC43" s="60"/>
      <c r="OCD43" s="60"/>
      <c r="OCE43" s="60"/>
      <c r="OCF43" s="60"/>
      <c r="OCG43" s="60"/>
      <c r="OCH43" s="60"/>
      <c r="OCI43" s="60"/>
      <c r="OCJ43" s="60"/>
      <c r="OCK43" s="60"/>
      <c r="OCL43" s="60"/>
      <c r="OCM43" s="60"/>
      <c r="OCN43" s="60"/>
      <c r="OCO43" s="60"/>
      <c r="OCP43" s="60"/>
      <c r="OCQ43" s="60"/>
      <c r="OCR43" s="60"/>
      <c r="OCS43" s="60"/>
      <c r="OCT43" s="60"/>
      <c r="OCU43" s="60"/>
      <c r="OCV43" s="60"/>
      <c r="OCW43" s="60"/>
      <c r="OCX43" s="60"/>
      <c r="OCY43" s="60"/>
      <c r="OCZ43" s="60"/>
      <c r="ODA43" s="60"/>
      <c r="ODB43" s="60"/>
      <c r="ODC43" s="60"/>
      <c r="ODD43" s="60"/>
      <c r="ODE43" s="60"/>
      <c r="ODF43" s="60"/>
      <c r="ODG43" s="60"/>
      <c r="ODH43" s="60"/>
      <c r="ODI43" s="60"/>
      <c r="ODJ43" s="60"/>
      <c r="ODK43" s="60"/>
      <c r="ODL43" s="60"/>
      <c r="ODM43" s="60"/>
      <c r="ODN43" s="60"/>
      <c r="ODO43" s="60"/>
      <c r="ODP43" s="60"/>
      <c r="ODQ43" s="60"/>
      <c r="ODR43" s="60"/>
      <c r="ODS43" s="60"/>
      <c r="ODT43" s="60"/>
      <c r="ODU43" s="60"/>
      <c r="ODV43" s="60"/>
      <c r="ODW43" s="60"/>
      <c r="ODX43" s="60"/>
      <c r="ODY43" s="60"/>
      <c r="ODZ43" s="60"/>
      <c r="OEA43" s="60"/>
      <c r="OEB43" s="60"/>
      <c r="OEC43" s="60"/>
      <c r="OED43" s="60"/>
      <c r="OEE43" s="60"/>
      <c r="OEF43" s="60"/>
      <c r="OEG43" s="60"/>
      <c r="OEH43" s="60"/>
      <c r="OEI43" s="60"/>
      <c r="OEJ43" s="60"/>
      <c r="OEK43" s="60"/>
      <c r="OEL43" s="60"/>
      <c r="OEM43" s="60"/>
      <c r="OEN43" s="60"/>
      <c r="OEO43" s="60"/>
      <c r="OEP43" s="60"/>
      <c r="OEQ43" s="60"/>
      <c r="OER43" s="60"/>
      <c r="OES43" s="60"/>
      <c r="OET43" s="60"/>
      <c r="OEU43" s="60"/>
      <c r="OEV43" s="60"/>
      <c r="OEW43" s="60"/>
      <c r="OEX43" s="60"/>
      <c r="OEY43" s="60"/>
      <c r="OEZ43" s="60"/>
      <c r="OFA43" s="60"/>
      <c r="OFB43" s="60"/>
      <c r="OFC43" s="60"/>
      <c r="OFD43" s="60"/>
      <c r="OFE43" s="60"/>
      <c r="OFF43" s="60"/>
      <c r="OFG43" s="60"/>
      <c r="OFH43" s="60"/>
      <c r="OFI43" s="60"/>
      <c r="OFJ43" s="60"/>
      <c r="OFK43" s="60"/>
      <c r="OFL43" s="60"/>
      <c r="OFM43" s="60"/>
      <c r="OFN43" s="60"/>
      <c r="OFO43" s="60"/>
      <c r="OFP43" s="60"/>
      <c r="OFQ43" s="60"/>
      <c r="OFR43" s="60"/>
      <c r="OFS43" s="60"/>
      <c r="OFT43" s="60"/>
      <c r="OFU43" s="60"/>
      <c r="OFV43" s="60"/>
      <c r="OFW43" s="60"/>
      <c r="OFX43" s="60"/>
      <c r="OFY43" s="60"/>
      <c r="OFZ43" s="60"/>
      <c r="OGA43" s="60"/>
      <c r="OGB43" s="60"/>
      <c r="OGC43" s="60"/>
      <c r="OGD43" s="60"/>
      <c r="OGE43" s="60"/>
      <c r="OGF43" s="60"/>
      <c r="OGG43" s="60"/>
      <c r="OGH43" s="60"/>
      <c r="OGI43" s="60"/>
      <c r="OGJ43" s="60"/>
      <c r="OGK43" s="60"/>
      <c r="OGL43" s="60"/>
      <c r="OGM43" s="60"/>
      <c r="OGN43" s="60"/>
      <c r="OGO43" s="60"/>
      <c r="OGP43" s="60"/>
      <c r="OGQ43" s="60"/>
      <c r="OGR43" s="60"/>
      <c r="OGS43" s="60"/>
      <c r="OGT43" s="60"/>
      <c r="OGU43" s="60"/>
      <c r="OGV43" s="60"/>
      <c r="OGW43" s="60"/>
      <c r="OGX43" s="60"/>
      <c r="OGY43" s="60"/>
      <c r="OGZ43" s="60"/>
      <c r="OHA43" s="60"/>
      <c r="OHB43" s="60"/>
      <c r="OHC43" s="60"/>
      <c r="OHD43" s="60"/>
      <c r="OHE43" s="60"/>
      <c r="OHF43" s="60"/>
      <c r="OHG43" s="60"/>
      <c r="OHH43" s="60"/>
      <c r="OHI43" s="60"/>
      <c r="OHJ43" s="60"/>
      <c r="OHK43" s="60"/>
      <c r="OHL43" s="60"/>
      <c r="OHM43" s="60"/>
      <c r="OHN43" s="60"/>
      <c r="OHO43" s="60"/>
      <c r="OHP43" s="60"/>
      <c r="OHQ43" s="60"/>
      <c r="OHR43" s="60"/>
      <c r="OHS43" s="60"/>
      <c r="OHT43" s="60"/>
      <c r="OHU43" s="60"/>
      <c r="OHV43" s="60"/>
      <c r="OHW43" s="60"/>
      <c r="OHX43" s="60"/>
      <c r="OHY43" s="60"/>
      <c r="OHZ43" s="60"/>
      <c r="OIA43" s="60"/>
      <c r="OIB43" s="60"/>
      <c r="OIC43" s="60"/>
      <c r="OID43" s="60"/>
      <c r="OIE43" s="60"/>
      <c r="OIF43" s="60"/>
      <c r="OIG43" s="60"/>
      <c r="OIH43" s="60"/>
      <c r="OII43" s="60"/>
      <c r="OIJ43" s="60"/>
      <c r="OIK43" s="60"/>
      <c r="OIL43" s="60"/>
      <c r="OIM43" s="60"/>
      <c r="OIN43" s="60"/>
      <c r="OIO43" s="60"/>
      <c r="OIP43" s="60"/>
      <c r="OIQ43" s="60"/>
      <c r="OIR43" s="60"/>
      <c r="OIS43" s="60"/>
      <c r="OIT43" s="60"/>
      <c r="OIU43" s="60"/>
      <c r="OIV43" s="60"/>
      <c r="OIW43" s="60"/>
      <c r="OIX43" s="60"/>
      <c r="OIY43" s="60"/>
      <c r="OIZ43" s="60"/>
      <c r="OJA43" s="60"/>
      <c r="OJB43" s="60"/>
      <c r="OJC43" s="60"/>
      <c r="OJD43" s="60"/>
      <c r="OJE43" s="60"/>
      <c r="OJF43" s="60"/>
      <c r="OJG43" s="60"/>
      <c r="OJH43" s="60"/>
      <c r="OJI43" s="60"/>
      <c r="OJJ43" s="60"/>
      <c r="OJK43" s="60"/>
      <c r="OJL43" s="60"/>
      <c r="OJM43" s="60"/>
      <c r="OJN43" s="60"/>
      <c r="OJO43" s="60"/>
      <c r="OJP43" s="60"/>
      <c r="OJQ43" s="60"/>
      <c r="OJR43" s="60"/>
      <c r="OJS43" s="60"/>
      <c r="OJT43" s="60"/>
      <c r="OJU43" s="60"/>
      <c r="OJV43" s="60"/>
      <c r="OJW43" s="60"/>
      <c r="OJX43" s="60"/>
      <c r="OJY43" s="60"/>
      <c r="OJZ43" s="60"/>
      <c r="OKA43" s="60"/>
      <c r="OKB43" s="60"/>
      <c r="OKC43" s="60"/>
      <c r="OKD43" s="60"/>
      <c r="OKE43" s="60"/>
      <c r="OKF43" s="60"/>
      <c r="OKG43" s="60"/>
      <c r="OKH43" s="60"/>
      <c r="OKI43" s="60"/>
      <c r="OKJ43" s="60"/>
      <c r="OKK43" s="60"/>
      <c r="OKL43" s="60"/>
      <c r="OKM43" s="60"/>
      <c r="OKN43" s="60"/>
      <c r="OKO43" s="60"/>
      <c r="OKP43" s="60"/>
      <c r="OKQ43" s="60"/>
      <c r="OKR43" s="60"/>
      <c r="OKS43" s="60"/>
      <c r="OKT43" s="60"/>
      <c r="OKU43" s="60"/>
      <c r="OKV43" s="60"/>
      <c r="OKW43" s="60"/>
      <c r="OKX43" s="60"/>
      <c r="OKY43" s="60"/>
      <c r="OKZ43" s="60"/>
      <c r="OLA43" s="60"/>
      <c r="OLB43" s="60"/>
      <c r="OLC43" s="60"/>
      <c r="OLD43" s="60"/>
      <c r="OLE43" s="60"/>
      <c r="OLF43" s="60"/>
      <c r="OLG43" s="60"/>
      <c r="OLH43" s="60"/>
      <c r="OLI43" s="60"/>
      <c r="OLJ43" s="60"/>
      <c r="OLK43" s="60"/>
      <c r="OLL43" s="60"/>
      <c r="OLM43" s="60"/>
      <c r="OLN43" s="60"/>
      <c r="OLO43" s="60"/>
      <c r="OLP43" s="60"/>
      <c r="OLQ43" s="60"/>
      <c r="OLR43" s="60"/>
      <c r="OLS43" s="60"/>
      <c r="OLT43" s="60"/>
      <c r="OLU43" s="60"/>
      <c r="OLV43" s="60"/>
      <c r="OLW43" s="60"/>
      <c r="OLX43" s="60"/>
      <c r="OLY43" s="60"/>
      <c r="OLZ43" s="60"/>
      <c r="OMA43" s="60"/>
      <c r="OMB43" s="60"/>
      <c r="OMC43" s="60"/>
      <c r="OMD43" s="60"/>
      <c r="OME43" s="60"/>
      <c r="OMF43" s="60"/>
      <c r="OMG43" s="60"/>
      <c r="OMH43" s="60"/>
      <c r="OMI43" s="60"/>
      <c r="OMJ43" s="60"/>
      <c r="OMK43" s="60"/>
      <c r="OML43" s="60"/>
      <c r="OMM43" s="60"/>
      <c r="OMN43" s="60"/>
      <c r="OMO43" s="60"/>
      <c r="OMP43" s="60"/>
      <c r="OMQ43" s="60"/>
      <c r="OMR43" s="60"/>
      <c r="OMS43" s="60"/>
      <c r="OMT43" s="60"/>
      <c r="OMU43" s="60"/>
      <c r="OMV43" s="60"/>
      <c r="OMW43" s="60"/>
      <c r="OMX43" s="60"/>
      <c r="OMY43" s="60"/>
      <c r="OMZ43" s="60"/>
      <c r="ONA43" s="60"/>
      <c r="ONB43" s="60"/>
      <c r="ONC43" s="60"/>
      <c r="OND43" s="60"/>
      <c r="ONE43" s="60"/>
      <c r="ONF43" s="60"/>
      <c r="ONG43" s="60"/>
      <c r="ONH43" s="60"/>
      <c r="ONI43" s="60"/>
      <c r="ONJ43" s="60"/>
      <c r="ONK43" s="60"/>
      <c r="ONL43" s="60"/>
      <c r="ONM43" s="60"/>
      <c r="ONN43" s="60"/>
      <c r="ONO43" s="60"/>
      <c r="ONP43" s="60"/>
      <c r="ONQ43" s="60"/>
      <c r="ONR43" s="60"/>
      <c r="ONS43" s="60"/>
      <c r="ONT43" s="60"/>
      <c r="ONU43" s="60"/>
      <c r="ONV43" s="60"/>
      <c r="ONW43" s="60"/>
      <c r="ONX43" s="60"/>
      <c r="ONY43" s="60"/>
      <c r="ONZ43" s="60"/>
      <c r="OOA43" s="60"/>
      <c r="OOB43" s="60"/>
      <c r="OOC43" s="60"/>
      <c r="OOD43" s="60"/>
      <c r="OOE43" s="60"/>
      <c r="OOF43" s="60"/>
      <c r="OOG43" s="60"/>
      <c r="OOH43" s="60"/>
      <c r="OOI43" s="60"/>
      <c r="OOJ43" s="60"/>
      <c r="OOK43" s="60"/>
      <c r="OOL43" s="60"/>
      <c r="OOM43" s="60"/>
      <c r="OON43" s="60"/>
      <c r="OOO43" s="60"/>
      <c r="OOP43" s="60"/>
      <c r="OOQ43" s="60"/>
      <c r="OOR43" s="60"/>
      <c r="OOS43" s="60"/>
      <c r="OOT43" s="60"/>
      <c r="OOU43" s="60"/>
      <c r="OOV43" s="60"/>
      <c r="OOW43" s="60"/>
      <c r="OOX43" s="60"/>
      <c r="OOY43" s="60"/>
      <c r="OOZ43" s="60"/>
      <c r="OPA43" s="60"/>
      <c r="OPB43" s="60"/>
      <c r="OPC43" s="60"/>
      <c r="OPD43" s="60"/>
      <c r="OPE43" s="60"/>
      <c r="OPF43" s="60"/>
      <c r="OPG43" s="60"/>
      <c r="OPH43" s="60"/>
      <c r="OPI43" s="60"/>
      <c r="OPJ43" s="60"/>
      <c r="OPK43" s="60"/>
      <c r="OPL43" s="60"/>
      <c r="OPM43" s="60"/>
      <c r="OPN43" s="60"/>
      <c r="OPO43" s="60"/>
      <c r="OPP43" s="60"/>
      <c r="OPQ43" s="60"/>
      <c r="OPR43" s="60"/>
      <c r="OPS43" s="60"/>
      <c r="OPT43" s="60"/>
      <c r="OPU43" s="60"/>
      <c r="OPV43" s="60"/>
      <c r="OPW43" s="60"/>
      <c r="OPX43" s="60"/>
      <c r="OPY43" s="60"/>
      <c r="OPZ43" s="60"/>
      <c r="OQA43" s="60"/>
      <c r="OQB43" s="60"/>
      <c r="OQC43" s="60"/>
      <c r="OQD43" s="60"/>
      <c r="OQE43" s="60"/>
      <c r="OQF43" s="60"/>
      <c r="OQG43" s="60"/>
      <c r="OQH43" s="60"/>
      <c r="OQI43" s="60"/>
      <c r="OQJ43" s="60"/>
      <c r="OQK43" s="60"/>
      <c r="OQL43" s="60"/>
      <c r="OQM43" s="60"/>
      <c r="OQN43" s="60"/>
      <c r="OQO43" s="60"/>
      <c r="OQP43" s="60"/>
      <c r="OQQ43" s="60"/>
      <c r="OQR43" s="60"/>
      <c r="OQS43" s="60"/>
      <c r="OQT43" s="60"/>
      <c r="OQU43" s="60"/>
      <c r="OQV43" s="60"/>
      <c r="OQW43" s="60"/>
      <c r="OQX43" s="60"/>
      <c r="OQY43" s="60"/>
      <c r="OQZ43" s="60"/>
      <c r="ORA43" s="60"/>
      <c r="ORB43" s="60"/>
      <c r="ORC43" s="60"/>
      <c r="ORD43" s="60"/>
      <c r="ORE43" s="60"/>
      <c r="ORF43" s="60"/>
      <c r="ORG43" s="60"/>
      <c r="ORH43" s="60"/>
      <c r="ORI43" s="60"/>
      <c r="ORJ43" s="60"/>
      <c r="ORK43" s="60"/>
      <c r="ORL43" s="60"/>
      <c r="ORM43" s="60"/>
      <c r="ORN43" s="60"/>
      <c r="ORO43" s="60"/>
      <c r="ORP43" s="60"/>
      <c r="ORQ43" s="60"/>
      <c r="ORR43" s="60"/>
      <c r="ORS43" s="60"/>
      <c r="ORT43" s="60"/>
      <c r="ORU43" s="60"/>
      <c r="ORV43" s="60"/>
      <c r="ORW43" s="60"/>
      <c r="ORX43" s="60"/>
      <c r="ORY43" s="60"/>
      <c r="ORZ43" s="60"/>
      <c r="OSA43" s="60"/>
      <c r="OSB43" s="60"/>
      <c r="OSC43" s="60"/>
      <c r="OSD43" s="60"/>
      <c r="OSE43" s="60"/>
      <c r="OSF43" s="60"/>
      <c r="OSG43" s="60"/>
      <c r="OSH43" s="60"/>
      <c r="OSI43" s="60"/>
      <c r="OSJ43" s="60"/>
      <c r="OSK43" s="60"/>
      <c r="OSL43" s="60"/>
      <c r="OSM43" s="60"/>
      <c r="OSN43" s="60"/>
      <c r="OSO43" s="60"/>
      <c r="OSP43" s="60"/>
      <c r="OSQ43" s="60"/>
      <c r="OSR43" s="60"/>
      <c r="OSS43" s="60"/>
      <c r="OST43" s="60"/>
      <c r="OSU43" s="60"/>
      <c r="OSV43" s="60"/>
      <c r="OSW43" s="60"/>
      <c r="OSX43" s="60"/>
      <c r="OSY43" s="60"/>
      <c r="OSZ43" s="60"/>
      <c r="OTA43" s="60"/>
      <c r="OTB43" s="60"/>
      <c r="OTC43" s="60"/>
      <c r="OTD43" s="60"/>
      <c r="OTE43" s="60"/>
      <c r="OTF43" s="60"/>
      <c r="OTG43" s="60"/>
      <c r="OTH43" s="60"/>
      <c r="OTI43" s="60"/>
      <c r="OTJ43" s="60"/>
      <c r="OTK43" s="60"/>
      <c r="OTL43" s="60"/>
      <c r="OTM43" s="60"/>
      <c r="OTN43" s="60"/>
      <c r="OTO43" s="60"/>
      <c r="OTP43" s="60"/>
      <c r="OTQ43" s="60"/>
      <c r="OTR43" s="60"/>
      <c r="OTS43" s="60"/>
      <c r="OTT43" s="60"/>
      <c r="OTU43" s="60"/>
      <c r="OTV43" s="60"/>
      <c r="OTW43" s="60"/>
      <c r="OTX43" s="60"/>
      <c r="OTY43" s="60"/>
      <c r="OTZ43" s="60"/>
      <c r="OUA43" s="60"/>
      <c r="OUB43" s="60"/>
      <c r="OUC43" s="60"/>
      <c r="OUD43" s="60"/>
      <c r="OUE43" s="60"/>
      <c r="OUF43" s="60"/>
      <c r="OUG43" s="60"/>
      <c r="OUH43" s="60"/>
      <c r="OUI43" s="60"/>
      <c r="OUJ43" s="60"/>
      <c r="OUK43" s="60"/>
      <c r="OUL43" s="60"/>
      <c r="OUM43" s="60"/>
      <c r="OUN43" s="60"/>
      <c r="OUO43" s="60"/>
      <c r="OUP43" s="60"/>
      <c r="OUQ43" s="60"/>
      <c r="OUR43" s="60"/>
      <c r="OUS43" s="60"/>
      <c r="OUT43" s="60"/>
      <c r="OUU43" s="60"/>
      <c r="OUV43" s="60"/>
      <c r="OUW43" s="60"/>
      <c r="OUX43" s="60"/>
      <c r="OUY43" s="60"/>
      <c r="OUZ43" s="60"/>
      <c r="OVA43" s="60"/>
      <c r="OVB43" s="60"/>
      <c r="OVC43" s="60"/>
      <c r="OVD43" s="60"/>
      <c r="OVE43" s="60"/>
      <c r="OVF43" s="60"/>
      <c r="OVG43" s="60"/>
      <c r="OVH43" s="60"/>
      <c r="OVI43" s="60"/>
      <c r="OVJ43" s="60"/>
      <c r="OVK43" s="60"/>
      <c r="OVL43" s="60"/>
      <c r="OVM43" s="60"/>
      <c r="OVN43" s="60"/>
      <c r="OVO43" s="60"/>
      <c r="OVP43" s="60"/>
      <c r="OVQ43" s="60"/>
      <c r="OVR43" s="60"/>
      <c r="OVS43" s="60"/>
      <c r="OVT43" s="60"/>
      <c r="OVU43" s="60"/>
      <c r="OVV43" s="60"/>
      <c r="OVW43" s="60"/>
      <c r="OVX43" s="60"/>
      <c r="OVY43" s="60"/>
      <c r="OVZ43" s="60"/>
      <c r="OWA43" s="60"/>
      <c r="OWB43" s="60"/>
      <c r="OWC43" s="60"/>
      <c r="OWD43" s="60"/>
      <c r="OWE43" s="60"/>
      <c r="OWF43" s="60"/>
      <c r="OWG43" s="60"/>
      <c r="OWH43" s="60"/>
      <c r="OWI43" s="60"/>
      <c r="OWJ43" s="60"/>
      <c r="OWK43" s="60"/>
      <c r="OWL43" s="60"/>
      <c r="OWM43" s="60"/>
      <c r="OWN43" s="60"/>
      <c r="OWO43" s="60"/>
      <c r="OWP43" s="60"/>
      <c r="OWQ43" s="60"/>
      <c r="OWR43" s="60"/>
      <c r="OWS43" s="60"/>
      <c r="OWT43" s="60"/>
      <c r="OWU43" s="60"/>
      <c r="OWV43" s="60"/>
      <c r="OWW43" s="60"/>
      <c r="OWX43" s="60"/>
      <c r="OWY43" s="60"/>
      <c r="OWZ43" s="60"/>
      <c r="OXA43" s="60"/>
      <c r="OXB43" s="60"/>
      <c r="OXC43" s="60"/>
      <c r="OXD43" s="60"/>
      <c r="OXE43" s="60"/>
      <c r="OXF43" s="60"/>
      <c r="OXG43" s="60"/>
      <c r="OXH43" s="60"/>
      <c r="OXI43" s="60"/>
      <c r="OXJ43" s="60"/>
      <c r="OXK43" s="60"/>
      <c r="OXL43" s="60"/>
      <c r="OXM43" s="60"/>
      <c r="OXN43" s="60"/>
      <c r="OXO43" s="60"/>
      <c r="OXP43" s="60"/>
      <c r="OXQ43" s="60"/>
      <c r="OXR43" s="60"/>
      <c r="OXS43" s="60"/>
      <c r="OXT43" s="60"/>
      <c r="OXU43" s="60"/>
      <c r="OXV43" s="60"/>
      <c r="OXW43" s="60"/>
      <c r="OXX43" s="60"/>
      <c r="OXY43" s="60"/>
      <c r="OXZ43" s="60"/>
      <c r="OYA43" s="60"/>
      <c r="OYB43" s="60"/>
      <c r="OYC43" s="60"/>
      <c r="OYD43" s="60"/>
      <c r="OYE43" s="60"/>
      <c r="OYF43" s="60"/>
      <c r="OYG43" s="60"/>
      <c r="OYH43" s="60"/>
      <c r="OYI43" s="60"/>
      <c r="OYJ43" s="60"/>
      <c r="OYK43" s="60"/>
      <c r="OYL43" s="60"/>
      <c r="OYM43" s="60"/>
      <c r="OYN43" s="60"/>
      <c r="OYO43" s="60"/>
      <c r="OYP43" s="60"/>
      <c r="OYQ43" s="60"/>
      <c r="OYR43" s="60"/>
      <c r="OYS43" s="60"/>
      <c r="OYT43" s="60"/>
      <c r="OYU43" s="60"/>
      <c r="OYV43" s="60"/>
      <c r="OYW43" s="60"/>
      <c r="OYX43" s="60"/>
      <c r="OYY43" s="60"/>
      <c r="OYZ43" s="60"/>
      <c r="OZA43" s="60"/>
      <c r="OZB43" s="60"/>
      <c r="OZC43" s="60"/>
      <c r="OZD43" s="60"/>
      <c r="OZE43" s="60"/>
      <c r="OZF43" s="60"/>
      <c r="OZG43" s="60"/>
      <c r="OZH43" s="60"/>
      <c r="OZI43" s="60"/>
      <c r="OZJ43" s="60"/>
      <c r="OZK43" s="60"/>
      <c r="OZL43" s="60"/>
      <c r="OZM43" s="60"/>
      <c r="OZN43" s="60"/>
      <c r="OZO43" s="60"/>
      <c r="OZP43" s="60"/>
      <c r="OZQ43" s="60"/>
      <c r="OZR43" s="60"/>
      <c r="OZS43" s="60"/>
      <c r="OZT43" s="60"/>
      <c r="OZU43" s="60"/>
      <c r="OZV43" s="60"/>
      <c r="OZW43" s="60"/>
      <c r="OZX43" s="60"/>
      <c r="OZY43" s="60"/>
      <c r="OZZ43" s="60"/>
      <c r="PAA43" s="60"/>
      <c r="PAB43" s="60"/>
      <c r="PAC43" s="60"/>
      <c r="PAD43" s="60"/>
      <c r="PAE43" s="60"/>
      <c r="PAF43" s="60"/>
      <c r="PAG43" s="60"/>
      <c r="PAH43" s="60"/>
      <c r="PAI43" s="60"/>
      <c r="PAJ43" s="60"/>
      <c r="PAK43" s="60"/>
      <c r="PAL43" s="60"/>
      <c r="PAM43" s="60"/>
      <c r="PAN43" s="60"/>
      <c r="PAO43" s="60"/>
      <c r="PAP43" s="60"/>
      <c r="PAQ43" s="60"/>
      <c r="PAR43" s="60"/>
      <c r="PAS43" s="60"/>
      <c r="PAT43" s="60"/>
      <c r="PAU43" s="60"/>
      <c r="PAV43" s="60"/>
      <c r="PAW43" s="60"/>
      <c r="PAX43" s="60"/>
      <c r="PAY43" s="60"/>
      <c r="PAZ43" s="60"/>
      <c r="PBA43" s="60"/>
      <c r="PBB43" s="60"/>
      <c r="PBC43" s="60"/>
      <c r="PBD43" s="60"/>
      <c r="PBE43" s="60"/>
      <c r="PBF43" s="60"/>
      <c r="PBG43" s="60"/>
      <c r="PBH43" s="60"/>
      <c r="PBI43" s="60"/>
      <c r="PBJ43" s="60"/>
      <c r="PBK43" s="60"/>
      <c r="PBL43" s="60"/>
      <c r="PBM43" s="60"/>
      <c r="PBN43" s="60"/>
      <c r="PBO43" s="60"/>
      <c r="PBP43" s="60"/>
      <c r="PBQ43" s="60"/>
      <c r="PBR43" s="60"/>
      <c r="PBS43" s="60"/>
      <c r="PBT43" s="60"/>
      <c r="PBU43" s="60"/>
      <c r="PBV43" s="60"/>
      <c r="PBW43" s="60"/>
      <c r="PBX43" s="60"/>
      <c r="PBY43" s="60"/>
      <c r="PBZ43" s="60"/>
      <c r="PCA43" s="60"/>
      <c r="PCB43" s="60"/>
      <c r="PCC43" s="60"/>
      <c r="PCD43" s="60"/>
      <c r="PCE43" s="60"/>
      <c r="PCF43" s="60"/>
      <c r="PCG43" s="60"/>
      <c r="PCH43" s="60"/>
      <c r="PCI43" s="60"/>
      <c r="PCJ43" s="60"/>
      <c r="PCK43" s="60"/>
      <c r="PCL43" s="60"/>
      <c r="PCM43" s="60"/>
      <c r="PCN43" s="60"/>
      <c r="PCO43" s="60"/>
      <c r="PCP43" s="60"/>
      <c r="PCQ43" s="60"/>
      <c r="PCR43" s="60"/>
      <c r="PCS43" s="60"/>
      <c r="PCT43" s="60"/>
      <c r="PCU43" s="60"/>
      <c r="PCV43" s="60"/>
      <c r="PCW43" s="60"/>
      <c r="PCX43" s="60"/>
      <c r="PCY43" s="60"/>
      <c r="PCZ43" s="60"/>
      <c r="PDA43" s="60"/>
      <c r="PDB43" s="60"/>
      <c r="PDC43" s="60"/>
      <c r="PDD43" s="60"/>
      <c r="PDE43" s="60"/>
      <c r="PDF43" s="60"/>
      <c r="PDG43" s="60"/>
      <c r="PDH43" s="60"/>
      <c r="PDI43" s="60"/>
      <c r="PDJ43" s="60"/>
      <c r="PDK43" s="60"/>
      <c r="PDL43" s="60"/>
      <c r="PDM43" s="60"/>
      <c r="PDN43" s="60"/>
      <c r="PDO43" s="60"/>
      <c r="PDP43" s="60"/>
      <c r="PDQ43" s="60"/>
      <c r="PDR43" s="60"/>
      <c r="PDS43" s="60"/>
      <c r="PDT43" s="60"/>
      <c r="PDU43" s="60"/>
      <c r="PDV43" s="60"/>
      <c r="PDW43" s="60"/>
      <c r="PDX43" s="60"/>
      <c r="PDY43" s="60"/>
      <c r="PDZ43" s="60"/>
      <c r="PEA43" s="60"/>
      <c r="PEB43" s="60"/>
      <c r="PEC43" s="60"/>
      <c r="PED43" s="60"/>
      <c r="PEE43" s="60"/>
      <c r="PEF43" s="60"/>
      <c r="PEG43" s="60"/>
      <c r="PEH43" s="60"/>
      <c r="PEI43" s="60"/>
      <c r="PEJ43" s="60"/>
      <c r="PEK43" s="60"/>
      <c r="PEL43" s="60"/>
      <c r="PEM43" s="60"/>
      <c r="PEN43" s="60"/>
      <c r="PEO43" s="60"/>
      <c r="PEP43" s="60"/>
      <c r="PEQ43" s="60"/>
      <c r="PER43" s="60"/>
      <c r="PES43" s="60"/>
      <c r="PET43" s="60"/>
      <c r="PEU43" s="60"/>
      <c r="PEV43" s="60"/>
      <c r="PEW43" s="60"/>
      <c r="PEX43" s="60"/>
      <c r="PEY43" s="60"/>
      <c r="PEZ43" s="60"/>
      <c r="PFA43" s="60"/>
      <c r="PFB43" s="60"/>
      <c r="PFC43" s="60"/>
      <c r="PFD43" s="60"/>
      <c r="PFE43" s="60"/>
      <c r="PFF43" s="60"/>
      <c r="PFG43" s="60"/>
      <c r="PFH43" s="60"/>
      <c r="PFI43" s="60"/>
      <c r="PFJ43" s="60"/>
      <c r="PFK43" s="60"/>
      <c r="PFL43" s="60"/>
      <c r="PFM43" s="60"/>
      <c r="PFN43" s="60"/>
      <c r="PFO43" s="60"/>
      <c r="PFP43" s="60"/>
      <c r="PFQ43" s="60"/>
      <c r="PFR43" s="60"/>
      <c r="PFS43" s="60"/>
      <c r="PFT43" s="60"/>
      <c r="PFU43" s="60"/>
      <c r="PFV43" s="60"/>
      <c r="PFW43" s="60"/>
      <c r="PFX43" s="60"/>
      <c r="PFY43" s="60"/>
      <c r="PFZ43" s="60"/>
      <c r="PGA43" s="60"/>
      <c r="PGB43" s="60"/>
      <c r="PGC43" s="60"/>
      <c r="PGD43" s="60"/>
      <c r="PGE43" s="60"/>
      <c r="PGF43" s="60"/>
      <c r="PGG43" s="60"/>
      <c r="PGH43" s="60"/>
      <c r="PGI43" s="60"/>
      <c r="PGJ43" s="60"/>
      <c r="PGK43" s="60"/>
      <c r="PGL43" s="60"/>
      <c r="PGM43" s="60"/>
      <c r="PGN43" s="60"/>
      <c r="PGO43" s="60"/>
      <c r="PGP43" s="60"/>
      <c r="PGQ43" s="60"/>
      <c r="PGR43" s="60"/>
      <c r="PGS43" s="60"/>
      <c r="PGT43" s="60"/>
      <c r="PGU43" s="60"/>
      <c r="PGV43" s="60"/>
      <c r="PGW43" s="60"/>
      <c r="PGX43" s="60"/>
      <c r="PGY43" s="60"/>
      <c r="PGZ43" s="60"/>
      <c r="PHA43" s="60"/>
      <c r="PHB43" s="60"/>
      <c r="PHC43" s="60"/>
      <c r="PHD43" s="60"/>
      <c r="PHE43" s="60"/>
      <c r="PHF43" s="60"/>
      <c r="PHG43" s="60"/>
      <c r="PHH43" s="60"/>
      <c r="PHI43" s="60"/>
      <c r="PHJ43" s="60"/>
      <c r="PHK43" s="60"/>
      <c r="PHL43" s="60"/>
      <c r="PHM43" s="60"/>
      <c r="PHN43" s="60"/>
      <c r="PHO43" s="60"/>
      <c r="PHP43" s="60"/>
      <c r="PHQ43" s="60"/>
      <c r="PHR43" s="60"/>
      <c r="PHS43" s="60"/>
      <c r="PHT43" s="60"/>
      <c r="PHU43" s="60"/>
      <c r="PHV43" s="60"/>
      <c r="PHW43" s="60"/>
      <c r="PHX43" s="60"/>
      <c r="PHY43" s="60"/>
      <c r="PHZ43" s="60"/>
      <c r="PIA43" s="60"/>
      <c r="PIB43" s="60"/>
      <c r="PIC43" s="60"/>
      <c r="PID43" s="60"/>
      <c r="PIE43" s="60"/>
      <c r="PIF43" s="60"/>
      <c r="PIG43" s="60"/>
      <c r="PIH43" s="60"/>
      <c r="PII43" s="60"/>
      <c r="PIJ43" s="60"/>
      <c r="PIK43" s="60"/>
      <c r="PIL43" s="60"/>
      <c r="PIM43" s="60"/>
      <c r="PIN43" s="60"/>
      <c r="PIO43" s="60"/>
      <c r="PIP43" s="60"/>
      <c r="PIQ43" s="60"/>
      <c r="PIR43" s="60"/>
      <c r="PIS43" s="60"/>
      <c r="PIT43" s="60"/>
      <c r="PIU43" s="60"/>
      <c r="PIV43" s="60"/>
      <c r="PIW43" s="60"/>
      <c r="PIX43" s="60"/>
      <c r="PIY43" s="60"/>
      <c r="PIZ43" s="60"/>
      <c r="PJA43" s="60"/>
      <c r="PJB43" s="60"/>
      <c r="PJC43" s="60"/>
      <c r="PJD43" s="60"/>
      <c r="PJE43" s="60"/>
      <c r="PJF43" s="60"/>
      <c r="PJG43" s="60"/>
      <c r="PJH43" s="60"/>
      <c r="PJI43" s="60"/>
      <c r="PJJ43" s="60"/>
      <c r="PJK43" s="60"/>
      <c r="PJL43" s="60"/>
      <c r="PJM43" s="60"/>
      <c r="PJN43" s="60"/>
      <c r="PJO43" s="60"/>
      <c r="PJP43" s="60"/>
      <c r="PJQ43" s="60"/>
      <c r="PJR43" s="60"/>
      <c r="PJS43" s="60"/>
      <c r="PJT43" s="60"/>
      <c r="PJU43" s="60"/>
      <c r="PJV43" s="60"/>
      <c r="PJW43" s="60"/>
      <c r="PJX43" s="60"/>
      <c r="PJY43" s="60"/>
      <c r="PJZ43" s="60"/>
      <c r="PKA43" s="60"/>
      <c r="PKB43" s="60"/>
      <c r="PKC43" s="60"/>
      <c r="PKD43" s="60"/>
      <c r="PKE43" s="60"/>
      <c r="PKF43" s="60"/>
      <c r="PKG43" s="60"/>
      <c r="PKH43" s="60"/>
      <c r="PKI43" s="60"/>
      <c r="PKJ43" s="60"/>
      <c r="PKK43" s="60"/>
      <c r="PKL43" s="60"/>
      <c r="PKM43" s="60"/>
      <c r="PKN43" s="60"/>
      <c r="PKO43" s="60"/>
      <c r="PKP43" s="60"/>
      <c r="PKQ43" s="60"/>
      <c r="PKR43" s="60"/>
      <c r="PKS43" s="60"/>
      <c r="PKT43" s="60"/>
      <c r="PKU43" s="60"/>
      <c r="PKV43" s="60"/>
      <c r="PKW43" s="60"/>
      <c r="PKX43" s="60"/>
      <c r="PKY43" s="60"/>
      <c r="PKZ43" s="60"/>
      <c r="PLA43" s="60"/>
      <c r="PLB43" s="60"/>
      <c r="PLC43" s="60"/>
      <c r="PLD43" s="60"/>
      <c r="PLE43" s="60"/>
      <c r="PLF43" s="60"/>
      <c r="PLG43" s="60"/>
      <c r="PLH43" s="60"/>
      <c r="PLI43" s="60"/>
      <c r="PLJ43" s="60"/>
      <c r="PLK43" s="60"/>
      <c r="PLL43" s="60"/>
      <c r="PLM43" s="60"/>
      <c r="PLN43" s="60"/>
      <c r="PLO43" s="60"/>
      <c r="PLP43" s="60"/>
      <c r="PLQ43" s="60"/>
      <c r="PLR43" s="60"/>
      <c r="PLS43" s="60"/>
      <c r="PLT43" s="60"/>
      <c r="PLU43" s="60"/>
      <c r="PLV43" s="60"/>
      <c r="PLW43" s="60"/>
      <c r="PLX43" s="60"/>
      <c r="PLY43" s="60"/>
      <c r="PLZ43" s="60"/>
      <c r="PMA43" s="60"/>
      <c r="PMB43" s="60"/>
      <c r="PMC43" s="60"/>
      <c r="PMD43" s="60"/>
      <c r="PME43" s="60"/>
      <c r="PMF43" s="60"/>
      <c r="PMG43" s="60"/>
      <c r="PMH43" s="60"/>
      <c r="PMI43" s="60"/>
      <c r="PMJ43" s="60"/>
      <c r="PMK43" s="60"/>
      <c r="PML43" s="60"/>
      <c r="PMM43" s="60"/>
      <c r="PMN43" s="60"/>
      <c r="PMO43" s="60"/>
      <c r="PMP43" s="60"/>
      <c r="PMQ43" s="60"/>
      <c r="PMR43" s="60"/>
      <c r="PMS43" s="60"/>
      <c r="PMT43" s="60"/>
      <c r="PMU43" s="60"/>
      <c r="PMV43" s="60"/>
      <c r="PMW43" s="60"/>
      <c r="PMX43" s="60"/>
      <c r="PMY43" s="60"/>
      <c r="PMZ43" s="60"/>
      <c r="PNA43" s="60"/>
      <c r="PNB43" s="60"/>
      <c r="PNC43" s="60"/>
      <c r="PND43" s="60"/>
      <c r="PNE43" s="60"/>
      <c r="PNF43" s="60"/>
      <c r="PNG43" s="60"/>
      <c r="PNH43" s="60"/>
      <c r="PNI43" s="60"/>
      <c r="PNJ43" s="60"/>
      <c r="PNK43" s="60"/>
      <c r="PNL43" s="60"/>
      <c r="PNM43" s="60"/>
      <c r="PNN43" s="60"/>
      <c r="PNO43" s="60"/>
      <c r="PNP43" s="60"/>
      <c r="PNQ43" s="60"/>
      <c r="PNR43" s="60"/>
      <c r="PNS43" s="60"/>
      <c r="PNT43" s="60"/>
      <c r="PNU43" s="60"/>
      <c r="PNV43" s="60"/>
      <c r="PNW43" s="60"/>
      <c r="PNX43" s="60"/>
      <c r="PNY43" s="60"/>
      <c r="PNZ43" s="60"/>
      <c r="POA43" s="60"/>
      <c r="POB43" s="60"/>
      <c r="POC43" s="60"/>
      <c r="POD43" s="60"/>
      <c r="POE43" s="60"/>
      <c r="POF43" s="60"/>
      <c r="POG43" s="60"/>
      <c r="POH43" s="60"/>
      <c r="POI43" s="60"/>
      <c r="POJ43" s="60"/>
      <c r="POK43" s="60"/>
      <c r="POL43" s="60"/>
      <c r="POM43" s="60"/>
      <c r="PON43" s="60"/>
      <c r="POO43" s="60"/>
      <c r="POP43" s="60"/>
      <c r="POQ43" s="60"/>
      <c r="POR43" s="60"/>
      <c r="POS43" s="60"/>
      <c r="POT43" s="60"/>
      <c r="POU43" s="60"/>
      <c r="POV43" s="60"/>
      <c r="POW43" s="60"/>
      <c r="POX43" s="60"/>
      <c r="POY43" s="60"/>
      <c r="POZ43" s="60"/>
      <c r="PPA43" s="60"/>
      <c r="PPB43" s="60"/>
      <c r="PPC43" s="60"/>
      <c r="PPD43" s="60"/>
      <c r="PPE43" s="60"/>
      <c r="PPF43" s="60"/>
      <c r="PPG43" s="60"/>
      <c r="PPH43" s="60"/>
      <c r="PPI43" s="60"/>
      <c r="PPJ43" s="60"/>
      <c r="PPK43" s="60"/>
      <c r="PPL43" s="60"/>
      <c r="PPM43" s="60"/>
      <c r="PPN43" s="60"/>
      <c r="PPO43" s="60"/>
      <c r="PPP43" s="60"/>
      <c r="PPQ43" s="60"/>
      <c r="PPR43" s="60"/>
      <c r="PPS43" s="60"/>
      <c r="PPT43" s="60"/>
      <c r="PPU43" s="60"/>
      <c r="PPV43" s="60"/>
      <c r="PPW43" s="60"/>
      <c r="PPX43" s="60"/>
      <c r="PPY43" s="60"/>
      <c r="PPZ43" s="60"/>
      <c r="PQA43" s="60"/>
      <c r="PQB43" s="60"/>
      <c r="PQC43" s="60"/>
      <c r="PQD43" s="60"/>
      <c r="PQE43" s="60"/>
      <c r="PQF43" s="60"/>
      <c r="PQG43" s="60"/>
      <c r="PQH43" s="60"/>
      <c r="PQI43" s="60"/>
      <c r="PQJ43" s="60"/>
      <c r="PQK43" s="60"/>
      <c r="PQL43" s="60"/>
      <c r="PQM43" s="60"/>
      <c r="PQN43" s="60"/>
      <c r="PQO43" s="60"/>
      <c r="PQP43" s="60"/>
      <c r="PQQ43" s="60"/>
      <c r="PQR43" s="60"/>
      <c r="PQS43" s="60"/>
      <c r="PQT43" s="60"/>
      <c r="PQU43" s="60"/>
      <c r="PQV43" s="60"/>
      <c r="PQW43" s="60"/>
      <c r="PQX43" s="60"/>
      <c r="PQY43" s="60"/>
      <c r="PQZ43" s="60"/>
      <c r="PRA43" s="60"/>
      <c r="PRB43" s="60"/>
      <c r="PRC43" s="60"/>
      <c r="PRD43" s="60"/>
      <c r="PRE43" s="60"/>
      <c r="PRF43" s="60"/>
      <c r="PRG43" s="60"/>
      <c r="PRH43" s="60"/>
      <c r="PRI43" s="60"/>
      <c r="PRJ43" s="60"/>
      <c r="PRK43" s="60"/>
      <c r="PRL43" s="60"/>
      <c r="PRM43" s="60"/>
      <c r="PRN43" s="60"/>
      <c r="PRO43" s="60"/>
      <c r="PRP43" s="60"/>
      <c r="PRQ43" s="60"/>
      <c r="PRR43" s="60"/>
      <c r="PRS43" s="60"/>
      <c r="PRT43" s="60"/>
      <c r="PRU43" s="60"/>
      <c r="PRV43" s="60"/>
      <c r="PRW43" s="60"/>
      <c r="PRX43" s="60"/>
      <c r="PRY43" s="60"/>
      <c r="PRZ43" s="60"/>
      <c r="PSA43" s="60"/>
      <c r="PSB43" s="60"/>
      <c r="PSC43" s="60"/>
      <c r="PSD43" s="60"/>
      <c r="PSE43" s="60"/>
      <c r="PSF43" s="60"/>
      <c r="PSG43" s="60"/>
      <c r="PSH43" s="60"/>
      <c r="PSI43" s="60"/>
      <c r="PSJ43" s="60"/>
      <c r="PSK43" s="60"/>
      <c r="PSL43" s="60"/>
      <c r="PSM43" s="60"/>
      <c r="PSN43" s="60"/>
      <c r="PSO43" s="60"/>
      <c r="PSP43" s="60"/>
      <c r="PSQ43" s="60"/>
      <c r="PSR43" s="60"/>
      <c r="PSS43" s="60"/>
      <c r="PST43" s="60"/>
      <c r="PSU43" s="60"/>
      <c r="PSV43" s="60"/>
      <c r="PSW43" s="60"/>
      <c r="PSX43" s="60"/>
      <c r="PSY43" s="60"/>
      <c r="PSZ43" s="60"/>
      <c r="PTA43" s="60"/>
      <c r="PTB43" s="60"/>
      <c r="PTC43" s="60"/>
      <c r="PTD43" s="60"/>
      <c r="PTE43" s="60"/>
      <c r="PTF43" s="60"/>
      <c r="PTG43" s="60"/>
      <c r="PTH43" s="60"/>
      <c r="PTI43" s="60"/>
      <c r="PTJ43" s="60"/>
      <c r="PTK43" s="60"/>
      <c r="PTL43" s="60"/>
      <c r="PTM43" s="60"/>
      <c r="PTN43" s="60"/>
      <c r="PTO43" s="60"/>
      <c r="PTP43" s="60"/>
      <c r="PTQ43" s="60"/>
      <c r="PTR43" s="60"/>
      <c r="PTS43" s="60"/>
      <c r="PTT43" s="60"/>
      <c r="PTU43" s="60"/>
      <c r="PTV43" s="60"/>
      <c r="PTW43" s="60"/>
      <c r="PTX43" s="60"/>
      <c r="PTY43" s="60"/>
      <c r="PTZ43" s="60"/>
      <c r="PUA43" s="60"/>
      <c r="PUB43" s="60"/>
      <c r="PUC43" s="60"/>
      <c r="PUD43" s="60"/>
      <c r="PUE43" s="60"/>
      <c r="PUF43" s="60"/>
      <c r="PUG43" s="60"/>
      <c r="PUH43" s="60"/>
      <c r="PUI43" s="60"/>
      <c r="PUJ43" s="60"/>
      <c r="PUK43" s="60"/>
      <c r="PUL43" s="60"/>
      <c r="PUM43" s="60"/>
      <c r="PUN43" s="60"/>
      <c r="PUO43" s="60"/>
      <c r="PUP43" s="60"/>
      <c r="PUQ43" s="60"/>
      <c r="PUR43" s="60"/>
      <c r="PUS43" s="60"/>
      <c r="PUT43" s="60"/>
      <c r="PUU43" s="60"/>
      <c r="PUV43" s="60"/>
      <c r="PUW43" s="60"/>
      <c r="PUX43" s="60"/>
      <c r="PUY43" s="60"/>
      <c r="PUZ43" s="60"/>
      <c r="PVA43" s="60"/>
      <c r="PVB43" s="60"/>
      <c r="PVC43" s="60"/>
      <c r="PVD43" s="60"/>
      <c r="PVE43" s="60"/>
      <c r="PVF43" s="60"/>
      <c r="PVG43" s="60"/>
      <c r="PVH43" s="60"/>
      <c r="PVI43" s="60"/>
      <c r="PVJ43" s="60"/>
      <c r="PVK43" s="60"/>
      <c r="PVL43" s="60"/>
      <c r="PVM43" s="60"/>
      <c r="PVN43" s="60"/>
      <c r="PVO43" s="60"/>
      <c r="PVP43" s="60"/>
      <c r="PVQ43" s="60"/>
      <c r="PVR43" s="60"/>
      <c r="PVS43" s="60"/>
      <c r="PVT43" s="60"/>
      <c r="PVU43" s="60"/>
      <c r="PVV43" s="60"/>
      <c r="PVW43" s="60"/>
      <c r="PVX43" s="60"/>
      <c r="PVY43" s="60"/>
      <c r="PVZ43" s="60"/>
      <c r="PWA43" s="60"/>
      <c r="PWB43" s="60"/>
      <c r="PWC43" s="60"/>
      <c r="PWD43" s="60"/>
      <c r="PWE43" s="60"/>
      <c r="PWF43" s="60"/>
      <c r="PWG43" s="60"/>
      <c r="PWH43" s="60"/>
      <c r="PWI43" s="60"/>
      <c r="PWJ43" s="60"/>
      <c r="PWK43" s="60"/>
      <c r="PWL43" s="60"/>
      <c r="PWM43" s="60"/>
      <c r="PWN43" s="60"/>
      <c r="PWO43" s="60"/>
      <c r="PWP43" s="60"/>
      <c r="PWQ43" s="60"/>
      <c r="PWR43" s="60"/>
      <c r="PWS43" s="60"/>
      <c r="PWT43" s="60"/>
      <c r="PWU43" s="60"/>
      <c r="PWV43" s="60"/>
      <c r="PWW43" s="60"/>
      <c r="PWX43" s="60"/>
      <c r="PWY43" s="60"/>
      <c r="PWZ43" s="60"/>
      <c r="PXA43" s="60"/>
      <c r="PXB43" s="60"/>
      <c r="PXC43" s="60"/>
      <c r="PXD43" s="60"/>
      <c r="PXE43" s="60"/>
      <c r="PXF43" s="60"/>
      <c r="PXG43" s="60"/>
      <c r="PXH43" s="60"/>
      <c r="PXI43" s="60"/>
      <c r="PXJ43" s="60"/>
      <c r="PXK43" s="60"/>
      <c r="PXL43" s="60"/>
      <c r="PXM43" s="60"/>
      <c r="PXN43" s="60"/>
      <c r="PXO43" s="60"/>
      <c r="PXP43" s="60"/>
      <c r="PXQ43" s="60"/>
      <c r="PXR43" s="60"/>
      <c r="PXS43" s="60"/>
      <c r="PXT43" s="60"/>
      <c r="PXU43" s="60"/>
      <c r="PXV43" s="60"/>
      <c r="PXW43" s="60"/>
      <c r="PXX43" s="60"/>
      <c r="PXY43" s="60"/>
      <c r="PXZ43" s="60"/>
      <c r="PYA43" s="60"/>
      <c r="PYB43" s="60"/>
      <c r="PYC43" s="60"/>
      <c r="PYD43" s="60"/>
      <c r="PYE43" s="60"/>
      <c r="PYF43" s="60"/>
      <c r="PYG43" s="60"/>
      <c r="PYH43" s="60"/>
      <c r="PYI43" s="60"/>
      <c r="PYJ43" s="60"/>
      <c r="PYK43" s="60"/>
      <c r="PYL43" s="60"/>
      <c r="PYM43" s="60"/>
      <c r="PYN43" s="60"/>
      <c r="PYO43" s="60"/>
      <c r="PYP43" s="60"/>
      <c r="PYQ43" s="60"/>
      <c r="PYR43" s="60"/>
      <c r="PYS43" s="60"/>
      <c r="PYT43" s="60"/>
      <c r="PYU43" s="60"/>
      <c r="PYV43" s="60"/>
      <c r="PYW43" s="60"/>
      <c r="PYX43" s="60"/>
      <c r="PYY43" s="60"/>
      <c r="PYZ43" s="60"/>
      <c r="PZA43" s="60"/>
      <c r="PZB43" s="60"/>
      <c r="PZC43" s="60"/>
      <c r="PZD43" s="60"/>
      <c r="PZE43" s="60"/>
      <c r="PZF43" s="60"/>
      <c r="PZG43" s="60"/>
      <c r="PZH43" s="60"/>
      <c r="PZI43" s="60"/>
      <c r="PZJ43" s="60"/>
      <c r="PZK43" s="60"/>
      <c r="PZL43" s="60"/>
      <c r="PZM43" s="60"/>
      <c r="PZN43" s="60"/>
      <c r="PZO43" s="60"/>
      <c r="PZP43" s="60"/>
      <c r="PZQ43" s="60"/>
      <c r="PZR43" s="60"/>
      <c r="PZS43" s="60"/>
      <c r="PZT43" s="60"/>
      <c r="PZU43" s="60"/>
      <c r="PZV43" s="60"/>
      <c r="PZW43" s="60"/>
      <c r="PZX43" s="60"/>
      <c r="PZY43" s="60"/>
      <c r="PZZ43" s="60"/>
      <c r="QAA43" s="60"/>
      <c r="QAB43" s="60"/>
      <c r="QAC43" s="60"/>
      <c r="QAD43" s="60"/>
      <c r="QAE43" s="60"/>
      <c r="QAF43" s="60"/>
      <c r="QAG43" s="60"/>
      <c r="QAH43" s="60"/>
      <c r="QAI43" s="60"/>
      <c r="QAJ43" s="60"/>
      <c r="QAK43" s="60"/>
      <c r="QAL43" s="60"/>
      <c r="QAM43" s="60"/>
      <c r="QAN43" s="60"/>
      <c r="QAO43" s="60"/>
      <c r="QAP43" s="60"/>
      <c r="QAQ43" s="60"/>
      <c r="QAR43" s="60"/>
      <c r="QAS43" s="60"/>
      <c r="QAT43" s="60"/>
      <c r="QAU43" s="60"/>
      <c r="QAV43" s="60"/>
      <c r="QAW43" s="60"/>
      <c r="QAX43" s="60"/>
      <c r="QAY43" s="60"/>
      <c r="QAZ43" s="60"/>
      <c r="QBA43" s="60"/>
      <c r="QBB43" s="60"/>
      <c r="QBC43" s="60"/>
      <c r="QBD43" s="60"/>
      <c r="QBE43" s="60"/>
      <c r="QBF43" s="60"/>
      <c r="QBG43" s="60"/>
      <c r="QBH43" s="60"/>
      <c r="QBI43" s="60"/>
      <c r="QBJ43" s="60"/>
      <c r="QBK43" s="60"/>
      <c r="QBL43" s="60"/>
      <c r="QBM43" s="60"/>
      <c r="QBN43" s="60"/>
      <c r="QBO43" s="60"/>
      <c r="QBP43" s="60"/>
      <c r="QBQ43" s="60"/>
      <c r="QBR43" s="60"/>
      <c r="QBS43" s="60"/>
      <c r="QBT43" s="60"/>
      <c r="QBU43" s="60"/>
      <c r="QBV43" s="60"/>
      <c r="QBW43" s="60"/>
      <c r="QBX43" s="60"/>
      <c r="QBY43" s="60"/>
      <c r="QBZ43" s="60"/>
      <c r="QCA43" s="60"/>
      <c r="QCB43" s="60"/>
      <c r="QCC43" s="60"/>
      <c r="QCD43" s="60"/>
      <c r="QCE43" s="60"/>
      <c r="QCF43" s="60"/>
      <c r="QCG43" s="60"/>
      <c r="QCH43" s="60"/>
      <c r="QCI43" s="60"/>
      <c r="QCJ43" s="60"/>
      <c r="QCK43" s="60"/>
      <c r="QCL43" s="60"/>
      <c r="QCM43" s="60"/>
      <c r="QCN43" s="60"/>
      <c r="QCO43" s="60"/>
      <c r="QCP43" s="60"/>
      <c r="QCQ43" s="60"/>
      <c r="QCR43" s="60"/>
      <c r="QCS43" s="60"/>
      <c r="QCT43" s="60"/>
      <c r="QCU43" s="60"/>
      <c r="QCV43" s="60"/>
      <c r="QCW43" s="60"/>
      <c r="QCX43" s="60"/>
      <c r="QCY43" s="60"/>
      <c r="QCZ43" s="60"/>
      <c r="QDA43" s="60"/>
      <c r="QDB43" s="60"/>
      <c r="QDC43" s="60"/>
      <c r="QDD43" s="60"/>
      <c r="QDE43" s="60"/>
      <c r="QDF43" s="60"/>
      <c r="QDG43" s="60"/>
      <c r="QDH43" s="60"/>
      <c r="QDI43" s="60"/>
      <c r="QDJ43" s="60"/>
      <c r="QDK43" s="60"/>
      <c r="QDL43" s="60"/>
      <c r="QDM43" s="60"/>
      <c r="QDN43" s="60"/>
      <c r="QDO43" s="60"/>
      <c r="QDP43" s="60"/>
      <c r="QDQ43" s="60"/>
      <c r="QDR43" s="60"/>
      <c r="QDS43" s="60"/>
      <c r="QDT43" s="60"/>
      <c r="QDU43" s="60"/>
      <c r="QDV43" s="60"/>
      <c r="QDW43" s="60"/>
      <c r="QDX43" s="60"/>
      <c r="QDY43" s="60"/>
      <c r="QDZ43" s="60"/>
      <c r="QEA43" s="60"/>
      <c r="QEB43" s="60"/>
      <c r="QEC43" s="60"/>
      <c r="QED43" s="60"/>
      <c r="QEE43" s="60"/>
      <c r="QEF43" s="60"/>
      <c r="QEG43" s="60"/>
      <c r="QEH43" s="60"/>
      <c r="QEI43" s="60"/>
      <c r="QEJ43" s="60"/>
      <c r="QEK43" s="60"/>
      <c r="QEL43" s="60"/>
      <c r="QEM43" s="60"/>
      <c r="QEN43" s="60"/>
      <c r="QEO43" s="60"/>
      <c r="QEP43" s="60"/>
      <c r="QEQ43" s="60"/>
      <c r="QER43" s="60"/>
      <c r="QES43" s="60"/>
      <c r="QET43" s="60"/>
      <c r="QEU43" s="60"/>
      <c r="QEV43" s="60"/>
      <c r="QEW43" s="60"/>
      <c r="QEX43" s="60"/>
      <c r="QEY43" s="60"/>
      <c r="QEZ43" s="60"/>
      <c r="QFA43" s="60"/>
      <c r="QFB43" s="60"/>
      <c r="QFC43" s="60"/>
      <c r="QFD43" s="60"/>
      <c r="QFE43" s="60"/>
      <c r="QFF43" s="60"/>
      <c r="QFG43" s="60"/>
      <c r="QFH43" s="60"/>
      <c r="QFI43" s="60"/>
      <c r="QFJ43" s="60"/>
      <c r="QFK43" s="60"/>
      <c r="QFL43" s="60"/>
      <c r="QFM43" s="60"/>
      <c r="QFN43" s="60"/>
      <c r="QFO43" s="60"/>
      <c r="QFP43" s="60"/>
      <c r="QFQ43" s="60"/>
      <c r="QFR43" s="60"/>
      <c r="QFS43" s="60"/>
      <c r="QFT43" s="60"/>
      <c r="QFU43" s="60"/>
      <c r="QFV43" s="60"/>
      <c r="QFW43" s="60"/>
      <c r="QFX43" s="60"/>
      <c r="QFY43" s="60"/>
      <c r="QFZ43" s="60"/>
      <c r="QGA43" s="60"/>
      <c r="QGB43" s="60"/>
      <c r="QGC43" s="60"/>
      <c r="QGD43" s="60"/>
      <c r="QGE43" s="60"/>
      <c r="QGF43" s="60"/>
      <c r="QGG43" s="60"/>
      <c r="QGH43" s="60"/>
      <c r="QGI43" s="60"/>
      <c r="QGJ43" s="60"/>
      <c r="QGK43" s="60"/>
      <c r="QGL43" s="60"/>
      <c r="QGM43" s="60"/>
      <c r="QGN43" s="60"/>
      <c r="QGO43" s="60"/>
      <c r="QGP43" s="60"/>
      <c r="QGQ43" s="60"/>
      <c r="QGR43" s="60"/>
      <c r="QGS43" s="60"/>
      <c r="QGT43" s="60"/>
      <c r="QGU43" s="60"/>
      <c r="QGV43" s="60"/>
      <c r="QGW43" s="60"/>
      <c r="QGX43" s="60"/>
      <c r="QGY43" s="60"/>
      <c r="QGZ43" s="60"/>
      <c r="QHA43" s="60"/>
      <c r="QHB43" s="60"/>
      <c r="QHC43" s="60"/>
      <c r="QHD43" s="60"/>
      <c r="QHE43" s="60"/>
      <c r="QHF43" s="60"/>
      <c r="QHG43" s="60"/>
      <c r="QHH43" s="60"/>
      <c r="QHI43" s="60"/>
      <c r="QHJ43" s="60"/>
      <c r="QHK43" s="60"/>
      <c r="QHL43" s="60"/>
      <c r="QHM43" s="60"/>
      <c r="QHN43" s="60"/>
      <c r="QHO43" s="60"/>
      <c r="QHP43" s="60"/>
      <c r="QHQ43" s="60"/>
      <c r="QHR43" s="60"/>
      <c r="QHS43" s="60"/>
      <c r="QHT43" s="60"/>
      <c r="QHU43" s="60"/>
      <c r="QHV43" s="60"/>
      <c r="QHW43" s="60"/>
      <c r="QHX43" s="60"/>
      <c r="QHY43" s="60"/>
      <c r="QHZ43" s="60"/>
      <c r="QIA43" s="60"/>
      <c r="QIB43" s="60"/>
      <c r="QIC43" s="60"/>
      <c r="QID43" s="60"/>
      <c r="QIE43" s="60"/>
      <c r="QIF43" s="60"/>
      <c r="QIG43" s="60"/>
      <c r="QIH43" s="60"/>
      <c r="QII43" s="60"/>
      <c r="QIJ43" s="60"/>
      <c r="QIK43" s="60"/>
      <c r="QIL43" s="60"/>
      <c r="QIM43" s="60"/>
      <c r="QIN43" s="60"/>
      <c r="QIO43" s="60"/>
      <c r="QIP43" s="60"/>
      <c r="QIQ43" s="60"/>
      <c r="QIR43" s="60"/>
      <c r="QIS43" s="60"/>
      <c r="QIT43" s="60"/>
      <c r="QIU43" s="60"/>
      <c r="QIV43" s="60"/>
      <c r="QIW43" s="60"/>
      <c r="QIX43" s="60"/>
      <c r="QIY43" s="60"/>
      <c r="QIZ43" s="60"/>
      <c r="QJA43" s="60"/>
      <c r="QJB43" s="60"/>
      <c r="QJC43" s="60"/>
      <c r="QJD43" s="60"/>
      <c r="QJE43" s="60"/>
      <c r="QJF43" s="60"/>
      <c r="QJG43" s="60"/>
      <c r="QJH43" s="60"/>
      <c r="QJI43" s="60"/>
      <c r="QJJ43" s="60"/>
      <c r="QJK43" s="60"/>
      <c r="QJL43" s="60"/>
      <c r="QJM43" s="60"/>
      <c r="QJN43" s="60"/>
      <c r="QJO43" s="60"/>
      <c r="QJP43" s="60"/>
      <c r="QJQ43" s="60"/>
      <c r="QJR43" s="60"/>
      <c r="QJS43" s="60"/>
      <c r="QJT43" s="60"/>
      <c r="QJU43" s="60"/>
      <c r="QJV43" s="60"/>
      <c r="QJW43" s="60"/>
      <c r="QJX43" s="60"/>
      <c r="QJY43" s="60"/>
      <c r="QJZ43" s="60"/>
      <c r="QKA43" s="60"/>
      <c r="QKB43" s="60"/>
      <c r="QKC43" s="60"/>
      <c r="QKD43" s="60"/>
      <c r="QKE43" s="60"/>
      <c r="QKF43" s="60"/>
      <c r="QKG43" s="60"/>
      <c r="QKH43" s="60"/>
      <c r="QKI43" s="60"/>
      <c r="QKJ43" s="60"/>
      <c r="QKK43" s="60"/>
      <c r="QKL43" s="60"/>
      <c r="QKM43" s="60"/>
      <c r="QKN43" s="60"/>
      <c r="QKO43" s="60"/>
      <c r="QKP43" s="60"/>
      <c r="QKQ43" s="60"/>
      <c r="QKR43" s="60"/>
      <c r="QKS43" s="60"/>
      <c r="QKT43" s="60"/>
      <c r="QKU43" s="60"/>
      <c r="QKV43" s="60"/>
      <c r="QKW43" s="60"/>
      <c r="QKX43" s="60"/>
      <c r="QKY43" s="60"/>
      <c r="QKZ43" s="60"/>
      <c r="QLA43" s="60"/>
      <c r="QLB43" s="60"/>
      <c r="QLC43" s="60"/>
      <c r="QLD43" s="60"/>
      <c r="QLE43" s="60"/>
      <c r="QLF43" s="60"/>
      <c r="QLG43" s="60"/>
      <c r="QLH43" s="60"/>
      <c r="QLI43" s="60"/>
      <c r="QLJ43" s="60"/>
      <c r="QLK43" s="60"/>
      <c r="QLL43" s="60"/>
      <c r="QLM43" s="60"/>
      <c r="QLN43" s="60"/>
      <c r="QLO43" s="60"/>
      <c r="QLP43" s="60"/>
      <c r="QLQ43" s="60"/>
      <c r="QLR43" s="60"/>
      <c r="QLS43" s="60"/>
      <c r="QLT43" s="60"/>
      <c r="QLU43" s="60"/>
      <c r="QLV43" s="60"/>
      <c r="QLW43" s="60"/>
      <c r="QLX43" s="60"/>
      <c r="QLY43" s="60"/>
      <c r="QLZ43" s="60"/>
      <c r="QMA43" s="60"/>
      <c r="QMB43" s="60"/>
      <c r="QMC43" s="60"/>
      <c r="QMD43" s="60"/>
      <c r="QME43" s="60"/>
      <c r="QMF43" s="60"/>
      <c r="QMG43" s="60"/>
      <c r="QMH43" s="60"/>
      <c r="QMI43" s="60"/>
      <c r="QMJ43" s="60"/>
      <c r="QMK43" s="60"/>
      <c r="QML43" s="60"/>
      <c r="QMM43" s="60"/>
      <c r="QMN43" s="60"/>
      <c r="QMO43" s="60"/>
      <c r="QMP43" s="60"/>
      <c r="QMQ43" s="60"/>
      <c r="QMR43" s="60"/>
      <c r="QMS43" s="60"/>
      <c r="QMT43" s="60"/>
      <c r="QMU43" s="60"/>
      <c r="QMV43" s="60"/>
      <c r="QMW43" s="60"/>
      <c r="QMX43" s="60"/>
      <c r="QMY43" s="60"/>
      <c r="QMZ43" s="60"/>
      <c r="QNA43" s="60"/>
      <c r="QNB43" s="60"/>
      <c r="QNC43" s="60"/>
      <c r="QND43" s="60"/>
      <c r="QNE43" s="60"/>
      <c r="QNF43" s="60"/>
      <c r="QNG43" s="60"/>
      <c r="QNH43" s="60"/>
      <c r="QNI43" s="60"/>
      <c r="QNJ43" s="60"/>
      <c r="QNK43" s="60"/>
      <c r="QNL43" s="60"/>
      <c r="QNM43" s="60"/>
      <c r="QNN43" s="60"/>
      <c r="QNO43" s="60"/>
      <c r="QNP43" s="60"/>
      <c r="QNQ43" s="60"/>
      <c r="QNR43" s="60"/>
      <c r="QNS43" s="60"/>
      <c r="QNT43" s="60"/>
      <c r="QNU43" s="60"/>
      <c r="QNV43" s="60"/>
      <c r="QNW43" s="60"/>
      <c r="QNX43" s="60"/>
      <c r="QNY43" s="60"/>
      <c r="QNZ43" s="60"/>
      <c r="QOA43" s="60"/>
      <c r="QOB43" s="60"/>
      <c r="QOC43" s="60"/>
      <c r="QOD43" s="60"/>
      <c r="QOE43" s="60"/>
      <c r="QOF43" s="60"/>
      <c r="QOG43" s="60"/>
      <c r="QOH43" s="60"/>
      <c r="QOI43" s="60"/>
      <c r="QOJ43" s="60"/>
      <c r="QOK43" s="60"/>
      <c r="QOL43" s="60"/>
      <c r="QOM43" s="60"/>
      <c r="QON43" s="60"/>
      <c r="QOO43" s="60"/>
      <c r="QOP43" s="60"/>
      <c r="QOQ43" s="60"/>
      <c r="QOR43" s="60"/>
      <c r="QOS43" s="60"/>
      <c r="QOT43" s="60"/>
      <c r="QOU43" s="60"/>
      <c r="QOV43" s="60"/>
      <c r="QOW43" s="60"/>
      <c r="QOX43" s="60"/>
      <c r="QOY43" s="60"/>
      <c r="QOZ43" s="60"/>
      <c r="QPA43" s="60"/>
      <c r="QPB43" s="60"/>
      <c r="QPC43" s="60"/>
      <c r="QPD43" s="60"/>
      <c r="QPE43" s="60"/>
      <c r="QPF43" s="60"/>
      <c r="QPG43" s="60"/>
      <c r="QPH43" s="60"/>
      <c r="QPI43" s="60"/>
      <c r="QPJ43" s="60"/>
      <c r="QPK43" s="60"/>
      <c r="QPL43" s="60"/>
      <c r="QPM43" s="60"/>
      <c r="QPN43" s="60"/>
      <c r="QPO43" s="60"/>
      <c r="QPP43" s="60"/>
      <c r="QPQ43" s="60"/>
      <c r="QPR43" s="60"/>
      <c r="QPS43" s="60"/>
      <c r="QPT43" s="60"/>
      <c r="QPU43" s="60"/>
      <c r="QPV43" s="60"/>
      <c r="QPW43" s="60"/>
      <c r="QPX43" s="60"/>
      <c r="QPY43" s="60"/>
      <c r="QPZ43" s="60"/>
      <c r="QQA43" s="60"/>
      <c r="QQB43" s="60"/>
      <c r="QQC43" s="60"/>
      <c r="QQD43" s="60"/>
      <c r="QQE43" s="60"/>
      <c r="QQF43" s="60"/>
      <c r="QQG43" s="60"/>
      <c r="QQH43" s="60"/>
      <c r="QQI43" s="60"/>
      <c r="QQJ43" s="60"/>
      <c r="QQK43" s="60"/>
      <c r="QQL43" s="60"/>
      <c r="QQM43" s="60"/>
      <c r="QQN43" s="60"/>
      <c r="QQO43" s="60"/>
      <c r="QQP43" s="60"/>
      <c r="QQQ43" s="60"/>
      <c r="QQR43" s="60"/>
      <c r="QQS43" s="60"/>
      <c r="QQT43" s="60"/>
      <c r="QQU43" s="60"/>
      <c r="QQV43" s="60"/>
      <c r="QQW43" s="60"/>
      <c r="QQX43" s="60"/>
      <c r="QQY43" s="60"/>
      <c r="QQZ43" s="60"/>
      <c r="QRA43" s="60"/>
      <c r="QRB43" s="60"/>
      <c r="QRC43" s="60"/>
      <c r="QRD43" s="60"/>
      <c r="QRE43" s="60"/>
      <c r="QRF43" s="60"/>
      <c r="QRG43" s="60"/>
      <c r="QRH43" s="60"/>
      <c r="QRI43" s="60"/>
      <c r="QRJ43" s="60"/>
      <c r="QRK43" s="60"/>
      <c r="QRL43" s="60"/>
      <c r="QRM43" s="60"/>
      <c r="QRN43" s="60"/>
      <c r="QRO43" s="60"/>
      <c r="QRP43" s="60"/>
      <c r="QRQ43" s="60"/>
      <c r="QRR43" s="60"/>
      <c r="QRS43" s="60"/>
      <c r="QRT43" s="60"/>
      <c r="QRU43" s="60"/>
      <c r="QRV43" s="60"/>
      <c r="QRW43" s="60"/>
      <c r="QRX43" s="60"/>
      <c r="QRY43" s="60"/>
      <c r="QRZ43" s="60"/>
      <c r="QSA43" s="60"/>
      <c r="QSB43" s="60"/>
      <c r="QSC43" s="60"/>
      <c r="QSD43" s="60"/>
      <c r="QSE43" s="60"/>
      <c r="QSF43" s="60"/>
      <c r="QSG43" s="60"/>
      <c r="QSH43" s="60"/>
      <c r="QSI43" s="60"/>
      <c r="QSJ43" s="60"/>
      <c r="QSK43" s="60"/>
      <c r="QSL43" s="60"/>
      <c r="QSM43" s="60"/>
      <c r="QSN43" s="60"/>
      <c r="QSO43" s="60"/>
      <c r="QSP43" s="60"/>
      <c r="QSQ43" s="60"/>
      <c r="QSR43" s="60"/>
      <c r="QSS43" s="60"/>
      <c r="QST43" s="60"/>
      <c r="QSU43" s="60"/>
      <c r="QSV43" s="60"/>
      <c r="QSW43" s="60"/>
      <c r="QSX43" s="60"/>
      <c r="QSY43" s="60"/>
      <c r="QSZ43" s="60"/>
      <c r="QTA43" s="60"/>
      <c r="QTB43" s="60"/>
      <c r="QTC43" s="60"/>
      <c r="QTD43" s="60"/>
      <c r="QTE43" s="60"/>
      <c r="QTF43" s="60"/>
      <c r="QTG43" s="60"/>
      <c r="QTH43" s="60"/>
      <c r="QTI43" s="60"/>
      <c r="QTJ43" s="60"/>
      <c r="QTK43" s="60"/>
      <c r="QTL43" s="60"/>
      <c r="QTM43" s="60"/>
      <c r="QTN43" s="60"/>
      <c r="QTO43" s="60"/>
      <c r="QTP43" s="60"/>
      <c r="QTQ43" s="60"/>
      <c r="QTR43" s="60"/>
      <c r="QTS43" s="60"/>
      <c r="QTT43" s="60"/>
      <c r="QTU43" s="60"/>
      <c r="QTV43" s="60"/>
      <c r="QTW43" s="60"/>
      <c r="QTX43" s="60"/>
      <c r="QTY43" s="60"/>
      <c r="QTZ43" s="60"/>
      <c r="QUA43" s="60"/>
      <c r="QUB43" s="60"/>
      <c r="QUC43" s="60"/>
      <c r="QUD43" s="60"/>
      <c r="QUE43" s="60"/>
      <c r="QUF43" s="60"/>
      <c r="QUG43" s="60"/>
      <c r="QUH43" s="60"/>
      <c r="QUI43" s="60"/>
      <c r="QUJ43" s="60"/>
      <c r="QUK43" s="60"/>
      <c r="QUL43" s="60"/>
      <c r="QUM43" s="60"/>
      <c r="QUN43" s="60"/>
      <c r="QUO43" s="60"/>
      <c r="QUP43" s="60"/>
      <c r="QUQ43" s="60"/>
      <c r="QUR43" s="60"/>
      <c r="QUS43" s="60"/>
      <c r="QUT43" s="60"/>
      <c r="QUU43" s="60"/>
      <c r="QUV43" s="60"/>
      <c r="QUW43" s="60"/>
      <c r="QUX43" s="60"/>
      <c r="QUY43" s="60"/>
      <c r="QUZ43" s="60"/>
      <c r="QVA43" s="60"/>
      <c r="QVB43" s="60"/>
      <c r="QVC43" s="60"/>
      <c r="QVD43" s="60"/>
      <c r="QVE43" s="60"/>
      <c r="QVF43" s="60"/>
      <c r="QVG43" s="60"/>
      <c r="QVH43" s="60"/>
      <c r="QVI43" s="60"/>
      <c r="QVJ43" s="60"/>
      <c r="QVK43" s="60"/>
      <c r="QVL43" s="60"/>
      <c r="QVM43" s="60"/>
      <c r="QVN43" s="60"/>
      <c r="QVO43" s="60"/>
      <c r="QVP43" s="60"/>
      <c r="QVQ43" s="60"/>
      <c r="QVR43" s="60"/>
      <c r="QVS43" s="60"/>
      <c r="QVT43" s="60"/>
      <c r="QVU43" s="60"/>
      <c r="QVV43" s="60"/>
      <c r="QVW43" s="60"/>
      <c r="QVX43" s="60"/>
      <c r="QVY43" s="60"/>
      <c r="QVZ43" s="60"/>
      <c r="QWA43" s="60"/>
      <c r="QWB43" s="60"/>
      <c r="QWC43" s="60"/>
      <c r="QWD43" s="60"/>
      <c r="QWE43" s="60"/>
      <c r="QWF43" s="60"/>
      <c r="QWG43" s="60"/>
      <c r="QWH43" s="60"/>
      <c r="QWI43" s="60"/>
      <c r="QWJ43" s="60"/>
      <c r="QWK43" s="60"/>
      <c r="QWL43" s="60"/>
      <c r="QWM43" s="60"/>
      <c r="QWN43" s="60"/>
      <c r="QWO43" s="60"/>
      <c r="QWP43" s="60"/>
      <c r="QWQ43" s="60"/>
      <c r="QWR43" s="60"/>
      <c r="QWS43" s="60"/>
      <c r="QWT43" s="60"/>
      <c r="QWU43" s="60"/>
      <c r="QWV43" s="60"/>
      <c r="QWW43" s="60"/>
      <c r="QWX43" s="60"/>
      <c r="QWY43" s="60"/>
      <c r="QWZ43" s="60"/>
      <c r="QXA43" s="60"/>
      <c r="QXB43" s="60"/>
      <c r="QXC43" s="60"/>
      <c r="QXD43" s="60"/>
      <c r="QXE43" s="60"/>
      <c r="QXF43" s="60"/>
      <c r="QXG43" s="60"/>
      <c r="QXH43" s="60"/>
      <c r="QXI43" s="60"/>
      <c r="QXJ43" s="60"/>
      <c r="QXK43" s="60"/>
      <c r="QXL43" s="60"/>
      <c r="QXM43" s="60"/>
      <c r="QXN43" s="60"/>
      <c r="QXO43" s="60"/>
      <c r="QXP43" s="60"/>
      <c r="QXQ43" s="60"/>
      <c r="QXR43" s="60"/>
      <c r="QXS43" s="60"/>
      <c r="QXT43" s="60"/>
      <c r="QXU43" s="60"/>
      <c r="QXV43" s="60"/>
      <c r="QXW43" s="60"/>
      <c r="QXX43" s="60"/>
      <c r="QXY43" s="60"/>
      <c r="QXZ43" s="60"/>
      <c r="QYA43" s="60"/>
      <c r="QYB43" s="60"/>
      <c r="QYC43" s="60"/>
      <c r="QYD43" s="60"/>
      <c r="QYE43" s="60"/>
      <c r="QYF43" s="60"/>
      <c r="QYG43" s="60"/>
      <c r="QYH43" s="60"/>
      <c r="QYI43" s="60"/>
      <c r="QYJ43" s="60"/>
      <c r="QYK43" s="60"/>
      <c r="QYL43" s="60"/>
      <c r="QYM43" s="60"/>
      <c r="QYN43" s="60"/>
      <c r="QYO43" s="60"/>
      <c r="QYP43" s="60"/>
      <c r="QYQ43" s="60"/>
      <c r="QYR43" s="60"/>
      <c r="QYS43" s="60"/>
      <c r="QYT43" s="60"/>
      <c r="QYU43" s="60"/>
      <c r="QYV43" s="60"/>
      <c r="QYW43" s="60"/>
      <c r="QYX43" s="60"/>
      <c r="QYY43" s="60"/>
      <c r="QYZ43" s="60"/>
      <c r="QZA43" s="60"/>
      <c r="QZB43" s="60"/>
      <c r="QZC43" s="60"/>
      <c r="QZD43" s="60"/>
      <c r="QZE43" s="60"/>
      <c r="QZF43" s="60"/>
      <c r="QZG43" s="60"/>
      <c r="QZH43" s="60"/>
      <c r="QZI43" s="60"/>
      <c r="QZJ43" s="60"/>
      <c r="QZK43" s="60"/>
      <c r="QZL43" s="60"/>
      <c r="QZM43" s="60"/>
      <c r="QZN43" s="60"/>
      <c r="QZO43" s="60"/>
      <c r="QZP43" s="60"/>
      <c r="QZQ43" s="60"/>
      <c r="QZR43" s="60"/>
      <c r="QZS43" s="60"/>
      <c r="QZT43" s="60"/>
      <c r="QZU43" s="60"/>
      <c r="QZV43" s="60"/>
      <c r="QZW43" s="60"/>
      <c r="QZX43" s="60"/>
      <c r="QZY43" s="60"/>
      <c r="QZZ43" s="60"/>
      <c r="RAA43" s="60"/>
      <c r="RAB43" s="60"/>
      <c r="RAC43" s="60"/>
      <c r="RAD43" s="60"/>
      <c r="RAE43" s="60"/>
      <c r="RAF43" s="60"/>
      <c r="RAG43" s="60"/>
      <c r="RAH43" s="60"/>
      <c r="RAI43" s="60"/>
      <c r="RAJ43" s="60"/>
      <c r="RAK43" s="60"/>
      <c r="RAL43" s="60"/>
      <c r="RAM43" s="60"/>
      <c r="RAN43" s="60"/>
      <c r="RAO43" s="60"/>
      <c r="RAP43" s="60"/>
      <c r="RAQ43" s="60"/>
      <c r="RAR43" s="60"/>
      <c r="RAS43" s="60"/>
      <c r="RAT43" s="60"/>
      <c r="RAU43" s="60"/>
      <c r="RAV43" s="60"/>
      <c r="RAW43" s="60"/>
      <c r="RAX43" s="60"/>
      <c r="RAY43" s="60"/>
      <c r="RAZ43" s="60"/>
      <c r="RBA43" s="60"/>
      <c r="RBB43" s="60"/>
      <c r="RBC43" s="60"/>
      <c r="RBD43" s="60"/>
      <c r="RBE43" s="60"/>
      <c r="RBF43" s="60"/>
      <c r="RBG43" s="60"/>
      <c r="RBH43" s="60"/>
      <c r="RBI43" s="60"/>
      <c r="RBJ43" s="60"/>
      <c r="RBK43" s="60"/>
      <c r="RBL43" s="60"/>
      <c r="RBM43" s="60"/>
      <c r="RBN43" s="60"/>
      <c r="RBO43" s="60"/>
      <c r="RBP43" s="60"/>
      <c r="RBQ43" s="60"/>
      <c r="RBR43" s="60"/>
      <c r="RBS43" s="60"/>
      <c r="RBT43" s="60"/>
      <c r="RBU43" s="60"/>
      <c r="RBV43" s="60"/>
      <c r="RBW43" s="60"/>
      <c r="RBX43" s="60"/>
      <c r="RBY43" s="60"/>
      <c r="RBZ43" s="60"/>
      <c r="RCA43" s="60"/>
      <c r="RCB43" s="60"/>
      <c r="RCC43" s="60"/>
      <c r="RCD43" s="60"/>
      <c r="RCE43" s="60"/>
      <c r="RCF43" s="60"/>
      <c r="RCG43" s="60"/>
      <c r="RCH43" s="60"/>
      <c r="RCI43" s="60"/>
      <c r="RCJ43" s="60"/>
      <c r="RCK43" s="60"/>
      <c r="RCL43" s="60"/>
      <c r="RCM43" s="60"/>
      <c r="RCN43" s="60"/>
      <c r="RCO43" s="60"/>
      <c r="RCP43" s="60"/>
      <c r="RCQ43" s="60"/>
      <c r="RCR43" s="60"/>
      <c r="RCS43" s="60"/>
      <c r="RCT43" s="60"/>
      <c r="RCU43" s="60"/>
      <c r="RCV43" s="60"/>
      <c r="RCW43" s="60"/>
      <c r="RCX43" s="60"/>
      <c r="RCY43" s="60"/>
      <c r="RCZ43" s="60"/>
      <c r="RDA43" s="60"/>
      <c r="RDB43" s="60"/>
      <c r="RDC43" s="60"/>
      <c r="RDD43" s="60"/>
      <c r="RDE43" s="60"/>
      <c r="RDF43" s="60"/>
      <c r="RDG43" s="60"/>
      <c r="RDH43" s="60"/>
      <c r="RDI43" s="60"/>
      <c r="RDJ43" s="60"/>
      <c r="RDK43" s="60"/>
      <c r="RDL43" s="60"/>
      <c r="RDM43" s="60"/>
      <c r="RDN43" s="60"/>
      <c r="RDO43" s="60"/>
      <c r="RDP43" s="60"/>
      <c r="RDQ43" s="60"/>
      <c r="RDR43" s="60"/>
      <c r="RDS43" s="60"/>
      <c r="RDT43" s="60"/>
      <c r="RDU43" s="60"/>
      <c r="RDV43" s="60"/>
      <c r="RDW43" s="60"/>
      <c r="RDX43" s="60"/>
      <c r="RDY43" s="60"/>
      <c r="RDZ43" s="60"/>
      <c r="REA43" s="60"/>
      <c r="REB43" s="60"/>
      <c r="REC43" s="60"/>
      <c r="RED43" s="60"/>
      <c r="REE43" s="60"/>
      <c r="REF43" s="60"/>
      <c r="REG43" s="60"/>
      <c r="REH43" s="60"/>
      <c r="REI43" s="60"/>
      <c r="REJ43" s="60"/>
      <c r="REK43" s="60"/>
      <c r="REL43" s="60"/>
      <c r="REM43" s="60"/>
      <c r="REN43" s="60"/>
      <c r="REO43" s="60"/>
      <c r="REP43" s="60"/>
      <c r="REQ43" s="60"/>
      <c r="RER43" s="60"/>
      <c r="RES43" s="60"/>
      <c r="RET43" s="60"/>
      <c r="REU43" s="60"/>
      <c r="REV43" s="60"/>
      <c r="REW43" s="60"/>
      <c r="REX43" s="60"/>
      <c r="REY43" s="60"/>
      <c r="REZ43" s="60"/>
      <c r="RFA43" s="60"/>
      <c r="RFB43" s="60"/>
      <c r="RFC43" s="60"/>
      <c r="RFD43" s="60"/>
      <c r="RFE43" s="60"/>
      <c r="RFF43" s="60"/>
      <c r="RFG43" s="60"/>
      <c r="RFH43" s="60"/>
      <c r="RFI43" s="60"/>
      <c r="RFJ43" s="60"/>
      <c r="RFK43" s="60"/>
      <c r="RFL43" s="60"/>
      <c r="RFM43" s="60"/>
      <c r="RFN43" s="60"/>
      <c r="RFO43" s="60"/>
      <c r="RFP43" s="60"/>
      <c r="RFQ43" s="60"/>
      <c r="RFR43" s="60"/>
      <c r="RFS43" s="60"/>
      <c r="RFT43" s="60"/>
      <c r="RFU43" s="60"/>
      <c r="RFV43" s="60"/>
      <c r="RFW43" s="60"/>
      <c r="RFX43" s="60"/>
      <c r="RFY43" s="60"/>
      <c r="RFZ43" s="60"/>
      <c r="RGA43" s="60"/>
      <c r="RGB43" s="60"/>
      <c r="RGC43" s="60"/>
      <c r="RGD43" s="60"/>
      <c r="RGE43" s="60"/>
      <c r="RGF43" s="60"/>
      <c r="RGG43" s="60"/>
      <c r="RGH43" s="60"/>
      <c r="RGI43" s="60"/>
      <c r="RGJ43" s="60"/>
      <c r="RGK43" s="60"/>
      <c r="RGL43" s="60"/>
      <c r="RGM43" s="60"/>
      <c r="RGN43" s="60"/>
      <c r="RGO43" s="60"/>
      <c r="RGP43" s="60"/>
      <c r="RGQ43" s="60"/>
      <c r="RGR43" s="60"/>
      <c r="RGS43" s="60"/>
      <c r="RGT43" s="60"/>
      <c r="RGU43" s="60"/>
      <c r="RGV43" s="60"/>
      <c r="RGW43" s="60"/>
      <c r="RGX43" s="60"/>
      <c r="RGY43" s="60"/>
      <c r="RGZ43" s="60"/>
      <c r="RHA43" s="60"/>
      <c r="RHB43" s="60"/>
      <c r="RHC43" s="60"/>
      <c r="RHD43" s="60"/>
      <c r="RHE43" s="60"/>
      <c r="RHF43" s="60"/>
      <c r="RHG43" s="60"/>
      <c r="RHH43" s="60"/>
      <c r="RHI43" s="60"/>
      <c r="RHJ43" s="60"/>
      <c r="RHK43" s="60"/>
      <c r="RHL43" s="60"/>
      <c r="RHM43" s="60"/>
      <c r="RHN43" s="60"/>
      <c r="RHO43" s="60"/>
      <c r="RHP43" s="60"/>
      <c r="RHQ43" s="60"/>
      <c r="RHR43" s="60"/>
      <c r="RHS43" s="60"/>
      <c r="RHT43" s="60"/>
      <c r="RHU43" s="60"/>
      <c r="RHV43" s="60"/>
      <c r="RHW43" s="60"/>
      <c r="RHX43" s="60"/>
      <c r="RHY43" s="60"/>
      <c r="RHZ43" s="60"/>
      <c r="RIA43" s="60"/>
      <c r="RIB43" s="60"/>
      <c r="RIC43" s="60"/>
      <c r="RID43" s="60"/>
      <c r="RIE43" s="60"/>
      <c r="RIF43" s="60"/>
      <c r="RIG43" s="60"/>
      <c r="RIH43" s="60"/>
      <c r="RII43" s="60"/>
      <c r="RIJ43" s="60"/>
      <c r="RIK43" s="60"/>
      <c r="RIL43" s="60"/>
      <c r="RIM43" s="60"/>
      <c r="RIN43" s="60"/>
      <c r="RIO43" s="60"/>
      <c r="RIP43" s="60"/>
      <c r="RIQ43" s="60"/>
      <c r="RIR43" s="60"/>
      <c r="RIS43" s="60"/>
      <c r="RIT43" s="60"/>
      <c r="RIU43" s="60"/>
      <c r="RIV43" s="60"/>
      <c r="RIW43" s="60"/>
      <c r="RIX43" s="60"/>
      <c r="RIY43" s="60"/>
      <c r="RIZ43" s="60"/>
      <c r="RJA43" s="60"/>
      <c r="RJB43" s="60"/>
      <c r="RJC43" s="60"/>
      <c r="RJD43" s="60"/>
      <c r="RJE43" s="60"/>
      <c r="RJF43" s="60"/>
      <c r="RJG43" s="60"/>
      <c r="RJH43" s="60"/>
      <c r="RJI43" s="60"/>
      <c r="RJJ43" s="60"/>
      <c r="RJK43" s="60"/>
      <c r="RJL43" s="60"/>
      <c r="RJM43" s="60"/>
      <c r="RJN43" s="60"/>
      <c r="RJO43" s="60"/>
      <c r="RJP43" s="60"/>
      <c r="RJQ43" s="60"/>
      <c r="RJR43" s="60"/>
      <c r="RJS43" s="60"/>
      <c r="RJT43" s="60"/>
      <c r="RJU43" s="60"/>
      <c r="RJV43" s="60"/>
      <c r="RJW43" s="60"/>
      <c r="RJX43" s="60"/>
      <c r="RJY43" s="60"/>
      <c r="RJZ43" s="60"/>
      <c r="RKA43" s="60"/>
      <c r="RKB43" s="60"/>
      <c r="RKC43" s="60"/>
      <c r="RKD43" s="60"/>
      <c r="RKE43" s="60"/>
      <c r="RKF43" s="60"/>
      <c r="RKG43" s="60"/>
      <c r="RKH43" s="60"/>
      <c r="RKI43" s="60"/>
      <c r="RKJ43" s="60"/>
      <c r="RKK43" s="60"/>
      <c r="RKL43" s="60"/>
      <c r="RKM43" s="60"/>
      <c r="RKN43" s="60"/>
      <c r="RKO43" s="60"/>
      <c r="RKP43" s="60"/>
      <c r="RKQ43" s="60"/>
      <c r="RKR43" s="60"/>
      <c r="RKS43" s="60"/>
      <c r="RKT43" s="60"/>
      <c r="RKU43" s="60"/>
      <c r="RKV43" s="60"/>
      <c r="RKW43" s="60"/>
      <c r="RKX43" s="60"/>
      <c r="RKY43" s="60"/>
      <c r="RKZ43" s="60"/>
      <c r="RLA43" s="60"/>
      <c r="RLB43" s="60"/>
      <c r="RLC43" s="60"/>
      <c r="RLD43" s="60"/>
      <c r="RLE43" s="60"/>
      <c r="RLF43" s="60"/>
      <c r="RLG43" s="60"/>
      <c r="RLH43" s="60"/>
      <c r="RLI43" s="60"/>
      <c r="RLJ43" s="60"/>
      <c r="RLK43" s="60"/>
      <c r="RLL43" s="60"/>
      <c r="RLM43" s="60"/>
      <c r="RLN43" s="60"/>
      <c r="RLO43" s="60"/>
      <c r="RLP43" s="60"/>
      <c r="RLQ43" s="60"/>
      <c r="RLR43" s="60"/>
      <c r="RLS43" s="60"/>
      <c r="RLT43" s="60"/>
      <c r="RLU43" s="60"/>
      <c r="RLV43" s="60"/>
      <c r="RLW43" s="60"/>
      <c r="RLX43" s="60"/>
      <c r="RLY43" s="60"/>
      <c r="RLZ43" s="60"/>
      <c r="RMA43" s="60"/>
      <c r="RMB43" s="60"/>
      <c r="RMC43" s="60"/>
      <c r="RMD43" s="60"/>
      <c r="RME43" s="60"/>
      <c r="RMF43" s="60"/>
      <c r="RMG43" s="60"/>
      <c r="RMH43" s="60"/>
      <c r="RMI43" s="60"/>
      <c r="RMJ43" s="60"/>
      <c r="RMK43" s="60"/>
      <c r="RML43" s="60"/>
      <c r="RMM43" s="60"/>
      <c r="RMN43" s="60"/>
      <c r="RMO43" s="60"/>
      <c r="RMP43" s="60"/>
      <c r="RMQ43" s="60"/>
      <c r="RMR43" s="60"/>
      <c r="RMS43" s="60"/>
      <c r="RMT43" s="60"/>
      <c r="RMU43" s="60"/>
      <c r="RMV43" s="60"/>
      <c r="RMW43" s="60"/>
      <c r="RMX43" s="60"/>
      <c r="RMY43" s="60"/>
      <c r="RMZ43" s="60"/>
      <c r="RNA43" s="60"/>
      <c r="RNB43" s="60"/>
      <c r="RNC43" s="60"/>
      <c r="RND43" s="60"/>
      <c r="RNE43" s="60"/>
      <c r="RNF43" s="60"/>
      <c r="RNG43" s="60"/>
      <c r="RNH43" s="60"/>
      <c r="RNI43" s="60"/>
      <c r="RNJ43" s="60"/>
      <c r="RNK43" s="60"/>
      <c r="RNL43" s="60"/>
      <c r="RNM43" s="60"/>
      <c r="RNN43" s="60"/>
      <c r="RNO43" s="60"/>
      <c r="RNP43" s="60"/>
      <c r="RNQ43" s="60"/>
      <c r="RNR43" s="60"/>
      <c r="RNS43" s="60"/>
      <c r="RNT43" s="60"/>
      <c r="RNU43" s="60"/>
      <c r="RNV43" s="60"/>
      <c r="RNW43" s="60"/>
      <c r="RNX43" s="60"/>
      <c r="RNY43" s="60"/>
      <c r="RNZ43" s="60"/>
      <c r="ROA43" s="60"/>
      <c r="ROB43" s="60"/>
      <c r="ROC43" s="60"/>
      <c r="ROD43" s="60"/>
      <c r="ROE43" s="60"/>
      <c r="ROF43" s="60"/>
      <c r="ROG43" s="60"/>
      <c r="ROH43" s="60"/>
      <c r="ROI43" s="60"/>
      <c r="ROJ43" s="60"/>
      <c r="ROK43" s="60"/>
      <c r="ROL43" s="60"/>
      <c r="ROM43" s="60"/>
      <c r="RON43" s="60"/>
      <c r="ROO43" s="60"/>
      <c r="ROP43" s="60"/>
      <c r="ROQ43" s="60"/>
      <c r="ROR43" s="60"/>
      <c r="ROS43" s="60"/>
      <c r="ROT43" s="60"/>
      <c r="ROU43" s="60"/>
      <c r="ROV43" s="60"/>
      <c r="ROW43" s="60"/>
      <c r="ROX43" s="60"/>
      <c r="ROY43" s="60"/>
      <c r="ROZ43" s="60"/>
      <c r="RPA43" s="60"/>
      <c r="RPB43" s="60"/>
      <c r="RPC43" s="60"/>
      <c r="RPD43" s="60"/>
      <c r="RPE43" s="60"/>
      <c r="RPF43" s="60"/>
      <c r="RPG43" s="60"/>
      <c r="RPH43" s="60"/>
      <c r="RPI43" s="60"/>
      <c r="RPJ43" s="60"/>
      <c r="RPK43" s="60"/>
      <c r="RPL43" s="60"/>
      <c r="RPM43" s="60"/>
      <c r="RPN43" s="60"/>
      <c r="RPO43" s="60"/>
      <c r="RPP43" s="60"/>
      <c r="RPQ43" s="60"/>
      <c r="RPR43" s="60"/>
      <c r="RPS43" s="60"/>
      <c r="RPT43" s="60"/>
      <c r="RPU43" s="60"/>
      <c r="RPV43" s="60"/>
      <c r="RPW43" s="60"/>
      <c r="RPX43" s="60"/>
      <c r="RPY43" s="60"/>
      <c r="RPZ43" s="60"/>
      <c r="RQA43" s="60"/>
      <c r="RQB43" s="60"/>
      <c r="RQC43" s="60"/>
      <c r="RQD43" s="60"/>
      <c r="RQE43" s="60"/>
      <c r="RQF43" s="60"/>
      <c r="RQG43" s="60"/>
      <c r="RQH43" s="60"/>
      <c r="RQI43" s="60"/>
      <c r="RQJ43" s="60"/>
      <c r="RQK43" s="60"/>
      <c r="RQL43" s="60"/>
      <c r="RQM43" s="60"/>
      <c r="RQN43" s="60"/>
      <c r="RQO43" s="60"/>
      <c r="RQP43" s="60"/>
      <c r="RQQ43" s="60"/>
      <c r="RQR43" s="60"/>
      <c r="RQS43" s="60"/>
      <c r="RQT43" s="60"/>
      <c r="RQU43" s="60"/>
      <c r="RQV43" s="60"/>
      <c r="RQW43" s="60"/>
      <c r="RQX43" s="60"/>
      <c r="RQY43" s="60"/>
      <c r="RQZ43" s="60"/>
      <c r="RRA43" s="60"/>
      <c r="RRB43" s="60"/>
      <c r="RRC43" s="60"/>
      <c r="RRD43" s="60"/>
      <c r="RRE43" s="60"/>
      <c r="RRF43" s="60"/>
      <c r="RRG43" s="60"/>
      <c r="RRH43" s="60"/>
      <c r="RRI43" s="60"/>
      <c r="RRJ43" s="60"/>
      <c r="RRK43" s="60"/>
      <c r="RRL43" s="60"/>
      <c r="RRM43" s="60"/>
      <c r="RRN43" s="60"/>
      <c r="RRO43" s="60"/>
      <c r="RRP43" s="60"/>
      <c r="RRQ43" s="60"/>
      <c r="RRR43" s="60"/>
      <c r="RRS43" s="60"/>
      <c r="RRT43" s="60"/>
      <c r="RRU43" s="60"/>
      <c r="RRV43" s="60"/>
      <c r="RRW43" s="60"/>
      <c r="RRX43" s="60"/>
      <c r="RRY43" s="60"/>
      <c r="RRZ43" s="60"/>
      <c r="RSA43" s="60"/>
      <c r="RSB43" s="60"/>
      <c r="RSC43" s="60"/>
      <c r="RSD43" s="60"/>
      <c r="RSE43" s="60"/>
      <c r="RSF43" s="60"/>
      <c r="RSG43" s="60"/>
      <c r="RSH43" s="60"/>
      <c r="RSI43" s="60"/>
      <c r="RSJ43" s="60"/>
      <c r="RSK43" s="60"/>
      <c r="RSL43" s="60"/>
      <c r="RSM43" s="60"/>
      <c r="RSN43" s="60"/>
      <c r="RSO43" s="60"/>
      <c r="RSP43" s="60"/>
      <c r="RSQ43" s="60"/>
      <c r="RSR43" s="60"/>
      <c r="RSS43" s="60"/>
      <c r="RST43" s="60"/>
      <c r="RSU43" s="60"/>
      <c r="RSV43" s="60"/>
      <c r="RSW43" s="60"/>
      <c r="RSX43" s="60"/>
      <c r="RSY43" s="60"/>
      <c r="RSZ43" s="60"/>
      <c r="RTA43" s="60"/>
      <c r="RTB43" s="60"/>
      <c r="RTC43" s="60"/>
      <c r="RTD43" s="60"/>
      <c r="RTE43" s="60"/>
      <c r="RTF43" s="60"/>
      <c r="RTG43" s="60"/>
      <c r="RTH43" s="60"/>
      <c r="RTI43" s="60"/>
      <c r="RTJ43" s="60"/>
      <c r="RTK43" s="60"/>
      <c r="RTL43" s="60"/>
      <c r="RTM43" s="60"/>
      <c r="RTN43" s="60"/>
      <c r="RTO43" s="60"/>
      <c r="RTP43" s="60"/>
      <c r="RTQ43" s="60"/>
      <c r="RTR43" s="60"/>
      <c r="RTS43" s="60"/>
      <c r="RTT43" s="60"/>
      <c r="RTU43" s="60"/>
      <c r="RTV43" s="60"/>
      <c r="RTW43" s="60"/>
      <c r="RTX43" s="60"/>
      <c r="RTY43" s="60"/>
      <c r="RTZ43" s="60"/>
      <c r="RUA43" s="60"/>
      <c r="RUB43" s="60"/>
      <c r="RUC43" s="60"/>
      <c r="RUD43" s="60"/>
      <c r="RUE43" s="60"/>
      <c r="RUF43" s="60"/>
      <c r="RUG43" s="60"/>
      <c r="RUH43" s="60"/>
      <c r="RUI43" s="60"/>
      <c r="RUJ43" s="60"/>
      <c r="RUK43" s="60"/>
      <c r="RUL43" s="60"/>
      <c r="RUM43" s="60"/>
      <c r="RUN43" s="60"/>
      <c r="RUO43" s="60"/>
      <c r="RUP43" s="60"/>
      <c r="RUQ43" s="60"/>
      <c r="RUR43" s="60"/>
      <c r="RUS43" s="60"/>
      <c r="RUT43" s="60"/>
      <c r="RUU43" s="60"/>
      <c r="RUV43" s="60"/>
      <c r="RUW43" s="60"/>
      <c r="RUX43" s="60"/>
      <c r="RUY43" s="60"/>
      <c r="RUZ43" s="60"/>
      <c r="RVA43" s="60"/>
      <c r="RVB43" s="60"/>
      <c r="RVC43" s="60"/>
      <c r="RVD43" s="60"/>
      <c r="RVE43" s="60"/>
      <c r="RVF43" s="60"/>
      <c r="RVG43" s="60"/>
      <c r="RVH43" s="60"/>
      <c r="RVI43" s="60"/>
      <c r="RVJ43" s="60"/>
      <c r="RVK43" s="60"/>
      <c r="RVL43" s="60"/>
      <c r="RVM43" s="60"/>
      <c r="RVN43" s="60"/>
      <c r="RVO43" s="60"/>
      <c r="RVP43" s="60"/>
      <c r="RVQ43" s="60"/>
      <c r="RVR43" s="60"/>
      <c r="RVS43" s="60"/>
      <c r="RVT43" s="60"/>
      <c r="RVU43" s="60"/>
      <c r="RVV43" s="60"/>
      <c r="RVW43" s="60"/>
      <c r="RVX43" s="60"/>
      <c r="RVY43" s="60"/>
      <c r="RVZ43" s="60"/>
      <c r="RWA43" s="60"/>
      <c r="RWB43" s="60"/>
      <c r="RWC43" s="60"/>
      <c r="RWD43" s="60"/>
      <c r="RWE43" s="60"/>
      <c r="RWF43" s="60"/>
      <c r="RWG43" s="60"/>
      <c r="RWH43" s="60"/>
      <c r="RWI43" s="60"/>
      <c r="RWJ43" s="60"/>
      <c r="RWK43" s="60"/>
      <c r="RWL43" s="60"/>
      <c r="RWM43" s="60"/>
      <c r="RWN43" s="60"/>
      <c r="RWO43" s="60"/>
      <c r="RWP43" s="60"/>
      <c r="RWQ43" s="60"/>
      <c r="RWR43" s="60"/>
      <c r="RWS43" s="60"/>
      <c r="RWT43" s="60"/>
      <c r="RWU43" s="60"/>
      <c r="RWV43" s="60"/>
      <c r="RWW43" s="60"/>
      <c r="RWX43" s="60"/>
      <c r="RWY43" s="60"/>
      <c r="RWZ43" s="60"/>
      <c r="RXA43" s="60"/>
      <c r="RXB43" s="60"/>
      <c r="RXC43" s="60"/>
      <c r="RXD43" s="60"/>
      <c r="RXE43" s="60"/>
      <c r="RXF43" s="60"/>
      <c r="RXG43" s="60"/>
      <c r="RXH43" s="60"/>
      <c r="RXI43" s="60"/>
      <c r="RXJ43" s="60"/>
      <c r="RXK43" s="60"/>
      <c r="RXL43" s="60"/>
      <c r="RXM43" s="60"/>
      <c r="RXN43" s="60"/>
      <c r="RXO43" s="60"/>
      <c r="RXP43" s="60"/>
      <c r="RXQ43" s="60"/>
      <c r="RXR43" s="60"/>
      <c r="RXS43" s="60"/>
      <c r="RXT43" s="60"/>
      <c r="RXU43" s="60"/>
      <c r="RXV43" s="60"/>
      <c r="RXW43" s="60"/>
      <c r="RXX43" s="60"/>
      <c r="RXY43" s="60"/>
      <c r="RXZ43" s="60"/>
      <c r="RYA43" s="60"/>
      <c r="RYB43" s="60"/>
      <c r="RYC43" s="60"/>
      <c r="RYD43" s="60"/>
      <c r="RYE43" s="60"/>
      <c r="RYF43" s="60"/>
      <c r="RYG43" s="60"/>
      <c r="RYH43" s="60"/>
      <c r="RYI43" s="60"/>
      <c r="RYJ43" s="60"/>
      <c r="RYK43" s="60"/>
      <c r="RYL43" s="60"/>
      <c r="RYM43" s="60"/>
      <c r="RYN43" s="60"/>
      <c r="RYO43" s="60"/>
      <c r="RYP43" s="60"/>
      <c r="RYQ43" s="60"/>
      <c r="RYR43" s="60"/>
      <c r="RYS43" s="60"/>
      <c r="RYT43" s="60"/>
      <c r="RYU43" s="60"/>
      <c r="RYV43" s="60"/>
      <c r="RYW43" s="60"/>
      <c r="RYX43" s="60"/>
      <c r="RYY43" s="60"/>
      <c r="RYZ43" s="60"/>
      <c r="RZA43" s="60"/>
      <c r="RZB43" s="60"/>
      <c r="RZC43" s="60"/>
      <c r="RZD43" s="60"/>
      <c r="RZE43" s="60"/>
      <c r="RZF43" s="60"/>
      <c r="RZG43" s="60"/>
      <c r="RZH43" s="60"/>
      <c r="RZI43" s="60"/>
      <c r="RZJ43" s="60"/>
      <c r="RZK43" s="60"/>
      <c r="RZL43" s="60"/>
      <c r="RZM43" s="60"/>
      <c r="RZN43" s="60"/>
      <c r="RZO43" s="60"/>
      <c r="RZP43" s="60"/>
      <c r="RZQ43" s="60"/>
      <c r="RZR43" s="60"/>
      <c r="RZS43" s="60"/>
      <c r="RZT43" s="60"/>
      <c r="RZU43" s="60"/>
      <c r="RZV43" s="60"/>
      <c r="RZW43" s="60"/>
      <c r="RZX43" s="60"/>
      <c r="RZY43" s="60"/>
      <c r="RZZ43" s="60"/>
      <c r="SAA43" s="60"/>
      <c r="SAB43" s="60"/>
      <c r="SAC43" s="60"/>
      <c r="SAD43" s="60"/>
      <c r="SAE43" s="60"/>
      <c r="SAF43" s="60"/>
      <c r="SAG43" s="60"/>
      <c r="SAH43" s="60"/>
      <c r="SAI43" s="60"/>
      <c r="SAJ43" s="60"/>
      <c r="SAK43" s="60"/>
      <c r="SAL43" s="60"/>
      <c r="SAM43" s="60"/>
      <c r="SAN43" s="60"/>
      <c r="SAO43" s="60"/>
      <c r="SAP43" s="60"/>
      <c r="SAQ43" s="60"/>
      <c r="SAR43" s="60"/>
      <c r="SAS43" s="60"/>
      <c r="SAT43" s="60"/>
      <c r="SAU43" s="60"/>
      <c r="SAV43" s="60"/>
      <c r="SAW43" s="60"/>
      <c r="SAX43" s="60"/>
      <c r="SAY43" s="60"/>
      <c r="SAZ43" s="60"/>
      <c r="SBA43" s="60"/>
      <c r="SBB43" s="60"/>
      <c r="SBC43" s="60"/>
      <c r="SBD43" s="60"/>
      <c r="SBE43" s="60"/>
      <c r="SBF43" s="60"/>
      <c r="SBG43" s="60"/>
      <c r="SBH43" s="60"/>
      <c r="SBI43" s="60"/>
      <c r="SBJ43" s="60"/>
      <c r="SBK43" s="60"/>
      <c r="SBL43" s="60"/>
      <c r="SBM43" s="60"/>
      <c r="SBN43" s="60"/>
      <c r="SBO43" s="60"/>
      <c r="SBP43" s="60"/>
      <c r="SBQ43" s="60"/>
      <c r="SBR43" s="60"/>
      <c r="SBS43" s="60"/>
      <c r="SBT43" s="60"/>
      <c r="SBU43" s="60"/>
      <c r="SBV43" s="60"/>
      <c r="SBW43" s="60"/>
      <c r="SBX43" s="60"/>
      <c r="SBY43" s="60"/>
      <c r="SBZ43" s="60"/>
      <c r="SCA43" s="60"/>
      <c r="SCB43" s="60"/>
      <c r="SCC43" s="60"/>
      <c r="SCD43" s="60"/>
      <c r="SCE43" s="60"/>
      <c r="SCF43" s="60"/>
      <c r="SCG43" s="60"/>
      <c r="SCH43" s="60"/>
      <c r="SCI43" s="60"/>
      <c r="SCJ43" s="60"/>
      <c r="SCK43" s="60"/>
      <c r="SCL43" s="60"/>
      <c r="SCM43" s="60"/>
      <c r="SCN43" s="60"/>
      <c r="SCO43" s="60"/>
      <c r="SCP43" s="60"/>
      <c r="SCQ43" s="60"/>
      <c r="SCR43" s="60"/>
      <c r="SCS43" s="60"/>
      <c r="SCT43" s="60"/>
      <c r="SCU43" s="60"/>
      <c r="SCV43" s="60"/>
      <c r="SCW43" s="60"/>
      <c r="SCX43" s="60"/>
      <c r="SCY43" s="60"/>
      <c r="SCZ43" s="60"/>
      <c r="SDA43" s="60"/>
      <c r="SDB43" s="60"/>
      <c r="SDC43" s="60"/>
      <c r="SDD43" s="60"/>
      <c r="SDE43" s="60"/>
      <c r="SDF43" s="60"/>
      <c r="SDG43" s="60"/>
      <c r="SDH43" s="60"/>
      <c r="SDI43" s="60"/>
      <c r="SDJ43" s="60"/>
      <c r="SDK43" s="60"/>
      <c r="SDL43" s="60"/>
      <c r="SDM43" s="60"/>
      <c r="SDN43" s="60"/>
      <c r="SDO43" s="60"/>
      <c r="SDP43" s="60"/>
      <c r="SDQ43" s="60"/>
      <c r="SDR43" s="60"/>
      <c r="SDS43" s="60"/>
      <c r="SDT43" s="60"/>
      <c r="SDU43" s="60"/>
      <c r="SDV43" s="60"/>
      <c r="SDW43" s="60"/>
      <c r="SDX43" s="60"/>
      <c r="SDY43" s="60"/>
      <c r="SDZ43" s="60"/>
      <c r="SEA43" s="60"/>
      <c r="SEB43" s="60"/>
      <c r="SEC43" s="60"/>
      <c r="SED43" s="60"/>
      <c r="SEE43" s="60"/>
      <c r="SEF43" s="60"/>
      <c r="SEG43" s="60"/>
      <c r="SEH43" s="60"/>
      <c r="SEI43" s="60"/>
      <c r="SEJ43" s="60"/>
      <c r="SEK43" s="60"/>
      <c r="SEL43" s="60"/>
      <c r="SEM43" s="60"/>
      <c r="SEN43" s="60"/>
      <c r="SEO43" s="60"/>
      <c r="SEP43" s="60"/>
      <c r="SEQ43" s="60"/>
      <c r="SER43" s="60"/>
      <c r="SES43" s="60"/>
      <c r="SET43" s="60"/>
      <c r="SEU43" s="60"/>
      <c r="SEV43" s="60"/>
      <c r="SEW43" s="60"/>
      <c r="SEX43" s="60"/>
      <c r="SEY43" s="60"/>
      <c r="SEZ43" s="60"/>
      <c r="SFA43" s="60"/>
      <c r="SFB43" s="60"/>
      <c r="SFC43" s="60"/>
      <c r="SFD43" s="60"/>
      <c r="SFE43" s="60"/>
      <c r="SFF43" s="60"/>
      <c r="SFG43" s="60"/>
      <c r="SFH43" s="60"/>
      <c r="SFI43" s="60"/>
      <c r="SFJ43" s="60"/>
      <c r="SFK43" s="60"/>
      <c r="SFL43" s="60"/>
      <c r="SFM43" s="60"/>
      <c r="SFN43" s="60"/>
      <c r="SFO43" s="60"/>
      <c r="SFP43" s="60"/>
      <c r="SFQ43" s="60"/>
      <c r="SFR43" s="60"/>
      <c r="SFS43" s="60"/>
      <c r="SFT43" s="60"/>
      <c r="SFU43" s="60"/>
      <c r="SFV43" s="60"/>
      <c r="SFW43" s="60"/>
      <c r="SFX43" s="60"/>
      <c r="SFY43" s="60"/>
      <c r="SFZ43" s="60"/>
      <c r="SGA43" s="60"/>
      <c r="SGB43" s="60"/>
      <c r="SGC43" s="60"/>
      <c r="SGD43" s="60"/>
      <c r="SGE43" s="60"/>
      <c r="SGF43" s="60"/>
      <c r="SGG43" s="60"/>
      <c r="SGH43" s="60"/>
      <c r="SGI43" s="60"/>
      <c r="SGJ43" s="60"/>
      <c r="SGK43" s="60"/>
      <c r="SGL43" s="60"/>
      <c r="SGM43" s="60"/>
      <c r="SGN43" s="60"/>
      <c r="SGO43" s="60"/>
      <c r="SGP43" s="60"/>
      <c r="SGQ43" s="60"/>
      <c r="SGR43" s="60"/>
      <c r="SGS43" s="60"/>
      <c r="SGT43" s="60"/>
      <c r="SGU43" s="60"/>
      <c r="SGV43" s="60"/>
      <c r="SGW43" s="60"/>
      <c r="SGX43" s="60"/>
      <c r="SGY43" s="60"/>
      <c r="SGZ43" s="60"/>
      <c r="SHA43" s="60"/>
      <c r="SHB43" s="60"/>
      <c r="SHC43" s="60"/>
      <c r="SHD43" s="60"/>
      <c r="SHE43" s="60"/>
      <c r="SHF43" s="60"/>
      <c r="SHG43" s="60"/>
      <c r="SHH43" s="60"/>
      <c r="SHI43" s="60"/>
      <c r="SHJ43" s="60"/>
      <c r="SHK43" s="60"/>
      <c r="SHL43" s="60"/>
      <c r="SHM43" s="60"/>
      <c r="SHN43" s="60"/>
      <c r="SHO43" s="60"/>
      <c r="SHP43" s="60"/>
      <c r="SHQ43" s="60"/>
      <c r="SHR43" s="60"/>
      <c r="SHS43" s="60"/>
      <c r="SHT43" s="60"/>
      <c r="SHU43" s="60"/>
      <c r="SHV43" s="60"/>
      <c r="SHW43" s="60"/>
      <c r="SHX43" s="60"/>
      <c r="SHY43" s="60"/>
      <c r="SHZ43" s="60"/>
      <c r="SIA43" s="60"/>
      <c r="SIB43" s="60"/>
      <c r="SIC43" s="60"/>
      <c r="SID43" s="60"/>
      <c r="SIE43" s="60"/>
      <c r="SIF43" s="60"/>
      <c r="SIG43" s="60"/>
      <c r="SIH43" s="60"/>
      <c r="SII43" s="60"/>
      <c r="SIJ43" s="60"/>
      <c r="SIK43" s="60"/>
      <c r="SIL43" s="60"/>
      <c r="SIM43" s="60"/>
      <c r="SIN43" s="60"/>
      <c r="SIO43" s="60"/>
      <c r="SIP43" s="60"/>
      <c r="SIQ43" s="60"/>
      <c r="SIR43" s="60"/>
      <c r="SIS43" s="60"/>
      <c r="SIT43" s="60"/>
      <c r="SIU43" s="60"/>
      <c r="SIV43" s="60"/>
      <c r="SIW43" s="60"/>
      <c r="SIX43" s="60"/>
      <c r="SIY43" s="60"/>
      <c r="SIZ43" s="60"/>
      <c r="SJA43" s="60"/>
      <c r="SJB43" s="60"/>
      <c r="SJC43" s="60"/>
      <c r="SJD43" s="60"/>
      <c r="SJE43" s="60"/>
      <c r="SJF43" s="60"/>
      <c r="SJG43" s="60"/>
      <c r="SJH43" s="60"/>
      <c r="SJI43" s="60"/>
      <c r="SJJ43" s="60"/>
      <c r="SJK43" s="60"/>
      <c r="SJL43" s="60"/>
      <c r="SJM43" s="60"/>
      <c r="SJN43" s="60"/>
      <c r="SJO43" s="60"/>
      <c r="SJP43" s="60"/>
      <c r="SJQ43" s="60"/>
      <c r="SJR43" s="60"/>
      <c r="SJS43" s="60"/>
      <c r="SJT43" s="60"/>
      <c r="SJU43" s="60"/>
      <c r="SJV43" s="60"/>
      <c r="SJW43" s="60"/>
      <c r="SJX43" s="60"/>
      <c r="SJY43" s="60"/>
      <c r="SJZ43" s="60"/>
      <c r="SKA43" s="60"/>
      <c r="SKB43" s="60"/>
      <c r="SKC43" s="60"/>
      <c r="SKD43" s="60"/>
      <c r="SKE43" s="60"/>
      <c r="SKF43" s="60"/>
      <c r="SKG43" s="60"/>
      <c r="SKH43" s="60"/>
      <c r="SKI43" s="60"/>
      <c r="SKJ43" s="60"/>
      <c r="SKK43" s="60"/>
      <c r="SKL43" s="60"/>
      <c r="SKM43" s="60"/>
      <c r="SKN43" s="60"/>
      <c r="SKO43" s="60"/>
      <c r="SKP43" s="60"/>
      <c r="SKQ43" s="60"/>
      <c r="SKR43" s="60"/>
      <c r="SKS43" s="60"/>
      <c r="SKT43" s="60"/>
      <c r="SKU43" s="60"/>
      <c r="SKV43" s="60"/>
      <c r="SKW43" s="60"/>
      <c r="SKX43" s="60"/>
      <c r="SKY43" s="60"/>
      <c r="SKZ43" s="60"/>
      <c r="SLA43" s="60"/>
      <c r="SLB43" s="60"/>
      <c r="SLC43" s="60"/>
      <c r="SLD43" s="60"/>
      <c r="SLE43" s="60"/>
      <c r="SLF43" s="60"/>
      <c r="SLG43" s="60"/>
      <c r="SLH43" s="60"/>
      <c r="SLI43" s="60"/>
      <c r="SLJ43" s="60"/>
      <c r="SLK43" s="60"/>
      <c r="SLL43" s="60"/>
      <c r="SLM43" s="60"/>
      <c r="SLN43" s="60"/>
      <c r="SLO43" s="60"/>
      <c r="SLP43" s="60"/>
      <c r="SLQ43" s="60"/>
      <c r="SLR43" s="60"/>
      <c r="SLS43" s="60"/>
      <c r="SLT43" s="60"/>
      <c r="SLU43" s="60"/>
      <c r="SLV43" s="60"/>
      <c r="SLW43" s="60"/>
      <c r="SLX43" s="60"/>
      <c r="SLY43" s="60"/>
      <c r="SLZ43" s="60"/>
      <c r="SMA43" s="60"/>
      <c r="SMB43" s="60"/>
      <c r="SMC43" s="60"/>
      <c r="SMD43" s="60"/>
      <c r="SME43" s="60"/>
      <c r="SMF43" s="60"/>
      <c r="SMG43" s="60"/>
      <c r="SMH43" s="60"/>
      <c r="SMI43" s="60"/>
      <c r="SMJ43" s="60"/>
      <c r="SMK43" s="60"/>
      <c r="SML43" s="60"/>
      <c r="SMM43" s="60"/>
      <c r="SMN43" s="60"/>
      <c r="SMO43" s="60"/>
      <c r="SMP43" s="60"/>
      <c r="SMQ43" s="60"/>
      <c r="SMR43" s="60"/>
      <c r="SMS43" s="60"/>
      <c r="SMT43" s="60"/>
      <c r="SMU43" s="60"/>
      <c r="SMV43" s="60"/>
      <c r="SMW43" s="60"/>
      <c r="SMX43" s="60"/>
      <c r="SMY43" s="60"/>
      <c r="SMZ43" s="60"/>
      <c r="SNA43" s="60"/>
      <c r="SNB43" s="60"/>
      <c r="SNC43" s="60"/>
      <c r="SND43" s="60"/>
      <c r="SNE43" s="60"/>
      <c r="SNF43" s="60"/>
      <c r="SNG43" s="60"/>
      <c r="SNH43" s="60"/>
      <c r="SNI43" s="60"/>
      <c r="SNJ43" s="60"/>
      <c r="SNK43" s="60"/>
      <c r="SNL43" s="60"/>
      <c r="SNM43" s="60"/>
      <c r="SNN43" s="60"/>
      <c r="SNO43" s="60"/>
      <c r="SNP43" s="60"/>
      <c r="SNQ43" s="60"/>
      <c r="SNR43" s="60"/>
      <c r="SNS43" s="60"/>
      <c r="SNT43" s="60"/>
      <c r="SNU43" s="60"/>
      <c r="SNV43" s="60"/>
      <c r="SNW43" s="60"/>
      <c r="SNX43" s="60"/>
      <c r="SNY43" s="60"/>
      <c r="SNZ43" s="60"/>
      <c r="SOA43" s="60"/>
      <c r="SOB43" s="60"/>
      <c r="SOC43" s="60"/>
      <c r="SOD43" s="60"/>
      <c r="SOE43" s="60"/>
      <c r="SOF43" s="60"/>
      <c r="SOG43" s="60"/>
      <c r="SOH43" s="60"/>
      <c r="SOI43" s="60"/>
      <c r="SOJ43" s="60"/>
      <c r="SOK43" s="60"/>
      <c r="SOL43" s="60"/>
      <c r="SOM43" s="60"/>
      <c r="SON43" s="60"/>
      <c r="SOO43" s="60"/>
      <c r="SOP43" s="60"/>
      <c r="SOQ43" s="60"/>
      <c r="SOR43" s="60"/>
      <c r="SOS43" s="60"/>
      <c r="SOT43" s="60"/>
      <c r="SOU43" s="60"/>
      <c r="SOV43" s="60"/>
      <c r="SOW43" s="60"/>
      <c r="SOX43" s="60"/>
      <c r="SOY43" s="60"/>
      <c r="SOZ43" s="60"/>
      <c r="SPA43" s="60"/>
      <c r="SPB43" s="60"/>
      <c r="SPC43" s="60"/>
      <c r="SPD43" s="60"/>
      <c r="SPE43" s="60"/>
      <c r="SPF43" s="60"/>
      <c r="SPG43" s="60"/>
      <c r="SPH43" s="60"/>
      <c r="SPI43" s="60"/>
      <c r="SPJ43" s="60"/>
      <c r="SPK43" s="60"/>
      <c r="SPL43" s="60"/>
      <c r="SPM43" s="60"/>
      <c r="SPN43" s="60"/>
      <c r="SPO43" s="60"/>
      <c r="SPP43" s="60"/>
      <c r="SPQ43" s="60"/>
      <c r="SPR43" s="60"/>
      <c r="SPS43" s="60"/>
      <c r="SPT43" s="60"/>
      <c r="SPU43" s="60"/>
      <c r="SPV43" s="60"/>
      <c r="SPW43" s="60"/>
      <c r="SPX43" s="60"/>
      <c r="SPY43" s="60"/>
      <c r="SPZ43" s="60"/>
      <c r="SQA43" s="60"/>
      <c r="SQB43" s="60"/>
      <c r="SQC43" s="60"/>
      <c r="SQD43" s="60"/>
      <c r="SQE43" s="60"/>
      <c r="SQF43" s="60"/>
      <c r="SQG43" s="60"/>
      <c r="SQH43" s="60"/>
      <c r="SQI43" s="60"/>
      <c r="SQJ43" s="60"/>
      <c r="SQK43" s="60"/>
      <c r="SQL43" s="60"/>
      <c r="SQM43" s="60"/>
      <c r="SQN43" s="60"/>
      <c r="SQO43" s="60"/>
      <c r="SQP43" s="60"/>
      <c r="SQQ43" s="60"/>
      <c r="SQR43" s="60"/>
      <c r="SQS43" s="60"/>
      <c r="SQT43" s="60"/>
      <c r="SQU43" s="60"/>
      <c r="SQV43" s="60"/>
      <c r="SQW43" s="60"/>
      <c r="SQX43" s="60"/>
      <c r="SQY43" s="60"/>
      <c r="SQZ43" s="60"/>
      <c r="SRA43" s="60"/>
      <c r="SRB43" s="60"/>
      <c r="SRC43" s="60"/>
      <c r="SRD43" s="60"/>
      <c r="SRE43" s="60"/>
      <c r="SRF43" s="60"/>
      <c r="SRG43" s="60"/>
      <c r="SRH43" s="60"/>
      <c r="SRI43" s="60"/>
      <c r="SRJ43" s="60"/>
      <c r="SRK43" s="60"/>
      <c r="SRL43" s="60"/>
      <c r="SRM43" s="60"/>
      <c r="SRN43" s="60"/>
      <c r="SRO43" s="60"/>
      <c r="SRP43" s="60"/>
      <c r="SRQ43" s="60"/>
      <c r="SRR43" s="60"/>
      <c r="SRS43" s="60"/>
      <c r="SRT43" s="60"/>
      <c r="SRU43" s="60"/>
      <c r="SRV43" s="60"/>
      <c r="SRW43" s="60"/>
      <c r="SRX43" s="60"/>
      <c r="SRY43" s="60"/>
      <c r="SRZ43" s="60"/>
      <c r="SSA43" s="60"/>
      <c r="SSB43" s="60"/>
      <c r="SSC43" s="60"/>
      <c r="SSD43" s="60"/>
      <c r="SSE43" s="60"/>
      <c r="SSF43" s="60"/>
      <c r="SSG43" s="60"/>
      <c r="SSH43" s="60"/>
      <c r="SSI43" s="60"/>
      <c r="SSJ43" s="60"/>
      <c r="SSK43" s="60"/>
      <c r="SSL43" s="60"/>
      <c r="SSM43" s="60"/>
      <c r="SSN43" s="60"/>
      <c r="SSO43" s="60"/>
      <c r="SSP43" s="60"/>
      <c r="SSQ43" s="60"/>
      <c r="SSR43" s="60"/>
      <c r="SSS43" s="60"/>
      <c r="SST43" s="60"/>
      <c r="SSU43" s="60"/>
      <c r="SSV43" s="60"/>
      <c r="SSW43" s="60"/>
      <c r="SSX43" s="60"/>
      <c r="SSY43" s="60"/>
      <c r="SSZ43" s="60"/>
      <c r="STA43" s="60"/>
      <c r="STB43" s="60"/>
      <c r="STC43" s="60"/>
      <c r="STD43" s="60"/>
      <c r="STE43" s="60"/>
      <c r="STF43" s="60"/>
      <c r="STG43" s="60"/>
      <c r="STH43" s="60"/>
      <c r="STI43" s="60"/>
      <c r="STJ43" s="60"/>
      <c r="STK43" s="60"/>
      <c r="STL43" s="60"/>
      <c r="STM43" s="60"/>
      <c r="STN43" s="60"/>
      <c r="STO43" s="60"/>
      <c r="STP43" s="60"/>
      <c r="STQ43" s="60"/>
      <c r="STR43" s="60"/>
      <c r="STS43" s="60"/>
      <c r="STT43" s="60"/>
      <c r="STU43" s="60"/>
      <c r="STV43" s="60"/>
      <c r="STW43" s="60"/>
      <c r="STX43" s="60"/>
      <c r="STY43" s="60"/>
      <c r="STZ43" s="60"/>
      <c r="SUA43" s="60"/>
      <c r="SUB43" s="60"/>
      <c r="SUC43" s="60"/>
      <c r="SUD43" s="60"/>
      <c r="SUE43" s="60"/>
      <c r="SUF43" s="60"/>
      <c r="SUG43" s="60"/>
      <c r="SUH43" s="60"/>
      <c r="SUI43" s="60"/>
      <c r="SUJ43" s="60"/>
      <c r="SUK43" s="60"/>
      <c r="SUL43" s="60"/>
      <c r="SUM43" s="60"/>
      <c r="SUN43" s="60"/>
      <c r="SUO43" s="60"/>
      <c r="SUP43" s="60"/>
      <c r="SUQ43" s="60"/>
      <c r="SUR43" s="60"/>
      <c r="SUS43" s="60"/>
      <c r="SUT43" s="60"/>
      <c r="SUU43" s="60"/>
      <c r="SUV43" s="60"/>
      <c r="SUW43" s="60"/>
      <c r="SUX43" s="60"/>
      <c r="SUY43" s="60"/>
      <c r="SUZ43" s="60"/>
      <c r="SVA43" s="60"/>
      <c r="SVB43" s="60"/>
      <c r="SVC43" s="60"/>
      <c r="SVD43" s="60"/>
      <c r="SVE43" s="60"/>
      <c r="SVF43" s="60"/>
      <c r="SVG43" s="60"/>
      <c r="SVH43" s="60"/>
      <c r="SVI43" s="60"/>
      <c r="SVJ43" s="60"/>
      <c r="SVK43" s="60"/>
      <c r="SVL43" s="60"/>
      <c r="SVM43" s="60"/>
      <c r="SVN43" s="60"/>
      <c r="SVO43" s="60"/>
      <c r="SVP43" s="60"/>
      <c r="SVQ43" s="60"/>
      <c r="SVR43" s="60"/>
      <c r="SVS43" s="60"/>
      <c r="SVT43" s="60"/>
      <c r="SVU43" s="60"/>
      <c r="SVV43" s="60"/>
      <c r="SVW43" s="60"/>
      <c r="SVX43" s="60"/>
      <c r="SVY43" s="60"/>
      <c r="SVZ43" s="60"/>
      <c r="SWA43" s="60"/>
      <c r="SWB43" s="60"/>
      <c r="SWC43" s="60"/>
      <c r="SWD43" s="60"/>
      <c r="SWE43" s="60"/>
      <c r="SWF43" s="60"/>
      <c r="SWG43" s="60"/>
      <c r="SWH43" s="60"/>
      <c r="SWI43" s="60"/>
      <c r="SWJ43" s="60"/>
      <c r="SWK43" s="60"/>
      <c r="SWL43" s="60"/>
      <c r="SWM43" s="60"/>
      <c r="SWN43" s="60"/>
      <c r="SWO43" s="60"/>
      <c r="SWP43" s="60"/>
      <c r="SWQ43" s="60"/>
      <c r="SWR43" s="60"/>
      <c r="SWS43" s="60"/>
      <c r="SWT43" s="60"/>
      <c r="SWU43" s="60"/>
      <c r="SWV43" s="60"/>
      <c r="SWW43" s="60"/>
      <c r="SWX43" s="60"/>
      <c r="SWY43" s="60"/>
      <c r="SWZ43" s="60"/>
      <c r="SXA43" s="60"/>
      <c r="SXB43" s="60"/>
      <c r="SXC43" s="60"/>
      <c r="SXD43" s="60"/>
      <c r="SXE43" s="60"/>
      <c r="SXF43" s="60"/>
      <c r="SXG43" s="60"/>
      <c r="SXH43" s="60"/>
      <c r="SXI43" s="60"/>
      <c r="SXJ43" s="60"/>
      <c r="SXK43" s="60"/>
      <c r="SXL43" s="60"/>
      <c r="SXM43" s="60"/>
      <c r="SXN43" s="60"/>
      <c r="SXO43" s="60"/>
      <c r="SXP43" s="60"/>
      <c r="SXQ43" s="60"/>
      <c r="SXR43" s="60"/>
      <c r="SXS43" s="60"/>
      <c r="SXT43" s="60"/>
      <c r="SXU43" s="60"/>
      <c r="SXV43" s="60"/>
      <c r="SXW43" s="60"/>
      <c r="SXX43" s="60"/>
      <c r="SXY43" s="60"/>
      <c r="SXZ43" s="60"/>
      <c r="SYA43" s="60"/>
      <c r="SYB43" s="60"/>
      <c r="SYC43" s="60"/>
      <c r="SYD43" s="60"/>
      <c r="SYE43" s="60"/>
      <c r="SYF43" s="60"/>
      <c r="SYG43" s="60"/>
      <c r="SYH43" s="60"/>
      <c r="SYI43" s="60"/>
      <c r="SYJ43" s="60"/>
      <c r="SYK43" s="60"/>
      <c r="SYL43" s="60"/>
      <c r="SYM43" s="60"/>
      <c r="SYN43" s="60"/>
      <c r="SYO43" s="60"/>
      <c r="SYP43" s="60"/>
      <c r="SYQ43" s="60"/>
      <c r="SYR43" s="60"/>
      <c r="SYS43" s="60"/>
      <c r="SYT43" s="60"/>
      <c r="SYU43" s="60"/>
      <c r="SYV43" s="60"/>
      <c r="SYW43" s="60"/>
      <c r="SYX43" s="60"/>
      <c r="SYY43" s="60"/>
      <c r="SYZ43" s="60"/>
      <c r="SZA43" s="60"/>
      <c r="SZB43" s="60"/>
      <c r="SZC43" s="60"/>
      <c r="SZD43" s="60"/>
      <c r="SZE43" s="60"/>
      <c r="SZF43" s="60"/>
      <c r="SZG43" s="60"/>
      <c r="SZH43" s="60"/>
      <c r="SZI43" s="60"/>
      <c r="SZJ43" s="60"/>
      <c r="SZK43" s="60"/>
      <c r="SZL43" s="60"/>
      <c r="SZM43" s="60"/>
      <c r="SZN43" s="60"/>
      <c r="SZO43" s="60"/>
      <c r="SZP43" s="60"/>
      <c r="SZQ43" s="60"/>
      <c r="SZR43" s="60"/>
      <c r="SZS43" s="60"/>
      <c r="SZT43" s="60"/>
      <c r="SZU43" s="60"/>
      <c r="SZV43" s="60"/>
      <c r="SZW43" s="60"/>
      <c r="SZX43" s="60"/>
      <c r="SZY43" s="60"/>
      <c r="SZZ43" s="60"/>
      <c r="TAA43" s="60"/>
      <c r="TAB43" s="60"/>
      <c r="TAC43" s="60"/>
      <c r="TAD43" s="60"/>
      <c r="TAE43" s="60"/>
      <c r="TAF43" s="60"/>
      <c r="TAG43" s="60"/>
      <c r="TAH43" s="60"/>
      <c r="TAI43" s="60"/>
      <c r="TAJ43" s="60"/>
      <c r="TAK43" s="60"/>
      <c r="TAL43" s="60"/>
      <c r="TAM43" s="60"/>
      <c r="TAN43" s="60"/>
      <c r="TAO43" s="60"/>
      <c r="TAP43" s="60"/>
      <c r="TAQ43" s="60"/>
      <c r="TAR43" s="60"/>
      <c r="TAS43" s="60"/>
      <c r="TAT43" s="60"/>
      <c r="TAU43" s="60"/>
      <c r="TAV43" s="60"/>
      <c r="TAW43" s="60"/>
      <c r="TAX43" s="60"/>
      <c r="TAY43" s="60"/>
      <c r="TAZ43" s="60"/>
      <c r="TBA43" s="60"/>
      <c r="TBB43" s="60"/>
      <c r="TBC43" s="60"/>
      <c r="TBD43" s="60"/>
      <c r="TBE43" s="60"/>
      <c r="TBF43" s="60"/>
      <c r="TBG43" s="60"/>
      <c r="TBH43" s="60"/>
      <c r="TBI43" s="60"/>
      <c r="TBJ43" s="60"/>
      <c r="TBK43" s="60"/>
      <c r="TBL43" s="60"/>
      <c r="TBM43" s="60"/>
      <c r="TBN43" s="60"/>
      <c r="TBO43" s="60"/>
      <c r="TBP43" s="60"/>
      <c r="TBQ43" s="60"/>
      <c r="TBR43" s="60"/>
      <c r="TBS43" s="60"/>
      <c r="TBT43" s="60"/>
      <c r="TBU43" s="60"/>
      <c r="TBV43" s="60"/>
      <c r="TBW43" s="60"/>
      <c r="TBX43" s="60"/>
      <c r="TBY43" s="60"/>
      <c r="TBZ43" s="60"/>
      <c r="TCA43" s="60"/>
      <c r="TCB43" s="60"/>
      <c r="TCC43" s="60"/>
      <c r="TCD43" s="60"/>
      <c r="TCE43" s="60"/>
      <c r="TCF43" s="60"/>
      <c r="TCG43" s="60"/>
      <c r="TCH43" s="60"/>
      <c r="TCI43" s="60"/>
      <c r="TCJ43" s="60"/>
      <c r="TCK43" s="60"/>
      <c r="TCL43" s="60"/>
      <c r="TCM43" s="60"/>
      <c r="TCN43" s="60"/>
      <c r="TCO43" s="60"/>
      <c r="TCP43" s="60"/>
      <c r="TCQ43" s="60"/>
      <c r="TCR43" s="60"/>
      <c r="TCS43" s="60"/>
      <c r="TCT43" s="60"/>
      <c r="TCU43" s="60"/>
      <c r="TCV43" s="60"/>
      <c r="TCW43" s="60"/>
      <c r="TCX43" s="60"/>
      <c r="TCY43" s="60"/>
      <c r="TCZ43" s="60"/>
      <c r="TDA43" s="60"/>
      <c r="TDB43" s="60"/>
      <c r="TDC43" s="60"/>
      <c r="TDD43" s="60"/>
      <c r="TDE43" s="60"/>
      <c r="TDF43" s="60"/>
      <c r="TDG43" s="60"/>
      <c r="TDH43" s="60"/>
      <c r="TDI43" s="60"/>
      <c r="TDJ43" s="60"/>
      <c r="TDK43" s="60"/>
      <c r="TDL43" s="60"/>
      <c r="TDM43" s="60"/>
      <c r="TDN43" s="60"/>
      <c r="TDO43" s="60"/>
      <c r="TDP43" s="60"/>
      <c r="TDQ43" s="60"/>
      <c r="TDR43" s="60"/>
      <c r="TDS43" s="60"/>
      <c r="TDT43" s="60"/>
      <c r="TDU43" s="60"/>
      <c r="TDV43" s="60"/>
      <c r="TDW43" s="60"/>
      <c r="TDX43" s="60"/>
      <c r="TDY43" s="60"/>
      <c r="TDZ43" s="60"/>
      <c r="TEA43" s="60"/>
      <c r="TEB43" s="60"/>
      <c r="TEC43" s="60"/>
      <c r="TED43" s="60"/>
      <c r="TEE43" s="60"/>
      <c r="TEF43" s="60"/>
      <c r="TEG43" s="60"/>
      <c r="TEH43" s="60"/>
      <c r="TEI43" s="60"/>
      <c r="TEJ43" s="60"/>
      <c r="TEK43" s="60"/>
      <c r="TEL43" s="60"/>
      <c r="TEM43" s="60"/>
      <c r="TEN43" s="60"/>
      <c r="TEO43" s="60"/>
      <c r="TEP43" s="60"/>
      <c r="TEQ43" s="60"/>
      <c r="TER43" s="60"/>
      <c r="TES43" s="60"/>
      <c r="TET43" s="60"/>
      <c r="TEU43" s="60"/>
      <c r="TEV43" s="60"/>
      <c r="TEW43" s="60"/>
      <c r="TEX43" s="60"/>
      <c r="TEY43" s="60"/>
      <c r="TEZ43" s="60"/>
      <c r="TFA43" s="60"/>
      <c r="TFB43" s="60"/>
      <c r="TFC43" s="60"/>
      <c r="TFD43" s="60"/>
      <c r="TFE43" s="60"/>
      <c r="TFF43" s="60"/>
      <c r="TFG43" s="60"/>
      <c r="TFH43" s="60"/>
      <c r="TFI43" s="60"/>
      <c r="TFJ43" s="60"/>
      <c r="TFK43" s="60"/>
      <c r="TFL43" s="60"/>
      <c r="TFM43" s="60"/>
      <c r="TFN43" s="60"/>
      <c r="TFO43" s="60"/>
      <c r="TFP43" s="60"/>
      <c r="TFQ43" s="60"/>
      <c r="TFR43" s="60"/>
      <c r="TFS43" s="60"/>
      <c r="TFT43" s="60"/>
      <c r="TFU43" s="60"/>
      <c r="TFV43" s="60"/>
      <c r="TFW43" s="60"/>
      <c r="TFX43" s="60"/>
      <c r="TFY43" s="60"/>
      <c r="TFZ43" s="60"/>
      <c r="TGA43" s="60"/>
      <c r="TGB43" s="60"/>
      <c r="TGC43" s="60"/>
      <c r="TGD43" s="60"/>
      <c r="TGE43" s="60"/>
      <c r="TGF43" s="60"/>
      <c r="TGG43" s="60"/>
      <c r="TGH43" s="60"/>
      <c r="TGI43" s="60"/>
      <c r="TGJ43" s="60"/>
      <c r="TGK43" s="60"/>
      <c r="TGL43" s="60"/>
      <c r="TGM43" s="60"/>
      <c r="TGN43" s="60"/>
      <c r="TGO43" s="60"/>
      <c r="TGP43" s="60"/>
      <c r="TGQ43" s="60"/>
      <c r="TGR43" s="60"/>
      <c r="TGS43" s="60"/>
      <c r="TGT43" s="60"/>
      <c r="TGU43" s="60"/>
      <c r="TGV43" s="60"/>
      <c r="TGW43" s="60"/>
      <c r="TGX43" s="60"/>
      <c r="TGY43" s="60"/>
      <c r="TGZ43" s="60"/>
      <c r="THA43" s="60"/>
      <c r="THB43" s="60"/>
      <c r="THC43" s="60"/>
      <c r="THD43" s="60"/>
      <c r="THE43" s="60"/>
      <c r="THF43" s="60"/>
      <c r="THG43" s="60"/>
      <c r="THH43" s="60"/>
      <c r="THI43" s="60"/>
      <c r="THJ43" s="60"/>
      <c r="THK43" s="60"/>
      <c r="THL43" s="60"/>
      <c r="THM43" s="60"/>
      <c r="THN43" s="60"/>
      <c r="THO43" s="60"/>
      <c r="THP43" s="60"/>
      <c r="THQ43" s="60"/>
      <c r="THR43" s="60"/>
      <c r="THS43" s="60"/>
      <c r="THT43" s="60"/>
      <c r="THU43" s="60"/>
      <c r="THV43" s="60"/>
      <c r="THW43" s="60"/>
      <c r="THX43" s="60"/>
      <c r="THY43" s="60"/>
      <c r="THZ43" s="60"/>
      <c r="TIA43" s="60"/>
      <c r="TIB43" s="60"/>
      <c r="TIC43" s="60"/>
      <c r="TID43" s="60"/>
      <c r="TIE43" s="60"/>
      <c r="TIF43" s="60"/>
      <c r="TIG43" s="60"/>
      <c r="TIH43" s="60"/>
      <c r="TII43" s="60"/>
      <c r="TIJ43" s="60"/>
      <c r="TIK43" s="60"/>
      <c r="TIL43" s="60"/>
      <c r="TIM43" s="60"/>
      <c r="TIN43" s="60"/>
      <c r="TIO43" s="60"/>
      <c r="TIP43" s="60"/>
      <c r="TIQ43" s="60"/>
      <c r="TIR43" s="60"/>
      <c r="TIS43" s="60"/>
      <c r="TIT43" s="60"/>
      <c r="TIU43" s="60"/>
      <c r="TIV43" s="60"/>
      <c r="TIW43" s="60"/>
      <c r="TIX43" s="60"/>
      <c r="TIY43" s="60"/>
      <c r="TIZ43" s="60"/>
      <c r="TJA43" s="60"/>
      <c r="TJB43" s="60"/>
      <c r="TJC43" s="60"/>
      <c r="TJD43" s="60"/>
      <c r="TJE43" s="60"/>
      <c r="TJF43" s="60"/>
      <c r="TJG43" s="60"/>
      <c r="TJH43" s="60"/>
      <c r="TJI43" s="60"/>
      <c r="TJJ43" s="60"/>
      <c r="TJK43" s="60"/>
      <c r="TJL43" s="60"/>
      <c r="TJM43" s="60"/>
      <c r="TJN43" s="60"/>
      <c r="TJO43" s="60"/>
      <c r="TJP43" s="60"/>
      <c r="TJQ43" s="60"/>
      <c r="TJR43" s="60"/>
      <c r="TJS43" s="60"/>
      <c r="TJT43" s="60"/>
      <c r="TJU43" s="60"/>
      <c r="TJV43" s="60"/>
      <c r="TJW43" s="60"/>
      <c r="TJX43" s="60"/>
      <c r="TJY43" s="60"/>
      <c r="TJZ43" s="60"/>
      <c r="TKA43" s="60"/>
      <c r="TKB43" s="60"/>
      <c r="TKC43" s="60"/>
      <c r="TKD43" s="60"/>
      <c r="TKE43" s="60"/>
      <c r="TKF43" s="60"/>
      <c r="TKG43" s="60"/>
      <c r="TKH43" s="60"/>
      <c r="TKI43" s="60"/>
      <c r="TKJ43" s="60"/>
      <c r="TKK43" s="60"/>
      <c r="TKL43" s="60"/>
      <c r="TKM43" s="60"/>
      <c r="TKN43" s="60"/>
      <c r="TKO43" s="60"/>
      <c r="TKP43" s="60"/>
      <c r="TKQ43" s="60"/>
      <c r="TKR43" s="60"/>
      <c r="TKS43" s="60"/>
      <c r="TKT43" s="60"/>
      <c r="TKU43" s="60"/>
      <c r="TKV43" s="60"/>
      <c r="TKW43" s="60"/>
      <c r="TKX43" s="60"/>
      <c r="TKY43" s="60"/>
      <c r="TKZ43" s="60"/>
      <c r="TLA43" s="60"/>
      <c r="TLB43" s="60"/>
      <c r="TLC43" s="60"/>
      <c r="TLD43" s="60"/>
      <c r="TLE43" s="60"/>
      <c r="TLF43" s="60"/>
      <c r="TLG43" s="60"/>
      <c r="TLH43" s="60"/>
      <c r="TLI43" s="60"/>
      <c r="TLJ43" s="60"/>
      <c r="TLK43" s="60"/>
      <c r="TLL43" s="60"/>
      <c r="TLM43" s="60"/>
      <c r="TLN43" s="60"/>
      <c r="TLO43" s="60"/>
      <c r="TLP43" s="60"/>
      <c r="TLQ43" s="60"/>
      <c r="TLR43" s="60"/>
      <c r="TLS43" s="60"/>
      <c r="TLT43" s="60"/>
      <c r="TLU43" s="60"/>
      <c r="TLV43" s="60"/>
      <c r="TLW43" s="60"/>
      <c r="TLX43" s="60"/>
      <c r="TLY43" s="60"/>
      <c r="TLZ43" s="60"/>
      <c r="TMA43" s="60"/>
      <c r="TMB43" s="60"/>
      <c r="TMC43" s="60"/>
      <c r="TMD43" s="60"/>
      <c r="TME43" s="60"/>
      <c r="TMF43" s="60"/>
      <c r="TMG43" s="60"/>
      <c r="TMH43" s="60"/>
      <c r="TMI43" s="60"/>
      <c r="TMJ43" s="60"/>
      <c r="TMK43" s="60"/>
      <c r="TML43" s="60"/>
      <c r="TMM43" s="60"/>
      <c r="TMN43" s="60"/>
      <c r="TMO43" s="60"/>
      <c r="TMP43" s="60"/>
      <c r="TMQ43" s="60"/>
      <c r="TMR43" s="60"/>
      <c r="TMS43" s="60"/>
      <c r="TMT43" s="60"/>
      <c r="TMU43" s="60"/>
      <c r="TMV43" s="60"/>
      <c r="TMW43" s="60"/>
      <c r="TMX43" s="60"/>
      <c r="TMY43" s="60"/>
      <c r="TMZ43" s="60"/>
      <c r="TNA43" s="60"/>
      <c r="TNB43" s="60"/>
      <c r="TNC43" s="60"/>
      <c r="TND43" s="60"/>
      <c r="TNE43" s="60"/>
      <c r="TNF43" s="60"/>
      <c r="TNG43" s="60"/>
      <c r="TNH43" s="60"/>
      <c r="TNI43" s="60"/>
      <c r="TNJ43" s="60"/>
      <c r="TNK43" s="60"/>
      <c r="TNL43" s="60"/>
      <c r="TNM43" s="60"/>
      <c r="TNN43" s="60"/>
      <c r="TNO43" s="60"/>
      <c r="TNP43" s="60"/>
      <c r="TNQ43" s="60"/>
      <c r="TNR43" s="60"/>
      <c r="TNS43" s="60"/>
      <c r="TNT43" s="60"/>
      <c r="TNU43" s="60"/>
      <c r="TNV43" s="60"/>
      <c r="TNW43" s="60"/>
      <c r="TNX43" s="60"/>
      <c r="TNY43" s="60"/>
      <c r="TNZ43" s="60"/>
      <c r="TOA43" s="60"/>
      <c r="TOB43" s="60"/>
      <c r="TOC43" s="60"/>
      <c r="TOD43" s="60"/>
      <c r="TOE43" s="60"/>
      <c r="TOF43" s="60"/>
      <c r="TOG43" s="60"/>
      <c r="TOH43" s="60"/>
      <c r="TOI43" s="60"/>
      <c r="TOJ43" s="60"/>
      <c r="TOK43" s="60"/>
      <c r="TOL43" s="60"/>
      <c r="TOM43" s="60"/>
      <c r="TON43" s="60"/>
      <c r="TOO43" s="60"/>
      <c r="TOP43" s="60"/>
      <c r="TOQ43" s="60"/>
      <c r="TOR43" s="60"/>
      <c r="TOS43" s="60"/>
      <c r="TOT43" s="60"/>
      <c r="TOU43" s="60"/>
      <c r="TOV43" s="60"/>
      <c r="TOW43" s="60"/>
      <c r="TOX43" s="60"/>
      <c r="TOY43" s="60"/>
      <c r="TOZ43" s="60"/>
      <c r="TPA43" s="60"/>
      <c r="TPB43" s="60"/>
      <c r="TPC43" s="60"/>
      <c r="TPD43" s="60"/>
      <c r="TPE43" s="60"/>
      <c r="TPF43" s="60"/>
      <c r="TPG43" s="60"/>
      <c r="TPH43" s="60"/>
      <c r="TPI43" s="60"/>
      <c r="TPJ43" s="60"/>
      <c r="TPK43" s="60"/>
      <c r="TPL43" s="60"/>
      <c r="TPM43" s="60"/>
      <c r="TPN43" s="60"/>
      <c r="TPO43" s="60"/>
      <c r="TPP43" s="60"/>
      <c r="TPQ43" s="60"/>
      <c r="TPR43" s="60"/>
      <c r="TPS43" s="60"/>
      <c r="TPT43" s="60"/>
      <c r="TPU43" s="60"/>
      <c r="TPV43" s="60"/>
      <c r="TPW43" s="60"/>
      <c r="TPX43" s="60"/>
      <c r="TPY43" s="60"/>
      <c r="TPZ43" s="60"/>
      <c r="TQA43" s="60"/>
      <c r="TQB43" s="60"/>
      <c r="TQC43" s="60"/>
      <c r="TQD43" s="60"/>
      <c r="TQE43" s="60"/>
      <c r="TQF43" s="60"/>
      <c r="TQG43" s="60"/>
      <c r="TQH43" s="60"/>
      <c r="TQI43" s="60"/>
      <c r="TQJ43" s="60"/>
      <c r="TQK43" s="60"/>
      <c r="TQL43" s="60"/>
      <c r="TQM43" s="60"/>
      <c r="TQN43" s="60"/>
      <c r="TQO43" s="60"/>
      <c r="TQP43" s="60"/>
      <c r="TQQ43" s="60"/>
      <c r="TQR43" s="60"/>
      <c r="TQS43" s="60"/>
      <c r="TQT43" s="60"/>
      <c r="TQU43" s="60"/>
      <c r="TQV43" s="60"/>
      <c r="TQW43" s="60"/>
      <c r="TQX43" s="60"/>
      <c r="TQY43" s="60"/>
      <c r="TQZ43" s="60"/>
      <c r="TRA43" s="60"/>
      <c r="TRB43" s="60"/>
      <c r="TRC43" s="60"/>
      <c r="TRD43" s="60"/>
      <c r="TRE43" s="60"/>
      <c r="TRF43" s="60"/>
      <c r="TRG43" s="60"/>
      <c r="TRH43" s="60"/>
      <c r="TRI43" s="60"/>
      <c r="TRJ43" s="60"/>
      <c r="TRK43" s="60"/>
      <c r="TRL43" s="60"/>
      <c r="TRM43" s="60"/>
      <c r="TRN43" s="60"/>
      <c r="TRO43" s="60"/>
      <c r="TRP43" s="60"/>
      <c r="TRQ43" s="60"/>
      <c r="TRR43" s="60"/>
      <c r="TRS43" s="60"/>
      <c r="TRT43" s="60"/>
      <c r="TRU43" s="60"/>
      <c r="TRV43" s="60"/>
      <c r="TRW43" s="60"/>
      <c r="TRX43" s="60"/>
      <c r="TRY43" s="60"/>
      <c r="TRZ43" s="60"/>
      <c r="TSA43" s="60"/>
      <c r="TSB43" s="60"/>
      <c r="TSC43" s="60"/>
      <c r="TSD43" s="60"/>
      <c r="TSE43" s="60"/>
      <c r="TSF43" s="60"/>
      <c r="TSG43" s="60"/>
      <c r="TSH43" s="60"/>
      <c r="TSI43" s="60"/>
      <c r="TSJ43" s="60"/>
      <c r="TSK43" s="60"/>
      <c r="TSL43" s="60"/>
      <c r="TSM43" s="60"/>
      <c r="TSN43" s="60"/>
      <c r="TSO43" s="60"/>
      <c r="TSP43" s="60"/>
      <c r="TSQ43" s="60"/>
      <c r="TSR43" s="60"/>
      <c r="TSS43" s="60"/>
      <c r="TST43" s="60"/>
      <c r="TSU43" s="60"/>
      <c r="TSV43" s="60"/>
      <c r="TSW43" s="60"/>
      <c r="TSX43" s="60"/>
      <c r="TSY43" s="60"/>
      <c r="TSZ43" s="60"/>
      <c r="TTA43" s="60"/>
      <c r="TTB43" s="60"/>
      <c r="TTC43" s="60"/>
      <c r="TTD43" s="60"/>
      <c r="TTE43" s="60"/>
      <c r="TTF43" s="60"/>
      <c r="TTG43" s="60"/>
      <c r="TTH43" s="60"/>
      <c r="TTI43" s="60"/>
      <c r="TTJ43" s="60"/>
      <c r="TTK43" s="60"/>
      <c r="TTL43" s="60"/>
      <c r="TTM43" s="60"/>
      <c r="TTN43" s="60"/>
      <c r="TTO43" s="60"/>
      <c r="TTP43" s="60"/>
      <c r="TTQ43" s="60"/>
      <c r="TTR43" s="60"/>
      <c r="TTS43" s="60"/>
      <c r="TTT43" s="60"/>
      <c r="TTU43" s="60"/>
      <c r="TTV43" s="60"/>
      <c r="TTW43" s="60"/>
      <c r="TTX43" s="60"/>
      <c r="TTY43" s="60"/>
      <c r="TTZ43" s="60"/>
      <c r="TUA43" s="60"/>
      <c r="TUB43" s="60"/>
      <c r="TUC43" s="60"/>
      <c r="TUD43" s="60"/>
      <c r="TUE43" s="60"/>
      <c r="TUF43" s="60"/>
      <c r="TUG43" s="60"/>
      <c r="TUH43" s="60"/>
      <c r="TUI43" s="60"/>
      <c r="TUJ43" s="60"/>
      <c r="TUK43" s="60"/>
      <c r="TUL43" s="60"/>
      <c r="TUM43" s="60"/>
      <c r="TUN43" s="60"/>
      <c r="TUO43" s="60"/>
      <c r="TUP43" s="60"/>
      <c r="TUQ43" s="60"/>
      <c r="TUR43" s="60"/>
      <c r="TUS43" s="60"/>
      <c r="TUT43" s="60"/>
      <c r="TUU43" s="60"/>
      <c r="TUV43" s="60"/>
      <c r="TUW43" s="60"/>
      <c r="TUX43" s="60"/>
      <c r="TUY43" s="60"/>
      <c r="TUZ43" s="60"/>
      <c r="TVA43" s="60"/>
      <c r="TVB43" s="60"/>
      <c r="TVC43" s="60"/>
      <c r="TVD43" s="60"/>
      <c r="TVE43" s="60"/>
      <c r="TVF43" s="60"/>
      <c r="TVG43" s="60"/>
      <c r="TVH43" s="60"/>
      <c r="TVI43" s="60"/>
      <c r="TVJ43" s="60"/>
      <c r="TVK43" s="60"/>
      <c r="TVL43" s="60"/>
      <c r="TVM43" s="60"/>
      <c r="TVN43" s="60"/>
      <c r="TVO43" s="60"/>
      <c r="TVP43" s="60"/>
      <c r="TVQ43" s="60"/>
      <c r="TVR43" s="60"/>
      <c r="TVS43" s="60"/>
      <c r="TVT43" s="60"/>
      <c r="TVU43" s="60"/>
      <c r="TVV43" s="60"/>
      <c r="TVW43" s="60"/>
      <c r="TVX43" s="60"/>
      <c r="TVY43" s="60"/>
      <c r="TVZ43" s="60"/>
      <c r="TWA43" s="60"/>
      <c r="TWB43" s="60"/>
      <c r="TWC43" s="60"/>
      <c r="TWD43" s="60"/>
      <c r="TWE43" s="60"/>
      <c r="TWF43" s="60"/>
      <c r="TWG43" s="60"/>
      <c r="TWH43" s="60"/>
      <c r="TWI43" s="60"/>
      <c r="TWJ43" s="60"/>
      <c r="TWK43" s="60"/>
      <c r="TWL43" s="60"/>
      <c r="TWM43" s="60"/>
      <c r="TWN43" s="60"/>
      <c r="TWO43" s="60"/>
      <c r="TWP43" s="60"/>
      <c r="TWQ43" s="60"/>
      <c r="TWR43" s="60"/>
      <c r="TWS43" s="60"/>
      <c r="TWT43" s="60"/>
      <c r="TWU43" s="60"/>
      <c r="TWV43" s="60"/>
      <c r="TWW43" s="60"/>
      <c r="TWX43" s="60"/>
      <c r="TWY43" s="60"/>
      <c r="TWZ43" s="60"/>
      <c r="TXA43" s="60"/>
      <c r="TXB43" s="60"/>
      <c r="TXC43" s="60"/>
      <c r="TXD43" s="60"/>
      <c r="TXE43" s="60"/>
      <c r="TXF43" s="60"/>
      <c r="TXG43" s="60"/>
      <c r="TXH43" s="60"/>
      <c r="TXI43" s="60"/>
      <c r="TXJ43" s="60"/>
      <c r="TXK43" s="60"/>
      <c r="TXL43" s="60"/>
      <c r="TXM43" s="60"/>
      <c r="TXN43" s="60"/>
      <c r="TXO43" s="60"/>
      <c r="TXP43" s="60"/>
      <c r="TXQ43" s="60"/>
      <c r="TXR43" s="60"/>
      <c r="TXS43" s="60"/>
      <c r="TXT43" s="60"/>
      <c r="TXU43" s="60"/>
      <c r="TXV43" s="60"/>
      <c r="TXW43" s="60"/>
      <c r="TXX43" s="60"/>
      <c r="TXY43" s="60"/>
      <c r="TXZ43" s="60"/>
      <c r="TYA43" s="60"/>
      <c r="TYB43" s="60"/>
      <c r="TYC43" s="60"/>
      <c r="TYD43" s="60"/>
      <c r="TYE43" s="60"/>
      <c r="TYF43" s="60"/>
      <c r="TYG43" s="60"/>
      <c r="TYH43" s="60"/>
      <c r="TYI43" s="60"/>
      <c r="TYJ43" s="60"/>
      <c r="TYK43" s="60"/>
      <c r="TYL43" s="60"/>
      <c r="TYM43" s="60"/>
      <c r="TYN43" s="60"/>
      <c r="TYO43" s="60"/>
      <c r="TYP43" s="60"/>
      <c r="TYQ43" s="60"/>
      <c r="TYR43" s="60"/>
      <c r="TYS43" s="60"/>
      <c r="TYT43" s="60"/>
      <c r="TYU43" s="60"/>
      <c r="TYV43" s="60"/>
      <c r="TYW43" s="60"/>
      <c r="TYX43" s="60"/>
      <c r="TYY43" s="60"/>
      <c r="TYZ43" s="60"/>
      <c r="TZA43" s="60"/>
      <c r="TZB43" s="60"/>
      <c r="TZC43" s="60"/>
      <c r="TZD43" s="60"/>
      <c r="TZE43" s="60"/>
      <c r="TZF43" s="60"/>
      <c r="TZG43" s="60"/>
      <c r="TZH43" s="60"/>
      <c r="TZI43" s="60"/>
      <c r="TZJ43" s="60"/>
      <c r="TZK43" s="60"/>
      <c r="TZL43" s="60"/>
      <c r="TZM43" s="60"/>
      <c r="TZN43" s="60"/>
      <c r="TZO43" s="60"/>
      <c r="TZP43" s="60"/>
      <c r="TZQ43" s="60"/>
      <c r="TZR43" s="60"/>
      <c r="TZS43" s="60"/>
      <c r="TZT43" s="60"/>
      <c r="TZU43" s="60"/>
      <c r="TZV43" s="60"/>
      <c r="TZW43" s="60"/>
      <c r="TZX43" s="60"/>
      <c r="TZY43" s="60"/>
      <c r="TZZ43" s="60"/>
      <c r="UAA43" s="60"/>
      <c r="UAB43" s="60"/>
      <c r="UAC43" s="60"/>
      <c r="UAD43" s="60"/>
      <c r="UAE43" s="60"/>
      <c r="UAF43" s="60"/>
      <c r="UAG43" s="60"/>
      <c r="UAH43" s="60"/>
      <c r="UAI43" s="60"/>
      <c r="UAJ43" s="60"/>
      <c r="UAK43" s="60"/>
      <c r="UAL43" s="60"/>
      <c r="UAM43" s="60"/>
      <c r="UAN43" s="60"/>
      <c r="UAO43" s="60"/>
      <c r="UAP43" s="60"/>
      <c r="UAQ43" s="60"/>
      <c r="UAR43" s="60"/>
      <c r="UAS43" s="60"/>
      <c r="UAT43" s="60"/>
      <c r="UAU43" s="60"/>
      <c r="UAV43" s="60"/>
      <c r="UAW43" s="60"/>
      <c r="UAX43" s="60"/>
      <c r="UAY43" s="60"/>
      <c r="UAZ43" s="60"/>
      <c r="UBA43" s="60"/>
      <c r="UBB43" s="60"/>
      <c r="UBC43" s="60"/>
      <c r="UBD43" s="60"/>
      <c r="UBE43" s="60"/>
      <c r="UBF43" s="60"/>
      <c r="UBG43" s="60"/>
      <c r="UBH43" s="60"/>
      <c r="UBI43" s="60"/>
      <c r="UBJ43" s="60"/>
      <c r="UBK43" s="60"/>
      <c r="UBL43" s="60"/>
      <c r="UBM43" s="60"/>
      <c r="UBN43" s="60"/>
      <c r="UBO43" s="60"/>
      <c r="UBP43" s="60"/>
      <c r="UBQ43" s="60"/>
      <c r="UBR43" s="60"/>
      <c r="UBS43" s="60"/>
      <c r="UBT43" s="60"/>
      <c r="UBU43" s="60"/>
      <c r="UBV43" s="60"/>
      <c r="UBW43" s="60"/>
      <c r="UBX43" s="60"/>
      <c r="UBY43" s="60"/>
      <c r="UBZ43" s="60"/>
      <c r="UCA43" s="60"/>
      <c r="UCB43" s="60"/>
      <c r="UCC43" s="60"/>
      <c r="UCD43" s="60"/>
      <c r="UCE43" s="60"/>
      <c r="UCF43" s="60"/>
      <c r="UCG43" s="60"/>
      <c r="UCH43" s="60"/>
      <c r="UCI43" s="60"/>
      <c r="UCJ43" s="60"/>
      <c r="UCK43" s="60"/>
      <c r="UCL43" s="60"/>
      <c r="UCM43" s="60"/>
      <c r="UCN43" s="60"/>
      <c r="UCO43" s="60"/>
      <c r="UCP43" s="60"/>
      <c r="UCQ43" s="60"/>
      <c r="UCR43" s="60"/>
      <c r="UCS43" s="60"/>
      <c r="UCT43" s="60"/>
      <c r="UCU43" s="60"/>
      <c r="UCV43" s="60"/>
      <c r="UCW43" s="60"/>
      <c r="UCX43" s="60"/>
      <c r="UCY43" s="60"/>
      <c r="UCZ43" s="60"/>
      <c r="UDA43" s="60"/>
      <c r="UDB43" s="60"/>
      <c r="UDC43" s="60"/>
      <c r="UDD43" s="60"/>
      <c r="UDE43" s="60"/>
      <c r="UDF43" s="60"/>
      <c r="UDG43" s="60"/>
      <c r="UDH43" s="60"/>
      <c r="UDI43" s="60"/>
      <c r="UDJ43" s="60"/>
      <c r="UDK43" s="60"/>
      <c r="UDL43" s="60"/>
      <c r="UDM43" s="60"/>
      <c r="UDN43" s="60"/>
      <c r="UDO43" s="60"/>
      <c r="UDP43" s="60"/>
      <c r="UDQ43" s="60"/>
      <c r="UDR43" s="60"/>
      <c r="UDS43" s="60"/>
      <c r="UDT43" s="60"/>
      <c r="UDU43" s="60"/>
      <c r="UDV43" s="60"/>
      <c r="UDW43" s="60"/>
      <c r="UDX43" s="60"/>
      <c r="UDY43" s="60"/>
      <c r="UDZ43" s="60"/>
      <c r="UEA43" s="60"/>
      <c r="UEB43" s="60"/>
      <c r="UEC43" s="60"/>
      <c r="UED43" s="60"/>
      <c r="UEE43" s="60"/>
      <c r="UEF43" s="60"/>
      <c r="UEG43" s="60"/>
      <c r="UEH43" s="60"/>
      <c r="UEI43" s="60"/>
      <c r="UEJ43" s="60"/>
      <c r="UEK43" s="60"/>
      <c r="UEL43" s="60"/>
      <c r="UEM43" s="60"/>
      <c r="UEN43" s="60"/>
      <c r="UEO43" s="60"/>
      <c r="UEP43" s="60"/>
      <c r="UEQ43" s="60"/>
      <c r="UER43" s="60"/>
      <c r="UES43" s="60"/>
      <c r="UET43" s="60"/>
      <c r="UEU43" s="60"/>
      <c r="UEV43" s="60"/>
      <c r="UEW43" s="60"/>
      <c r="UEX43" s="60"/>
      <c r="UEY43" s="60"/>
      <c r="UEZ43" s="60"/>
      <c r="UFA43" s="60"/>
      <c r="UFB43" s="60"/>
      <c r="UFC43" s="60"/>
      <c r="UFD43" s="60"/>
      <c r="UFE43" s="60"/>
      <c r="UFF43" s="60"/>
      <c r="UFG43" s="60"/>
      <c r="UFH43" s="60"/>
      <c r="UFI43" s="60"/>
      <c r="UFJ43" s="60"/>
      <c r="UFK43" s="60"/>
      <c r="UFL43" s="60"/>
      <c r="UFM43" s="60"/>
      <c r="UFN43" s="60"/>
      <c r="UFO43" s="60"/>
      <c r="UFP43" s="60"/>
      <c r="UFQ43" s="60"/>
      <c r="UFR43" s="60"/>
      <c r="UFS43" s="60"/>
      <c r="UFT43" s="60"/>
      <c r="UFU43" s="60"/>
      <c r="UFV43" s="60"/>
      <c r="UFW43" s="60"/>
      <c r="UFX43" s="60"/>
      <c r="UFY43" s="60"/>
      <c r="UFZ43" s="60"/>
      <c r="UGA43" s="60"/>
      <c r="UGB43" s="60"/>
      <c r="UGC43" s="60"/>
      <c r="UGD43" s="60"/>
      <c r="UGE43" s="60"/>
      <c r="UGF43" s="60"/>
      <c r="UGG43" s="60"/>
      <c r="UGH43" s="60"/>
      <c r="UGI43" s="60"/>
      <c r="UGJ43" s="60"/>
      <c r="UGK43" s="60"/>
      <c r="UGL43" s="60"/>
      <c r="UGM43" s="60"/>
      <c r="UGN43" s="60"/>
      <c r="UGO43" s="60"/>
      <c r="UGP43" s="60"/>
      <c r="UGQ43" s="60"/>
      <c r="UGR43" s="60"/>
      <c r="UGS43" s="60"/>
      <c r="UGT43" s="60"/>
      <c r="UGU43" s="60"/>
      <c r="UGV43" s="60"/>
      <c r="UGW43" s="60"/>
      <c r="UGX43" s="60"/>
      <c r="UGY43" s="60"/>
      <c r="UGZ43" s="60"/>
      <c r="UHA43" s="60"/>
      <c r="UHB43" s="60"/>
      <c r="UHC43" s="60"/>
      <c r="UHD43" s="60"/>
      <c r="UHE43" s="60"/>
      <c r="UHF43" s="60"/>
      <c r="UHG43" s="60"/>
      <c r="UHH43" s="60"/>
      <c r="UHI43" s="60"/>
      <c r="UHJ43" s="60"/>
      <c r="UHK43" s="60"/>
      <c r="UHL43" s="60"/>
      <c r="UHM43" s="60"/>
      <c r="UHN43" s="60"/>
      <c r="UHO43" s="60"/>
      <c r="UHP43" s="60"/>
      <c r="UHQ43" s="60"/>
      <c r="UHR43" s="60"/>
      <c r="UHS43" s="60"/>
      <c r="UHT43" s="60"/>
      <c r="UHU43" s="60"/>
      <c r="UHV43" s="60"/>
      <c r="UHW43" s="60"/>
      <c r="UHX43" s="60"/>
      <c r="UHY43" s="60"/>
      <c r="UHZ43" s="60"/>
      <c r="UIA43" s="60"/>
      <c r="UIB43" s="60"/>
      <c r="UIC43" s="60"/>
      <c r="UID43" s="60"/>
      <c r="UIE43" s="60"/>
      <c r="UIF43" s="60"/>
      <c r="UIG43" s="60"/>
      <c r="UIH43" s="60"/>
      <c r="UII43" s="60"/>
      <c r="UIJ43" s="60"/>
      <c r="UIK43" s="60"/>
      <c r="UIL43" s="60"/>
      <c r="UIM43" s="60"/>
      <c r="UIN43" s="60"/>
      <c r="UIO43" s="60"/>
      <c r="UIP43" s="60"/>
      <c r="UIQ43" s="60"/>
      <c r="UIR43" s="60"/>
      <c r="UIS43" s="60"/>
      <c r="UIT43" s="60"/>
      <c r="UIU43" s="60"/>
      <c r="UIV43" s="60"/>
      <c r="UIW43" s="60"/>
      <c r="UIX43" s="60"/>
      <c r="UIY43" s="60"/>
      <c r="UIZ43" s="60"/>
      <c r="UJA43" s="60"/>
      <c r="UJB43" s="60"/>
      <c r="UJC43" s="60"/>
      <c r="UJD43" s="60"/>
      <c r="UJE43" s="60"/>
      <c r="UJF43" s="60"/>
      <c r="UJG43" s="60"/>
      <c r="UJH43" s="60"/>
      <c r="UJI43" s="60"/>
      <c r="UJJ43" s="60"/>
      <c r="UJK43" s="60"/>
      <c r="UJL43" s="60"/>
      <c r="UJM43" s="60"/>
      <c r="UJN43" s="60"/>
      <c r="UJO43" s="60"/>
      <c r="UJP43" s="60"/>
      <c r="UJQ43" s="60"/>
      <c r="UJR43" s="60"/>
      <c r="UJS43" s="60"/>
      <c r="UJT43" s="60"/>
      <c r="UJU43" s="60"/>
      <c r="UJV43" s="60"/>
      <c r="UJW43" s="60"/>
      <c r="UJX43" s="60"/>
      <c r="UJY43" s="60"/>
      <c r="UJZ43" s="60"/>
      <c r="UKA43" s="60"/>
      <c r="UKB43" s="60"/>
      <c r="UKC43" s="60"/>
      <c r="UKD43" s="60"/>
      <c r="UKE43" s="60"/>
      <c r="UKF43" s="60"/>
      <c r="UKG43" s="60"/>
      <c r="UKH43" s="60"/>
      <c r="UKI43" s="60"/>
      <c r="UKJ43" s="60"/>
      <c r="UKK43" s="60"/>
      <c r="UKL43" s="60"/>
      <c r="UKM43" s="60"/>
      <c r="UKN43" s="60"/>
      <c r="UKO43" s="60"/>
      <c r="UKP43" s="60"/>
      <c r="UKQ43" s="60"/>
      <c r="UKR43" s="60"/>
      <c r="UKS43" s="60"/>
      <c r="UKT43" s="60"/>
      <c r="UKU43" s="60"/>
      <c r="UKV43" s="60"/>
      <c r="UKW43" s="60"/>
      <c r="UKX43" s="60"/>
      <c r="UKY43" s="60"/>
      <c r="UKZ43" s="60"/>
      <c r="ULA43" s="60"/>
      <c r="ULB43" s="60"/>
      <c r="ULC43" s="60"/>
      <c r="ULD43" s="60"/>
      <c r="ULE43" s="60"/>
      <c r="ULF43" s="60"/>
      <c r="ULG43" s="60"/>
      <c r="ULH43" s="60"/>
      <c r="ULI43" s="60"/>
      <c r="ULJ43" s="60"/>
      <c r="ULK43" s="60"/>
      <c r="ULL43" s="60"/>
      <c r="ULM43" s="60"/>
      <c r="ULN43" s="60"/>
      <c r="ULO43" s="60"/>
      <c r="ULP43" s="60"/>
      <c r="ULQ43" s="60"/>
      <c r="ULR43" s="60"/>
      <c r="ULS43" s="60"/>
      <c r="ULT43" s="60"/>
      <c r="ULU43" s="60"/>
      <c r="ULV43" s="60"/>
      <c r="ULW43" s="60"/>
      <c r="ULX43" s="60"/>
      <c r="ULY43" s="60"/>
      <c r="ULZ43" s="60"/>
      <c r="UMA43" s="60"/>
      <c r="UMB43" s="60"/>
      <c r="UMC43" s="60"/>
      <c r="UMD43" s="60"/>
      <c r="UME43" s="60"/>
      <c r="UMF43" s="60"/>
      <c r="UMG43" s="60"/>
      <c r="UMH43" s="60"/>
      <c r="UMI43" s="60"/>
      <c r="UMJ43" s="60"/>
      <c r="UMK43" s="60"/>
      <c r="UML43" s="60"/>
      <c r="UMM43" s="60"/>
      <c r="UMN43" s="60"/>
      <c r="UMO43" s="60"/>
      <c r="UMP43" s="60"/>
      <c r="UMQ43" s="60"/>
      <c r="UMR43" s="60"/>
      <c r="UMS43" s="60"/>
      <c r="UMT43" s="60"/>
      <c r="UMU43" s="60"/>
      <c r="UMV43" s="60"/>
      <c r="UMW43" s="60"/>
      <c r="UMX43" s="60"/>
      <c r="UMY43" s="60"/>
      <c r="UMZ43" s="60"/>
      <c r="UNA43" s="60"/>
      <c r="UNB43" s="60"/>
      <c r="UNC43" s="60"/>
      <c r="UND43" s="60"/>
      <c r="UNE43" s="60"/>
      <c r="UNF43" s="60"/>
      <c r="UNG43" s="60"/>
      <c r="UNH43" s="60"/>
      <c r="UNI43" s="60"/>
      <c r="UNJ43" s="60"/>
      <c r="UNK43" s="60"/>
      <c r="UNL43" s="60"/>
      <c r="UNM43" s="60"/>
      <c r="UNN43" s="60"/>
      <c r="UNO43" s="60"/>
      <c r="UNP43" s="60"/>
      <c r="UNQ43" s="60"/>
      <c r="UNR43" s="60"/>
      <c r="UNS43" s="60"/>
      <c r="UNT43" s="60"/>
      <c r="UNU43" s="60"/>
      <c r="UNV43" s="60"/>
      <c r="UNW43" s="60"/>
      <c r="UNX43" s="60"/>
      <c r="UNY43" s="60"/>
      <c r="UNZ43" s="60"/>
      <c r="UOA43" s="60"/>
      <c r="UOB43" s="60"/>
      <c r="UOC43" s="60"/>
      <c r="UOD43" s="60"/>
      <c r="UOE43" s="60"/>
      <c r="UOF43" s="60"/>
      <c r="UOG43" s="60"/>
      <c r="UOH43" s="60"/>
      <c r="UOI43" s="60"/>
      <c r="UOJ43" s="60"/>
      <c r="UOK43" s="60"/>
      <c r="UOL43" s="60"/>
      <c r="UOM43" s="60"/>
      <c r="UON43" s="60"/>
      <c r="UOO43" s="60"/>
      <c r="UOP43" s="60"/>
      <c r="UOQ43" s="60"/>
      <c r="UOR43" s="60"/>
      <c r="UOS43" s="60"/>
      <c r="UOT43" s="60"/>
      <c r="UOU43" s="60"/>
      <c r="UOV43" s="60"/>
      <c r="UOW43" s="60"/>
      <c r="UOX43" s="60"/>
      <c r="UOY43" s="60"/>
      <c r="UOZ43" s="60"/>
      <c r="UPA43" s="60"/>
      <c r="UPB43" s="60"/>
      <c r="UPC43" s="60"/>
      <c r="UPD43" s="60"/>
      <c r="UPE43" s="60"/>
      <c r="UPF43" s="60"/>
      <c r="UPG43" s="60"/>
      <c r="UPH43" s="60"/>
      <c r="UPI43" s="60"/>
      <c r="UPJ43" s="60"/>
      <c r="UPK43" s="60"/>
      <c r="UPL43" s="60"/>
      <c r="UPM43" s="60"/>
      <c r="UPN43" s="60"/>
      <c r="UPO43" s="60"/>
      <c r="UPP43" s="60"/>
      <c r="UPQ43" s="60"/>
      <c r="UPR43" s="60"/>
      <c r="UPS43" s="60"/>
      <c r="UPT43" s="60"/>
      <c r="UPU43" s="60"/>
      <c r="UPV43" s="60"/>
      <c r="UPW43" s="60"/>
      <c r="UPX43" s="60"/>
      <c r="UPY43" s="60"/>
      <c r="UPZ43" s="60"/>
      <c r="UQA43" s="60"/>
      <c r="UQB43" s="60"/>
      <c r="UQC43" s="60"/>
      <c r="UQD43" s="60"/>
      <c r="UQE43" s="60"/>
      <c r="UQF43" s="60"/>
      <c r="UQG43" s="60"/>
      <c r="UQH43" s="60"/>
      <c r="UQI43" s="60"/>
      <c r="UQJ43" s="60"/>
      <c r="UQK43" s="60"/>
      <c r="UQL43" s="60"/>
      <c r="UQM43" s="60"/>
      <c r="UQN43" s="60"/>
      <c r="UQO43" s="60"/>
      <c r="UQP43" s="60"/>
      <c r="UQQ43" s="60"/>
      <c r="UQR43" s="60"/>
      <c r="UQS43" s="60"/>
      <c r="UQT43" s="60"/>
      <c r="UQU43" s="60"/>
      <c r="UQV43" s="60"/>
      <c r="UQW43" s="60"/>
      <c r="UQX43" s="60"/>
      <c r="UQY43" s="60"/>
      <c r="UQZ43" s="60"/>
      <c r="URA43" s="60"/>
      <c r="URB43" s="60"/>
      <c r="URC43" s="60"/>
      <c r="URD43" s="60"/>
      <c r="URE43" s="60"/>
      <c r="URF43" s="60"/>
      <c r="URG43" s="60"/>
      <c r="URH43" s="60"/>
      <c r="URI43" s="60"/>
      <c r="URJ43" s="60"/>
      <c r="URK43" s="60"/>
      <c r="URL43" s="60"/>
      <c r="URM43" s="60"/>
      <c r="URN43" s="60"/>
      <c r="URO43" s="60"/>
      <c r="URP43" s="60"/>
      <c r="URQ43" s="60"/>
      <c r="URR43" s="60"/>
      <c r="URS43" s="60"/>
      <c r="URT43" s="60"/>
      <c r="URU43" s="60"/>
      <c r="URV43" s="60"/>
      <c r="URW43" s="60"/>
      <c r="URX43" s="60"/>
      <c r="URY43" s="60"/>
      <c r="URZ43" s="60"/>
      <c r="USA43" s="60"/>
      <c r="USB43" s="60"/>
      <c r="USC43" s="60"/>
      <c r="USD43" s="60"/>
      <c r="USE43" s="60"/>
      <c r="USF43" s="60"/>
      <c r="USG43" s="60"/>
      <c r="USH43" s="60"/>
      <c r="USI43" s="60"/>
      <c r="USJ43" s="60"/>
      <c r="USK43" s="60"/>
      <c r="USL43" s="60"/>
      <c r="USM43" s="60"/>
      <c r="USN43" s="60"/>
      <c r="USO43" s="60"/>
      <c r="USP43" s="60"/>
      <c r="USQ43" s="60"/>
      <c r="USR43" s="60"/>
      <c r="USS43" s="60"/>
      <c r="UST43" s="60"/>
      <c r="USU43" s="60"/>
      <c r="USV43" s="60"/>
      <c r="USW43" s="60"/>
      <c r="USX43" s="60"/>
      <c r="USY43" s="60"/>
      <c r="USZ43" s="60"/>
      <c r="UTA43" s="60"/>
      <c r="UTB43" s="60"/>
      <c r="UTC43" s="60"/>
      <c r="UTD43" s="60"/>
      <c r="UTE43" s="60"/>
      <c r="UTF43" s="60"/>
      <c r="UTG43" s="60"/>
      <c r="UTH43" s="60"/>
      <c r="UTI43" s="60"/>
      <c r="UTJ43" s="60"/>
      <c r="UTK43" s="60"/>
      <c r="UTL43" s="60"/>
      <c r="UTM43" s="60"/>
      <c r="UTN43" s="60"/>
      <c r="UTO43" s="60"/>
      <c r="UTP43" s="60"/>
      <c r="UTQ43" s="60"/>
      <c r="UTR43" s="60"/>
      <c r="UTS43" s="60"/>
      <c r="UTT43" s="60"/>
      <c r="UTU43" s="60"/>
      <c r="UTV43" s="60"/>
      <c r="UTW43" s="60"/>
      <c r="UTX43" s="60"/>
      <c r="UTY43" s="60"/>
      <c r="UTZ43" s="60"/>
      <c r="UUA43" s="60"/>
      <c r="UUB43" s="60"/>
      <c r="UUC43" s="60"/>
      <c r="UUD43" s="60"/>
      <c r="UUE43" s="60"/>
      <c r="UUF43" s="60"/>
      <c r="UUG43" s="60"/>
      <c r="UUH43" s="60"/>
      <c r="UUI43" s="60"/>
      <c r="UUJ43" s="60"/>
      <c r="UUK43" s="60"/>
      <c r="UUL43" s="60"/>
      <c r="UUM43" s="60"/>
      <c r="UUN43" s="60"/>
      <c r="UUO43" s="60"/>
      <c r="UUP43" s="60"/>
      <c r="UUQ43" s="60"/>
      <c r="UUR43" s="60"/>
      <c r="UUS43" s="60"/>
      <c r="UUT43" s="60"/>
      <c r="UUU43" s="60"/>
      <c r="UUV43" s="60"/>
      <c r="UUW43" s="60"/>
      <c r="UUX43" s="60"/>
      <c r="UUY43" s="60"/>
      <c r="UUZ43" s="60"/>
      <c r="UVA43" s="60"/>
      <c r="UVB43" s="60"/>
      <c r="UVC43" s="60"/>
      <c r="UVD43" s="60"/>
      <c r="UVE43" s="60"/>
      <c r="UVF43" s="60"/>
      <c r="UVG43" s="60"/>
      <c r="UVH43" s="60"/>
      <c r="UVI43" s="60"/>
      <c r="UVJ43" s="60"/>
      <c r="UVK43" s="60"/>
      <c r="UVL43" s="60"/>
      <c r="UVM43" s="60"/>
      <c r="UVN43" s="60"/>
      <c r="UVO43" s="60"/>
      <c r="UVP43" s="60"/>
      <c r="UVQ43" s="60"/>
      <c r="UVR43" s="60"/>
      <c r="UVS43" s="60"/>
      <c r="UVT43" s="60"/>
      <c r="UVU43" s="60"/>
      <c r="UVV43" s="60"/>
      <c r="UVW43" s="60"/>
      <c r="UVX43" s="60"/>
      <c r="UVY43" s="60"/>
      <c r="UVZ43" s="60"/>
      <c r="UWA43" s="60"/>
      <c r="UWB43" s="60"/>
      <c r="UWC43" s="60"/>
      <c r="UWD43" s="60"/>
      <c r="UWE43" s="60"/>
      <c r="UWF43" s="60"/>
      <c r="UWG43" s="60"/>
      <c r="UWH43" s="60"/>
      <c r="UWI43" s="60"/>
      <c r="UWJ43" s="60"/>
      <c r="UWK43" s="60"/>
      <c r="UWL43" s="60"/>
      <c r="UWM43" s="60"/>
      <c r="UWN43" s="60"/>
      <c r="UWO43" s="60"/>
      <c r="UWP43" s="60"/>
      <c r="UWQ43" s="60"/>
      <c r="UWR43" s="60"/>
      <c r="UWS43" s="60"/>
      <c r="UWT43" s="60"/>
      <c r="UWU43" s="60"/>
      <c r="UWV43" s="60"/>
      <c r="UWW43" s="60"/>
      <c r="UWX43" s="60"/>
      <c r="UWY43" s="60"/>
      <c r="UWZ43" s="60"/>
      <c r="UXA43" s="60"/>
      <c r="UXB43" s="60"/>
      <c r="UXC43" s="60"/>
      <c r="UXD43" s="60"/>
      <c r="UXE43" s="60"/>
      <c r="UXF43" s="60"/>
      <c r="UXG43" s="60"/>
      <c r="UXH43" s="60"/>
      <c r="UXI43" s="60"/>
      <c r="UXJ43" s="60"/>
      <c r="UXK43" s="60"/>
      <c r="UXL43" s="60"/>
      <c r="UXM43" s="60"/>
      <c r="UXN43" s="60"/>
      <c r="UXO43" s="60"/>
      <c r="UXP43" s="60"/>
      <c r="UXQ43" s="60"/>
      <c r="UXR43" s="60"/>
      <c r="UXS43" s="60"/>
      <c r="UXT43" s="60"/>
      <c r="UXU43" s="60"/>
      <c r="UXV43" s="60"/>
      <c r="UXW43" s="60"/>
      <c r="UXX43" s="60"/>
      <c r="UXY43" s="60"/>
      <c r="UXZ43" s="60"/>
      <c r="UYA43" s="60"/>
      <c r="UYB43" s="60"/>
      <c r="UYC43" s="60"/>
      <c r="UYD43" s="60"/>
      <c r="UYE43" s="60"/>
      <c r="UYF43" s="60"/>
      <c r="UYG43" s="60"/>
      <c r="UYH43" s="60"/>
      <c r="UYI43" s="60"/>
      <c r="UYJ43" s="60"/>
      <c r="UYK43" s="60"/>
      <c r="UYL43" s="60"/>
      <c r="UYM43" s="60"/>
      <c r="UYN43" s="60"/>
      <c r="UYO43" s="60"/>
      <c r="UYP43" s="60"/>
      <c r="UYQ43" s="60"/>
      <c r="UYR43" s="60"/>
      <c r="UYS43" s="60"/>
      <c r="UYT43" s="60"/>
      <c r="UYU43" s="60"/>
      <c r="UYV43" s="60"/>
      <c r="UYW43" s="60"/>
      <c r="UYX43" s="60"/>
      <c r="UYY43" s="60"/>
      <c r="UYZ43" s="60"/>
      <c r="UZA43" s="60"/>
      <c r="UZB43" s="60"/>
      <c r="UZC43" s="60"/>
      <c r="UZD43" s="60"/>
      <c r="UZE43" s="60"/>
      <c r="UZF43" s="60"/>
      <c r="UZG43" s="60"/>
      <c r="UZH43" s="60"/>
      <c r="UZI43" s="60"/>
      <c r="UZJ43" s="60"/>
      <c r="UZK43" s="60"/>
      <c r="UZL43" s="60"/>
      <c r="UZM43" s="60"/>
      <c r="UZN43" s="60"/>
      <c r="UZO43" s="60"/>
      <c r="UZP43" s="60"/>
      <c r="UZQ43" s="60"/>
      <c r="UZR43" s="60"/>
      <c r="UZS43" s="60"/>
      <c r="UZT43" s="60"/>
      <c r="UZU43" s="60"/>
      <c r="UZV43" s="60"/>
      <c r="UZW43" s="60"/>
      <c r="UZX43" s="60"/>
      <c r="UZY43" s="60"/>
      <c r="UZZ43" s="60"/>
      <c r="VAA43" s="60"/>
      <c r="VAB43" s="60"/>
      <c r="VAC43" s="60"/>
      <c r="VAD43" s="60"/>
      <c r="VAE43" s="60"/>
      <c r="VAF43" s="60"/>
      <c r="VAG43" s="60"/>
      <c r="VAH43" s="60"/>
      <c r="VAI43" s="60"/>
      <c r="VAJ43" s="60"/>
      <c r="VAK43" s="60"/>
      <c r="VAL43" s="60"/>
      <c r="VAM43" s="60"/>
      <c r="VAN43" s="60"/>
      <c r="VAO43" s="60"/>
      <c r="VAP43" s="60"/>
      <c r="VAQ43" s="60"/>
      <c r="VAR43" s="60"/>
      <c r="VAS43" s="60"/>
      <c r="VAT43" s="60"/>
      <c r="VAU43" s="60"/>
      <c r="VAV43" s="60"/>
      <c r="VAW43" s="60"/>
      <c r="VAX43" s="60"/>
      <c r="VAY43" s="60"/>
      <c r="VAZ43" s="60"/>
      <c r="VBA43" s="60"/>
      <c r="VBB43" s="60"/>
      <c r="VBC43" s="60"/>
      <c r="VBD43" s="60"/>
      <c r="VBE43" s="60"/>
      <c r="VBF43" s="60"/>
      <c r="VBG43" s="60"/>
      <c r="VBH43" s="60"/>
      <c r="VBI43" s="60"/>
      <c r="VBJ43" s="60"/>
      <c r="VBK43" s="60"/>
      <c r="VBL43" s="60"/>
      <c r="VBM43" s="60"/>
      <c r="VBN43" s="60"/>
      <c r="VBO43" s="60"/>
      <c r="VBP43" s="60"/>
      <c r="VBQ43" s="60"/>
      <c r="VBR43" s="60"/>
      <c r="VBS43" s="60"/>
      <c r="VBT43" s="60"/>
      <c r="VBU43" s="60"/>
      <c r="VBV43" s="60"/>
      <c r="VBW43" s="60"/>
      <c r="VBX43" s="60"/>
      <c r="VBY43" s="60"/>
      <c r="VBZ43" s="60"/>
      <c r="VCA43" s="60"/>
      <c r="VCB43" s="60"/>
      <c r="VCC43" s="60"/>
      <c r="VCD43" s="60"/>
      <c r="VCE43" s="60"/>
      <c r="VCF43" s="60"/>
      <c r="VCG43" s="60"/>
      <c r="VCH43" s="60"/>
      <c r="VCI43" s="60"/>
      <c r="VCJ43" s="60"/>
      <c r="VCK43" s="60"/>
      <c r="VCL43" s="60"/>
      <c r="VCM43" s="60"/>
      <c r="VCN43" s="60"/>
      <c r="VCO43" s="60"/>
      <c r="VCP43" s="60"/>
      <c r="VCQ43" s="60"/>
      <c r="VCR43" s="60"/>
      <c r="VCS43" s="60"/>
      <c r="VCT43" s="60"/>
      <c r="VCU43" s="60"/>
      <c r="VCV43" s="60"/>
      <c r="VCW43" s="60"/>
      <c r="VCX43" s="60"/>
      <c r="VCY43" s="60"/>
      <c r="VCZ43" s="60"/>
      <c r="VDA43" s="60"/>
      <c r="VDB43" s="60"/>
      <c r="VDC43" s="60"/>
      <c r="VDD43" s="60"/>
      <c r="VDE43" s="60"/>
      <c r="VDF43" s="60"/>
      <c r="VDG43" s="60"/>
      <c r="VDH43" s="60"/>
      <c r="VDI43" s="60"/>
      <c r="VDJ43" s="60"/>
      <c r="VDK43" s="60"/>
      <c r="VDL43" s="60"/>
      <c r="VDM43" s="60"/>
      <c r="VDN43" s="60"/>
      <c r="VDO43" s="60"/>
      <c r="VDP43" s="60"/>
      <c r="VDQ43" s="60"/>
      <c r="VDR43" s="60"/>
      <c r="VDS43" s="60"/>
      <c r="VDT43" s="60"/>
      <c r="VDU43" s="60"/>
      <c r="VDV43" s="60"/>
      <c r="VDW43" s="60"/>
      <c r="VDX43" s="60"/>
      <c r="VDY43" s="60"/>
      <c r="VDZ43" s="60"/>
      <c r="VEA43" s="60"/>
      <c r="VEB43" s="60"/>
      <c r="VEC43" s="60"/>
      <c r="VED43" s="60"/>
      <c r="VEE43" s="60"/>
      <c r="VEF43" s="60"/>
      <c r="VEG43" s="60"/>
      <c r="VEH43" s="60"/>
      <c r="VEI43" s="60"/>
      <c r="VEJ43" s="60"/>
      <c r="VEK43" s="60"/>
      <c r="VEL43" s="60"/>
      <c r="VEM43" s="60"/>
      <c r="VEN43" s="60"/>
      <c r="VEO43" s="60"/>
      <c r="VEP43" s="60"/>
      <c r="VEQ43" s="60"/>
      <c r="VER43" s="60"/>
      <c r="VES43" s="60"/>
      <c r="VET43" s="60"/>
      <c r="VEU43" s="60"/>
      <c r="VEV43" s="60"/>
      <c r="VEW43" s="60"/>
      <c r="VEX43" s="60"/>
      <c r="VEY43" s="60"/>
      <c r="VEZ43" s="60"/>
      <c r="VFA43" s="60"/>
      <c r="VFB43" s="60"/>
      <c r="VFC43" s="60"/>
      <c r="VFD43" s="60"/>
      <c r="VFE43" s="60"/>
      <c r="VFF43" s="60"/>
      <c r="VFG43" s="60"/>
      <c r="VFH43" s="60"/>
      <c r="VFI43" s="60"/>
      <c r="VFJ43" s="60"/>
      <c r="VFK43" s="60"/>
      <c r="VFL43" s="60"/>
      <c r="VFM43" s="60"/>
      <c r="VFN43" s="60"/>
      <c r="VFO43" s="60"/>
      <c r="VFP43" s="60"/>
      <c r="VFQ43" s="60"/>
      <c r="VFR43" s="60"/>
      <c r="VFS43" s="60"/>
      <c r="VFT43" s="60"/>
      <c r="VFU43" s="60"/>
      <c r="VFV43" s="60"/>
      <c r="VFW43" s="60"/>
      <c r="VFX43" s="60"/>
      <c r="VFY43" s="60"/>
      <c r="VFZ43" s="60"/>
      <c r="VGA43" s="60"/>
      <c r="VGB43" s="60"/>
      <c r="VGC43" s="60"/>
      <c r="VGD43" s="60"/>
      <c r="VGE43" s="60"/>
      <c r="VGF43" s="60"/>
      <c r="VGG43" s="60"/>
      <c r="VGH43" s="60"/>
      <c r="VGI43" s="60"/>
      <c r="VGJ43" s="60"/>
      <c r="VGK43" s="60"/>
      <c r="VGL43" s="60"/>
      <c r="VGM43" s="60"/>
      <c r="VGN43" s="60"/>
      <c r="VGO43" s="60"/>
      <c r="VGP43" s="60"/>
      <c r="VGQ43" s="60"/>
      <c r="VGR43" s="60"/>
      <c r="VGS43" s="60"/>
      <c r="VGT43" s="60"/>
      <c r="VGU43" s="60"/>
      <c r="VGV43" s="60"/>
      <c r="VGW43" s="60"/>
      <c r="VGX43" s="60"/>
      <c r="VGY43" s="60"/>
      <c r="VGZ43" s="60"/>
      <c r="VHA43" s="60"/>
      <c r="VHB43" s="60"/>
      <c r="VHC43" s="60"/>
      <c r="VHD43" s="60"/>
      <c r="VHE43" s="60"/>
      <c r="VHF43" s="60"/>
      <c r="VHG43" s="60"/>
      <c r="VHH43" s="60"/>
      <c r="VHI43" s="60"/>
      <c r="VHJ43" s="60"/>
      <c r="VHK43" s="60"/>
      <c r="VHL43" s="60"/>
      <c r="VHM43" s="60"/>
      <c r="VHN43" s="60"/>
      <c r="VHO43" s="60"/>
      <c r="VHP43" s="60"/>
      <c r="VHQ43" s="60"/>
      <c r="VHR43" s="60"/>
      <c r="VHS43" s="60"/>
      <c r="VHT43" s="60"/>
      <c r="VHU43" s="60"/>
      <c r="VHV43" s="60"/>
      <c r="VHW43" s="60"/>
      <c r="VHX43" s="60"/>
      <c r="VHY43" s="60"/>
      <c r="VHZ43" s="60"/>
      <c r="VIA43" s="60"/>
      <c r="VIB43" s="60"/>
      <c r="VIC43" s="60"/>
      <c r="VID43" s="60"/>
      <c r="VIE43" s="60"/>
      <c r="VIF43" s="60"/>
      <c r="VIG43" s="60"/>
      <c r="VIH43" s="60"/>
      <c r="VII43" s="60"/>
      <c r="VIJ43" s="60"/>
      <c r="VIK43" s="60"/>
      <c r="VIL43" s="60"/>
      <c r="VIM43" s="60"/>
      <c r="VIN43" s="60"/>
      <c r="VIO43" s="60"/>
      <c r="VIP43" s="60"/>
      <c r="VIQ43" s="60"/>
      <c r="VIR43" s="60"/>
      <c r="VIS43" s="60"/>
      <c r="VIT43" s="60"/>
      <c r="VIU43" s="60"/>
      <c r="VIV43" s="60"/>
      <c r="VIW43" s="60"/>
      <c r="VIX43" s="60"/>
      <c r="VIY43" s="60"/>
      <c r="VIZ43" s="60"/>
      <c r="VJA43" s="60"/>
      <c r="VJB43" s="60"/>
      <c r="VJC43" s="60"/>
      <c r="VJD43" s="60"/>
      <c r="VJE43" s="60"/>
      <c r="VJF43" s="60"/>
      <c r="VJG43" s="60"/>
      <c r="VJH43" s="60"/>
      <c r="VJI43" s="60"/>
      <c r="VJJ43" s="60"/>
      <c r="VJK43" s="60"/>
      <c r="VJL43" s="60"/>
      <c r="VJM43" s="60"/>
      <c r="VJN43" s="60"/>
      <c r="VJO43" s="60"/>
      <c r="VJP43" s="60"/>
      <c r="VJQ43" s="60"/>
      <c r="VJR43" s="60"/>
      <c r="VJS43" s="60"/>
      <c r="VJT43" s="60"/>
      <c r="VJU43" s="60"/>
      <c r="VJV43" s="60"/>
      <c r="VJW43" s="60"/>
      <c r="VJX43" s="60"/>
      <c r="VJY43" s="60"/>
      <c r="VJZ43" s="60"/>
      <c r="VKA43" s="60"/>
      <c r="VKB43" s="60"/>
      <c r="VKC43" s="60"/>
      <c r="VKD43" s="60"/>
      <c r="VKE43" s="60"/>
      <c r="VKF43" s="60"/>
      <c r="VKG43" s="60"/>
      <c r="VKH43" s="60"/>
      <c r="VKI43" s="60"/>
      <c r="VKJ43" s="60"/>
      <c r="VKK43" s="60"/>
      <c r="VKL43" s="60"/>
      <c r="VKM43" s="60"/>
      <c r="VKN43" s="60"/>
      <c r="VKO43" s="60"/>
      <c r="VKP43" s="60"/>
      <c r="VKQ43" s="60"/>
      <c r="VKR43" s="60"/>
      <c r="VKS43" s="60"/>
      <c r="VKT43" s="60"/>
      <c r="VKU43" s="60"/>
      <c r="VKV43" s="60"/>
      <c r="VKW43" s="60"/>
      <c r="VKX43" s="60"/>
      <c r="VKY43" s="60"/>
      <c r="VKZ43" s="60"/>
      <c r="VLA43" s="60"/>
      <c r="VLB43" s="60"/>
      <c r="VLC43" s="60"/>
      <c r="VLD43" s="60"/>
      <c r="VLE43" s="60"/>
      <c r="VLF43" s="60"/>
      <c r="VLG43" s="60"/>
      <c r="VLH43" s="60"/>
      <c r="VLI43" s="60"/>
      <c r="VLJ43" s="60"/>
      <c r="VLK43" s="60"/>
      <c r="VLL43" s="60"/>
      <c r="VLM43" s="60"/>
      <c r="VLN43" s="60"/>
      <c r="VLO43" s="60"/>
      <c r="VLP43" s="60"/>
      <c r="VLQ43" s="60"/>
      <c r="VLR43" s="60"/>
      <c r="VLS43" s="60"/>
      <c r="VLT43" s="60"/>
      <c r="VLU43" s="60"/>
      <c r="VLV43" s="60"/>
      <c r="VLW43" s="60"/>
      <c r="VLX43" s="60"/>
      <c r="VLY43" s="60"/>
      <c r="VLZ43" s="60"/>
      <c r="VMA43" s="60"/>
      <c r="VMB43" s="60"/>
      <c r="VMC43" s="60"/>
      <c r="VMD43" s="60"/>
      <c r="VME43" s="60"/>
      <c r="VMF43" s="60"/>
      <c r="VMG43" s="60"/>
      <c r="VMH43" s="60"/>
      <c r="VMI43" s="60"/>
      <c r="VMJ43" s="60"/>
      <c r="VMK43" s="60"/>
      <c r="VML43" s="60"/>
      <c r="VMM43" s="60"/>
      <c r="VMN43" s="60"/>
      <c r="VMO43" s="60"/>
      <c r="VMP43" s="60"/>
      <c r="VMQ43" s="60"/>
      <c r="VMR43" s="60"/>
      <c r="VMS43" s="60"/>
      <c r="VMT43" s="60"/>
      <c r="VMU43" s="60"/>
      <c r="VMV43" s="60"/>
      <c r="VMW43" s="60"/>
      <c r="VMX43" s="60"/>
      <c r="VMY43" s="60"/>
      <c r="VMZ43" s="60"/>
      <c r="VNA43" s="60"/>
      <c r="VNB43" s="60"/>
      <c r="VNC43" s="60"/>
      <c r="VND43" s="60"/>
      <c r="VNE43" s="60"/>
      <c r="VNF43" s="60"/>
      <c r="VNG43" s="60"/>
      <c r="VNH43" s="60"/>
      <c r="VNI43" s="60"/>
      <c r="VNJ43" s="60"/>
      <c r="VNK43" s="60"/>
      <c r="VNL43" s="60"/>
      <c r="VNM43" s="60"/>
      <c r="VNN43" s="60"/>
      <c r="VNO43" s="60"/>
      <c r="VNP43" s="60"/>
      <c r="VNQ43" s="60"/>
      <c r="VNR43" s="60"/>
      <c r="VNS43" s="60"/>
      <c r="VNT43" s="60"/>
      <c r="VNU43" s="60"/>
      <c r="VNV43" s="60"/>
      <c r="VNW43" s="60"/>
      <c r="VNX43" s="60"/>
      <c r="VNY43" s="60"/>
      <c r="VNZ43" s="60"/>
      <c r="VOA43" s="60"/>
      <c r="VOB43" s="60"/>
      <c r="VOC43" s="60"/>
      <c r="VOD43" s="60"/>
      <c r="VOE43" s="60"/>
      <c r="VOF43" s="60"/>
      <c r="VOG43" s="60"/>
      <c r="VOH43" s="60"/>
      <c r="VOI43" s="60"/>
      <c r="VOJ43" s="60"/>
      <c r="VOK43" s="60"/>
      <c r="VOL43" s="60"/>
      <c r="VOM43" s="60"/>
      <c r="VON43" s="60"/>
      <c r="VOO43" s="60"/>
      <c r="VOP43" s="60"/>
      <c r="VOQ43" s="60"/>
      <c r="VOR43" s="60"/>
      <c r="VOS43" s="60"/>
      <c r="VOT43" s="60"/>
      <c r="VOU43" s="60"/>
      <c r="VOV43" s="60"/>
      <c r="VOW43" s="60"/>
      <c r="VOX43" s="60"/>
      <c r="VOY43" s="60"/>
      <c r="VOZ43" s="60"/>
      <c r="VPA43" s="60"/>
      <c r="VPB43" s="60"/>
      <c r="VPC43" s="60"/>
      <c r="VPD43" s="60"/>
      <c r="VPE43" s="60"/>
      <c r="VPF43" s="60"/>
      <c r="VPG43" s="60"/>
      <c r="VPH43" s="60"/>
      <c r="VPI43" s="60"/>
      <c r="VPJ43" s="60"/>
      <c r="VPK43" s="60"/>
      <c r="VPL43" s="60"/>
      <c r="VPM43" s="60"/>
      <c r="VPN43" s="60"/>
      <c r="VPO43" s="60"/>
      <c r="VPP43" s="60"/>
      <c r="VPQ43" s="60"/>
      <c r="VPR43" s="60"/>
      <c r="VPS43" s="60"/>
      <c r="VPT43" s="60"/>
      <c r="VPU43" s="60"/>
      <c r="VPV43" s="60"/>
      <c r="VPW43" s="60"/>
      <c r="VPX43" s="60"/>
      <c r="VPY43" s="60"/>
      <c r="VPZ43" s="60"/>
      <c r="VQA43" s="60"/>
      <c r="VQB43" s="60"/>
      <c r="VQC43" s="60"/>
      <c r="VQD43" s="60"/>
      <c r="VQE43" s="60"/>
      <c r="VQF43" s="60"/>
      <c r="VQG43" s="60"/>
      <c r="VQH43" s="60"/>
      <c r="VQI43" s="60"/>
      <c r="VQJ43" s="60"/>
      <c r="VQK43" s="60"/>
      <c r="VQL43" s="60"/>
      <c r="VQM43" s="60"/>
      <c r="VQN43" s="60"/>
      <c r="VQO43" s="60"/>
      <c r="VQP43" s="60"/>
      <c r="VQQ43" s="60"/>
      <c r="VQR43" s="60"/>
      <c r="VQS43" s="60"/>
      <c r="VQT43" s="60"/>
      <c r="VQU43" s="60"/>
      <c r="VQV43" s="60"/>
      <c r="VQW43" s="60"/>
      <c r="VQX43" s="60"/>
      <c r="VQY43" s="60"/>
      <c r="VQZ43" s="60"/>
      <c r="VRA43" s="60"/>
      <c r="VRB43" s="60"/>
      <c r="VRC43" s="60"/>
      <c r="VRD43" s="60"/>
      <c r="VRE43" s="60"/>
      <c r="VRF43" s="60"/>
      <c r="VRG43" s="60"/>
      <c r="VRH43" s="60"/>
      <c r="VRI43" s="60"/>
      <c r="VRJ43" s="60"/>
      <c r="VRK43" s="60"/>
      <c r="VRL43" s="60"/>
      <c r="VRM43" s="60"/>
      <c r="VRN43" s="60"/>
      <c r="VRO43" s="60"/>
      <c r="VRP43" s="60"/>
      <c r="VRQ43" s="60"/>
      <c r="VRR43" s="60"/>
      <c r="VRS43" s="60"/>
      <c r="VRT43" s="60"/>
      <c r="VRU43" s="60"/>
      <c r="VRV43" s="60"/>
      <c r="VRW43" s="60"/>
      <c r="VRX43" s="60"/>
      <c r="VRY43" s="60"/>
      <c r="VRZ43" s="60"/>
      <c r="VSA43" s="60"/>
      <c r="VSB43" s="60"/>
      <c r="VSC43" s="60"/>
      <c r="VSD43" s="60"/>
      <c r="VSE43" s="60"/>
      <c r="VSF43" s="60"/>
      <c r="VSG43" s="60"/>
      <c r="VSH43" s="60"/>
      <c r="VSI43" s="60"/>
      <c r="VSJ43" s="60"/>
      <c r="VSK43" s="60"/>
      <c r="VSL43" s="60"/>
      <c r="VSM43" s="60"/>
      <c r="VSN43" s="60"/>
      <c r="VSO43" s="60"/>
      <c r="VSP43" s="60"/>
      <c r="VSQ43" s="60"/>
      <c r="VSR43" s="60"/>
      <c r="VSS43" s="60"/>
      <c r="VST43" s="60"/>
      <c r="VSU43" s="60"/>
      <c r="VSV43" s="60"/>
      <c r="VSW43" s="60"/>
      <c r="VSX43" s="60"/>
      <c r="VSY43" s="60"/>
      <c r="VSZ43" s="60"/>
      <c r="VTA43" s="60"/>
      <c r="VTB43" s="60"/>
      <c r="VTC43" s="60"/>
      <c r="VTD43" s="60"/>
      <c r="VTE43" s="60"/>
      <c r="VTF43" s="60"/>
      <c r="VTG43" s="60"/>
      <c r="VTH43" s="60"/>
      <c r="VTI43" s="60"/>
      <c r="VTJ43" s="60"/>
      <c r="VTK43" s="60"/>
      <c r="VTL43" s="60"/>
      <c r="VTM43" s="60"/>
      <c r="VTN43" s="60"/>
      <c r="VTO43" s="60"/>
      <c r="VTP43" s="60"/>
      <c r="VTQ43" s="60"/>
      <c r="VTR43" s="60"/>
      <c r="VTS43" s="60"/>
      <c r="VTT43" s="60"/>
      <c r="VTU43" s="60"/>
      <c r="VTV43" s="60"/>
      <c r="VTW43" s="60"/>
      <c r="VTX43" s="60"/>
      <c r="VTY43" s="60"/>
      <c r="VTZ43" s="60"/>
      <c r="VUA43" s="60"/>
      <c r="VUB43" s="60"/>
      <c r="VUC43" s="60"/>
      <c r="VUD43" s="60"/>
      <c r="VUE43" s="60"/>
      <c r="VUF43" s="60"/>
      <c r="VUG43" s="60"/>
      <c r="VUH43" s="60"/>
      <c r="VUI43" s="60"/>
      <c r="VUJ43" s="60"/>
      <c r="VUK43" s="60"/>
      <c r="VUL43" s="60"/>
      <c r="VUM43" s="60"/>
      <c r="VUN43" s="60"/>
      <c r="VUO43" s="60"/>
      <c r="VUP43" s="60"/>
      <c r="VUQ43" s="60"/>
      <c r="VUR43" s="60"/>
      <c r="VUS43" s="60"/>
      <c r="VUT43" s="60"/>
      <c r="VUU43" s="60"/>
      <c r="VUV43" s="60"/>
      <c r="VUW43" s="60"/>
      <c r="VUX43" s="60"/>
      <c r="VUY43" s="60"/>
      <c r="VUZ43" s="60"/>
      <c r="VVA43" s="60"/>
      <c r="VVB43" s="60"/>
      <c r="VVC43" s="60"/>
      <c r="VVD43" s="60"/>
      <c r="VVE43" s="60"/>
      <c r="VVF43" s="60"/>
      <c r="VVG43" s="60"/>
      <c r="VVH43" s="60"/>
      <c r="VVI43" s="60"/>
      <c r="VVJ43" s="60"/>
      <c r="VVK43" s="60"/>
      <c r="VVL43" s="60"/>
      <c r="VVM43" s="60"/>
      <c r="VVN43" s="60"/>
      <c r="VVO43" s="60"/>
      <c r="VVP43" s="60"/>
      <c r="VVQ43" s="60"/>
      <c r="VVR43" s="60"/>
      <c r="VVS43" s="60"/>
      <c r="VVT43" s="60"/>
      <c r="VVU43" s="60"/>
      <c r="VVV43" s="60"/>
      <c r="VVW43" s="60"/>
      <c r="VVX43" s="60"/>
      <c r="VVY43" s="60"/>
      <c r="VVZ43" s="60"/>
      <c r="VWA43" s="60"/>
      <c r="VWB43" s="60"/>
      <c r="VWC43" s="60"/>
      <c r="VWD43" s="60"/>
      <c r="VWE43" s="60"/>
      <c r="VWF43" s="60"/>
      <c r="VWG43" s="60"/>
      <c r="VWH43" s="60"/>
      <c r="VWI43" s="60"/>
      <c r="VWJ43" s="60"/>
      <c r="VWK43" s="60"/>
      <c r="VWL43" s="60"/>
      <c r="VWM43" s="60"/>
      <c r="VWN43" s="60"/>
      <c r="VWO43" s="60"/>
      <c r="VWP43" s="60"/>
      <c r="VWQ43" s="60"/>
      <c r="VWR43" s="60"/>
      <c r="VWS43" s="60"/>
      <c r="VWT43" s="60"/>
      <c r="VWU43" s="60"/>
      <c r="VWV43" s="60"/>
      <c r="VWW43" s="60"/>
      <c r="VWX43" s="60"/>
      <c r="VWY43" s="60"/>
      <c r="VWZ43" s="60"/>
      <c r="VXA43" s="60"/>
      <c r="VXB43" s="60"/>
      <c r="VXC43" s="60"/>
      <c r="VXD43" s="60"/>
      <c r="VXE43" s="60"/>
      <c r="VXF43" s="60"/>
      <c r="VXG43" s="60"/>
      <c r="VXH43" s="60"/>
      <c r="VXI43" s="60"/>
      <c r="VXJ43" s="60"/>
      <c r="VXK43" s="60"/>
      <c r="VXL43" s="60"/>
      <c r="VXM43" s="60"/>
      <c r="VXN43" s="60"/>
      <c r="VXO43" s="60"/>
      <c r="VXP43" s="60"/>
      <c r="VXQ43" s="60"/>
      <c r="VXR43" s="60"/>
      <c r="VXS43" s="60"/>
      <c r="VXT43" s="60"/>
      <c r="VXU43" s="60"/>
      <c r="VXV43" s="60"/>
      <c r="VXW43" s="60"/>
      <c r="VXX43" s="60"/>
      <c r="VXY43" s="60"/>
      <c r="VXZ43" s="60"/>
      <c r="VYA43" s="60"/>
      <c r="VYB43" s="60"/>
      <c r="VYC43" s="60"/>
      <c r="VYD43" s="60"/>
      <c r="VYE43" s="60"/>
      <c r="VYF43" s="60"/>
      <c r="VYG43" s="60"/>
      <c r="VYH43" s="60"/>
      <c r="VYI43" s="60"/>
      <c r="VYJ43" s="60"/>
      <c r="VYK43" s="60"/>
      <c r="VYL43" s="60"/>
      <c r="VYM43" s="60"/>
      <c r="VYN43" s="60"/>
      <c r="VYO43" s="60"/>
      <c r="VYP43" s="60"/>
      <c r="VYQ43" s="60"/>
      <c r="VYR43" s="60"/>
      <c r="VYS43" s="60"/>
      <c r="VYT43" s="60"/>
      <c r="VYU43" s="60"/>
      <c r="VYV43" s="60"/>
      <c r="VYW43" s="60"/>
      <c r="VYX43" s="60"/>
      <c r="VYY43" s="60"/>
      <c r="VYZ43" s="60"/>
      <c r="VZA43" s="60"/>
      <c r="VZB43" s="60"/>
      <c r="VZC43" s="60"/>
      <c r="VZD43" s="60"/>
      <c r="VZE43" s="60"/>
      <c r="VZF43" s="60"/>
      <c r="VZG43" s="60"/>
      <c r="VZH43" s="60"/>
      <c r="VZI43" s="60"/>
      <c r="VZJ43" s="60"/>
      <c r="VZK43" s="60"/>
      <c r="VZL43" s="60"/>
      <c r="VZM43" s="60"/>
      <c r="VZN43" s="60"/>
      <c r="VZO43" s="60"/>
      <c r="VZP43" s="60"/>
      <c r="VZQ43" s="60"/>
      <c r="VZR43" s="60"/>
      <c r="VZS43" s="60"/>
      <c r="VZT43" s="60"/>
      <c r="VZU43" s="60"/>
      <c r="VZV43" s="60"/>
      <c r="VZW43" s="60"/>
      <c r="VZX43" s="60"/>
      <c r="VZY43" s="60"/>
      <c r="VZZ43" s="60"/>
      <c r="WAA43" s="60"/>
      <c r="WAB43" s="60"/>
      <c r="WAC43" s="60"/>
      <c r="WAD43" s="60"/>
      <c r="WAE43" s="60"/>
      <c r="WAF43" s="60"/>
      <c r="WAG43" s="60"/>
      <c r="WAH43" s="60"/>
      <c r="WAI43" s="60"/>
      <c r="WAJ43" s="60"/>
      <c r="WAK43" s="60"/>
      <c r="WAL43" s="60"/>
      <c r="WAM43" s="60"/>
      <c r="WAN43" s="60"/>
      <c r="WAO43" s="60"/>
      <c r="WAP43" s="60"/>
      <c r="WAQ43" s="60"/>
      <c r="WAR43" s="60"/>
      <c r="WAS43" s="60"/>
      <c r="WAT43" s="60"/>
      <c r="WAU43" s="60"/>
      <c r="WAV43" s="60"/>
      <c r="WAW43" s="60"/>
      <c r="WAX43" s="60"/>
      <c r="WAY43" s="60"/>
      <c r="WAZ43" s="60"/>
      <c r="WBA43" s="60"/>
      <c r="WBB43" s="60"/>
      <c r="WBC43" s="60"/>
      <c r="WBD43" s="60"/>
      <c r="WBE43" s="60"/>
      <c r="WBF43" s="60"/>
      <c r="WBG43" s="60"/>
      <c r="WBH43" s="60"/>
      <c r="WBI43" s="60"/>
      <c r="WBJ43" s="60"/>
      <c r="WBK43" s="60"/>
      <c r="WBL43" s="60"/>
      <c r="WBM43" s="60"/>
      <c r="WBN43" s="60"/>
      <c r="WBO43" s="60"/>
      <c r="WBP43" s="60"/>
      <c r="WBQ43" s="60"/>
      <c r="WBR43" s="60"/>
      <c r="WBS43" s="60"/>
      <c r="WBT43" s="60"/>
      <c r="WBU43" s="60"/>
      <c r="WBV43" s="60"/>
      <c r="WBW43" s="60"/>
      <c r="WBX43" s="60"/>
      <c r="WBY43" s="60"/>
      <c r="WBZ43" s="60"/>
      <c r="WCA43" s="60"/>
      <c r="WCB43" s="60"/>
      <c r="WCC43" s="60"/>
      <c r="WCD43" s="60"/>
      <c r="WCE43" s="60"/>
      <c r="WCF43" s="60"/>
      <c r="WCG43" s="60"/>
      <c r="WCH43" s="60"/>
      <c r="WCI43" s="60"/>
      <c r="WCJ43" s="60"/>
      <c r="WCK43" s="60"/>
      <c r="WCL43" s="60"/>
      <c r="WCM43" s="60"/>
      <c r="WCN43" s="60"/>
      <c r="WCO43" s="60"/>
      <c r="WCP43" s="60"/>
      <c r="WCQ43" s="60"/>
      <c r="WCR43" s="60"/>
      <c r="WCS43" s="60"/>
      <c r="WCT43" s="60"/>
      <c r="WCU43" s="60"/>
      <c r="WCV43" s="60"/>
      <c r="WCW43" s="60"/>
      <c r="WCX43" s="60"/>
      <c r="WCY43" s="60"/>
      <c r="WCZ43" s="60"/>
      <c r="WDA43" s="60"/>
      <c r="WDB43" s="60"/>
      <c r="WDC43" s="60"/>
      <c r="WDD43" s="60"/>
      <c r="WDE43" s="60"/>
      <c r="WDF43" s="60"/>
      <c r="WDG43" s="60"/>
      <c r="WDH43" s="60"/>
      <c r="WDI43" s="60"/>
      <c r="WDJ43" s="60"/>
      <c r="WDK43" s="60"/>
      <c r="WDL43" s="60"/>
      <c r="WDM43" s="60"/>
      <c r="WDN43" s="60"/>
      <c r="WDO43" s="60"/>
      <c r="WDP43" s="60"/>
      <c r="WDQ43" s="60"/>
      <c r="WDR43" s="60"/>
      <c r="WDS43" s="60"/>
      <c r="WDT43" s="60"/>
      <c r="WDU43" s="60"/>
      <c r="WDV43" s="60"/>
      <c r="WDW43" s="60"/>
      <c r="WDX43" s="60"/>
      <c r="WDY43" s="60"/>
      <c r="WDZ43" s="60"/>
      <c r="WEA43" s="60"/>
      <c r="WEB43" s="60"/>
      <c r="WEC43" s="60"/>
      <c r="WED43" s="60"/>
      <c r="WEE43" s="60"/>
      <c r="WEF43" s="60"/>
      <c r="WEG43" s="60"/>
      <c r="WEH43" s="60"/>
      <c r="WEI43" s="60"/>
      <c r="WEJ43" s="60"/>
      <c r="WEK43" s="60"/>
      <c r="WEL43" s="60"/>
      <c r="WEM43" s="60"/>
      <c r="WEN43" s="60"/>
      <c r="WEO43" s="60"/>
      <c r="WEP43" s="60"/>
      <c r="WEQ43" s="60"/>
      <c r="WER43" s="60"/>
      <c r="WES43" s="60"/>
      <c r="WET43" s="60"/>
      <c r="WEU43" s="60"/>
      <c r="WEV43" s="60"/>
      <c r="WEW43" s="60"/>
      <c r="WEX43" s="60"/>
      <c r="WEY43" s="60"/>
      <c r="WEZ43" s="60"/>
      <c r="WFA43" s="60"/>
      <c r="WFB43" s="60"/>
      <c r="WFC43" s="60"/>
      <c r="WFD43" s="60"/>
      <c r="WFE43" s="60"/>
      <c r="WFF43" s="60"/>
      <c r="WFG43" s="60"/>
      <c r="WFH43" s="60"/>
      <c r="WFI43" s="60"/>
      <c r="WFJ43" s="60"/>
      <c r="WFK43" s="60"/>
      <c r="WFL43" s="60"/>
      <c r="WFM43" s="60"/>
      <c r="WFN43" s="60"/>
      <c r="WFO43" s="60"/>
      <c r="WFP43" s="60"/>
      <c r="WFQ43" s="60"/>
      <c r="WFR43" s="60"/>
      <c r="WFS43" s="60"/>
      <c r="WFT43" s="60"/>
      <c r="WFU43" s="60"/>
      <c r="WFV43" s="60"/>
      <c r="WFW43" s="60"/>
      <c r="WFX43" s="60"/>
      <c r="WFY43" s="60"/>
      <c r="WFZ43" s="60"/>
      <c r="WGA43" s="60"/>
      <c r="WGB43" s="60"/>
      <c r="WGC43" s="60"/>
      <c r="WGD43" s="60"/>
      <c r="WGE43" s="60"/>
      <c r="WGF43" s="60"/>
      <c r="WGG43" s="60"/>
      <c r="WGH43" s="60"/>
      <c r="WGI43" s="60"/>
      <c r="WGJ43" s="60"/>
      <c r="WGK43" s="60"/>
      <c r="WGL43" s="60"/>
      <c r="WGM43" s="60"/>
      <c r="WGN43" s="60"/>
      <c r="WGO43" s="60"/>
      <c r="WGP43" s="60"/>
      <c r="WGQ43" s="60"/>
      <c r="WGR43" s="60"/>
      <c r="WGS43" s="60"/>
      <c r="WGT43" s="60"/>
      <c r="WGU43" s="60"/>
      <c r="WGV43" s="60"/>
      <c r="WGW43" s="60"/>
      <c r="WGX43" s="60"/>
      <c r="WGY43" s="60"/>
      <c r="WGZ43" s="60"/>
      <c r="WHA43" s="60"/>
      <c r="WHB43" s="60"/>
      <c r="WHC43" s="60"/>
      <c r="WHD43" s="60"/>
      <c r="WHE43" s="60"/>
      <c r="WHF43" s="60"/>
      <c r="WHG43" s="60"/>
      <c r="WHH43" s="60"/>
      <c r="WHI43" s="60"/>
      <c r="WHJ43" s="60"/>
      <c r="WHK43" s="60"/>
      <c r="WHL43" s="60"/>
      <c r="WHM43" s="60"/>
      <c r="WHN43" s="60"/>
      <c r="WHO43" s="60"/>
      <c r="WHP43" s="60"/>
      <c r="WHQ43" s="60"/>
      <c r="WHR43" s="60"/>
      <c r="WHS43" s="60"/>
      <c r="WHT43" s="60"/>
      <c r="WHU43" s="60"/>
      <c r="WHV43" s="60"/>
      <c r="WHW43" s="60"/>
      <c r="WHX43" s="60"/>
      <c r="WHY43" s="60"/>
      <c r="WHZ43" s="60"/>
      <c r="WIA43" s="60"/>
      <c r="WIB43" s="60"/>
      <c r="WIC43" s="60"/>
      <c r="WID43" s="60"/>
      <c r="WIE43" s="60"/>
      <c r="WIF43" s="60"/>
      <c r="WIG43" s="60"/>
      <c r="WIH43" s="60"/>
      <c r="WII43" s="60"/>
      <c r="WIJ43" s="60"/>
      <c r="WIK43" s="60"/>
      <c r="WIL43" s="60"/>
      <c r="WIM43" s="60"/>
      <c r="WIN43" s="60"/>
      <c r="WIO43" s="60"/>
      <c r="WIP43" s="60"/>
      <c r="WIQ43" s="60"/>
      <c r="WIR43" s="60"/>
      <c r="WIS43" s="60"/>
      <c r="WIT43" s="60"/>
      <c r="WIU43" s="60"/>
      <c r="WIV43" s="60"/>
      <c r="WIW43" s="60"/>
      <c r="WIX43" s="60"/>
      <c r="WIY43" s="60"/>
      <c r="WIZ43" s="60"/>
      <c r="WJA43" s="60"/>
      <c r="WJB43" s="60"/>
      <c r="WJC43" s="60"/>
      <c r="WJD43" s="60"/>
      <c r="WJE43" s="60"/>
      <c r="WJF43" s="60"/>
      <c r="WJG43" s="60"/>
      <c r="WJH43" s="60"/>
      <c r="WJI43" s="60"/>
      <c r="WJJ43" s="60"/>
      <c r="WJK43" s="60"/>
      <c r="WJL43" s="60"/>
      <c r="WJM43" s="60"/>
      <c r="WJN43" s="60"/>
      <c r="WJO43" s="60"/>
      <c r="WJP43" s="60"/>
      <c r="WJQ43" s="60"/>
      <c r="WJR43" s="60"/>
      <c r="WJS43" s="60"/>
      <c r="WJT43" s="60"/>
      <c r="WJU43" s="60"/>
      <c r="WJV43" s="60"/>
      <c r="WJW43" s="60"/>
      <c r="WJX43" s="60"/>
      <c r="WJY43" s="60"/>
      <c r="WJZ43" s="60"/>
      <c r="WKA43" s="60"/>
      <c r="WKB43" s="60"/>
      <c r="WKC43" s="60"/>
      <c r="WKD43" s="60"/>
      <c r="WKE43" s="60"/>
      <c r="WKF43" s="60"/>
      <c r="WKG43" s="60"/>
      <c r="WKH43" s="60"/>
      <c r="WKI43" s="60"/>
      <c r="WKJ43" s="60"/>
      <c r="WKK43" s="60"/>
      <c r="WKL43" s="60"/>
      <c r="WKM43" s="60"/>
      <c r="WKN43" s="60"/>
      <c r="WKO43" s="60"/>
      <c r="WKP43" s="60"/>
      <c r="WKQ43" s="60"/>
      <c r="WKR43" s="60"/>
      <c r="WKS43" s="60"/>
      <c r="WKT43" s="60"/>
      <c r="WKU43" s="60"/>
      <c r="WKV43" s="60"/>
      <c r="WKW43" s="60"/>
      <c r="WKX43" s="60"/>
      <c r="WKY43" s="60"/>
      <c r="WKZ43" s="60"/>
      <c r="WLA43" s="60"/>
      <c r="WLB43" s="60"/>
      <c r="WLC43" s="60"/>
      <c r="WLD43" s="60"/>
      <c r="WLE43" s="60"/>
      <c r="WLF43" s="60"/>
      <c r="WLG43" s="60"/>
      <c r="WLH43" s="60"/>
      <c r="WLI43" s="60"/>
      <c r="WLJ43" s="60"/>
      <c r="WLK43" s="60"/>
      <c r="WLL43" s="60"/>
      <c r="WLM43" s="60"/>
      <c r="WLN43" s="60"/>
      <c r="WLO43" s="60"/>
      <c r="WLP43" s="60"/>
      <c r="WLQ43" s="60"/>
      <c r="WLR43" s="60"/>
      <c r="WLS43" s="60"/>
      <c r="WLT43" s="60"/>
      <c r="WLU43" s="60"/>
      <c r="WLV43" s="60"/>
      <c r="WLW43" s="60"/>
      <c r="WLX43" s="60"/>
      <c r="WLY43" s="60"/>
      <c r="WLZ43" s="60"/>
      <c r="WMA43" s="60"/>
      <c r="WMB43" s="60"/>
      <c r="WMC43" s="60"/>
      <c r="WMD43" s="60"/>
      <c r="WME43" s="60"/>
      <c r="WMF43" s="60"/>
      <c r="WMG43" s="60"/>
      <c r="WMH43" s="60"/>
      <c r="WMI43" s="60"/>
      <c r="WMJ43" s="60"/>
      <c r="WMK43" s="60"/>
      <c r="WML43" s="60"/>
      <c r="WMM43" s="60"/>
      <c r="WMN43" s="60"/>
      <c r="WMO43" s="60"/>
      <c r="WMP43" s="60"/>
      <c r="WMQ43" s="60"/>
      <c r="WMR43" s="60"/>
      <c r="WMS43" s="60"/>
      <c r="WMT43" s="60"/>
      <c r="WMU43" s="60"/>
      <c r="WMV43" s="60"/>
      <c r="WMW43" s="60"/>
      <c r="WMX43" s="60"/>
      <c r="WMY43" s="60"/>
      <c r="WMZ43" s="60"/>
      <c r="WNA43" s="60"/>
      <c r="WNB43" s="60"/>
      <c r="WNC43" s="60"/>
      <c r="WND43" s="60"/>
      <c r="WNE43" s="60"/>
      <c r="WNF43" s="60"/>
      <c r="WNG43" s="60"/>
      <c r="WNH43" s="60"/>
      <c r="WNI43" s="60"/>
      <c r="WNJ43" s="60"/>
      <c r="WNK43" s="60"/>
      <c r="WNL43" s="60"/>
      <c r="WNM43" s="60"/>
      <c r="WNN43" s="60"/>
      <c r="WNO43" s="60"/>
      <c r="WNP43" s="60"/>
      <c r="WNQ43" s="60"/>
      <c r="WNR43" s="60"/>
      <c r="WNS43" s="60"/>
      <c r="WNT43" s="60"/>
      <c r="WNU43" s="60"/>
      <c r="WNV43" s="60"/>
      <c r="WNW43" s="60"/>
      <c r="WNX43" s="60"/>
      <c r="WNY43" s="60"/>
      <c r="WNZ43" s="60"/>
      <c r="WOA43" s="60"/>
      <c r="WOB43" s="60"/>
      <c r="WOC43" s="60"/>
      <c r="WOD43" s="60"/>
      <c r="WOE43" s="60"/>
      <c r="WOF43" s="60"/>
      <c r="WOG43" s="60"/>
      <c r="WOH43" s="60"/>
      <c r="WOI43" s="60"/>
      <c r="WOJ43" s="60"/>
      <c r="WOK43" s="60"/>
      <c r="WOL43" s="60"/>
      <c r="WOM43" s="60"/>
      <c r="WON43" s="60"/>
      <c r="WOO43" s="60"/>
      <c r="WOP43" s="60"/>
      <c r="WOQ43" s="60"/>
      <c r="WOR43" s="60"/>
      <c r="WOS43" s="60"/>
      <c r="WOT43" s="60"/>
      <c r="WOU43" s="60"/>
      <c r="WOV43" s="60"/>
      <c r="WOW43" s="60"/>
      <c r="WOX43" s="60"/>
      <c r="WOY43" s="60"/>
      <c r="WOZ43" s="60"/>
      <c r="WPA43" s="60"/>
      <c r="WPB43" s="60"/>
      <c r="WPC43" s="60"/>
      <c r="WPD43" s="60"/>
      <c r="WPE43" s="60"/>
      <c r="WPF43" s="60"/>
      <c r="WPG43" s="60"/>
      <c r="WPH43" s="60"/>
      <c r="WPI43" s="60"/>
      <c r="WPJ43" s="60"/>
      <c r="WPK43" s="60"/>
      <c r="WPL43" s="60"/>
      <c r="WPM43" s="60"/>
      <c r="WPN43" s="60"/>
      <c r="WPO43" s="60"/>
      <c r="WPP43" s="60"/>
      <c r="WPQ43" s="60"/>
      <c r="WPR43" s="60"/>
      <c r="WPS43" s="60"/>
      <c r="WPT43" s="60"/>
      <c r="WPU43" s="60"/>
      <c r="WPV43" s="60"/>
      <c r="WPW43" s="60"/>
      <c r="WPX43" s="60"/>
      <c r="WPY43" s="60"/>
      <c r="WPZ43" s="60"/>
      <c r="WQA43" s="60"/>
      <c r="WQB43" s="60"/>
      <c r="WQC43" s="60"/>
      <c r="WQD43" s="60"/>
      <c r="WQE43" s="60"/>
      <c r="WQF43" s="60"/>
      <c r="WQG43" s="60"/>
      <c r="WQH43" s="60"/>
      <c r="WQI43" s="60"/>
      <c r="WQJ43" s="60"/>
      <c r="WQK43" s="60"/>
      <c r="WQL43" s="60"/>
      <c r="WQM43" s="60"/>
      <c r="WQN43" s="60"/>
      <c r="WQO43" s="60"/>
      <c r="WQP43" s="60"/>
      <c r="WQQ43" s="60"/>
      <c r="WQR43" s="60"/>
      <c r="WQS43" s="60"/>
      <c r="WQT43" s="60"/>
      <c r="WQU43" s="60"/>
      <c r="WQV43" s="60"/>
      <c r="WQW43" s="60"/>
      <c r="WQX43" s="60"/>
      <c r="WQY43" s="60"/>
      <c r="WQZ43" s="60"/>
      <c r="WRA43" s="60"/>
      <c r="WRB43" s="60"/>
      <c r="WRC43" s="60"/>
      <c r="WRD43" s="60"/>
      <c r="WRE43" s="60"/>
      <c r="WRF43" s="60"/>
      <c r="WRG43" s="60"/>
      <c r="WRH43" s="60"/>
      <c r="WRI43" s="60"/>
      <c r="WRJ43" s="60"/>
      <c r="WRK43" s="60"/>
      <c r="WRL43" s="60"/>
      <c r="WRM43" s="60"/>
      <c r="WRN43" s="60"/>
      <c r="WRO43" s="60"/>
      <c r="WRP43" s="60"/>
      <c r="WRQ43" s="60"/>
      <c r="WRR43" s="60"/>
      <c r="WRS43" s="60"/>
      <c r="WRT43" s="60"/>
      <c r="WRU43" s="60"/>
      <c r="WRV43" s="60"/>
      <c r="WRW43" s="60"/>
      <c r="WRX43" s="60"/>
      <c r="WRY43" s="60"/>
      <c r="WRZ43" s="60"/>
      <c r="WSA43" s="60"/>
      <c r="WSB43" s="60"/>
      <c r="WSC43" s="60"/>
      <c r="WSD43" s="60"/>
      <c r="WSE43" s="60"/>
      <c r="WSF43" s="60"/>
      <c r="WSG43" s="60"/>
      <c r="WSH43" s="60"/>
      <c r="WSI43" s="60"/>
      <c r="WSJ43" s="60"/>
      <c r="WSK43" s="60"/>
      <c r="WSL43" s="60"/>
      <c r="WSM43" s="60"/>
      <c r="WSN43" s="60"/>
      <c r="WSO43" s="60"/>
      <c r="WSP43" s="60"/>
      <c r="WSQ43" s="60"/>
      <c r="WSR43" s="60"/>
      <c r="WSS43" s="60"/>
      <c r="WST43" s="60"/>
      <c r="WSU43" s="60"/>
      <c r="WSV43" s="60"/>
      <c r="WSW43" s="60"/>
      <c r="WSX43" s="60"/>
      <c r="WSY43" s="60"/>
      <c r="WSZ43" s="60"/>
      <c r="WTA43" s="60"/>
      <c r="WTB43" s="60"/>
      <c r="WTC43" s="60"/>
      <c r="WTD43" s="60"/>
      <c r="WTE43" s="60"/>
      <c r="WTF43" s="60"/>
      <c r="WTG43" s="60"/>
      <c r="WTH43" s="60"/>
      <c r="WTI43" s="60"/>
      <c r="WTJ43" s="60"/>
      <c r="WTK43" s="60"/>
      <c r="WTL43" s="60"/>
      <c r="WTM43" s="60"/>
      <c r="WTN43" s="60"/>
      <c r="WTO43" s="60"/>
      <c r="WTP43" s="60"/>
      <c r="WTQ43" s="60"/>
      <c r="WTR43" s="60"/>
      <c r="WTS43" s="60"/>
      <c r="WTT43" s="60"/>
      <c r="WTU43" s="60"/>
      <c r="WTV43" s="60"/>
      <c r="WTW43" s="60"/>
      <c r="WTX43" s="60"/>
      <c r="WTY43" s="60"/>
      <c r="WTZ43" s="60"/>
      <c r="WUA43" s="60"/>
      <c r="WUB43" s="60"/>
      <c r="WUC43" s="60"/>
      <c r="WUD43" s="60"/>
      <c r="WUE43" s="60"/>
      <c r="WUF43" s="60"/>
      <c r="WUG43" s="60"/>
      <c r="WUH43" s="60"/>
      <c r="WUI43" s="60"/>
      <c r="WUJ43" s="60"/>
      <c r="WUK43" s="60"/>
      <c r="WUL43" s="60"/>
      <c r="WUM43" s="60"/>
      <c r="WUN43" s="60"/>
      <c r="WUO43" s="60"/>
      <c r="WUP43" s="60"/>
      <c r="WUQ43" s="60"/>
      <c r="WUR43" s="60"/>
      <c r="WUS43" s="60"/>
      <c r="WUT43" s="60"/>
      <c r="WUU43" s="60"/>
      <c r="WUV43" s="60"/>
      <c r="WUW43" s="60"/>
      <c r="WUX43" s="60"/>
      <c r="WUY43" s="60"/>
      <c r="WUZ43" s="60"/>
      <c r="WVA43" s="60"/>
      <c r="WVB43" s="60"/>
      <c r="WVC43" s="60"/>
      <c r="WVD43" s="60"/>
      <c r="WVE43" s="60"/>
      <c r="WVF43" s="60"/>
      <c r="WVG43" s="60"/>
      <c r="WVH43" s="60"/>
      <c r="WVI43" s="60"/>
      <c r="WVJ43" s="60"/>
      <c r="WVK43" s="60"/>
      <c r="WVL43" s="60"/>
      <c r="WVM43" s="60"/>
      <c r="WVN43" s="60"/>
      <c r="WVO43" s="60"/>
      <c r="WVP43" s="60"/>
      <c r="WVQ43" s="60"/>
      <c r="WVR43" s="60"/>
      <c r="WVS43" s="60"/>
      <c r="WVT43" s="60"/>
      <c r="WVU43" s="60"/>
      <c r="WVV43" s="60"/>
      <c r="WVW43" s="60"/>
      <c r="WVX43" s="60"/>
      <c r="WVY43" s="60"/>
      <c r="WVZ43" s="60"/>
      <c r="WWA43" s="60"/>
      <c r="WWB43" s="60"/>
      <c r="WWC43" s="60"/>
      <c r="WWD43" s="60"/>
      <c r="WWE43" s="60"/>
      <c r="WWF43" s="60"/>
      <c r="WWG43" s="60"/>
      <c r="WWH43" s="60"/>
      <c r="WWI43" s="60"/>
      <c r="WWJ43" s="60"/>
      <c r="WWK43" s="60"/>
      <c r="WWL43" s="60"/>
      <c r="WWM43" s="60"/>
      <c r="WWN43" s="60"/>
      <c r="WWO43" s="60"/>
      <c r="WWP43" s="60"/>
      <c r="WWQ43" s="60"/>
      <c r="WWR43" s="60"/>
      <c r="WWS43" s="60"/>
      <c r="WWT43" s="60"/>
      <c r="WWU43" s="60"/>
      <c r="WWV43" s="60"/>
      <c r="WWW43" s="60"/>
      <c r="WWX43" s="60"/>
      <c r="WWY43" s="60"/>
      <c r="WWZ43" s="60"/>
      <c r="WXA43" s="60"/>
      <c r="WXB43" s="60"/>
      <c r="WXC43" s="60"/>
      <c r="WXD43" s="60"/>
      <c r="WXE43" s="60"/>
      <c r="WXF43" s="60"/>
      <c r="WXG43" s="60"/>
      <c r="WXH43" s="60"/>
      <c r="WXI43" s="60"/>
      <c r="WXJ43" s="60"/>
      <c r="WXK43" s="60"/>
      <c r="WXL43" s="60"/>
      <c r="WXM43" s="60"/>
      <c r="WXN43" s="60"/>
      <c r="WXO43" s="60"/>
      <c r="WXP43" s="60"/>
      <c r="WXQ43" s="60"/>
      <c r="WXR43" s="60"/>
      <c r="WXS43" s="60"/>
      <c r="WXT43" s="60"/>
      <c r="WXU43" s="60"/>
      <c r="WXV43" s="60"/>
      <c r="WXW43" s="60"/>
      <c r="WXX43" s="60"/>
      <c r="WXY43" s="60"/>
      <c r="WXZ43" s="60"/>
      <c r="WYA43" s="60"/>
      <c r="WYB43" s="60"/>
      <c r="WYC43" s="60"/>
      <c r="WYD43" s="60"/>
      <c r="WYE43" s="60"/>
      <c r="WYF43" s="60"/>
      <c r="WYG43" s="60"/>
      <c r="WYH43" s="60"/>
      <c r="WYI43" s="60"/>
      <c r="WYJ43" s="60"/>
      <c r="WYK43" s="60"/>
      <c r="WYL43" s="60"/>
      <c r="WYM43" s="60"/>
      <c r="WYN43" s="60"/>
      <c r="WYO43" s="60"/>
      <c r="WYP43" s="60"/>
      <c r="WYQ43" s="60"/>
      <c r="WYR43" s="60"/>
      <c r="WYS43" s="60"/>
      <c r="WYT43" s="60"/>
      <c r="WYU43" s="60"/>
      <c r="WYV43" s="60"/>
      <c r="WYW43" s="60"/>
      <c r="WYX43" s="60"/>
      <c r="WYY43" s="60"/>
      <c r="WYZ43" s="60"/>
      <c r="WZA43" s="60"/>
      <c r="WZB43" s="60"/>
      <c r="WZC43" s="60"/>
      <c r="WZD43" s="60"/>
      <c r="WZE43" s="60"/>
      <c r="WZF43" s="60"/>
      <c r="WZG43" s="60"/>
      <c r="WZH43" s="60"/>
      <c r="WZI43" s="60"/>
      <c r="WZJ43" s="60"/>
      <c r="WZK43" s="60"/>
      <c r="WZL43" s="60"/>
      <c r="WZM43" s="60"/>
      <c r="WZN43" s="60"/>
      <c r="WZO43" s="60"/>
      <c r="WZP43" s="60"/>
      <c r="WZQ43" s="60"/>
      <c r="WZR43" s="60"/>
      <c r="WZS43" s="60"/>
      <c r="WZT43" s="60"/>
      <c r="WZU43" s="60"/>
      <c r="WZV43" s="60"/>
      <c r="WZW43" s="60"/>
      <c r="WZX43" s="60"/>
      <c r="WZY43" s="60"/>
      <c r="WZZ43" s="60"/>
      <c r="XAA43" s="60"/>
      <c r="XAB43" s="60"/>
      <c r="XAC43" s="60"/>
      <c r="XAD43" s="60"/>
      <c r="XAE43" s="60"/>
      <c r="XAF43" s="60"/>
      <c r="XAG43" s="60"/>
      <c r="XAH43" s="60"/>
      <c r="XAI43" s="60"/>
      <c r="XAJ43" s="60"/>
      <c r="XAK43" s="60"/>
      <c r="XAL43" s="60"/>
      <c r="XAM43" s="60"/>
      <c r="XAN43" s="60"/>
      <c r="XAO43" s="60"/>
      <c r="XAP43" s="60"/>
      <c r="XAQ43" s="60"/>
      <c r="XAR43" s="60"/>
      <c r="XAS43" s="60"/>
      <c r="XAT43" s="60"/>
      <c r="XAU43" s="60"/>
      <c r="XAV43" s="60"/>
      <c r="XAW43" s="60"/>
      <c r="XAX43" s="60"/>
      <c r="XAY43" s="60"/>
      <c r="XAZ43" s="60"/>
      <c r="XBA43" s="60"/>
      <c r="XBB43" s="60"/>
      <c r="XBC43" s="60"/>
      <c r="XBD43" s="60"/>
      <c r="XBE43" s="60"/>
      <c r="XBF43" s="60"/>
      <c r="XBG43" s="60"/>
      <c r="XBH43" s="60"/>
      <c r="XBI43" s="60"/>
      <c r="XBJ43" s="60"/>
      <c r="XBK43" s="60"/>
      <c r="XBL43" s="60"/>
      <c r="XBM43" s="60"/>
      <c r="XBN43" s="60"/>
      <c r="XBO43" s="60"/>
      <c r="XBP43" s="60"/>
      <c r="XBQ43" s="60"/>
      <c r="XBR43" s="60"/>
      <c r="XBS43" s="60"/>
      <c r="XBT43" s="60"/>
      <c r="XBU43" s="60"/>
      <c r="XBV43" s="60"/>
      <c r="XBW43" s="60"/>
      <c r="XBX43" s="60"/>
      <c r="XBY43" s="60"/>
      <c r="XBZ43" s="60"/>
      <c r="XCA43" s="60"/>
      <c r="XCB43" s="60"/>
      <c r="XCC43" s="60"/>
      <c r="XCD43" s="60"/>
      <c r="XCE43" s="60"/>
      <c r="XCF43" s="60"/>
      <c r="XCG43" s="60"/>
      <c r="XCH43" s="60"/>
      <c r="XCI43" s="60"/>
      <c r="XCJ43" s="60"/>
      <c r="XCK43" s="60"/>
      <c r="XCL43" s="60"/>
      <c r="XCM43" s="60"/>
      <c r="XCN43" s="60"/>
      <c r="XCO43" s="60"/>
      <c r="XCP43" s="60"/>
      <c r="XCQ43" s="60"/>
      <c r="XCR43" s="60"/>
      <c r="XCS43" s="60"/>
      <c r="XCT43" s="60"/>
      <c r="XCU43" s="60"/>
      <c r="XCV43" s="60"/>
      <c r="XCW43" s="60"/>
      <c r="XCX43" s="60"/>
      <c r="XCY43" s="60"/>
      <c r="XCZ43" s="60"/>
      <c r="XDA43" s="60"/>
      <c r="XDB43" s="60"/>
      <c r="XDC43" s="60"/>
      <c r="XDD43" s="60"/>
      <c r="XDE43" s="60"/>
      <c r="XDF43" s="60"/>
      <c r="XDG43" s="60"/>
      <c r="XDH43" s="60"/>
      <c r="XDI43" s="60"/>
      <c r="XDJ43" s="60"/>
      <c r="XDK43" s="60"/>
      <c r="XDL43" s="60"/>
      <c r="XDM43" s="60"/>
      <c r="XDN43" s="60"/>
      <c r="XDO43" s="60"/>
      <c r="XDP43" s="60"/>
      <c r="XDQ43" s="60"/>
      <c r="XDR43" s="60"/>
      <c r="XDS43" s="60"/>
      <c r="XDT43" s="60"/>
      <c r="XDU43" s="60"/>
      <c r="XDV43" s="60"/>
      <c r="XDW43" s="60"/>
      <c r="XDX43" s="60"/>
      <c r="XDY43" s="60"/>
      <c r="XDZ43" s="60"/>
      <c r="XEA43" s="60"/>
      <c r="XEB43" s="60"/>
      <c r="XEC43" s="60"/>
      <c r="XED43" s="60"/>
      <c r="XEE43" s="60"/>
      <c r="XEF43" s="60"/>
      <c r="XEG43" s="60"/>
      <c r="XEH43" s="60"/>
      <c r="XEI43" s="60"/>
      <c r="XEJ43" s="60"/>
      <c r="XEK43" s="60"/>
      <c r="XEL43" s="60"/>
      <c r="XEM43" s="60"/>
      <c r="XEN43" s="60"/>
      <c r="XEO43" s="60"/>
      <c r="XEP43" s="60"/>
      <c r="XEQ43" s="60"/>
      <c r="XER43" s="60"/>
      <c r="XES43" s="60"/>
      <c r="XET43" s="60"/>
      <c r="XEU43" s="60"/>
      <c r="XEV43" s="60"/>
      <c r="XEW43" s="60"/>
      <c r="XEX43" s="60"/>
      <c r="XEY43" s="60"/>
      <c r="XEZ43" s="60"/>
      <c r="XFA43" s="60"/>
      <c r="XFB43" s="60"/>
      <c r="XFC43" s="60"/>
    </row>
    <row r="44" spans="1:16383" ht="17.149999999999999" customHeight="1" x14ac:dyDescent="0.35">
      <c r="A44" s="959" t="s">
        <v>1067</v>
      </c>
      <c r="B44" s="983"/>
      <c r="C44" s="983"/>
      <c r="D44" s="983"/>
      <c r="E44" s="983"/>
      <c r="F44" s="983"/>
      <c r="G44" s="983"/>
      <c r="H44" s="1832"/>
      <c r="I44" s="1833"/>
      <c r="J44" s="1828"/>
      <c r="K44" s="1829"/>
      <c r="L44" s="1828"/>
      <c r="M44" s="1829"/>
      <c r="N44" s="983"/>
      <c r="O44" s="983"/>
      <c r="P44" s="983"/>
      <c r="Q44" s="983"/>
      <c r="R44" s="983"/>
      <c r="S44" s="983"/>
      <c r="T44" s="983"/>
      <c r="U44" s="983"/>
      <c r="V44" s="983"/>
      <c r="W44" s="60"/>
      <c r="X44" s="985"/>
      <c r="Y44" s="985"/>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row>
    <row r="45" spans="1:16383" s="60" customFormat="1" ht="17.149999999999999" customHeight="1" x14ac:dyDescent="0.35">
      <c r="A45" s="953" t="str">
        <f>'Interface_Emptying &amp; Transport'!B35</f>
        <v>Public provider [Name]</v>
      </c>
      <c r="B45" s="1510">
        <f>'Interface_Emptying &amp; Transport'!AA35</f>
        <v>0</v>
      </c>
      <c r="C45" s="1510"/>
      <c r="D45" s="966">
        <f>IF(B45="YES",'Emptying volumes'!L77,0)</f>
        <v>0</v>
      </c>
      <c r="E45" s="971">
        <f>'Interface_Emptying &amp; Transport'!AD35</f>
        <v>0</v>
      </c>
      <c r="F45" s="971">
        <f>'Interface_Emptying &amp; Transport'!AE35</f>
        <v>0</v>
      </c>
      <c r="G45" s="966">
        <f>IF(B45="NO", 'Emptying volumes'!L77,0)</f>
        <v>0</v>
      </c>
      <c r="H45" s="1817">
        <f>'Interface_Emptying &amp; Transport'!AF35</f>
        <v>0</v>
      </c>
      <c r="I45" s="1817"/>
      <c r="J45" s="1817">
        <f>'Interface_Emptying &amp; Transport'!AH35</f>
        <v>0</v>
      </c>
      <c r="K45" s="1817"/>
      <c r="L45" s="1817">
        <f>'Interface_Emptying &amp; Transport'!AJ35</f>
        <v>0</v>
      </c>
      <c r="M45" s="1817"/>
      <c r="N45" s="1522">
        <f>ROUND((IF(J45="Sub-station",0,IF(L45="Legal",D45,IF(L45="Partly legal - partly illegal",D45/2,0))))/25,0)*25</f>
        <v>0</v>
      </c>
      <c r="O45" s="1522">
        <f>ROUND((IF(J45="Sub-station",0,IF(L45="Illegal",D45,IF(L45="Partly legal - partly illegal",D45/2,0))))/25,0)*25</f>
        <v>0</v>
      </c>
      <c r="P45" s="969">
        <f>'Interface_Emptying &amp; Transport'!AL35</f>
        <v>0</v>
      </c>
      <c r="Q45" s="969">
        <f>'Interface_Emptying &amp; Transport'!AM35</f>
        <v>0</v>
      </c>
      <c r="R45" s="969">
        <f>'Interface_Emptying &amp; Transport'!AN35</f>
        <v>0</v>
      </c>
      <c r="S45" s="1510">
        <f>'Interface_Emptying &amp; Transport'!AP35</f>
        <v>0</v>
      </c>
      <c r="T45" s="1510">
        <f>'Interface_Emptying &amp; Transport'!AR35</f>
        <v>0</v>
      </c>
      <c r="U45" s="1522">
        <f>ROUND((IF(T45="Legal",D45+G45,IF(T45="Partly legal - partly illegal",(D45+G45)/2,0)))/25,0)*25</f>
        <v>0</v>
      </c>
      <c r="V45" s="1522">
        <f t="shared" ref="V45:V52" si="4">ROUND((IF(T45="Illegal",D45+G45,IF(T45="Partly legal partly - illegal",(D45+G45)/2,0)))/25,0)*25</f>
        <v>0</v>
      </c>
      <c r="X45" s="1518">
        <f t="shared" ref="X45:X52" si="5">ROUND((O45+V45)/25,0)*25</f>
        <v>0</v>
      </c>
      <c r="Y45" s="1518">
        <f t="shared" ref="Y45:Y52" si="6">ROUND((N45+U45)/25,0)*25</f>
        <v>0</v>
      </c>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6"/>
      <c r="BA45" s="136"/>
      <c r="BB45" s="136"/>
      <c r="BC45" s="136"/>
      <c r="BD45" s="136"/>
      <c r="BE45" s="136"/>
      <c r="BF45" s="136"/>
      <c r="BG45" s="136"/>
      <c r="BH45" s="136"/>
      <c r="BI45" s="136"/>
      <c r="BJ45" s="136"/>
      <c r="BK45" s="136"/>
      <c r="BL45" s="136"/>
      <c r="BM45" s="136"/>
      <c r="BN45" s="136"/>
      <c r="BO45" s="136"/>
      <c r="BP45" s="136"/>
      <c r="BQ45" s="136"/>
      <c r="BR45" s="136"/>
      <c r="BS45" s="136"/>
      <c r="BT45" s="136"/>
      <c r="BU45" s="136"/>
      <c r="BV45" s="136"/>
      <c r="BW45" s="136"/>
      <c r="BX45" s="136"/>
      <c r="BY45" s="136"/>
      <c r="BZ45" s="136"/>
      <c r="CA45" s="136"/>
      <c r="CB45" s="136"/>
      <c r="CC45" s="136"/>
      <c r="CD45" s="136"/>
      <c r="CE45" s="136"/>
      <c r="CF45" s="136"/>
      <c r="CG45" s="136"/>
      <c r="CH45" s="136"/>
      <c r="CI45" s="136"/>
    </row>
    <row r="46" spans="1:16383" s="60" customFormat="1" ht="17.149999999999999" customHeight="1" x14ac:dyDescent="0.35">
      <c r="A46" s="953" t="str">
        <f>'Interface_Emptying &amp; Transport'!B36</f>
        <v>Public provider [Name]</v>
      </c>
      <c r="B46" s="1510">
        <f>'Interface_Emptying &amp; Transport'!AA36</f>
        <v>0</v>
      </c>
      <c r="C46" s="1510"/>
      <c r="D46" s="966">
        <f>IF(B46="YES",'Emptying volumes'!L78,0)</f>
        <v>0</v>
      </c>
      <c r="E46" s="971">
        <f>'Interface_Emptying &amp; Transport'!AD36</f>
        <v>0</v>
      </c>
      <c r="F46" s="971">
        <f>'Interface_Emptying &amp; Transport'!AE36</f>
        <v>0</v>
      </c>
      <c r="G46" s="966">
        <f>IF(B46="NO", 'Emptying volumes'!L78,0)</f>
        <v>0</v>
      </c>
      <c r="H46" s="1817">
        <f>'Interface_Emptying &amp; Transport'!AF36</f>
        <v>0</v>
      </c>
      <c r="I46" s="1817"/>
      <c r="J46" s="1817">
        <f>'Interface_Emptying &amp; Transport'!AH36</f>
        <v>0</v>
      </c>
      <c r="K46" s="1817"/>
      <c r="L46" s="1817">
        <f>'Interface_Emptying &amp; Transport'!AJ36</f>
        <v>0</v>
      </c>
      <c r="M46" s="1817"/>
      <c r="N46" s="1522">
        <f t="shared" ref="N46:N52" si="7">ROUND((IF(J46="Sub-station",0,IF(L46="Legal",D46,IF(L46="Partly legal - partly illegal",D46/2,0))))/25,0)*25</f>
        <v>0</v>
      </c>
      <c r="O46" s="1522">
        <f t="shared" ref="O46:O52" si="8">ROUND((IF(J46="Sub-station",0,IF(L46="Illegal",D46,IF(L46="Partly legal - partly illegal",D46/2,0))))/25,0)*25</f>
        <v>0</v>
      </c>
      <c r="P46" s="969">
        <f>'Interface_Emptying &amp; Transport'!AL36</f>
        <v>0</v>
      </c>
      <c r="Q46" s="969">
        <f>'Interface_Emptying &amp; Transport'!AM36</f>
        <v>0</v>
      </c>
      <c r="R46" s="969">
        <f>'Interface_Emptying &amp; Transport'!AN36</f>
        <v>0</v>
      </c>
      <c r="S46" s="1510">
        <f>'Interface_Emptying &amp; Transport'!AP36</f>
        <v>0</v>
      </c>
      <c r="T46" s="1510">
        <f>'Interface_Emptying &amp; Transport'!AR36</f>
        <v>0</v>
      </c>
      <c r="U46" s="1522">
        <f>ROUND((IF(T46="Legal",D46+G46,IF(T46="Partly legal partly - illegal",(D46+G46)/2,0)))/25,0)*25</f>
        <v>0</v>
      </c>
      <c r="V46" s="1522">
        <f t="shared" si="4"/>
        <v>0</v>
      </c>
      <c r="X46" s="1518">
        <f t="shared" si="5"/>
        <v>0</v>
      </c>
      <c r="Y46" s="1518">
        <f t="shared" si="6"/>
        <v>0</v>
      </c>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6"/>
      <c r="BA46" s="136"/>
      <c r="BB46" s="136"/>
      <c r="BC46" s="136"/>
      <c r="BD46" s="136"/>
      <c r="BE46" s="136"/>
      <c r="BF46" s="136"/>
      <c r="BG46" s="136"/>
      <c r="BH46" s="136"/>
      <c r="BI46" s="136"/>
      <c r="BJ46" s="136"/>
      <c r="BK46" s="136"/>
      <c r="BL46" s="136"/>
      <c r="BM46" s="136"/>
      <c r="BN46" s="136"/>
      <c r="BO46" s="136"/>
      <c r="BP46" s="136"/>
      <c r="BQ46" s="136"/>
      <c r="BR46" s="136"/>
      <c r="BS46" s="136"/>
      <c r="BT46" s="136"/>
      <c r="BU46" s="136"/>
      <c r="BV46" s="136"/>
      <c r="BW46" s="136"/>
      <c r="BX46" s="136"/>
      <c r="BY46" s="136"/>
      <c r="BZ46" s="136"/>
      <c r="CA46" s="136"/>
      <c r="CB46" s="136"/>
      <c r="CC46" s="136"/>
      <c r="CD46" s="136"/>
      <c r="CE46" s="136"/>
      <c r="CF46" s="136"/>
      <c r="CG46" s="136"/>
      <c r="CH46" s="136"/>
      <c r="CI46" s="136"/>
    </row>
    <row r="47" spans="1:16383" s="60" customFormat="1" ht="17.149999999999999" customHeight="1" x14ac:dyDescent="0.35">
      <c r="A47" s="953" t="str">
        <f>'Interface_Emptying &amp; Transport'!B37</f>
        <v>300 providers (approx)</v>
      </c>
      <c r="B47" s="1510" t="str">
        <f>'Interface_Emptying &amp; Transport'!AA37</f>
        <v>YES</v>
      </c>
      <c r="C47" s="1510"/>
      <c r="D47" s="966">
        <f>IF(B47="YES",'Emptying volumes'!L79,0)</f>
        <v>147900</v>
      </c>
      <c r="E47" s="971">
        <f>'Interface_Emptying &amp; Transport'!AD37</f>
        <v>0</v>
      </c>
      <c r="F47" s="971">
        <f>'Interface_Emptying &amp; Transport'!AE37</f>
        <v>0</v>
      </c>
      <c r="G47" s="966">
        <f>IF(B47="NO", 'Emptying volumes'!L79,0)</f>
        <v>0</v>
      </c>
      <c r="H47" s="1817">
        <f>'Interface_Emptying &amp; Transport'!AF37</f>
        <v>0</v>
      </c>
      <c r="I47" s="1817"/>
      <c r="J47" s="1817" t="str">
        <f>'Interface_Emptying &amp; Transport'!AH37</f>
        <v>Final destination</v>
      </c>
      <c r="K47" s="1817"/>
      <c r="L47" s="1817" t="str">
        <f>'Interface_Emptying &amp; Transport'!AJ37</f>
        <v>Illegal</v>
      </c>
      <c r="M47" s="1817"/>
      <c r="N47" s="1522">
        <f t="shared" si="7"/>
        <v>0</v>
      </c>
      <c r="O47" s="1522">
        <f t="shared" si="8"/>
        <v>147900</v>
      </c>
      <c r="P47" s="969">
        <f>'Interface_Emptying &amp; Transport'!AL37</f>
        <v>0</v>
      </c>
      <c r="Q47" s="969">
        <f>'Interface_Emptying &amp; Transport'!AM37</f>
        <v>0</v>
      </c>
      <c r="R47" s="969">
        <f>'Interface_Emptying &amp; Transport'!AN37</f>
        <v>0</v>
      </c>
      <c r="S47" s="1510">
        <f>'Interface_Emptying &amp; Transport'!AP37</f>
        <v>0</v>
      </c>
      <c r="T47" s="1510">
        <f>'Interface_Emptying &amp; Transport'!AR37</f>
        <v>0</v>
      </c>
      <c r="U47" s="1522">
        <f>ROUND((IF(T47="Legal",D47+G47,IF(T47="Partly legal - partly illegal",(D47+G47)/2,0)))/25,0)*25</f>
        <v>0</v>
      </c>
      <c r="V47" s="1522">
        <f t="shared" si="4"/>
        <v>0</v>
      </c>
      <c r="X47" s="1518">
        <f t="shared" si="5"/>
        <v>147900</v>
      </c>
      <c r="Y47" s="1518">
        <f t="shared" si="6"/>
        <v>0</v>
      </c>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6"/>
      <c r="BA47" s="136"/>
      <c r="BB47" s="136"/>
      <c r="BC47" s="136"/>
      <c r="BD47" s="136"/>
      <c r="BE47" s="136"/>
      <c r="BF47" s="136"/>
      <c r="BG47" s="136"/>
      <c r="BH47" s="136"/>
      <c r="BI47" s="136"/>
      <c r="BJ47" s="136"/>
      <c r="BK47" s="136"/>
      <c r="BL47" s="136"/>
      <c r="BM47" s="136"/>
      <c r="BN47" s="136"/>
      <c r="BO47" s="136"/>
      <c r="BP47" s="136"/>
      <c r="BQ47" s="136"/>
      <c r="BR47" s="136"/>
      <c r="BS47" s="136"/>
      <c r="BT47" s="136"/>
      <c r="BU47" s="136"/>
      <c r="BV47" s="136"/>
      <c r="BW47" s="136"/>
      <c r="BX47" s="136"/>
      <c r="BY47" s="136"/>
      <c r="BZ47" s="136"/>
      <c r="CA47" s="136"/>
      <c r="CB47" s="136"/>
      <c r="CC47" s="136"/>
      <c r="CD47" s="136"/>
      <c r="CE47" s="136"/>
      <c r="CF47" s="136"/>
      <c r="CG47" s="136"/>
      <c r="CH47" s="136"/>
      <c r="CI47" s="136"/>
    </row>
    <row r="48" spans="1:16383" s="60" customFormat="1" ht="17.149999999999999" customHeight="1" x14ac:dyDescent="0.35">
      <c r="A48" s="953" t="str">
        <f>'Interface_Emptying &amp; Transport'!B38</f>
        <v>Private provider 2 [Name]</v>
      </c>
      <c r="B48" s="1510">
        <f>'Interface_Emptying &amp; Transport'!AA38</f>
        <v>0</v>
      </c>
      <c r="C48" s="1510"/>
      <c r="D48" s="966">
        <f>IF(B48="YES",'Emptying volumes'!L80,0)</f>
        <v>0</v>
      </c>
      <c r="E48" s="971">
        <f>'Interface_Emptying &amp; Transport'!AD38</f>
        <v>0</v>
      </c>
      <c r="F48" s="971">
        <f>'Interface_Emptying &amp; Transport'!AE38</f>
        <v>0</v>
      </c>
      <c r="G48" s="966">
        <f>IF(B48="NO", 'Emptying volumes'!L80,0)</f>
        <v>0</v>
      </c>
      <c r="H48" s="1817">
        <f>'Interface_Emptying &amp; Transport'!AF38</f>
        <v>0</v>
      </c>
      <c r="I48" s="1817"/>
      <c r="J48" s="1817">
        <f>'Interface_Emptying &amp; Transport'!AH38</f>
        <v>0</v>
      </c>
      <c r="K48" s="1817"/>
      <c r="L48" s="1817">
        <f>'Interface_Emptying &amp; Transport'!AJ38</f>
        <v>0</v>
      </c>
      <c r="M48" s="1817"/>
      <c r="N48" s="1522">
        <f t="shared" si="7"/>
        <v>0</v>
      </c>
      <c r="O48" s="1522">
        <f t="shared" si="8"/>
        <v>0</v>
      </c>
      <c r="P48" s="969">
        <f>'Interface_Emptying &amp; Transport'!AL38</f>
        <v>0</v>
      </c>
      <c r="Q48" s="969">
        <f>'Interface_Emptying &amp; Transport'!AM38</f>
        <v>0</v>
      </c>
      <c r="R48" s="969">
        <f>'Interface_Emptying &amp; Transport'!AN38</f>
        <v>0</v>
      </c>
      <c r="S48" s="1510">
        <f>'Interface_Emptying &amp; Transport'!AP38</f>
        <v>0</v>
      </c>
      <c r="T48" s="1510">
        <f>'Interface_Emptying &amp; Transport'!AR38</f>
        <v>0</v>
      </c>
      <c r="U48" s="1522">
        <f>ROUND((IF(T48="Legal",D48+G48,IF(T48="Partly legal partly - illegal",(D48+G48)/2,0)))/25,0)*25</f>
        <v>0</v>
      </c>
      <c r="V48" s="1522">
        <f t="shared" si="4"/>
        <v>0</v>
      </c>
      <c r="X48" s="1518">
        <f t="shared" si="5"/>
        <v>0</v>
      </c>
      <c r="Y48" s="1518">
        <f t="shared" si="6"/>
        <v>0</v>
      </c>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6"/>
      <c r="BA48" s="136"/>
      <c r="BB48" s="136"/>
      <c r="BC48" s="136"/>
      <c r="BD48" s="136"/>
      <c r="BE48" s="136"/>
      <c r="BF48" s="136"/>
      <c r="BG48" s="136"/>
      <c r="BH48" s="136"/>
      <c r="BI48" s="136"/>
      <c r="BJ48" s="136"/>
      <c r="BK48" s="136"/>
      <c r="BL48" s="136"/>
      <c r="BM48" s="136"/>
      <c r="BN48" s="136"/>
      <c r="BO48" s="136"/>
      <c r="BP48" s="136"/>
      <c r="BQ48" s="136"/>
      <c r="BR48" s="136"/>
      <c r="BS48" s="136"/>
      <c r="BT48" s="136"/>
      <c r="BU48" s="136"/>
      <c r="BV48" s="136"/>
      <c r="BW48" s="136"/>
      <c r="BX48" s="136"/>
      <c r="BY48" s="136"/>
      <c r="BZ48" s="136"/>
      <c r="CA48" s="136"/>
      <c r="CB48" s="136"/>
      <c r="CC48" s="136"/>
      <c r="CD48" s="136"/>
      <c r="CE48" s="136"/>
      <c r="CF48" s="136"/>
      <c r="CG48" s="136"/>
      <c r="CH48" s="136"/>
      <c r="CI48" s="136"/>
    </row>
    <row r="49" spans="1:87" s="60" customFormat="1" ht="17.149999999999999" customHeight="1" x14ac:dyDescent="0.35">
      <c r="A49" s="953" t="str">
        <f>'Interface_Emptying &amp; Transport'!B39</f>
        <v>Private provider 3 [Name]</v>
      </c>
      <c r="B49" s="1510">
        <f>'Interface_Emptying &amp; Transport'!AA39</f>
        <v>0</v>
      </c>
      <c r="C49" s="1510"/>
      <c r="D49" s="966">
        <f>IF(B49="YES",'Emptying volumes'!L81,0)</f>
        <v>0</v>
      </c>
      <c r="E49" s="971">
        <f>'Interface_Emptying &amp; Transport'!AD39</f>
        <v>0</v>
      </c>
      <c r="F49" s="971">
        <f>'Interface_Emptying &amp; Transport'!AE39</f>
        <v>0</v>
      </c>
      <c r="G49" s="966">
        <f>IF(B49="NO", 'Emptying volumes'!L81,0)</f>
        <v>0</v>
      </c>
      <c r="H49" s="1817">
        <f>'Interface_Emptying &amp; Transport'!AF39</f>
        <v>0</v>
      </c>
      <c r="I49" s="1817"/>
      <c r="J49" s="1817">
        <f>'Interface_Emptying &amp; Transport'!AH39</f>
        <v>0</v>
      </c>
      <c r="K49" s="1817"/>
      <c r="L49" s="1817">
        <f>'Interface_Emptying &amp; Transport'!AJ39</f>
        <v>0</v>
      </c>
      <c r="M49" s="1817"/>
      <c r="N49" s="1522">
        <f t="shared" si="7"/>
        <v>0</v>
      </c>
      <c r="O49" s="1522">
        <f t="shared" si="8"/>
        <v>0</v>
      </c>
      <c r="P49" s="969">
        <f>'Interface_Emptying &amp; Transport'!AL39</f>
        <v>0</v>
      </c>
      <c r="Q49" s="969">
        <f>'Interface_Emptying &amp; Transport'!AM39</f>
        <v>0</v>
      </c>
      <c r="R49" s="969">
        <f>'Interface_Emptying &amp; Transport'!AN39</f>
        <v>0</v>
      </c>
      <c r="S49" s="1510">
        <f>'Interface_Emptying &amp; Transport'!AP39</f>
        <v>0</v>
      </c>
      <c r="T49" s="1510">
        <f>'Interface_Emptying &amp; Transport'!AR39</f>
        <v>0</v>
      </c>
      <c r="U49" s="1522">
        <f>ROUND((IF(T49="Legal",D49+G49,IF(T49="Partly legal - partly illegal",(D49+G49)/2,0)))/25,0)*25</f>
        <v>0</v>
      </c>
      <c r="V49" s="1522">
        <f t="shared" si="4"/>
        <v>0</v>
      </c>
      <c r="X49" s="1518">
        <f t="shared" si="5"/>
        <v>0</v>
      </c>
      <c r="Y49" s="1518">
        <f t="shared" si="6"/>
        <v>0</v>
      </c>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6"/>
      <c r="BA49" s="136"/>
      <c r="BB49" s="136"/>
      <c r="BC49" s="136"/>
      <c r="BD49" s="136"/>
      <c r="BE49" s="136"/>
      <c r="BF49" s="136"/>
      <c r="BG49" s="136"/>
      <c r="BH49" s="136"/>
      <c r="BI49" s="136"/>
      <c r="BJ49" s="136"/>
      <c r="BK49" s="136"/>
      <c r="BL49" s="136"/>
      <c r="BM49" s="136"/>
      <c r="BN49" s="136"/>
      <c r="BO49" s="136"/>
      <c r="BP49" s="136"/>
      <c r="BQ49" s="136"/>
      <c r="BR49" s="136"/>
      <c r="BS49" s="136"/>
      <c r="BT49" s="136"/>
      <c r="BU49" s="136"/>
      <c r="BV49" s="136"/>
      <c r="BW49" s="136"/>
      <c r="BX49" s="136"/>
      <c r="BY49" s="136"/>
      <c r="BZ49" s="136"/>
      <c r="CA49" s="136"/>
      <c r="CB49" s="136"/>
      <c r="CC49" s="136"/>
      <c r="CD49" s="136"/>
      <c r="CE49" s="136"/>
      <c r="CF49" s="136"/>
      <c r="CG49" s="136"/>
      <c r="CH49" s="136"/>
      <c r="CI49" s="136"/>
    </row>
    <row r="50" spans="1:87" s="60" customFormat="1" ht="17.149999999999999" customHeight="1" x14ac:dyDescent="0.35">
      <c r="A50" s="953" t="str">
        <f>'Interface_Emptying &amp; Transport'!B40</f>
        <v>Private provider 4 [Name]</v>
      </c>
      <c r="B50" s="1510">
        <f>'Interface_Emptying &amp; Transport'!AA40</f>
        <v>0</v>
      </c>
      <c r="C50" s="1510"/>
      <c r="D50" s="966">
        <f>IF(B50="YES",'Emptying volumes'!L82,0)</f>
        <v>0</v>
      </c>
      <c r="E50" s="971">
        <f>'Interface_Emptying &amp; Transport'!AD40</f>
        <v>0</v>
      </c>
      <c r="F50" s="971">
        <f>'Interface_Emptying &amp; Transport'!AE40</f>
        <v>0</v>
      </c>
      <c r="G50" s="966">
        <f>IF(B50="NO", 'Emptying volumes'!L82,0)</f>
        <v>0</v>
      </c>
      <c r="H50" s="1817">
        <f>'Interface_Emptying &amp; Transport'!AF40</f>
        <v>0</v>
      </c>
      <c r="I50" s="1817"/>
      <c r="J50" s="1817">
        <f>'Interface_Emptying &amp; Transport'!AH40</f>
        <v>0</v>
      </c>
      <c r="K50" s="1817"/>
      <c r="L50" s="1817">
        <f>'Interface_Emptying &amp; Transport'!AJ40</f>
        <v>0</v>
      </c>
      <c r="M50" s="1817"/>
      <c r="N50" s="1522">
        <f t="shared" si="7"/>
        <v>0</v>
      </c>
      <c r="O50" s="1522">
        <f t="shared" si="8"/>
        <v>0</v>
      </c>
      <c r="P50" s="969">
        <f>'Interface_Emptying &amp; Transport'!AL40</f>
        <v>0</v>
      </c>
      <c r="Q50" s="969">
        <f>'Interface_Emptying &amp; Transport'!AM40</f>
        <v>0</v>
      </c>
      <c r="R50" s="969">
        <f>'Interface_Emptying &amp; Transport'!AN40</f>
        <v>0</v>
      </c>
      <c r="S50" s="1510">
        <f>'Interface_Emptying &amp; Transport'!AP40</f>
        <v>0</v>
      </c>
      <c r="T50" s="1510">
        <f>'Interface_Emptying &amp; Transport'!AR40</f>
        <v>0</v>
      </c>
      <c r="U50" s="1522">
        <f>ROUND((IF(T50="Legal",D50+G50,IF(T50="Partly legal partly - illegal",(D50+G50)/2,0)))/25,0)*25</f>
        <v>0</v>
      </c>
      <c r="V50" s="1522">
        <f t="shared" si="4"/>
        <v>0</v>
      </c>
      <c r="X50" s="1518">
        <f t="shared" si="5"/>
        <v>0</v>
      </c>
      <c r="Y50" s="1518">
        <f t="shared" si="6"/>
        <v>0</v>
      </c>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6"/>
      <c r="BA50" s="136"/>
      <c r="BB50" s="136"/>
      <c r="BC50" s="136"/>
      <c r="BD50" s="136"/>
      <c r="BE50" s="136"/>
      <c r="BF50" s="136"/>
      <c r="BG50" s="136"/>
      <c r="BH50" s="136"/>
      <c r="BI50" s="136"/>
      <c r="BJ50" s="136"/>
      <c r="BK50" s="136"/>
      <c r="BL50" s="136"/>
      <c r="BM50" s="136"/>
      <c r="BN50" s="136"/>
      <c r="BO50" s="136"/>
      <c r="BP50" s="136"/>
      <c r="BQ50" s="136"/>
      <c r="BR50" s="136"/>
      <c r="BS50" s="136"/>
      <c r="BT50" s="136"/>
      <c r="BU50" s="136"/>
      <c r="BV50" s="136"/>
      <c r="BW50" s="136"/>
      <c r="BX50" s="136"/>
      <c r="BY50" s="136"/>
      <c r="BZ50" s="136"/>
      <c r="CA50" s="136"/>
      <c r="CB50" s="136"/>
      <c r="CC50" s="136"/>
      <c r="CD50" s="136"/>
      <c r="CE50" s="136"/>
      <c r="CF50" s="136"/>
      <c r="CG50" s="136"/>
      <c r="CH50" s="136"/>
      <c r="CI50" s="136"/>
    </row>
    <row r="51" spans="1:87" s="60" customFormat="1" ht="17.149999999999999" customHeight="1" x14ac:dyDescent="0.35">
      <c r="A51" s="953" t="str">
        <f>'Interface_Emptying &amp; Transport'!B41</f>
        <v>Private provider 5 [Name]</v>
      </c>
      <c r="B51" s="1510">
        <f>'Interface_Emptying &amp; Transport'!AA41</f>
        <v>0</v>
      </c>
      <c r="C51" s="1510"/>
      <c r="D51" s="966">
        <f>IF(B51="YES",'Emptying volumes'!L83,0)</f>
        <v>0</v>
      </c>
      <c r="E51" s="971">
        <f>'Interface_Emptying &amp; Transport'!AD41</f>
        <v>0</v>
      </c>
      <c r="F51" s="971">
        <f>'Interface_Emptying &amp; Transport'!AE41</f>
        <v>0</v>
      </c>
      <c r="G51" s="966">
        <f>IF(B51="NO", 'Emptying volumes'!L83,0)</f>
        <v>0</v>
      </c>
      <c r="H51" s="1817">
        <f>'Interface_Emptying &amp; Transport'!AF41</f>
        <v>0</v>
      </c>
      <c r="I51" s="1817"/>
      <c r="J51" s="1817">
        <f>'Interface_Emptying &amp; Transport'!AH41</f>
        <v>0</v>
      </c>
      <c r="K51" s="1817"/>
      <c r="L51" s="1817">
        <f>'Interface_Emptying &amp; Transport'!AJ41</f>
        <v>0</v>
      </c>
      <c r="M51" s="1817"/>
      <c r="N51" s="1522">
        <f t="shared" si="7"/>
        <v>0</v>
      </c>
      <c r="O51" s="1522">
        <f t="shared" si="8"/>
        <v>0</v>
      </c>
      <c r="P51" s="969">
        <f>'Interface_Emptying &amp; Transport'!AL41</f>
        <v>0</v>
      </c>
      <c r="Q51" s="969">
        <f>'Interface_Emptying &amp; Transport'!AM41</f>
        <v>0</v>
      </c>
      <c r="R51" s="969">
        <f>'Interface_Emptying &amp; Transport'!AN41</f>
        <v>0</v>
      </c>
      <c r="S51" s="1510">
        <f>'Interface_Emptying &amp; Transport'!AP41</f>
        <v>0</v>
      </c>
      <c r="T51" s="1510">
        <f>'Interface_Emptying &amp; Transport'!AR41</f>
        <v>0</v>
      </c>
      <c r="U51" s="1522">
        <f>ROUND((IF(T51="Legal",D51+G51,IF(T51="Partly legal - partly illegal",(D51+G51)/2,0)))/25,0)*25</f>
        <v>0</v>
      </c>
      <c r="V51" s="1522">
        <f t="shared" si="4"/>
        <v>0</v>
      </c>
      <c r="X51" s="1518">
        <f t="shared" si="5"/>
        <v>0</v>
      </c>
      <c r="Y51" s="1518">
        <f t="shared" si="6"/>
        <v>0</v>
      </c>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6"/>
      <c r="BA51" s="136"/>
      <c r="BB51" s="136"/>
      <c r="BC51" s="136"/>
      <c r="BD51" s="136"/>
      <c r="BE51" s="136"/>
      <c r="BF51" s="136"/>
      <c r="BG51" s="136"/>
      <c r="BH51" s="136"/>
      <c r="BI51" s="136"/>
      <c r="BJ51" s="136"/>
      <c r="BK51" s="136"/>
      <c r="BL51" s="136"/>
      <c r="BM51" s="136"/>
      <c r="BN51" s="136"/>
      <c r="BO51" s="136"/>
      <c r="BP51" s="136"/>
      <c r="BQ51" s="136"/>
      <c r="BR51" s="136"/>
      <c r="BS51" s="136"/>
      <c r="BT51" s="136"/>
      <c r="BU51" s="136"/>
      <c r="BV51" s="136"/>
      <c r="BW51" s="136"/>
      <c r="BX51" s="136"/>
      <c r="BY51" s="136"/>
      <c r="BZ51" s="136"/>
      <c r="CA51" s="136"/>
      <c r="CB51" s="136"/>
      <c r="CC51" s="136"/>
      <c r="CD51" s="136"/>
      <c r="CE51" s="136"/>
      <c r="CF51" s="136"/>
      <c r="CG51" s="136"/>
      <c r="CH51" s="136"/>
      <c r="CI51" s="136"/>
    </row>
    <row r="52" spans="1:87" s="60" customFormat="1" ht="17.149999999999999" customHeight="1" x14ac:dyDescent="0.35">
      <c r="A52" s="975" t="str">
        <f>'Interface_Emptying &amp; Transport'!B42</f>
        <v>Private provider 6 [Name]</v>
      </c>
      <c r="B52" s="1510">
        <f>'Interface_Emptying &amp; Transport'!AA42</f>
        <v>0</v>
      </c>
      <c r="C52" s="1510"/>
      <c r="D52" s="966">
        <f>IF(B52="YES",'Emptying volumes'!L84,0)</f>
        <v>0</v>
      </c>
      <c r="E52" s="971">
        <f>'Interface_Emptying &amp; Transport'!AD42</f>
        <v>0</v>
      </c>
      <c r="F52" s="971">
        <f>'Interface_Emptying &amp; Transport'!AE42</f>
        <v>0</v>
      </c>
      <c r="G52" s="966">
        <f>IF(B52="NO", 'Emptying volumes'!L84,0)</f>
        <v>0</v>
      </c>
      <c r="H52" s="1817">
        <f>'Interface_Emptying &amp; Transport'!AF42</f>
        <v>0</v>
      </c>
      <c r="I52" s="1817"/>
      <c r="J52" s="1817">
        <f>'Interface_Emptying &amp; Transport'!AH42</f>
        <v>0</v>
      </c>
      <c r="K52" s="1817"/>
      <c r="L52" s="1817">
        <f>'Interface_Emptying &amp; Transport'!AJ42</f>
        <v>0</v>
      </c>
      <c r="M52" s="1817"/>
      <c r="N52" s="1522">
        <f t="shared" si="7"/>
        <v>0</v>
      </c>
      <c r="O52" s="1522">
        <f t="shared" si="8"/>
        <v>0</v>
      </c>
      <c r="P52" s="969">
        <f>'Interface_Emptying &amp; Transport'!AL42</f>
        <v>0</v>
      </c>
      <c r="Q52" s="969">
        <f>'Interface_Emptying &amp; Transport'!AM42</f>
        <v>0</v>
      </c>
      <c r="R52" s="969">
        <f>'Interface_Emptying &amp; Transport'!AN42</f>
        <v>0</v>
      </c>
      <c r="S52" s="1510">
        <f>'Interface_Emptying &amp; Transport'!AP42</f>
        <v>0</v>
      </c>
      <c r="T52" s="1510">
        <f>'Interface_Emptying &amp; Transport'!AR42</f>
        <v>0</v>
      </c>
      <c r="U52" s="1522">
        <f>ROUND((IF(T52="Legal",D52+G52,IF(T52="Partly legal partly - illegal",(D52+G52)/2,0)))/25,0)*25</f>
        <v>0</v>
      </c>
      <c r="V52" s="1522">
        <f t="shared" si="4"/>
        <v>0</v>
      </c>
      <c r="X52" s="1518">
        <f t="shared" si="5"/>
        <v>0</v>
      </c>
      <c r="Y52" s="1518">
        <f t="shared" si="6"/>
        <v>0</v>
      </c>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6"/>
      <c r="BA52" s="136"/>
      <c r="BB52" s="136"/>
      <c r="BC52" s="136"/>
      <c r="BD52" s="136"/>
      <c r="BE52" s="136"/>
      <c r="BF52" s="136"/>
      <c r="BG52" s="136"/>
      <c r="BH52" s="136"/>
      <c r="BI52" s="136"/>
      <c r="BJ52" s="136"/>
      <c r="BK52" s="136"/>
      <c r="BL52" s="136"/>
      <c r="BM52" s="136"/>
      <c r="BN52" s="136"/>
      <c r="BO52" s="136"/>
      <c r="BP52" s="136"/>
      <c r="BQ52" s="136"/>
      <c r="BR52" s="136"/>
      <c r="BS52" s="136"/>
      <c r="BT52" s="136"/>
      <c r="BU52" s="136"/>
      <c r="BV52" s="136"/>
      <c r="BW52" s="136"/>
      <c r="BX52" s="136"/>
      <c r="BY52" s="136"/>
      <c r="BZ52" s="136"/>
      <c r="CA52" s="136"/>
      <c r="CB52" s="136"/>
      <c r="CC52" s="136"/>
      <c r="CD52" s="136"/>
      <c r="CE52" s="136"/>
      <c r="CF52" s="136"/>
      <c r="CG52" s="136"/>
      <c r="CH52" s="136"/>
      <c r="CI52" s="136"/>
    </row>
    <row r="53" spans="1:87" s="136" customFormat="1" ht="17.149999999999999" customHeight="1" x14ac:dyDescent="0.35">
      <c r="A53" s="977" t="s">
        <v>1066</v>
      </c>
      <c r="B53" s="978"/>
      <c r="C53" s="979"/>
      <c r="D53" s="980">
        <f>SUM(D45:D52)</f>
        <v>147900</v>
      </c>
      <c r="E53" s="981"/>
      <c r="F53" s="981"/>
      <c r="G53" s="980">
        <f>SUM(G45:G52)</f>
        <v>0</v>
      </c>
      <c r="H53" s="1824"/>
      <c r="I53" s="1825"/>
      <c r="J53" s="1824"/>
      <c r="K53" s="1825"/>
      <c r="L53" s="1824"/>
      <c r="M53" s="1825"/>
      <c r="N53" s="980">
        <f>SUM(N45:N52)</f>
        <v>0</v>
      </c>
      <c r="O53" s="980">
        <f>SUM(O45:O52)</f>
        <v>147900</v>
      </c>
      <c r="P53" s="982"/>
      <c r="Q53" s="982"/>
      <c r="R53" s="982"/>
      <c r="S53" s="982"/>
      <c r="T53" s="982"/>
      <c r="U53" s="980">
        <f>SUM(U45:U52)</f>
        <v>0</v>
      </c>
      <c r="V53" s="980">
        <f>SUM(V45:V52)</f>
        <v>0</v>
      </c>
      <c r="X53" s="980">
        <f>SUM(X45:X52)</f>
        <v>147900</v>
      </c>
      <c r="Y53" s="980">
        <f>SUM(Y45:Y52)</f>
        <v>0</v>
      </c>
      <c r="Z53" s="980">
        <f>SUM(X53:Y53)</f>
        <v>147900</v>
      </c>
    </row>
    <row r="54" spans="1:87" s="12" customFormat="1" ht="17.149999999999999" customHeight="1" x14ac:dyDescent="0.35">
      <c r="A54" s="949" t="s">
        <v>208</v>
      </c>
      <c r="B54" s="960"/>
      <c r="C54" s="960"/>
      <c r="D54" s="948">
        <f>D43+D53</f>
        <v>147900</v>
      </c>
      <c r="E54" s="960"/>
      <c r="F54" s="960"/>
      <c r="G54" s="948">
        <f>G43+G53</f>
        <v>0</v>
      </c>
      <c r="H54" s="961"/>
      <c r="I54" s="962"/>
      <c r="J54" s="961"/>
      <c r="K54" s="962"/>
      <c r="L54" s="961"/>
      <c r="M54" s="962"/>
      <c r="N54" s="948">
        <f>N43+N53</f>
        <v>0</v>
      </c>
      <c r="O54" s="948">
        <f>O43+O53</f>
        <v>147900</v>
      </c>
      <c r="P54" s="963"/>
      <c r="Q54" s="963"/>
      <c r="R54" s="963"/>
      <c r="S54" s="963"/>
      <c r="T54" s="963"/>
      <c r="U54" s="948">
        <f>U43+U53</f>
        <v>0</v>
      </c>
      <c r="V54" s="948">
        <f>V43+V53</f>
        <v>0</v>
      </c>
      <c r="X54" s="948">
        <f>X43+X53</f>
        <v>147900</v>
      </c>
      <c r="Y54" s="948">
        <f>Y43+Y53</f>
        <v>0</v>
      </c>
      <c r="Z54" s="948">
        <f>SUM(X54:Y54)</f>
        <v>147900</v>
      </c>
    </row>
    <row r="55" spans="1:87" s="136" customFormat="1" ht="17.149999999999999" customHeight="1" x14ac:dyDescent="0.35">
      <c r="A55" s="120"/>
      <c r="B55" s="75"/>
      <c r="C55" s="75"/>
      <c r="D55" s="1821">
        <f>SUM(D54:G54)</f>
        <v>147900</v>
      </c>
      <c r="E55" s="1821"/>
      <c r="F55" s="1821"/>
      <c r="G55" s="1821"/>
      <c r="H55" s="93"/>
      <c r="I55" s="93"/>
      <c r="J55" s="93"/>
      <c r="K55" s="93"/>
      <c r="L55" s="93"/>
      <c r="M55" s="93"/>
      <c r="N55" s="32"/>
      <c r="O55" s="32"/>
      <c r="P55" s="108"/>
      <c r="Q55" s="108"/>
      <c r="R55" s="108"/>
      <c r="S55" s="108"/>
      <c r="T55" s="108"/>
      <c r="U55" s="32"/>
      <c r="V55" s="32"/>
      <c r="X55" s="32"/>
      <c r="Y55" s="32"/>
      <c r="Z55" s="32"/>
    </row>
    <row r="56" spans="1:87" s="136" customFormat="1" ht="17.149999999999999" customHeight="1" x14ac:dyDescent="0.35">
      <c r="A56" s="120"/>
      <c r="B56" s="75"/>
      <c r="C56" s="75"/>
      <c r="D56" s="1822">
        <f>'Emptying volumes'!B132</f>
        <v>147900</v>
      </c>
      <c r="E56" s="1822"/>
      <c r="F56" s="1822"/>
      <c r="G56" s="1822"/>
      <c r="H56" s="93"/>
      <c r="I56" s="93"/>
      <c r="J56" s="93"/>
      <c r="K56" s="93"/>
      <c r="L56" s="93"/>
      <c r="M56" s="93"/>
      <c r="N56" s="32"/>
      <c r="O56" s="32"/>
      <c r="P56" s="108"/>
      <c r="Q56" s="108"/>
      <c r="R56" s="108"/>
      <c r="S56" s="108"/>
      <c r="T56" s="108"/>
      <c r="U56" s="32"/>
      <c r="V56" s="32"/>
      <c r="X56" s="32"/>
      <c r="Y56" s="32"/>
      <c r="Z56" s="32"/>
    </row>
    <row r="57" spans="1:87" s="136" customFormat="1" ht="17.149999999999999" customHeight="1" x14ac:dyDescent="0.35">
      <c r="A57" s="120"/>
      <c r="B57" s="75"/>
      <c r="C57" s="75"/>
      <c r="D57" s="1823" t="str">
        <f>IF(D55=D56,"OK","Not OK")</f>
        <v>OK</v>
      </c>
      <c r="E57" s="1823"/>
      <c r="F57" s="1823"/>
      <c r="G57" s="1823"/>
      <c r="H57" s="93"/>
      <c r="I57" s="93"/>
      <c r="J57" s="93"/>
      <c r="K57" s="93"/>
      <c r="L57" s="93"/>
      <c r="M57" s="93"/>
      <c r="N57" s="32"/>
      <c r="O57" s="32"/>
      <c r="P57" s="108"/>
      <c r="Q57" s="108"/>
      <c r="R57" s="108"/>
      <c r="S57" s="108"/>
      <c r="T57" s="108"/>
      <c r="U57" s="32"/>
      <c r="V57" s="32"/>
      <c r="X57" s="32"/>
      <c r="Y57" s="32"/>
      <c r="Z57" s="32"/>
    </row>
    <row r="58" spans="1:87" s="136" customFormat="1" ht="17.149999999999999" customHeight="1" x14ac:dyDescent="0.35">
      <c r="A58" s="120"/>
      <c r="B58" s="75"/>
      <c r="C58" s="75"/>
      <c r="D58" s="32"/>
      <c r="E58" s="32"/>
      <c r="F58" s="32"/>
      <c r="G58" s="108"/>
      <c r="H58" s="93"/>
      <c r="I58" s="93"/>
      <c r="J58" s="93"/>
      <c r="K58" s="93"/>
      <c r="L58" s="93"/>
      <c r="M58" s="93"/>
      <c r="N58" s="32"/>
      <c r="O58" s="32"/>
      <c r="P58" s="108"/>
      <c r="Q58" s="108"/>
      <c r="R58" s="108"/>
      <c r="S58" s="108"/>
      <c r="T58" s="108"/>
      <c r="U58" s="32"/>
      <c r="V58" s="32"/>
      <c r="X58" s="32"/>
      <c r="Y58" s="32"/>
      <c r="Z58" s="32"/>
    </row>
    <row r="59" spans="1:87" s="3" customFormat="1" ht="17.149999999999999" customHeight="1" x14ac:dyDescent="0.35">
      <c r="A59" s="90" t="s">
        <v>1068</v>
      </c>
      <c r="B59" s="373"/>
      <c r="C59" s="373"/>
      <c r="D59" s="373"/>
      <c r="E59" s="373"/>
      <c r="F59" s="44"/>
      <c r="G59" s="44"/>
      <c r="H59" s="44"/>
      <c r="I59" s="44"/>
      <c r="J59" s="44"/>
      <c r="K59" s="44"/>
      <c r="L59" s="44"/>
      <c r="M59" s="44"/>
      <c r="N59" s="44"/>
      <c r="O59" s="372"/>
      <c r="P59" s="372" t="s">
        <v>1069</v>
      </c>
      <c r="Q59" s="44"/>
      <c r="R59" s="44"/>
      <c r="S59" s="44"/>
      <c r="T59" s="44"/>
      <c r="U59" s="44"/>
      <c r="V59" s="58"/>
    </row>
    <row r="60" spans="1:87" ht="17.149999999999999" customHeight="1" x14ac:dyDescent="0.35">
      <c r="A60" s="71"/>
      <c r="B60" s="72"/>
      <c r="C60" s="72"/>
      <c r="D60" s="72"/>
    </row>
    <row r="61" spans="1:87" ht="17.149999999999999" customHeight="1" x14ac:dyDescent="0.35">
      <c r="A61" s="71"/>
      <c r="B61" s="72"/>
      <c r="C61" s="72"/>
      <c r="D61" s="72"/>
    </row>
    <row r="62" spans="1:87" ht="17.149999999999999" customHeight="1" x14ac:dyDescent="0.35">
      <c r="A62" s="949" t="s">
        <v>362</v>
      </c>
      <c r="B62" s="1509" t="s">
        <v>9</v>
      </c>
      <c r="C62" s="72"/>
      <c r="D62" s="72"/>
    </row>
    <row r="63" spans="1:87" ht="17.149999999999999" customHeight="1" x14ac:dyDescent="0.35">
      <c r="A63" s="168" t="s">
        <v>363</v>
      </c>
      <c r="B63" s="278">
        <f>'Interface_Emptying &amp; Transport'!C48</f>
        <v>0</v>
      </c>
      <c r="C63" s="127"/>
      <c r="D63" s="72"/>
    </row>
    <row r="64" spans="1:87" ht="17.149999999999999" customHeight="1" x14ac:dyDescent="0.35">
      <c r="A64" s="168" t="s">
        <v>364</v>
      </c>
      <c r="B64" s="278">
        <f>'Interface_Emptying &amp; Transport'!C49</f>
        <v>0</v>
      </c>
      <c r="C64" s="127"/>
      <c r="D64" s="72"/>
    </row>
    <row r="65" spans="1:24" ht="17.149999999999999" customHeight="1" x14ac:dyDescent="0.35">
      <c r="A65" s="168" t="s">
        <v>365</v>
      </c>
      <c r="B65" s="278">
        <f>'Interface_Emptying &amp; Transport'!C50</f>
        <v>0</v>
      </c>
      <c r="C65" s="127"/>
      <c r="D65" s="72"/>
    </row>
    <row r="66" spans="1:24" ht="17.149999999999999" customHeight="1" x14ac:dyDescent="0.35">
      <c r="A66" s="168" t="s">
        <v>366</v>
      </c>
      <c r="B66" s="278">
        <f>'Interface_Emptying &amp; Transport'!C51</f>
        <v>0.01</v>
      </c>
      <c r="C66" s="127"/>
      <c r="D66" s="72"/>
    </row>
    <row r="67" spans="1:24" ht="17.149999999999999" customHeight="1" x14ac:dyDescent="0.35">
      <c r="A67" s="168"/>
      <c r="B67" s="278"/>
      <c r="C67" s="127"/>
      <c r="D67" s="72"/>
    </row>
    <row r="68" spans="1:24" ht="17.149999999999999" customHeight="1" x14ac:dyDescent="0.35">
      <c r="A68" s="142" t="s">
        <v>367</v>
      </c>
      <c r="B68" s="411"/>
      <c r="C68" s="127"/>
      <c r="D68" s="72"/>
    </row>
    <row r="69" spans="1:24" ht="17.149999999999999" customHeight="1" x14ac:dyDescent="0.35">
      <c r="A69" s="168" t="s">
        <v>368</v>
      </c>
      <c r="B69" s="278">
        <f>'Interface_Emptying &amp; Transport'!C54</f>
        <v>0.1</v>
      </c>
      <c r="C69" s="127"/>
    </row>
    <row r="70" spans="1:24" ht="17.149999999999999" customHeight="1" x14ac:dyDescent="0.35">
      <c r="A70" s="168" t="s">
        <v>369</v>
      </c>
      <c r="B70" s="278">
        <f>'Interface_Emptying &amp; Transport'!C55</f>
        <v>0</v>
      </c>
      <c r="C70" s="127"/>
    </row>
    <row r="71" spans="1:24" ht="17.149999999999999" customHeight="1" x14ac:dyDescent="0.35">
      <c r="A71" s="2"/>
    </row>
    <row r="72" spans="1:24" ht="17.149999999999999" customHeight="1" x14ac:dyDescent="0.35">
      <c r="A72" s="2"/>
    </row>
    <row r="73" spans="1:24" ht="17.149999999999999" customHeight="1" x14ac:dyDescent="0.35">
      <c r="A73" s="2"/>
      <c r="B73" s="1797" t="s">
        <v>1070</v>
      </c>
      <c r="C73" s="1805"/>
      <c r="D73" s="1805"/>
      <c r="E73" s="1798"/>
      <c r="F73" s="1784" t="s">
        <v>1071</v>
      </c>
      <c r="G73" s="1784"/>
      <c r="H73" s="1784"/>
      <c r="I73" s="1784"/>
      <c r="K73" s="1784" t="s">
        <v>1072</v>
      </c>
      <c r="L73" s="1784"/>
      <c r="M73" s="1784"/>
      <c r="W73" s="98"/>
    </row>
    <row r="74" spans="1:24" ht="17.149999999999999" customHeight="1" x14ac:dyDescent="0.35">
      <c r="A74" s="1834" t="s">
        <v>1049</v>
      </c>
      <c r="B74" s="1814" t="s">
        <v>1073</v>
      </c>
      <c r="C74" s="1815"/>
      <c r="D74" s="1816"/>
      <c r="E74" s="1764" t="s">
        <v>1074</v>
      </c>
      <c r="F74" s="1814" t="s">
        <v>1073</v>
      </c>
      <c r="G74" s="1815"/>
      <c r="H74" s="1816"/>
      <c r="I74" s="1764" t="s">
        <v>1074</v>
      </c>
      <c r="K74" s="1511" t="s">
        <v>1058</v>
      </c>
      <c r="L74" s="1814" t="s">
        <v>355</v>
      </c>
      <c r="M74" s="1816"/>
      <c r="W74" s="98"/>
      <c r="X74" s="98"/>
    </row>
    <row r="75" spans="1:24" ht="29" x14ac:dyDescent="0.35">
      <c r="A75" s="1835"/>
      <c r="B75" s="1511" t="s">
        <v>1075</v>
      </c>
      <c r="C75" s="1511" t="s">
        <v>1076</v>
      </c>
      <c r="D75" s="1511" t="s">
        <v>1077</v>
      </c>
      <c r="E75" s="1766"/>
      <c r="F75" s="1511" t="s">
        <v>1075</v>
      </c>
      <c r="G75" s="1511" t="s">
        <v>1076</v>
      </c>
      <c r="H75" s="1511" t="s">
        <v>1077</v>
      </c>
      <c r="I75" s="1766"/>
      <c r="K75" s="1511" t="s">
        <v>1078</v>
      </c>
      <c r="L75" s="1511" t="s">
        <v>1079</v>
      </c>
      <c r="M75" s="1511" t="s">
        <v>1080</v>
      </c>
      <c r="W75" s="98"/>
      <c r="X75" s="98"/>
    </row>
    <row r="76" spans="1:24" s="60" customFormat="1" ht="13" x14ac:dyDescent="0.35">
      <c r="A76" s="171"/>
      <c r="B76" s="356"/>
      <c r="C76" s="224"/>
      <c r="D76" s="225"/>
      <c r="E76" s="224"/>
      <c r="F76" s="356"/>
      <c r="G76" s="224"/>
      <c r="H76" s="225"/>
      <c r="I76" s="224"/>
      <c r="J76" s="58"/>
      <c r="K76" s="291"/>
      <c r="L76" s="224"/>
      <c r="M76" s="224"/>
      <c r="N76" s="58"/>
      <c r="O76" s="58"/>
      <c r="P76" s="58"/>
      <c r="Q76" s="58"/>
      <c r="R76" s="58"/>
      <c r="S76" s="58"/>
      <c r="T76" s="58"/>
      <c r="U76" s="58"/>
      <c r="V76" s="58"/>
      <c r="W76" s="58"/>
      <c r="X76" s="58"/>
    </row>
    <row r="77" spans="1:24" s="60" customFormat="1" ht="17.149999999999999" customHeight="1" x14ac:dyDescent="0.35">
      <c r="A77" s="155" t="s">
        <v>1063</v>
      </c>
      <c r="B77" s="1522">
        <f t="shared" ref="B77:B84" si="9">N35</f>
        <v>0</v>
      </c>
      <c r="C77" s="1518">
        <f>ROUND((B77*$B$63)/25,0)*25</f>
        <v>0</v>
      </c>
      <c r="D77" s="1518">
        <f t="shared" ref="D77:D84" si="10">B77-C77</f>
        <v>0</v>
      </c>
      <c r="E77" s="1518">
        <f t="shared" ref="E77:E84" si="11">O35</f>
        <v>0</v>
      </c>
      <c r="F77" s="1522">
        <f t="shared" ref="F77:F84" si="12">U35</f>
        <v>0</v>
      </c>
      <c r="G77" s="1518">
        <f>ROUND((F77*$B$63)/25,0)*25</f>
        <v>0</v>
      </c>
      <c r="H77" s="1518">
        <f t="shared" ref="H77:H84" si="13">F77-G77</f>
        <v>0</v>
      </c>
      <c r="I77" s="1518">
        <f t="shared" ref="I77:I84" si="14">V35</f>
        <v>0</v>
      </c>
      <c r="J77" s="58"/>
      <c r="K77" s="1518">
        <f>D77+H77</f>
        <v>0</v>
      </c>
      <c r="L77" s="1518">
        <f>C77+G77</f>
        <v>0</v>
      </c>
      <c r="M77" s="1518">
        <f>E77+I77</f>
        <v>0</v>
      </c>
      <c r="N77" s="58"/>
      <c r="O77" s="58"/>
      <c r="P77" s="58"/>
      <c r="Q77" s="58"/>
      <c r="R77" s="58"/>
      <c r="S77" s="58"/>
      <c r="T77" s="58"/>
      <c r="U77" s="58"/>
      <c r="V77" s="58"/>
      <c r="W77" s="58"/>
      <c r="X77" s="58"/>
    </row>
    <row r="78" spans="1:24" s="60" customFormat="1" ht="17.149999999999999" customHeight="1" x14ac:dyDescent="0.35">
      <c r="A78" s="155" t="s">
        <v>1063</v>
      </c>
      <c r="B78" s="1522">
        <f t="shared" si="9"/>
        <v>0</v>
      </c>
      <c r="C78" s="1518">
        <f>ROUND((B78*$B$63)/25,0)*25</f>
        <v>0</v>
      </c>
      <c r="D78" s="1518">
        <f t="shared" si="10"/>
        <v>0</v>
      </c>
      <c r="E78" s="1518">
        <f t="shared" si="11"/>
        <v>0</v>
      </c>
      <c r="F78" s="1522">
        <f t="shared" si="12"/>
        <v>0</v>
      </c>
      <c r="G78" s="1518">
        <f>ROUND((F78*$B$63)/25,0)*25</f>
        <v>0</v>
      </c>
      <c r="H78" s="1518">
        <f t="shared" si="13"/>
        <v>0</v>
      </c>
      <c r="I78" s="1518">
        <f t="shared" si="14"/>
        <v>0</v>
      </c>
      <c r="J78" s="58"/>
      <c r="K78" s="1518">
        <f t="shared" ref="K78:K87" si="15">D78+H78</f>
        <v>0</v>
      </c>
      <c r="L78" s="1518">
        <f t="shared" ref="L78:L84" si="16">C78+G78</f>
        <v>0</v>
      </c>
      <c r="M78" s="1518">
        <f t="shared" ref="M78:M84" si="17">E78+I78</f>
        <v>0</v>
      </c>
      <c r="N78" s="58"/>
      <c r="O78" s="58"/>
      <c r="P78" s="58"/>
      <c r="Q78" s="58"/>
      <c r="R78" s="58"/>
      <c r="S78" s="58"/>
      <c r="T78" s="58"/>
      <c r="U78" s="58"/>
      <c r="V78" s="58"/>
      <c r="W78" s="58"/>
      <c r="X78" s="58"/>
    </row>
    <row r="79" spans="1:24" s="60" customFormat="1" ht="17.149999999999999" customHeight="1" x14ac:dyDescent="0.35">
      <c r="A79" s="155" t="s">
        <v>1064</v>
      </c>
      <c r="B79" s="1522">
        <f t="shared" si="9"/>
        <v>0</v>
      </c>
      <c r="C79" s="1518">
        <f>ROUND((B79*$B$63)/25,0)*25</f>
        <v>0</v>
      </c>
      <c r="D79" s="1518">
        <f t="shared" si="10"/>
        <v>0</v>
      </c>
      <c r="E79" s="1518">
        <f t="shared" si="11"/>
        <v>0</v>
      </c>
      <c r="F79" s="1522">
        <f t="shared" si="12"/>
        <v>0</v>
      </c>
      <c r="G79" s="1518">
        <f>ROUND((F79*$B$63)/25,0)*25</f>
        <v>0</v>
      </c>
      <c r="H79" s="1518">
        <f t="shared" si="13"/>
        <v>0</v>
      </c>
      <c r="I79" s="1518">
        <f t="shared" si="14"/>
        <v>0</v>
      </c>
      <c r="J79" s="58"/>
      <c r="K79" s="1518">
        <f t="shared" si="15"/>
        <v>0</v>
      </c>
      <c r="L79" s="1518">
        <f t="shared" si="16"/>
        <v>0</v>
      </c>
      <c r="M79" s="1518">
        <f t="shared" si="17"/>
        <v>0</v>
      </c>
      <c r="N79" s="58"/>
      <c r="O79" s="58"/>
      <c r="P79" s="58"/>
      <c r="Q79" s="58"/>
      <c r="R79" s="58"/>
      <c r="S79" s="58"/>
      <c r="T79" s="58"/>
      <c r="U79" s="58"/>
      <c r="V79" s="58"/>
      <c r="W79" s="58"/>
      <c r="X79" s="58"/>
    </row>
    <row r="80" spans="1:24" s="60" customFormat="1" ht="17.149999999999999" customHeight="1" x14ac:dyDescent="0.35">
      <c r="A80" s="155" t="s">
        <v>1064</v>
      </c>
      <c r="B80" s="1522">
        <f t="shared" si="9"/>
        <v>0</v>
      </c>
      <c r="C80" s="1518">
        <f>ROUND((B80*$B$63)/25,0)*25</f>
        <v>0</v>
      </c>
      <c r="D80" s="1518">
        <f t="shared" si="10"/>
        <v>0</v>
      </c>
      <c r="E80" s="1518">
        <f t="shared" si="11"/>
        <v>0</v>
      </c>
      <c r="F80" s="1522">
        <f t="shared" si="12"/>
        <v>0</v>
      </c>
      <c r="G80" s="1518">
        <f>ROUND((F80*$B$63)/25,0)*25</f>
        <v>0</v>
      </c>
      <c r="H80" s="1518">
        <f t="shared" si="13"/>
        <v>0</v>
      </c>
      <c r="I80" s="1518">
        <f t="shared" si="14"/>
        <v>0</v>
      </c>
      <c r="J80" s="58"/>
      <c r="K80" s="1518">
        <f t="shared" si="15"/>
        <v>0</v>
      </c>
      <c r="L80" s="1518">
        <f t="shared" si="16"/>
        <v>0</v>
      </c>
      <c r="M80" s="1518">
        <f t="shared" si="17"/>
        <v>0</v>
      </c>
      <c r="N80" s="58"/>
      <c r="O80" s="58"/>
      <c r="P80" s="58"/>
      <c r="Q80" s="58"/>
      <c r="R80" s="58"/>
      <c r="S80" s="58"/>
      <c r="T80" s="58"/>
      <c r="U80" s="58"/>
      <c r="V80" s="58"/>
      <c r="W80" s="58"/>
      <c r="X80" s="58"/>
    </row>
    <row r="81" spans="1:24" s="60" customFormat="1" ht="17.149999999999999" customHeight="1" x14ac:dyDescent="0.35">
      <c r="A81" s="155" t="s">
        <v>1065</v>
      </c>
      <c r="B81" s="1522">
        <f t="shared" si="9"/>
        <v>0</v>
      </c>
      <c r="C81" s="1518">
        <f>ROUND((B81*$B$64)/25,0)*25</f>
        <v>0</v>
      </c>
      <c r="D81" s="1518">
        <f t="shared" si="10"/>
        <v>0</v>
      </c>
      <c r="E81" s="1518">
        <f t="shared" si="11"/>
        <v>0</v>
      </c>
      <c r="F81" s="1522">
        <f t="shared" si="12"/>
        <v>0</v>
      </c>
      <c r="G81" s="1518">
        <f>ROUND((F81*$B$64)/25,0)*25</f>
        <v>0</v>
      </c>
      <c r="H81" s="1518">
        <f t="shared" si="13"/>
        <v>0</v>
      </c>
      <c r="I81" s="1518">
        <f t="shared" si="14"/>
        <v>0</v>
      </c>
      <c r="J81" s="58"/>
      <c r="K81" s="1518">
        <f t="shared" si="15"/>
        <v>0</v>
      </c>
      <c r="L81" s="1518">
        <f t="shared" si="16"/>
        <v>0</v>
      </c>
      <c r="M81" s="1518">
        <f t="shared" si="17"/>
        <v>0</v>
      </c>
      <c r="N81" s="58"/>
      <c r="O81" s="58"/>
      <c r="P81" s="58"/>
      <c r="Q81" s="58"/>
      <c r="R81" s="58"/>
      <c r="S81" s="58"/>
      <c r="T81" s="58"/>
      <c r="U81" s="58"/>
      <c r="V81" s="58"/>
      <c r="W81" s="58"/>
      <c r="X81" s="58"/>
    </row>
    <row r="82" spans="1:24" s="60" customFormat="1" ht="17.149999999999999" customHeight="1" x14ac:dyDescent="0.35">
      <c r="A82" s="155" t="s">
        <v>1065</v>
      </c>
      <c r="B82" s="1522">
        <f t="shared" si="9"/>
        <v>0</v>
      </c>
      <c r="C82" s="1518">
        <f>ROUND((B82*$B$64)/25,0)*25</f>
        <v>0</v>
      </c>
      <c r="D82" s="1518">
        <f t="shared" si="10"/>
        <v>0</v>
      </c>
      <c r="E82" s="1518">
        <f t="shared" si="11"/>
        <v>0</v>
      </c>
      <c r="F82" s="1522">
        <f t="shared" si="12"/>
        <v>0</v>
      </c>
      <c r="G82" s="1518">
        <f>ROUND((F82*$B$64)/25,0)*25</f>
        <v>0</v>
      </c>
      <c r="H82" s="1518">
        <f t="shared" si="13"/>
        <v>0</v>
      </c>
      <c r="I82" s="1518">
        <f t="shared" si="14"/>
        <v>0</v>
      </c>
      <c r="J82" s="58"/>
      <c r="K82" s="1518">
        <f t="shared" si="15"/>
        <v>0</v>
      </c>
      <c r="L82" s="1518">
        <f t="shared" si="16"/>
        <v>0</v>
      </c>
      <c r="M82" s="1518">
        <f t="shared" si="17"/>
        <v>0</v>
      </c>
      <c r="N82" s="58"/>
      <c r="O82" s="58"/>
      <c r="P82" s="58"/>
      <c r="Q82" s="58"/>
      <c r="R82" s="58"/>
      <c r="S82" s="58"/>
      <c r="T82" s="58"/>
      <c r="U82" s="58"/>
      <c r="V82" s="58"/>
      <c r="W82" s="58"/>
      <c r="X82" s="58"/>
    </row>
    <row r="83" spans="1:24" s="60" customFormat="1" ht="17.149999999999999" customHeight="1" x14ac:dyDescent="0.35">
      <c r="A83" s="155" t="s">
        <v>537</v>
      </c>
      <c r="B83" s="1522">
        <f t="shared" si="9"/>
        <v>0</v>
      </c>
      <c r="C83" s="1518">
        <f>ROUND((B83*$B$64)/25,0)*25</f>
        <v>0</v>
      </c>
      <c r="D83" s="1518">
        <f t="shared" si="10"/>
        <v>0</v>
      </c>
      <c r="E83" s="1518">
        <f t="shared" si="11"/>
        <v>0</v>
      </c>
      <c r="F83" s="1522">
        <f t="shared" si="12"/>
        <v>0</v>
      </c>
      <c r="G83" s="1518">
        <f>ROUND((F83*$B$64)/25,0)*25</f>
        <v>0</v>
      </c>
      <c r="H83" s="1518">
        <f t="shared" si="13"/>
        <v>0</v>
      </c>
      <c r="I83" s="1518">
        <f t="shared" si="14"/>
        <v>0</v>
      </c>
      <c r="J83" s="58"/>
      <c r="K83" s="1518">
        <f t="shared" si="15"/>
        <v>0</v>
      </c>
      <c r="L83" s="1518">
        <f t="shared" si="16"/>
        <v>0</v>
      </c>
      <c r="M83" s="1518">
        <f t="shared" si="17"/>
        <v>0</v>
      </c>
      <c r="N83" s="58"/>
      <c r="O83" s="58"/>
      <c r="P83" s="58"/>
      <c r="Q83" s="58"/>
      <c r="R83" s="58"/>
      <c r="S83" s="58"/>
      <c r="T83" s="58"/>
      <c r="U83" s="58"/>
      <c r="V83" s="58"/>
      <c r="W83" s="58"/>
      <c r="X83" s="58"/>
    </row>
    <row r="84" spans="1:24" s="60" customFormat="1" ht="17.149999999999999" customHeight="1" x14ac:dyDescent="0.35">
      <c r="A84" s="972" t="s">
        <v>537</v>
      </c>
      <c r="B84" s="1522">
        <f t="shared" si="9"/>
        <v>0</v>
      </c>
      <c r="C84" s="1518">
        <f>ROUND((B84*$B$64)/25,0)*25</f>
        <v>0</v>
      </c>
      <c r="D84" s="1518">
        <f t="shared" si="10"/>
        <v>0</v>
      </c>
      <c r="E84" s="1518">
        <f t="shared" si="11"/>
        <v>0</v>
      </c>
      <c r="F84" s="1522">
        <f t="shared" si="12"/>
        <v>0</v>
      </c>
      <c r="G84" s="1518">
        <f>ROUND((F84*$B$64)/25,0)*25</f>
        <v>0</v>
      </c>
      <c r="H84" s="1518">
        <f t="shared" si="13"/>
        <v>0</v>
      </c>
      <c r="I84" s="1518">
        <f t="shared" si="14"/>
        <v>0</v>
      </c>
      <c r="J84" s="58"/>
      <c r="K84" s="1518">
        <f t="shared" si="15"/>
        <v>0</v>
      </c>
      <c r="L84" s="1518">
        <f t="shared" si="16"/>
        <v>0</v>
      </c>
      <c r="M84" s="1518">
        <f t="shared" si="17"/>
        <v>0</v>
      </c>
      <c r="N84" s="58"/>
      <c r="O84" s="58"/>
      <c r="P84" s="58"/>
      <c r="Q84" s="58"/>
      <c r="R84" s="58"/>
      <c r="S84" s="58"/>
      <c r="T84" s="58"/>
      <c r="U84" s="58"/>
      <c r="V84" s="58"/>
      <c r="W84" s="58"/>
      <c r="X84" s="58"/>
    </row>
    <row r="85" spans="1:24" s="3" customFormat="1" ht="17.149999999999999" customHeight="1" x14ac:dyDescent="0.35">
      <c r="A85" s="977" t="s">
        <v>1066</v>
      </c>
      <c r="B85" s="980">
        <f t="shared" ref="B85:I85" si="18">SUM(B77:B84)</f>
        <v>0</v>
      </c>
      <c r="C85" s="980">
        <f t="shared" si="18"/>
        <v>0</v>
      </c>
      <c r="D85" s="980">
        <f t="shared" si="18"/>
        <v>0</v>
      </c>
      <c r="E85" s="980">
        <f t="shared" si="18"/>
        <v>0</v>
      </c>
      <c r="F85" s="980">
        <f t="shared" si="18"/>
        <v>0</v>
      </c>
      <c r="G85" s="980">
        <f t="shared" si="18"/>
        <v>0</v>
      </c>
      <c r="H85" s="980">
        <f t="shared" si="18"/>
        <v>0</v>
      </c>
      <c r="I85" s="980">
        <f t="shared" si="18"/>
        <v>0</v>
      </c>
      <c r="J85" s="4"/>
      <c r="K85" s="980">
        <f>SUM(K77:K84)</f>
        <v>0</v>
      </c>
      <c r="L85" s="980">
        <f>SUM(L77:L84)</f>
        <v>0</v>
      </c>
      <c r="M85" s="980">
        <f>SUM(M77:M84)</f>
        <v>0</v>
      </c>
      <c r="N85" s="980">
        <f>SUM(K85:M85)</f>
        <v>0</v>
      </c>
      <c r="O85" s="148"/>
      <c r="P85" s="4"/>
      <c r="Q85" s="4"/>
      <c r="R85" s="4"/>
      <c r="S85" s="4"/>
      <c r="T85" s="4"/>
      <c r="U85" s="4"/>
      <c r="V85" s="4"/>
      <c r="W85" s="4"/>
      <c r="X85" s="4"/>
    </row>
    <row r="86" spans="1:24" s="60" customFormat="1" ht="17.149999999999999" customHeight="1" x14ac:dyDescent="0.35">
      <c r="A86" s="987"/>
      <c r="B86" s="988"/>
      <c r="C86" s="988"/>
      <c r="D86" s="988"/>
      <c r="E86" s="988"/>
      <c r="F86" s="988"/>
      <c r="G86" s="988"/>
      <c r="H86" s="988"/>
      <c r="I86" s="988"/>
      <c r="J86" s="58"/>
      <c r="K86" s="988"/>
      <c r="L86" s="988"/>
      <c r="M86" s="988"/>
      <c r="N86" s="58"/>
      <c r="O86" s="58"/>
      <c r="P86" s="58"/>
      <c r="Q86" s="58"/>
      <c r="R86" s="58"/>
      <c r="S86" s="58"/>
      <c r="T86" s="58"/>
      <c r="U86" s="58"/>
      <c r="V86" s="58"/>
      <c r="W86" s="58"/>
      <c r="X86" s="58"/>
    </row>
    <row r="87" spans="1:24" s="60" customFormat="1" ht="17.149999999999999" customHeight="1" x14ac:dyDescent="0.35">
      <c r="A87" s="953" t="str">
        <f>A45</f>
        <v>Public provider [Name]</v>
      </c>
      <c r="B87" s="1522">
        <f>N45</f>
        <v>0</v>
      </c>
      <c r="C87" s="1518">
        <f>ROUND((B87*$B$64)/25,0)*25</f>
        <v>0</v>
      </c>
      <c r="D87" s="1518">
        <f>B87-C87</f>
        <v>0</v>
      </c>
      <c r="E87" s="1518">
        <f>O45</f>
        <v>0</v>
      </c>
      <c r="F87" s="1522">
        <f>U45</f>
        <v>0</v>
      </c>
      <c r="G87" s="1518">
        <f>ROUND((F87*$B$64)/25,0)*25</f>
        <v>0</v>
      </c>
      <c r="H87" s="1518">
        <f>F87-G87</f>
        <v>0</v>
      </c>
      <c r="I87" s="1518">
        <f>V45</f>
        <v>0</v>
      </c>
      <c r="J87" s="58"/>
      <c r="K87" s="1518">
        <f t="shared" si="15"/>
        <v>0</v>
      </c>
      <c r="L87" s="1518">
        <f>C87+G87</f>
        <v>0</v>
      </c>
      <c r="M87" s="1518">
        <f>E87+I87</f>
        <v>0</v>
      </c>
      <c r="N87" s="58"/>
      <c r="O87" s="58"/>
      <c r="P87" s="58"/>
      <c r="Q87" s="58"/>
      <c r="R87" s="58"/>
      <c r="S87" s="58"/>
      <c r="T87" s="58"/>
      <c r="U87" s="58"/>
      <c r="V87" s="58"/>
      <c r="W87" s="58"/>
      <c r="X87" s="58"/>
    </row>
    <row r="88" spans="1:24" s="60" customFormat="1" ht="17.149999999999999" customHeight="1" x14ac:dyDescent="0.35">
      <c r="A88" s="953" t="str">
        <f t="shared" ref="A88:A94" si="19">A46</f>
        <v>Public provider [Name]</v>
      </c>
      <c r="B88" s="1522">
        <f t="shared" ref="B88:B94" si="20">N46</f>
        <v>0</v>
      </c>
      <c r="C88" s="1518">
        <f t="shared" ref="C88:C94" si="21">ROUND((B88*$B$64)/25,0)*25</f>
        <v>0</v>
      </c>
      <c r="D88" s="1518">
        <f t="shared" ref="D88:D94" si="22">B88-C88</f>
        <v>0</v>
      </c>
      <c r="E88" s="1518">
        <f t="shared" ref="E88:E94" si="23">O46</f>
        <v>0</v>
      </c>
      <c r="F88" s="1522">
        <f t="shared" ref="F88:F94" si="24">U46</f>
        <v>0</v>
      </c>
      <c r="G88" s="1518">
        <f t="shared" ref="G88:G94" si="25">ROUND((F88*$B$64)/25,0)*25</f>
        <v>0</v>
      </c>
      <c r="H88" s="1518">
        <f t="shared" ref="H88:H94" si="26">F88-G88</f>
        <v>0</v>
      </c>
      <c r="I88" s="1518">
        <f t="shared" ref="I88:I94" si="27">V46</f>
        <v>0</v>
      </c>
      <c r="J88" s="58"/>
      <c r="K88" s="1518">
        <f t="shared" ref="K88:K94" si="28">D88+H88</f>
        <v>0</v>
      </c>
      <c r="L88" s="1518">
        <f t="shared" ref="L88:L94" si="29">C88+G88</f>
        <v>0</v>
      </c>
      <c r="M88" s="1518">
        <f t="shared" ref="M88:M94" si="30">E88+I88</f>
        <v>0</v>
      </c>
      <c r="N88" s="58"/>
      <c r="O88" s="58"/>
      <c r="P88" s="58"/>
      <c r="Q88" s="58"/>
      <c r="R88" s="58"/>
      <c r="S88" s="58"/>
      <c r="T88" s="58"/>
      <c r="U88" s="58"/>
      <c r="V88" s="58"/>
      <c r="W88" s="58"/>
      <c r="X88" s="58"/>
    </row>
    <row r="89" spans="1:24" s="60" customFormat="1" ht="17.149999999999999" customHeight="1" x14ac:dyDescent="0.35">
      <c r="A89" s="953" t="str">
        <f t="shared" si="19"/>
        <v>300 providers (approx)</v>
      </c>
      <c r="B89" s="1522">
        <f t="shared" si="20"/>
        <v>0</v>
      </c>
      <c r="C89" s="1518">
        <f t="shared" si="21"/>
        <v>0</v>
      </c>
      <c r="D89" s="1518">
        <f t="shared" si="22"/>
        <v>0</v>
      </c>
      <c r="E89" s="1518">
        <f t="shared" si="23"/>
        <v>147900</v>
      </c>
      <c r="F89" s="1522">
        <f t="shared" si="24"/>
        <v>0</v>
      </c>
      <c r="G89" s="1518">
        <f t="shared" si="25"/>
        <v>0</v>
      </c>
      <c r="H89" s="1518">
        <f t="shared" si="26"/>
        <v>0</v>
      </c>
      <c r="I89" s="1518">
        <f t="shared" si="27"/>
        <v>0</v>
      </c>
      <c r="J89" s="58"/>
      <c r="K89" s="1518">
        <f t="shared" si="28"/>
        <v>0</v>
      </c>
      <c r="L89" s="1518">
        <f t="shared" si="29"/>
        <v>0</v>
      </c>
      <c r="M89" s="1518">
        <f t="shared" si="30"/>
        <v>147900</v>
      </c>
      <c r="N89" s="58"/>
      <c r="O89" s="58"/>
      <c r="P89" s="58"/>
      <c r="Q89" s="58"/>
      <c r="R89" s="58"/>
      <c r="S89" s="58"/>
      <c r="T89" s="58"/>
      <c r="U89" s="58"/>
      <c r="V89" s="58"/>
      <c r="W89" s="58"/>
      <c r="X89" s="58"/>
    </row>
    <row r="90" spans="1:24" s="60" customFormat="1" ht="17.149999999999999" customHeight="1" x14ac:dyDescent="0.35">
      <c r="A90" s="953" t="str">
        <f t="shared" si="19"/>
        <v>Private provider 2 [Name]</v>
      </c>
      <c r="B90" s="1522">
        <f t="shared" si="20"/>
        <v>0</v>
      </c>
      <c r="C90" s="1518">
        <f t="shared" si="21"/>
        <v>0</v>
      </c>
      <c r="D90" s="1518">
        <f t="shared" si="22"/>
        <v>0</v>
      </c>
      <c r="E90" s="1518">
        <f t="shared" si="23"/>
        <v>0</v>
      </c>
      <c r="F90" s="1522">
        <f t="shared" si="24"/>
        <v>0</v>
      </c>
      <c r="G90" s="1518">
        <f t="shared" si="25"/>
        <v>0</v>
      </c>
      <c r="H90" s="1518">
        <f t="shared" si="26"/>
        <v>0</v>
      </c>
      <c r="I90" s="1518">
        <f t="shared" si="27"/>
        <v>0</v>
      </c>
      <c r="J90" s="58"/>
      <c r="K90" s="1518">
        <f t="shared" si="28"/>
        <v>0</v>
      </c>
      <c r="L90" s="1518">
        <f t="shared" si="29"/>
        <v>0</v>
      </c>
      <c r="M90" s="1518">
        <f t="shared" si="30"/>
        <v>0</v>
      </c>
      <c r="N90" s="58"/>
      <c r="O90" s="58"/>
      <c r="P90" s="58"/>
      <c r="Q90" s="58"/>
      <c r="R90" s="58"/>
      <c r="S90" s="58"/>
      <c r="T90" s="58"/>
      <c r="U90" s="58"/>
      <c r="V90" s="58"/>
      <c r="W90" s="58"/>
      <c r="X90" s="58"/>
    </row>
    <row r="91" spans="1:24" s="60" customFormat="1" ht="17.149999999999999" customHeight="1" x14ac:dyDescent="0.35">
      <c r="A91" s="953" t="str">
        <f t="shared" si="19"/>
        <v>Private provider 3 [Name]</v>
      </c>
      <c r="B91" s="1522">
        <f t="shared" si="20"/>
        <v>0</v>
      </c>
      <c r="C91" s="1518">
        <f t="shared" si="21"/>
        <v>0</v>
      </c>
      <c r="D91" s="1518">
        <f t="shared" si="22"/>
        <v>0</v>
      </c>
      <c r="E91" s="1518">
        <f t="shared" si="23"/>
        <v>0</v>
      </c>
      <c r="F91" s="1522">
        <f t="shared" si="24"/>
        <v>0</v>
      </c>
      <c r="G91" s="1518">
        <f t="shared" si="25"/>
        <v>0</v>
      </c>
      <c r="H91" s="1518">
        <f t="shared" si="26"/>
        <v>0</v>
      </c>
      <c r="I91" s="1518">
        <f t="shared" si="27"/>
        <v>0</v>
      </c>
      <c r="J91" s="58"/>
      <c r="K91" s="1518">
        <f t="shared" si="28"/>
        <v>0</v>
      </c>
      <c r="L91" s="1518">
        <f t="shared" si="29"/>
        <v>0</v>
      </c>
      <c r="M91" s="1518">
        <f t="shared" si="30"/>
        <v>0</v>
      </c>
      <c r="N91" s="58"/>
      <c r="O91" s="58"/>
      <c r="P91" s="58"/>
      <c r="Q91" s="58"/>
      <c r="R91" s="58"/>
      <c r="S91" s="58"/>
      <c r="T91" s="58"/>
      <c r="U91" s="58"/>
      <c r="V91" s="58"/>
      <c r="W91" s="58"/>
      <c r="X91" s="58"/>
    </row>
    <row r="92" spans="1:24" s="60" customFormat="1" ht="17.149999999999999" customHeight="1" x14ac:dyDescent="0.35">
      <c r="A92" s="953" t="str">
        <f t="shared" si="19"/>
        <v>Private provider 4 [Name]</v>
      </c>
      <c r="B92" s="1522">
        <f t="shared" si="20"/>
        <v>0</v>
      </c>
      <c r="C92" s="1518">
        <f t="shared" si="21"/>
        <v>0</v>
      </c>
      <c r="D92" s="1518">
        <f t="shared" si="22"/>
        <v>0</v>
      </c>
      <c r="E92" s="1518">
        <f t="shared" si="23"/>
        <v>0</v>
      </c>
      <c r="F92" s="1522">
        <f t="shared" si="24"/>
        <v>0</v>
      </c>
      <c r="G92" s="1518">
        <f t="shared" si="25"/>
        <v>0</v>
      </c>
      <c r="H92" s="1518">
        <f t="shared" si="26"/>
        <v>0</v>
      </c>
      <c r="I92" s="1518">
        <f t="shared" si="27"/>
        <v>0</v>
      </c>
      <c r="J92" s="58"/>
      <c r="K92" s="1518">
        <f t="shared" si="28"/>
        <v>0</v>
      </c>
      <c r="L92" s="1518">
        <f t="shared" si="29"/>
        <v>0</v>
      </c>
      <c r="M92" s="1518">
        <f t="shared" si="30"/>
        <v>0</v>
      </c>
      <c r="N92" s="58"/>
      <c r="O92" s="58"/>
      <c r="P92" s="58"/>
      <c r="Q92" s="58"/>
      <c r="R92" s="58"/>
      <c r="S92" s="58"/>
      <c r="T92" s="58"/>
      <c r="U92" s="58"/>
      <c r="V92" s="58"/>
      <c r="W92" s="58"/>
      <c r="X92" s="58"/>
    </row>
    <row r="93" spans="1:24" s="60" customFormat="1" ht="17.149999999999999" customHeight="1" x14ac:dyDescent="0.35">
      <c r="A93" s="953" t="str">
        <f t="shared" si="19"/>
        <v>Private provider 5 [Name]</v>
      </c>
      <c r="B93" s="1522">
        <f t="shared" si="20"/>
        <v>0</v>
      </c>
      <c r="C93" s="1518">
        <f t="shared" si="21"/>
        <v>0</v>
      </c>
      <c r="D93" s="1518">
        <f t="shared" si="22"/>
        <v>0</v>
      </c>
      <c r="E93" s="1518">
        <f t="shared" si="23"/>
        <v>0</v>
      </c>
      <c r="F93" s="1522">
        <f t="shared" si="24"/>
        <v>0</v>
      </c>
      <c r="G93" s="1518">
        <f t="shared" si="25"/>
        <v>0</v>
      </c>
      <c r="H93" s="1518">
        <f t="shared" si="26"/>
        <v>0</v>
      </c>
      <c r="I93" s="1518">
        <f t="shared" si="27"/>
        <v>0</v>
      </c>
      <c r="J93" s="58"/>
      <c r="K93" s="1518">
        <f t="shared" si="28"/>
        <v>0</v>
      </c>
      <c r="L93" s="1518">
        <f t="shared" si="29"/>
        <v>0</v>
      </c>
      <c r="M93" s="1518">
        <f t="shared" si="30"/>
        <v>0</v>
      </c>
      <c r="N93" s="58"/>
      <c r="O93" s="58"/>
      <c r="P93" s="58"/>
      <c r="Q93" s="58"/>
      <c r="R93" s="58"/>
      <c r="S93" s="58"/>
      <c r="T93" s="58"/>
      <c r="U93" s="58"/>
      <c r="V93" s="58"/>
      <c r="W93" s="58"/>
      <c r="X93" s="58"/>
    </row>
    <row r="94" spans="1:24" s="60" customFormat="1" ht="17.149999999999999" customHeight="1" x14ac:dyDescent="0.35">
      <c r="A94" s="953" t="str">
        <f t="shared" si="19"/>
        <v>Private provider 6 [Name]</v>
      </c>
      <c r="B94" s="1522">
        <f t="shared" si="20"/>
        <v>0</v>
      </c>
      <c r="C94" s="1518">
        <f t="shared" si="21"/>
        <v>0</v>
      </c>
      <c r="D94" s="1518">
        <f t="shared" si="22"/>
        <v>0</v>
      </c>
      <c r="E94" s="1518">
        <f t="shared" si="23"/>
        <v>0</v>
      </c>
      <c r="F94" s="1522">
        <f t="shared" si="24"/>
        <v>0</v>
      </c>
      <c r="G94" s="1518">
        <f t="shared" si="25"/>
        <v>0</v>
      </c>
      <c r="H94" s="1518">
        <f t="shared" si="26"/>
        <v>0</v>
      </c>
      <c r="I94" s="1518">
        <f t="shared" si="27"/>
        <v>0</v>
      </c>
      <c r="J94" s="58"/>
      <c r="K94" s="1518">
        <f t="shared" si="28"/>
        <v>0</v>
      </c>
      <c r="L94" s="1518">
        <f t="shared" si="29"/>
        <v>0</v>
      </c>
      <c r="M94" s="1518">
        <f t="shared" si="30"/>
        <v>0</v>
      </c>
      <c r="N94" s="58"/>
      <c r="O94" s="58"/>
      <c r="P94" s="58"/>
      <c r="Q94" s="58"/>
      <c r="R94" s="58"/>
      <c r="S94" s="58"/>
      <c r="T94" s="58"/>
      <c r="U94" s="58"/>
      <c r="V94" s="58"/>
      <c r="W94" s="58"/>
      <c r="X94" s="58"/>
    </row>
    <row r="95" spans="1:24" s="3" customFormat="1" ht="17.149999999999999" customHeight="1" x14ac:dyDescent="0.35">
      <c r="A95" s="977" t="s">
        <v>1066</v>
      </c>
      <c r="B95" s="980">
        <f t="shared" ref="B95:I95" si="31">SUM(B87:B94)</f>
        <v>0</v>
      </c>
      <c r="C95" s="980">
        <f t="shared" si="31"/>
        <v>0</v>
      </c>
      <c r="D95" s="980">
        <f t="shared" si="31"/>
        <v>0</v>
      </c>
      <c r="E95" s="980">
        <f t="shared" si="31"/>
        <v>147900</v>
      </c>
      <c r="F95" s="980">
        <f t="shared" si="31"/>
        <v>0</v>
      </c>
      <c r="G95" s="980">
        <f t="shared" si="31"/>
        <v>0</v>
      </c>
      <c r="H95" s="980">
        <f t="shared" si="31"/>
        <v>0</v>
      </c>
      <c r="I95" s="980">
        <f t="shared" si="31"/>
        <v>0</v>
      </c>
      <c r="J95" s="4"/>
      <c r="K95" s="980">
        <f>SUM(K87:K94)</f>
        <v>0</v>
      </c>
      <c r="L95" s="980">
        <f>SUM(L87:L94)</f>
        <v>0</v>
      </c>
      <c r="M95" s="980">
        <f>SUM(M87:M94)</f>
        <v>147900</v>
      </c>
      <c r="N95" s="980">
        <f>SUM(K95:M95)</f>
        <v>147900</v>
      </c>
      <c r="O95" s="148"/>
      <c r="P95" s="4"/>
      <c r="Q95" s="4"/>
      <c r="R95" s="4"/>
      <c r="S95" s="4"/>
      <c r="T95" s="4"/>
      <c r="U95" s="4"/>
      <c r="V95" s="4"/>
      <c r="W95" s="4"/>
      <c r="X95" s="4"/>
    </row>
    <row r="96" spans="1:24" ht="17.149999999999999" customHeight="1" x14ac:dyDescent="0.35">
      <c r="A96" s="949" t="s">
        <v>208</v>
      </c>
      <c r="B96" s="948">
        <f t="shared" ref="B96:I96" si="32">B95+B85</f>
        <v>0</v>
      </c>
      <c r="C96" s="948">
        <f t="shared" si="32"/>
        <v>0</v>
      </c>
      <c r="D96" s="948">
        <f t="shared" si="32"/>
        <v>0</v>
      </c>
      <c r="E96" s="948">
        <f t="shared" si="32"/>
        <v>147900</v>
      </c>
      <c r="F96" s="948">
        <f t="shared" si="32"/>
        <v>0</v>
      </c>
      <c r="G96" s="948">
        <f t="shared" si="32"/>
        <v>0</v>
      </c>
      <c r="H96" s="948">
        <f t="shared" si="32"/>
        <v>0</v>
      </c>
      <c r="I96" s="948">
        <f t="shared" si="32"/>
        <v>0</v>
      </c>
      <c r="K96" s="948">
        <f>K95+K85</f>
        <v>0</v>
      </c>
      <c r="L96" s="948">
        <f>L95+L85</f>
        <v>0</v>
      </c>
      <c r="M96" s="948">
        <f>M95+M85</f>
        <v>147900</v>
      </c>
      <c r="N96" s="948">
        <f>SUM(K96:M96)</f>
        <v>147900</v>
      </c>
      <c r="W96" s="98"/>
    </row>
    <row r="97" spans="1:25" ht="17.149999999999999" customHeight="1" x14ac:dyDescent="0.35">
      <c r="A97" s="2"/>
      <c r="K97" s="454">
        <f>IF($N$96=0,0,K96/$N$96)</f>
        <v>0</v>
      </c>
      <c r="L97" s="454">
        <f>IF($N$96=0,0,L96/$N$96)</f>
        <v>0</v>
      </c>
      <c r="M97" s="454">
        <f>IF($N$96=0,0,M96/$N$96)</f>
        <v>1</v>
      </c>
      <c r="N97" s="454">
        <f>IF($N$96=0,0,N96/$N$96)</f>
        <v>1</v>
      </c>
      <c r="W97" s="98"/>
    </row>
    <row r="98" spans="1:25" ht="17.149999999999999" customHeight="1" x14ac:dyDescent="0.35">
      <c r="A98" s="2"/>
    </row>
    <row r="99" spans="1:25" ht="17.149999999999999" customHeight="1" x14ac:dyDescent="0.35">
      <c r="A99" s="2"/>
    </row>
    <row r="100" spans="1:25" s="115" customFormat="1" ht="17.149999999999999" customHeight="1" x14ac:dyDescent="0.35">
      <c r="A100" s="949" t="s">
        <v>1081</v>
      </c>
      <c r="B100" s="1777" t="s">
        <v>9</v>
      </c>
      <c r="C100" s="1777"/>
      <c r="D100" s="1777"/>
      <c r="E100" s="226"/>
      <c r="F100" s="226"/>
      <c r="G100" s="226"/>
      <c r="H100" s="226"/>
      <c r="I100" s="226"/>
      <c r="J100" s="226"/>
      <c r="K100" s="226"/>
      <c r="L100" s="226"/>
      <c r="M100" s="226"/>
      <c r="N100" s="226"/>
      <c r="O100" s="226"/>
      <c r="P100" s="226"/>
      <c r="Q100" s="226"/>
      <c r="R100" s="226"/>
      <c r="S100" s="226"/>
      <c r="T100" s="226"/>
      <c r="U100" s="226"/>
      <c r="V100" s="226"/>
    </row>
    <row r="101" spans="1:25" s="294" customFormat="1" ht="17.149999999999999" customHeight="1" x14ac:dyDescent="0.35">
      <c r="A101" s="188"/>
      <c r="B101" s="986"/>
      <c r="C101" s="293"/>
      <c r="D101" s="293"/>
      <c r="E101" s="293"/>
      <c r="F101" s="293"/>
      <c r="G101" s="293"/>
      <c r="H101" s="293"/>
      <c r="I101" s="293"/>
      <c r="J101" s="293"/>
      <c r="K101" s="293"/>
      <c r="L101" s="293"/>
      <c r="M101" s="293"/>
      <c r="N101" s="293"/>
      <c r="O101" s="293"/>
      <c r="P101" s="293"/>
      <c r="Q101" s="293"/>
      <c r="R101" s="293"/>
      <c r="S101" s="293"/>
      <c r="T101" s="293"/>
      <c r="U101" s="293"/>
      <c r="V101" s="293"/>
    </row>
    <row r="102" spans="1:25" s="115" customFormat="1" ht="31" x14ac:dyDescent="0.35">
      <c r="A102" s="950" t="s">
        <v>78</v>
      </c>
      <c r="B102" s="1511" t="s">
        <v>1082</v>
      </c>
      <c r="C102" s="1511" t="s">
        <v>1083</v>
      </c>
      <c r="D102" s="1511" t="s">
        <v>1077</v>
      </c>
      <c r="E102" s="226"/>
      <c r="F102" s="226"/>
      <c r="G102" s="226"/>
      <c r="H102" s="226"/>
      <c r="I102" s="226"/>
      <c r="J102" s="226"/>
      <c r="K102" s="226"/>
      <c r="L102" s="226"/>
      <c r="M102" s="226"/>
      <c r="N102" s="226"/>
      <c r="O102" s="226"/>
      <c r="P102" s="226"/>
      <c r="Q102" s="226"/>
      <c r="R102" s="226"/>
      <c r="S102" s="226"/>
      <c r="T102" s="226"/>
      <c r="U102" s="226"/>
      <c r="V102" s="226"/>
    </row>
    <row r="103" spans="1:25" s="60" customFormat="1" ht="13" x14ac:dyDescent="0.35">
      <c r="A103" s="168"/>
      <c r="B103" s="356"/>
      <c r="C103" s="224"/>
      <c r="D103" s="225"/>
      <c r="E103" s="58"/>
      <c r="F103" s="58"/>
      <c r="G103" s="58"/>
      <c r="H103" s="58"/>
      <c r="I103" s="58"/>
      <c r="J103" s="58"/>
      <c r="K103" s="58"/>
      <c r="L103" s="58"/>
      <c r="M103" s="58"/>
      <c r="N103" s="58"/>
      <c r="O103" s="58"/>
      <c r="P103" s="58"/>
      <c r="Q103" s="58"/>
      <c r="R103" s="58"/>
      <c r="S103" s="58"/>
      <c r="T103" s="58"/>
      <c r="U103" s="58"/>
      <c r="V103" s="58"/>
    </row>
    <row r="104" spans="1:25" s="3" customFormat="1" ht="17.149999999999999" customHeight="1" x14ac:dyDescent="0.35">
      <c r="A104" s="143" t="s">
        <v>1084</v>
      </c>
      <c r="B104" s="1520">
        <f>'Emptying volumes'!B137</f>
        <v>25531850</v>
      </c>
      <c r="C104" s="1520">
        <f>ROUND((B104*B69)/25,0)*25</f>
        <v>2553175</v>
      </c>
      <c r="D104" s="53">
        <f>B104-C104</f>
        <v>22978675</v>
      </c>
      <c r="E104" s="4"/>
      <c r="F104" s="4"/>
      <c r="G104" s="4"/>
      <c r="H104" s="4"/>
      <c r="I104" s="4"/>
      <c r="J104" s="4"/>
      <c r="K104" s="4"/>
      <c r="L104" s="4"/>
      <c r="M104" s="4"/>
      <c r="N104" s="4"/>
      <c r="O104" s="4"/>
      <c r="P104" s="4"/>
      <c r="Q104" s="4"/>
      <c r="R104" s="4"/>
      <c r="S104" s="4"/>
      <c r="T104" s="4"/>
      <c r="U104" s="4"/>
      <c r="V104" s="4"/>
    </row>
    <row r="105" spans="1:25" s="3" customFormat="1" ht="17.149999999999999" customHeight="1" x14ac:dyDescent="0.35">
      <c r="A105" s="143" t="s">
        <v>1085</v>
      </c>
      <c r="B105" s="1520">
        <f>'Emptying volumes'!B138</f>
        <v>0</v>
      </c>
      <c r="C105" s="1521">
        <f>ROUND((B105*B70)/25,0)*25</f>
        <v>0</v>
      </c>
      <c r="D105" s="53">
        <f>B105-C105</f>
        <v>0</v>
      </c>
      <c r="E105" s="4"/>
      <c r="F105" s="4"/>
      <c r="G105" s="4"/>
      <c r="H105" s="4"/>
      <c r="I105" s="4"/>
      <c r="J105" s="4"/>
      <c r="K105" s="4"/>
      <c r="L105" s="4"/>
      <c r="M105" s="4"/>
      <c r="N105" s="4"/>
      <c r="O105" s="4"/>
      <c r="P105" s="4"/>
      <c r="Q105" s="4"/>
      <c r="R105" s="4"/>
      <c r="S105" s="4"/>
      <c r="T105" s="4"/>
      <c r="U105" s="4"/>
      <c r="V105" s="4"/>
    </row>
    <row r="106" spans="1:25" s="3" customFormat="1" ht="17.149999999999999" customHeight="1" x14ac:dyDescent="0.35">
      <c r="A106" s="143" t="s">
        <v>1086</v>
      </c>
      <c r="B106" s="1520">
        <f>'Emptying volumes'!B139</f>
        <v>6158000</v>
      </c>
      <c r="C106" s="1521"/>
      <c r="D106" s="53">
        <f>B106-C106</f>
        <v>6158000</v>
      </c>
      <c r="E106" s="4"/>
      <c r="F106" s="4"/>
      <c r="G106" s="4"/>
      <c r="H106" s="4"/>
      <c r="I106" s="4"/>
      <c r="J106" s="4"/>
      <c r="K106" s="4"/>
      <c r="L106" s="4"/>
      <c r="M106" s="4"/>
      <c r="N106" s="4"/>
      <c r="O106" s="4"/>
      <c r="P106" s="4"/>
      <c r="Q106" s="4"/>
      <c r="R106" s="4"/>
      <c r="S106" s="4"/>
      <c r="T106" s="4"/>
      <c r="U106" s="4"/>
      <c r="V106" s="4"/>
    </row>
    <row r="107" spans="1:25" ht="17.149999999999999" customHeight="1" x14ac:dyDescent="0.35">
      <c r="A107" s="949" t="s">
        <v>208</v>
      </c>
      <c r="B107" s="948">
        <f>SUM(B104:B106)</f>
        <v>31689850</v>
      </c>
      <c r="C107" s="948">
        <f>SUM(C104:C106)</f>
        <v>2553175</v>
      </c>
      <c r="D107" s="948">
        <f>SUM(D104:D106)</f>
        <v>29136675</v>
      </c>
    </row>
    <row r="108" spans="1:25" ht="17.149999999999999" customHeight="1" x14ac:dyDescent="0.35">
      <c r="A108" s="2"/>
    </row>
    <row r="109" spans="1:25" ht="17.149999999999999" customHeight="1" x14ac:dyDescent="0.35">
      <c r="A109" s="2"/>
    </row>
    <row r="110" spans="1:25" ht="17.149999999999999" customHeight="1" x14ac:dyDescent="0.35">
      <c r="A110" s="120"/>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07"/>
      <c r="X110" s="107"/>
      <c r="Y110" s="107"/>
    </row>
    <row r="111" spans="1:25" ht="17.149999999999999" customHeight="1" x14ac:dyDescent="0.35">
      <c r="A111" s="949" t="s">
        <v>968</v>
      </c>
      <c r="B111" s="1504" t="s">
        <v>9</v>
      </c>
      <c r="C111" s="196"/>
      <c r="D111" s="196"/>
      <c r="E111" s="196"/>
      <c r="F111" s="196"/>
      <c r="G111" s="196"/>
      <c r="H111" s="196"/>
      <c r="I111" s="196"/>
      <c r="J111" s="196"/>
      <c r="K111" s="196"/>
      <c r="L111" s="196"/>
      <c r="M111" s="196"/>
      <c r="N111" s="196"/>
      <c r="O111" s="196"/>
      <c r="P111" s="196"/>
      <c r="Q111" s="196"/>
      <c r="R111" s="196"/>
      <c r="S111" s="196"/>
      <c r="T111" s="196"/>
      <c r="U111" s="196"/>
      <c r="V111" s="196"/>
      <c r="W111" s="107"/>
      <c r="X111" s="107"/>
      <c r="Y111" s="107"/>
    </row>
    <row r="112" spans="1:25" s="185" customFormat="1" ht="10.5" x14ac:dyDescent="0.35">
      <c r="A112" s="237"/>
      <c r="B112" s="222"/>
      <c r="C112" s="286"/>
      <c r="D112" s="286"/>
      <c r="E112" s="286"/>
      <c r="F112" s="286"/>
      <c r="G112" s="286"/>
      <c r="H112" s="286"/>
      <c r="I112" s="282"/>
      <c r="J112" s="283"/>
      <c r="K112" s="283"/>
      <c r="L112" s="283"/>
      <c r="M112" s="283"/>
      <c r="N112" s="283"/>
      <c r="O112" s="283"/>
      <c r="P112" s="283"/>
      <c r="Q112" s="283"/>
      <c r="R112" s="283"/>
      <c r="S112" s="283"/>
      <c r="T112" s="283"/>
      <c r="U112" s="283"/>
      <c r="V112" s="283"/>
      <c r="W112" s="285"/>
      <c r="X112" s="285"/>
      <c r="Y112" s="285"/>
    </row>
    <row r="113" spans="1:25" ht="17.149999999999999" customHeight="1" x14ac:dyDescent="0.35">
      <c r="A113" s="80"/>
      <c r="B113" s="1513" t="s">
        <v>841</v>
      </c>
      <c r="C113" s="85"/>
      <c r="D113" s="85"/>
      <c r="E113" s="198"/>
      <c r="F113" s="85"/>
      <c r="G113" s="85"/>
      <c r="H113" s="198"/>
      <c r="I113" s="198"/>
      <c r="J113" s="198"/>
      <c r="K113" s="198"/>
      <c r="L113" s="198"/>
      <c r="M113" s="198"/>
      <c r="N113" s="347"/>
      <c r="O113" s="198"/>
      <c r="P113" s="196"/>
      <c r="Q113" s="196"/>
      <c r="R113" s="196"/>
      <c r="S113" s="196"/>
      <c r="T113" s="196"/>
      <c r="U113" s="196"/>
      <c r="V113" s="196"/>
      <c r="W113" s="107"/>
      <c r="X113" s="107"/>
      <c r="Y113" s="107"/>
    </row>
    <row r="114" spans="1:25" s="185" customFormat="1" ht="10.5" x14ac:dyDescent="0.35">
      <c r="A114" s="237"/>
      <c r="B114" s="222"/>
      <c r="C114" s="286"/>
      <c r="D114" s="286"/>
      <c r="E114" s="286"/>
      <c r="F114" s="286"/>
      <c r="G114" s="286"/>
      <c r="H114" s="286"/>
      <c r="I114" s="282"/>
      <c r="J114" s="283"/>
      <c r="K114" s="283"/>
      <c r="L114" s="283"/>
      <c r="M114" s="283"/>
      <c r="N114" s="283"/>
      <c r="O114" s="283"/>
      <c r="P114" s="283"/>
      <c r="Q114" s="283"/>
      <c r="R114" s="283"/>
      <c r="S114" s="283"/>
      <c r="T114" s="283"/>
      <c r="U114" s="283"/>
      <c r="V114" s="283"/>
      <c r="W114" s="285"/>
      <c r="X114" s="285"/>
      <c r="Y114" s="285"/>
    </row>
    <row r="115" spans="1:25" ht="17.149999999999999" customHeight="1" x14ac:dyDescent="0.35">
      <c r="A115" s="206" t="s">
        <v>1036</v>
      </c>
      <c r="B115" s="207">
        <f>B116</f>
        <v>0</v>
      </c>
      <c r="C115" s="85"/>
      <c r="D115" s="85"/>
      <c r="E115" s="199"/>
      <c r="F115" s="36"/>
      <c r="G115" s="36"/>
      <c r="H115" s="199"/>
      <c r="I115" s="199"/>
      <c r="J115" s="199"/>
      <c r="K115" s="199"/>
      <c r="L115" s="66"/>
      <c r="M115" s="66"/>
      <c r="N115" s="44"/>
      <c r="O115" s="66"/>
      <c r="P115" s="196"/>
      <c r="Q115" s="196"/>
      <c r="R115" s="196"/>
      <c r="S115" s="196"/>
      <c r="T115" s="196"/>
      <c r="U115" s="196"/>
      <c r="V115" s="196"/>
      <c r="W115" s="107"/>
      <c r="X115" s="107"/>
      <c r="Y115" s="107"/>
    </row>
    <row r="116" spans="1:25" ht="17.149999999999999" customHeight="1" x14ac:dyDescent="0.35">
      <c r="A116" s="149" t="s">
        <v>1087</v>
      </c>
      <c r="B116" s="296">
        <f>K96</f>
        <v>0</v>
      </c>
      <c r="C116" s="107"/>
      <c r="D116" s="302"/>
      <c r="E116" s="196"/>
      <c r="F116" s="107"/>
      <c r="G116" s="107"/>
      <c r="H116" s="196"/>
      <c r="I116" s="196"/>
      <c r="J116" s="196"/>
      <c r="K116" s="196"/>
      <c r="L116" s="44"/>
      <c r="M116" s="44"/>
      <c r="N116" s="44"/>
      <c r="O116" s="44"/>
      <c r="P116" s="196"/>
      <c r="Q116" s="196"/>
      <c r="R116" s="196"/>
      <c r="S116" s="196"/>
      <c r="T116" s="196"/>
      <c r="U116" s="196"/>
      <c r="V116" s="196"/>
      <c r="W116" s="107"/>
      <c r="X116" s="107"/>
      <c r="Y116" s="107"/>
    </row>
    <row r="117" spans="1:25" ht="17.149999999999999" customHeight="1" x14ac:dyDescent="0.35">
      <c r="A117" s="289"/>
      <c r="B117" s="290"/>
      <c r="C117" s="107"/>
      <c r="D117" s="107"/>
      <c r="E117" s="196"/>
      <c r="F117" s="107"/>
      <c r="G117" s="107"/>
      <c r="H117" s="196"/>
      <c r="I117" s="196"/>
      <c r="J117" s="196"/>
      <c r="K117" s="196"/>
      <c r="L117" s="89"/>
      <c r="M117" s="89"/>
      <c r="N117" s="89"/>
      <c r="O117" s="89"/>
      <c r="P117" s="196"/>
      <c r="Q117" s="196"/>
      <c r="R117" s="196"/>
      <c r="S117" s="196"/>
      <c r="T117" s="196"/>
      <c r="U117" s="196"/>
      <c r="V117" s="196"/>
      <c r="W117" s="107"/>
      <c r="X117" s="107"/>
      <c r="Y117" s="107"/>
    </row>
    <row r="118" spans="1:25" ht="17.149999999999999" customHeight="1" x14ac:dyDescent="0.35">
      <c r="A118" s="206" t="s">
        <v>1038</v>
      </c>
      <c r="B118" s="207">
        <f>SUM(B119:B121)</f>
        <v>29136675</v>
      </c>
      <c r="C118" s="196"/>
      <c r="D118" s="196"/>
      <c r="E118" s="196"/>
      <c r="F118" s="196"/>
      <c r="G118" s="196"/>
      <c r="H118" s="196"/>
      <c r="I118" s="196"/>
      <c r="J118" s="196"/>
      <c r="K118" s="196"/>
      <c r="L118" s="44"/>
      <c r="M118" s="44"/>
      <c r="N118" s="10"/>
      <c r="O118" s="10"/>
      <c r="P118" s="196"/>
      <c r="Q118" s="196"/>
      <c r="R118" s="196"/>
      <c r="S118" s="196"/>
      <c r="T118" s="196"/>
      <c r="U118" s="196"/>
      <c r="V118" s="196"/>
      <c r="W118" s="107"/>
      <c r="X118" s="107"/>
      <c r="Y118" s="107"/>
    </row>
    <row r="119" spans="1:25" ht="17.149999999999999" customHeight="1" x14ac:dyDescent="0.35">
      <c r="A119" s="149" t="s">
        <v>1088</v>
      </c>
      <c r="B119" s="297">
        <f>D104</f>
        <v>22978675</v>
      </c>
      <c r="C119" s="196"/>
      <c r="D119" s="196"/>
      <c r="E119" s="196"/>
      <c r="F119" s="196"/>
      <c r="G119" s="196"/>
      <c r="H119" s="196"/>
      <c r="I119" s="196"/>
      <c r="J119" s="196"/>
      <c r="K119" s="196"/>
      <c r="L119" s="196"/>
      <c r="M119" s="196"/>
      <c r="N119" s="196"/>
      <c r="O119" s="196"/>
      <c r="P119" s="196"/>
      <c r="Q119" s="196"/>
      <c r="R119" s="196"/>
      <c r="S119" s="196"/>
      <c r="T119" s="196"/>
      <c r="U119" s="196"/>
      <c r="V119" s="196"/>
      <c r="W119" s="107"/>
      <c r="X119" s="107"/>
      <c r="Y119" s="107"/>
    </row>
    <row r="120" spans="1:25" ht="17.149999999999999" customHeight="1" x14ac:dyDescent="0.35">
      <c r="A120" s="149" t="s">
        <v>1089</v>
      </c>
      <c r="B120" s="297">
        <f>D105</f>
        <v>0</v>
      </c>
      <c r="C120" s="78"/>
      <c r="D120" s="196"/>
      <c r="E120" s="78"/>
      <c r="F120" s="78"/>
      <c r="G120" s="78"/>
      <c r="H120" s="78"/>
      <c r="I120" s="347"/>
      <c r="J120" s="196"/>
      <c r="K120" s="196"/>
      <c r="L120" s="66"/>
      <c r="M120" s="66"/>
      <c r="N120" s="44"/>
      <c r="O120" s="44"/>
      <c r="P120" s="196"/>
      <c r="Q120" s="196"/>
      <c r="R120" s="196"/>
      <c r="S120" s="196"/>
      <c r="T120" s="196"/>
      <c r="U120" s="196"/>
      <c r="V120" s="196"/>
      <c r="W120" s="107"/>
      <c r="X120" s="107"/>
      <c r="Y120" s="107"/>
    </row>
    <row r="121" spans="1:25" ht="17.149999999999999" customHeight="1" x14ac:dyDescent="0.35">
      <c r="A121" s="149" t="s">
        <v>1090</v>
      </c>
      <c r="B121" s="297">
        <f>D106</f>
        <v>6158000</v>
      </c>
      <c r="C121" s="85"/>
      <c r="D121" s="196"/>
      <c r="E121" s="198"/>
      <c r="F121" s="85"/>
      <c r="G121" s="85"/>
      <c r="H121" s="198"/>
      <c r="I121" s="198"/>
      <c r="J121" s="198"/>
      <c r="K121" s="198"/>
      <c r="L121" s="198"/>
      <c r="M121" s="198"/>
      <c r="N121" s="347"/>
      <c r="O121" s="198"/>
      <c r="P121" s="196"/>
      <c r="Q121" s="78"/>
      <c r="R121" s="78"/>
      <c r="S121" s="78"/>
      <c r="T121" s="347"/>
      <c r="U121" s="196"/>
      <c r="V121" s="196"/>
      <c r="W121" s="107"/>
      <c r="X121" s="107"/>
      <c r="Y121" s="107"/>
    </row>
    <row r="122" spans="1:25" ht="17.149999999999999" customHeight="1" x14ac:dyDescent="0.35">
      <c r="A122" s="145"/>
      <c r="B122" s="156"/>
      <c r="C122" s="85"/>
      <c r="D122" s="85"/>
      <c r="E122" s="199"/>
      <c r="F122" s="36"/>
      <c r="G122" s="36"/>
      <c r="H122" s="199"/>
      <c r="I122" s="199"/>
      <c r="J122" s="199"/>
      <c r="K122" s="199"/>
      <c r="L122" s="66"/>
      <c r="M122" s="66"/>
      <c r="N122" s="44"/>
      <c r="O122" s="66"/>
      <c r="P122" s="196"/>
      <c r="Q122" s="101"/>
      <c r="R122" s="101"/>
      <c r="S122" s="101"/>
      <c r="T122" s="101"/>
      <c r="U122" s="196"/>
      <c r="V122" s="196"/>
      <c r="W122" s="107"/>
      <c r="X122" s="107"/>
      <c r="Y122" s="107"/>
    </row>
    <row r="123" spans="1:25" ht="17.149999999999999" customHeight="1" x14ac:dyDescent="0.35">
      <c r="A123" s="208" t="s">
        <v>1042</v>
      </c>
      <c r="B123" s="209">
        <f>SUM(B124:B125)</f>
        <v>147900</v>
      </c>
      <c r="C123" s="107"/>
      <c r="D123" s="107"/>
      <c r="E123" s="196"/>
      <c r="F123" s="107"/>
      <c r="G123" s="107"/>
      <c r="H123" s="196"/>
      <c r="I123" s="196"/>
      <c r="J123" s="196"/>
      <c r="K123" s="196"/>
      <c r="L123" s="44"/>
      <c r="M123" s="44"/>
      <c r="N123" s="44"/>
      <c r="O123" s="44"/>
      <c r="P123" s="196"/>
      <c r="Q123" s="196"/>
      <c r="R123" s="196"/>
      <c r="S123" s="196"/>
      <c r="T123" s="196"/>
      <c r="U123" s="196"/>
      <c r="V123" s="196"/>
      <c r="W123" s="107"/>
      <c r="X123" s="107"/>
      <c r="Y123" s="107"/>
    </row>
    <row r="124" spans="1:25" ht="17.149999999999999" customHeight="1" x14ac:dyDescent="0.35">
      <c r="A124" s="298" t="s">
        <v>1091</v>
      </c>
      <c r="B124" s="297">
        <f>L96</f>
        <v>0</v>
      </c>
      <c r="C124" s="70"/>
      <c r="D124" s="70"/>
      <c r="E124" s="195"/>
      <c r="F124" s="70"/>
      <c r="G124" s="70"/>
      <c r="H124" s="195"/>
      <c r="I124" s="195"/>
      <c r="J124" s="195"/>
      <c r="K124" s="195"/>
      <c r="L124" s="89"/>
      <c r="M124" s="89"/>
      <c r="N124" s="89"/>
      <c r="O124" s="89"/>
      <c r="P124" s="196"/>
      <c r="Q124" s="196"/>
      <c r="R124" s="196"/>
      <c r="S124" s="196"/>
      <c r="T124" s="196"/>
      <c r="U124" s="196"/>
      <c r="V124" s="196"/>
      <c r="W124" s="107"/>
      <c r="X124" s="107"/>
      <c r="Y124" s="107"/>
    </row>
    <row r="125" spans="1:25" ht="17.149999999999999" customHeight="1" x14ac:dyDescent="0.35">
      <c r="A125" s="299" t="s">
        <v>1092</v>
      </c>
      <c r="B125" s="297">
        <f>M96</f>
        <v>147900</v>
      </c>
      <c r="C125" s="107"/>
      <c r="D125" s="107"/>
      <c r="E125" s="196"/>
      <c r="F125" s="107"/>
      <c r="G125" s="107"/>
      <c r="H125" s="196"/>
      <c r="I125" s="196"/>
      <c r="J125" s="196"/>
      <c r="K125" s="196"/>
      <c r="L125" s="44"/>
      <c r="M125" s="44"/>
      <c r="N125" s="44"/>
      <c r="O125" s="44"/>
      <c r="P125" s="196"/>
      <c r="Q125" s="196"/>
      <c r="R125" s="196"/>
      <c r="S125" s="196"/>
      <c r="T125" s="196"/>
      <c r="U125" s="196"/>
      <c r="V125" s="196"/>
      <c r="W125" s="107"/>
      <c r="X125" s="107"/>
      <c r="Y125" s="107"/>
    </row>
    <row r="126" spans="1:25" ht="17.149999999999999" customHeight="1" x14ac:dyDescent="0.35">
      <c r="A126" s="145"/>
      <c r="B126" s="156"/>
      <c r="C126" s="107"/>
      <c r="D126" s="107"/>
      <c r="E126" s="196"/>
      <c r="F126" s="107"/>
      <c r="G126" s="107"/>
      <c r="H126" s="196"/>
      <c r="I126" s="196"/>
      <c r="J126" s="196"/>
      <c r="K126" s="196"/>
      <c r="L126" s="44"/>
      <c r="M126" s="44"/>
      <c r="N126" s="44"/>
      <c r="O126" s="44"/>
      <c r="P126" s="196"/>
      <c r="Q126" s="196"/>
      <c r="R126" s="196"/>
      <c r="S126" s="196"/>
      <c r="T126" s="196"/>
      <c r="U126" s="196"/>
      <c r="V126" s="196"/>
      <c r="W126" s="107"/>
      <c r="X126" s="107"/>
      <c r="Y126" s="107"/>
    </row>
    <row r="127" spans="1:25" ht="17.149999999999999" customHeight="1" x14ac:dyDescent="0.35">
      <c r="A127" s="208" t="s">
        <v>1045</v>
      </c>
      <c r="B127" s="209">
        <f>SUM(B128:B129)</f>
        <v>2553175</v>
      </c>
      <c r="C127" s="196"/>
      <c r="D127" s="196"/>
      <c r="E127" s="196"/>
      <c r="F127" s="196"/>
      <c r="G127" s="196"/>
      <c r="H127" s="196"/>
      <c r="I127" s="196"/>
      <c r="J127" s="196"/>
      <c r="K127" s="196"/>
      <c r="L127" s="44"/>
      <c r="M127" s="44"/>
      <c r="N127" s="10"/>
      <c r="O127" s="10"/>
      <c r="P127" s="196"/>
      <c r="Q127" s="196"/>
      <c r="R127" s="196"/>
      <c r="S127" s="196"/>
      <c r="T127" s="196"/>
      <c r="U127" s="196"/>
      <c r="V127" s="196"/>
      <c r="W127" s="107"/>
      <c r="X127" s="107"/>
      <c r="Y127" s="107"/>
    </row>
    <row r="128" spans="1:25" ht="17.149999999999999" customHeight="1" x14ac:dyDescent="0.35">
      <c r="A128" s="149" t="s">
        <v>1093</v>
      </c>
      <c r="B128" s="297">
        <f>C104</f>
        <v>2553175</v>
      </c>
      <c r="C128" s="347"/>
      <c r="D128" s="196"/>
      <c r="E128" s="196"/>
      <c r="F128" s="196"/>
      <c r="G128" s="196"/>
      <c r="H128" s="196"/>
      <c r="I128" s="196"/>
      <c r="J128" s="196"/>
      <c r="K128" s="196"/>
      <c r="L128" s="44"/>
      <c r="M128" s="44"/>
      <c r="N128" s="10"/>
      <c r="O128" s="10"/>
      <c r="P128" s="196"/>
      <c r="Q128" s="196"/>
      <c r="R128" s="196"/>
      <c r="S128" s="196"/>
      <c r="T128" s="196"/>
      <c r="U128" s="196"/>
      <c r="V128" s="196"/>
      <c r="W128" s="107"/>
      <c r="X128" s="107"/>
      <c r="Y128" s="107"/>
    </row>
    <row r="129" spans="1:25" ht="17.149999999999999" customHeight="1" x14ac:dyDescent="0.35">
      <c r="A129" s="149" t="s">
        <v>1094</v>
      </c>
      <c r="B129" s="297">
        <f>C105</f>
        <v>0</v>
      </c>
      <c r="C129" s="196"/>
      <c r="D129" s="196"/>
      <c r="E129" s="125"/>
      <c r="F129" s="196"/>
      <c r="G129" s="196"/>
      <c r="H129" s="196"/>
      <c r="I129" s="196"/>
      <c r="J129" s="196"/>
      <c r="K129" s="196"/>
      <c r="L129" s="44"/>
      <c r="M129" s="44"/>
      <c r="N129" s="10"/>
      <c r="O129" s="10"/>
      <c r="P129" s="196"/>
      <c r="Q129" s="196"/>
      <c r="R129" s="196"/>
      <c r="S129" s="196"/>
      <c r="T129" s="196"/>
      <c r="U129" s="196"/>
      <c r="V129" s="196"/>
      <c r="W129" s="107"/>
      <c r="X129" s="107"/>
      <c r="Y129" s="107"/>
    </row>
    <row r="130" spans="1:25" ht="17.149999999999999" customHeight="1" x14ac:dyDescent="0.35">
      <c r="A130" s="107"/>
      <c r="B130" s="196"/>
      <c r="C130" s="196"/>
      <c r="D130" s="196"/>
      <c r="E130" s="196"/>
      <c r="F130" s="196"/>
      <c r="G130" s="196"/>
      <c r="H130" s="196"/>
      <c r="I130" s="196"/>
      <c r="J130" s="196"/>
      <c r="K130" s="196"/>
      <c r="L130" s="44"/>
      <c r="M130" s="44"/>
      <c r="N130" s="10"/>
      <c r="O130" s="10"/>
      <c r="P130" s="196"/>
      <c r="Q130" s="196"/>
      <c r="R130" s="196"/>
      <c r="S130" s="196"/>
      <c r="T130" s="196"/>
      <c r="U130" s="196"/>
      <c r="V130" s="196"/>
      <c r="W130" s="107"/>
      <c r="X130" s="107"/>
      <c r="Y130" s="107"/>
    </row>
    <row r="131" spans="1:25" ht="17.149999999999999" customHeight="1" x14ac:dyDescent="0.35">
      <c r="A131" s="212" t="s">
        <v>1095</v>
      </c>
      <c r="B131" s="28">
        <f>B115+B118+B123+B127</f>
        <v>31837750</v>
      </c>
      <c r="C131" s="347"/>
      <c r="D131" s="196"/>
      <c r="E131" s="196"/>
      <c r="F131" s="196"/>
      <c r="G131" s="196"/>
      <c r="H131" s="196"/>
      <c r="I131" s="196"/>
      <c r="J131" s="196"/>
      <c r="K131" s="196"/>
      <c r="L131" s="196"/>
      <c r="M131" s="196"/>
      <c r="N131" s="196"/>
      <c r="O131" s="196"/>
      <c r="P131" s="196"/>
      <c r="Q131" s="196"/>
      <c r="R131" s="196"/>
      <c r="S131" s="196"/>
      <c r="T131" s="196"/>
      <c r="U131" s="196"/>
      <c r="V131" s="196"/>
      <c r="W131" s="107"/>
      <c r="X131" s="107"/>
      <c r="Y131" s="107"/>
    </row>
    <row r="132" spans="1:25" ht="17.149999999999999" customHeight="1" x14ac:dyDescent="0.35">
      <c r="A132" s="194"/>
      <c r="B132" s="205">
        <f>'Emptying volumes'!B132+'Emptying volumes'!B136</f>
        <v>31837750</v>
      </c>
      <c r="C132" s="196"/>
      <c r="D132" s="196"/>
      <c r="E132" s="196"/>
      <c r="F132" s="196"/>
      <c r="G132" s="196"/>
      <c r="H132" s="196"/>
      <c r="I132" s="196"/>
      <c r="J132" s="196"/>
      <c r="K132" s="196"/>
      <c r="L132" s="196"/>
      <c r="M132" s="196"/>
      <c r="N132" s="196"/>
      <c r="O132" s="196"/>
      <c r="P132" s="196"/>
      <c r="Q132" s="196"/>
      <c r="R132" s="196"/>
      <c r="S132" s="196"/>
      <c r="T132" s="196"/>
      <c r="U132" s="196"/>
      <c r="V132" s="196"/>
      <c r="W132" s="107"/>
      <c r="X132" s="107"/>
      <c r="Y132" s="107"/>
    </row>
    <row r="133" spans="1:25" ht="17.149999999999999" customHeight="1" x14ac:dyDescent="0.35">
      <c r="A133" s="11"/>
      <c r="B133" s="1519" t="str">
        <f>IF(B131=B132,"OK","Not OK")</f>
        <v>OK</v>
      </c>
      <c r="C133" s="196"/>
      <c r="D133" s="196"/>
      <c r="E133" s="196"/>
      <c r="F133" s="196"/>
      <c r="G133" s="196"/>
      <c r="H133" s="196"/>
      <c r="I133" s="196"/>
      <c r="J133" s="196"/>
      <c r="K133" s="196"/>
      <c r="L133" s="196"/>
      <c r="M133" s="196"/>
      <c r="N133" s="196"/>
      <c r="O133" s="196"/>
      <c r="P133" s="196"/>
      <c r="Q133" s="196"/>
      <c r="R133" s="196"/>
      <c r="S133" s="196"/>
      <c r="T133" s="196"/>
      <c r="U133" s="196"/>
      <c r="V133" s="196"/>
      <c r="W133" s="107"/>
      <c r="X133" s="107"/>
      <c r="Y133" s="107"/>
    </row>
    <row r="134" spans="1:25" ht="17.149999999999999" customHeight="1" x14ac:dyDescent="0.35">
      <c r="A134" s="78"/>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07"/>
      <c r="X134" s="107"/>
      <c r="Y134" s="107"/>
    </row>
    <row r="135" spans="1:25" ht="17.149999999999999" customHeight="1" x14ac:dyDescent="0.35">
      <c r="A135" s="196"/>
      <c r="B135" s="199"/>
      <c r="C135" s="199"/>
      <c r="D135" s="199"/>
      <c r="E135" s="199"/>
      <c r="F135" s="199"/>
      <c r="G135" s="196"/>
      <c r="H135" s="196"/>
      <c r="I135" s="196"/>
      <c r="J135" s="196"/>
      <c r="K135" s="196"/>
      <c r="L135" s="196"/>
      <c r="M135" s="196"/>
      <c r="N135" s="196"/>
      <c r="O135" s="196"/>
      <c r="P135" s="196"/>
      <c r="Q135" s="196"/>
      <c r="R135" s="196"/>
      <c r="S135" s="196"/>
      <c r="T135" s="196"/>
      <c r="U135" s="196"/>
      <c r="V135" s="196"/>
      <c r="W135" s="107"/>
      <c r="X135" s="107"/>
      <c r="Y135" s="107"/>
    </row>
    <row r="136" spans="1:25" ht="17.149999999999999" customHeight="1" x14ac:dyDescent="0.35">
      <c r="A136" s="107"/>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07"/>
      <c r="X136" s="107"/>
      <c r="Y136" s="107"/>
    </row>
    <row r="137" spans="1:25" ht="17.149999999999999" customHeight="1" x14ac:dyDescent="0.35">
      <c r="A137" s="107"/>
      <c r="B137" s="196"/>
      <c r="C137" s="196"/>
      <c r="D137" s="196"/>
      <c r="E137" s="196"/>
      <c r="F137" s="196"/>
      <c r="G137" s="196"/>
      <c r="H137" s="196"/>
      <c r="I137" s="196"/>
      <c r="J137" s="196"/>
      <c r="K137" s="196"/>
      <c r="L137" s="196"/>
      <c r="M137" s="196"/>
      <c r="N137" s="196"/>
      <c r="O137" s="196"/>
      <c r="P137" s="196"/>
      <c r="Q137" s="196"/>
      <c r="R137" s="196"/>
      <c r="S137" s="196"/>
      <c r="T137" s="196"/>
      <c r="U137" s="196"/>
      <c r="V137" s="196"/>
      <c r="W137" s="107"/>
      <c r="X137" s="107"/>
      <c r="Y137" s="107"/>
    </row>
    <row r="138" spans="1:25" ht="17.149999999999999" customHeight="1" x14ac:dyDescent="0.35">
      <c r="A138" s="107"/>
      <c r="B138" s="196"/>
      <c r="C138" s="196"/>
      <c r="D138" s="196"/>
      <c r="E138" s="196"/>
      <c r="F138" s="196"/>
      <c r="G138" s="196"/>
      <c r="H138" s="196"/>
      <c r="I138" s="196"/>
      <c r="J138" s="196"/>
      <c r="K138" s="196"/>
      <c r="L138" s="196"/>
      <c r="M138" s="196"/>
      <c r="N138" s="196"/>
      <c r="O138" s="196"/>
      <c r="P138" s="196"/>
      <c r="Q138" s="196"/>
      <c r="R138" s="196"/>
      <c r="S138" s="44"/>
      <c r="T138" s="44"/>
      <c r="U138" s="196"/>
      <c r="V138" s="196"/>
      <c r="W138" s="107"/>
      <c r="X138" s="107"/>
      <c r="Y138" s="107"/>
    </row>
    <row r="139" spans="1:25" ht="17.149999999999999" customHeight="1" x14ac:dyDescent="0.35">
      <c r="A139" s="107"/>
      <c r="B139" s="196"/>
      <c r="C139" s="196"/>
      <c r="D139" s="196"/>
      <c r="E139" s="196"/>
      <c r="F139" s="196"/>
      <c r="G139" s="196"/>
      <c r="H139" s="196"/>
      <c r="I139" s="196"/>
      <c r="J139" s="196"/>
      <c r="K139" s="196"/>
      <c r="L139" s="196"/>
      <c r="M139" s="196"/>
      <c r="N139" s="196"/>
      <c r="O139" s="196"/>
      <c r="P139" s="196"/>
      <c r="Q139" s="196"/>
      <c r="R139" s="196"/>
      <c r="S139" s="44"/>
      <c r="T139" s="44"/>
      <c r="U139" s="196"/>
      <c r="V139" s="196"/>
      <c r="W139" s="107"/>
      <c r="X139" s="107"/>
      <c r="Y139" s="107"/>
    </row>
    <row r="140" spans="1:25" ht="17.149999999999999" customHeight="1" x14ac:dyDescent="0.35">
      <c r="A140" s="107"/>
      <c r="B140" s="196"/>
      <c r="C140" s="196"/>
      <c r="D140" s="196"/>
      <c r="E140" s="196"/>
      <c r="F140" s="196"/>
      <c r="G140" s="196"/>
      <c r="H140" s="196"/>
      <c r="I140" s="196"/>
      <c r="J140" s="196"/>
      <c r="K140" s="196"/>
      <c r="L140" s="196"/>
      <c r="M140" s="196"/>
      <c r="N140" s="196"/>
      <c r="O140" s="196"/>
      <c r="P140" s="196"/>
      <c r="Q140" s="196"/>
      <c r="R140" s="196"/>
      <c r="S140" s="44"/>
      <c r="T140" s="44"/>
      <c r="U140" s="196"/>
      <c r="V140" s="196"/>
      <c r="W140" s="107"/>
      <c r="X140" s="107"/>
      <c r="Y140" s="107"/>
    </row>
    <row r="141" spans="1:25" ht="17.149999999999999" customHeight="1" x14ac:dyDescent="0.35">
      <c r="A141" s="107"/>
      <c r="B141" s="196"/>
      <c r="C141" s="196"/>
      <c r="D141" s="196"/>
      <c r="E141" s="196"/>
      <c r="F141" s="196"/>
      <c r="G141" s="196"/>
      <c r="H141" s="196"/>
      <c r="I141" s="196"/>
      <c r="J141" s="196"/>
      <c r="K141" s="196"/>
      <c r="L141" s="196"/>
      <c r="M141" s="196"/>
      <c r="N141" s="196"/>
      <c r="O141" s="196"/>
      <c r="P141" s="196"/>
      <c r="Q141" s="196"/>
      <c r="R141" s="196"/>
      <c r="S141" s="44"/>
      <c r="T141" s="44"/>
      <c r="U141" s="196"/>
      <c r="V141" s="196"/>
      <c r="W141" s="107"/>
      <c r="X141" s="107"/>
      <c r="Y141" s="107"/>
    </row>
    <row r="142" spans="1:25" ht="17.149999999999999" customHeight="1" x14ac:dyDescent="0.35">
      <c r="A142" s="107"/>
      <c r="B142" s="196"/>
      <c r="C142" s="196"/>
      <c r="D142" s="196"/>
      <c r="E142" s="196"/>
      <c r="F142" s="196"/>
      <c r="G142" s="196"/>
      <c r="H142" s="196"/>
      <c r="I142" s="196"/>
      <c r="J142" s="196"/>
      <c r="K142" s="196"/>
      <c r="S142" s="4"/>
      <c r="T142" s="4"/>
    </row>
    <row r="143" spans="1:25" ht="17.149999999999999" customHeight="1" x14ac:dyDescent="0.35">
      <c r="A143" s="122"/>
      <c r="B143" s="44"/>
      <c r="C143" s="44"/>
      <c r="D143" s="44"/>
      <c r="E143" s="10"/>
      <c r="F143" s="44"/>
      <c r="G143" s="44"/>
      <c r="H143" s="44"/>
      <c r="I143" s="44"/>
      <c r="J143" s="4"/>
      <c r="K143" s="4"/>
      <c r="L143" s="4"/>
      <c r="M143" s="4"/>
      <c r="N143" s="4"/>
      <c r="S143" s="4"/>
      <c r="T143" s="4"/>
      <c r="U143" s="4"/>
      <c r="V143" s="4"/>
      <c r="W143" s="3"/>
      <c r="X143" s="3"/>
    </row>
    <row r="144" spans="1:25" ht="17.149999999999999" customHeight="1" x14ac:dyDescent="0.35">
      <c r="A144" s="122"/>
      <c r="B144" s="44"/>
      <c r="C144" s="44"/>
      <c r="D144" s="44"/>
      <c r="E144" s="10"/>
      <c r="F144" s="44"/>
      <c r="G144" s="44"/>
      <c r="H144" s="44"/>
      <c r="I144" s="44"/>
      <c r="J144" s="4"/>
      <c r="K144" s="4"/>
      <c r="L144" s="126"/>
      <c r="M144" s="126"/>
      <c r="N144" s="4"/>
      <c r="Q144" s="4"/>
      <c r="R144" s="4"/>
      <c r="S144" s="4"/>
      <c r="T144" s="4"/>
      <c r="U144" s="4"/>
      <c r="V144" s="4"/>
      <c r="W144" s="3"/>
      <c r="X144" s="3"/>
    </row>
    <row r="145" spans="1:25" ht="17.149999999999999" customHeight="1" x14ac:dyDescent="0.35">
      <c r="A145" s="122"/>
      <c r="B145" s="44"/>
      <c r="C145" s="44"/>
      <c r="D145" s="44"/>
      <c r="E145" s="10"/>
      <c r="F145" s="44"/>
      <c r="G145" s="44"/>
      <c r="H145" s="44"/>
      <c r="I145" s="44"/>
      <c r="J145" s="4"/>
      <c r="K145" s="4"/>
      <c r="L145" s="126"/>
      <c r="M145" s="126"/>
      <c r="N145" s="4"/>
      <c r="Q145" s="4"/>
      <c r="R145" s="4"/>
      <c r="S145" s="4"/>
      <c r="T145" s="4"/>
      <c r="U145" s="4"/>
      <c r="V145" s="4"/>
      <c r="W145" s="3"/>
      <c r="X145" s="3"/>
    </row>
    <row r="146" spans="1:25" ht="17.149999999999999" customHeight="1" x14ac:dyDescent="0.35">
      <c r="A146" s="122"/>
      <c r="B146" s="44"/>
      <c r="C146" s="44"/>
      <c r="D146" s="44"/>
      <c r="E146" s="10"/>
      <c r="F146" s="44"/>
      <c r="G146" s="44"/>
      <c r="H146" s="44"/>
      <c r="I146" s="44"/>
      <c r="J146" s="4"/>
      <c r="K146" s="4"/>
      <c r="L146" s="4"/>
      <c r="M146" s="4"/>
      <c r="N146" s="4"/>
      <c r="O146" s="4"/>
      <c r="P146" s="4"/>
      <c r="Q146" s="4"/>
      <c r="R146" s="4"/>
      <c r="S146" s="4"/>
      <c r="T146" s="4"/>
      <c r="U146" s="4"/>
      <c r="V146" s="4"/>
      <c r="W146" s="3"/>
      <c r="X146" s="3"/>
    </row>
    <row r="147" spans="1:25" ht="17.149999999999999" customHeight="1" x14ac:dyDescent="0.35">
      <c r="A147" s="122"/>
      <c r="B147" s="44"/>
      <c r="C147" s="44"/>
      <c r="D147" s="44"/>
      <c r="E147" s="10"/>
      <c r="F147" s="44"/>
      <c r="G147" s="44"/>
      <c r="H147" s="44"/>
      <c r="I147" s="44"/>
      <c r="J147" s="44"/>
      <c r="K147" s="44"/>
      <c r="L147" s="44"/>
      <c r="M147" s="44"/>
      <c r="N147" s="44"/>
      <c r="O147" s="44"/>
      <c r="P147" s="44"/>
      <c r="Q147" s="44"/>
      <c r="R147" s="44"/>
      <c r="S147" s="44"/>
      <c r="T147" s="44"/>
      <c r="U147" s="44"/>
      <c r="V147" s="44"/>
      <c r="W147" s="43"/>
      <c r="X147" s="43"/>
    </row>
    <row r="148" spans="1:25" ht="17.149999999999999" customHeight="1" x14ac:dyDescent="0.35">
      <c r="A148" s="122"/>
      <c r="B148" s="44"/>
      <c r="C148" s="44"/>
      <c r="D148" s="44"/>
      <c r="E148" s="44"/>
      <c r="F148" s="10"/>
      <c r="G148" s="44"/>
      <c r="H148" s="44"/>
      <c r="I148" s="44"/>
      <c r="J148" s="44"/>
      <c r="K148" s="44"/>
      <c r="L148" s="44"/>
      <c r="M148" s="44"/>
      <c r="N148" s="44"/>
      <c r="O148" s="44"/>
      <c r="P148" s="44"/>
      <c r="Q148" s="66"/>
      <c r="R148" s="295"/>
      <c r="S148" s="295"/>
      <c r="T148" s="295"/>
      <c r="U148" s="44"/>
      <c r="V148" s="44"/>
      <c r="W148" s="43"/>
      <c r="X148" s="43"/>
    </row>
    <row r="149" spans="1:25" ht="17.149999999999999" customHeight="1" x14ac:dyDescent="0.35">
      <c r="A149" s="43"/>
      <c r="B149" s="44"/>
      <c r="C149" s="44"/>
      <c r="D149" s="44"/>
      <c r="E149" s="44"/>
      <c r="F149" s="44"/>
      <c r="G149" s="44"/>
      <c r="H149" s="44"/>
      <c r="I149" s="44"/>
      <c r="J149" s="66"/>
      <c r="K149" s="66"/>
      <c r="L149" s="44"/>
      <c r="M149" s="44"/>
      <c r="N149" s="44"/>
      <c r="O149" s="44"/>
      <c r="P149" s="44"/>
      <c r="Q149" s="66"/>
      <c r="R149" s="197"/>
      <c r="S149" s="197"/>
      <c r="T149" s="197"/>
      <c r="U149" s="44"/>
      <c r="V149" s="44"/>
      <c r="W149" s="43"/>
      <c r="X149" s="43"/>
    </row>
    <row r="150" spans="1:25" ht="17.149999999999999" customHeight="1" x14ac:dyDescent="0.35">
      <c r="A150" s="121"/>
      <c r="B150" s="66"/>
      <c r="C150" s="66"/>
      <c r="D150" s="66"/>
      <c r="E150" s="66"/>
      <c r="F150" s="66"/>
      <c r="G150" s="66"/>
      <c r="H150" s="66"/>
      <c r="I150" s="66"/>
      <c r="J150" s="66"/>
      <c r="K150" s="66"/>
      <c r="L150" s="44"/>
      <c r="M150" s="44"/>
      <c r="N150" s="66"/>
      <c r="O150" s="66"/>
      <c r="P150" s="44"/>
      <c r="Q150" s="44"/>
      <c r="R150" s="44"/>
      <c r="S150" s="44"/>
      <c r="T150" s="44"/>
      <c r="U150" s="66"/>
      <c r="V150" s="66"/>
      <c r="W150" s="43"/>
      <c r="X150" s="43"/>
    </row>
    <row r="151" spans="1:25" ht="17.149999999999999" customHeight="1" x14ac:dyDescent="0.35">
      <c r="A151" s="121"/>
      <c r="B151" s="66"/>
      <c r="C151" s="66"/>
      <c r="D151" s="66"/>
      <c r="E151" s="66"/>
      <c r="F151" s="66"/>
      <c r="G151" s="66"/>
      <c r="H151" s="66"/>
      <c r="I151" s="66"/>
      <c r="J151" s="66"/>
      <c r="K151" s="66"/>
      <c r="L151" s="44"/>
      <c r="M151" s="44"/>
      <c r="N151" s="66"/>
      <c r="O151" s="66"/>
      <c r="P151" s="44"/>
      <c r="Q151" s="44"/>
      <c r="R151" s="44"/>
      <c r="S151" s="44"/>
      <c r="T151" s="44"/>
      <c r="U151" s="66"/>
      <c r="V151" s="66"/>
      <c r="W151" s="43"/>
      <c r="X151" s="43"/>
    </row>
    <row r="152" spans="1:25" ht="17.149999999999999" customHeight="1" x14ac:dyDescent="0.35">
      <c r="A152" s="43"/>
      <c r="B152" s="44"/>
      <c r="C152" s="44"/>
      <c r="D152" s="44"/>
      <c r="E152" s="44"/>
      <c r="F152" s="44"/>
      <c r="G152" s="44"/>
      <c r="H152" s="44"/>
      <c r="I152" s="44"/>
      <c r="J152" s="44"/>
      <c r="K152" s="44"/>
      <c r="L152" s="44"/>
      <c r="M152" s="44"/>
      <c r="N152" s="44"/>
      <c r="O152" s="44"/>
      <c r="P152" s="44"/>
      <c r="Q152" s="44"/>
      <c r="R152" s="44"/>
      <c r="S152" s="44"/>
      <c r="T152" s="44"/>
      <c r="U152" s="44"/>
      <c r="V152" s="44"/>
      <c r="W152" s="43"/>
      <c r="X152" s="43"/>
    </row>
    <row r="153" spans="1:25" ht="17.149999999999999" customHeight="1" x14ac:dyDescent="0.35">
      <c r="A153" s="43"/>
      <c r="B153" s="44"/>
      <c r="C153" s="44"/>
      <c r="D153" s="44"/>
      <c r="E153" s="44"/>
      <c r="F153" s="44"/>
      <c r="G153" s="44"/>
      <c r="H153" s="44"/>
      <c r="I153" s="44"/>
      <c r="J153" s="44"/>
      <c r="K153" s="44"/>
      <c r="L153" s="44"/>
      <c r="M153" s="44"/>
      <c r="N153" s="44"/>
      <c r="O153" s="44"/>
      <c r="P153" s="44"/>
      <c r="Q153" s="44"/>
      <c r="R153" s="44"/>
      <c r="S153" s="44"/>
      <c r="T153" s="44"/>
      <c r="U153" s="44"/>
      <c r="V153" s="44"/>
      <c r="W153" s="43"/>
      <c r="X153" s="43"/>
    </row>
    <row r="154" spans="1:25" ht="17.149999999999999" customHeight="1" x14ac:dyDescent="0.35">
      <c r="A154" s="43"/>
      <c r="B154" s="44"/>
      <c r="C154" s="44"/>
      <c r="D154" s="44"/>
      <c r="E154" s="44"/>
      <c r="F154" s="44"/>
      <c r="G154" s="44"/>
      <c r="H154" s="44"/>
      <c r="I154" s="44"/>
      <c r="J154" s="44"/>
      <c r="K154" s="44"/>
      <c r="L154" s="44"/>
      <c r="M154" s="44"/>
      <c r="N154" s="44"/>
      <c r="O154" s="44"/>
      <c r="P154" s="44"/>
      <c r="Q154" s="44"/>
      <c r="R154" s="44"/>
      <c r="S154" s="44"/>
      <c r="T154" s="44"/>
      <c r="U154" s="44"/>
      <c r="V154" s="44"/>
      <c r="W154" s="43"/>
      <c r="X154" s="43"/>
    </row>
    <row r="155" spans="1:25" ht="17.149999999999999" customHeight="1" x14ac:dyDescent="0.35">
      <c r="A155" s="43"/>
      <c r="B155" s="44"/>
      <c r="C155" s="44"/>
      <c r="D155" s="44"/>
      <c r="E155" s="44"/>
      <c r="F155" s="44"/>
      <c r="G155" s="44"/>
      <c r="H155" s="44"/>
      <c r="I155" s="44"/>
      <c r="J155" s="44"/>
      <c r="K155" s="44"/>
      <c r="L155" s="44"/>
      <c r="M155" s="44"/>
      <c r="N155" s="44"/>
      <c r="O155" s="44"/>
      <c r="P155" s="44"/>
      <c r="Q155" s="44"/>
      <c r="R155" s="44"/>
      <c r="S155" s="44"/>
      <c r="T155" s="44"/>
      <c r="U155" s="44"/>
      <c r="V155" s="44"/>
      <c r="W155" s="43"/>
      <c r="X155" s="43"/>
    </row>
    <row r="156" spans="1:25" ht="17.149999999999999" customHeight="1" x14ac:dyDescent="0.35">
      <c r="A156" s="43"/>
      <c r="B156" s="44"/>
      <c r="C156" s="44"/>
      <c r="D156" s="44"/>
      <c r="E156" s="44"/>
      <c r="F156" s="44"/>
      <c r="G156" s="44"/>
      <c r="H156" s="10"/>
      <c r="I156" s="10"/>
      <c r="J156" s="44"/>
      <c r="K156" s="44"/>
      <c r="L156" s="10"/>
      <c r="M156" s="10"/>
      <c r="N156" s="10"/>
      <c r="O156" s="44"/>
      <c r="P156" s="44"/>
      <c r="Q156" s="44"/>
      <c r="R156" s="44"/>
      <c r="S156" s="44"/>
      <c r="T156" s="44"/>
      <c r="U156" s="44"/>
      <c r="V156" s="44"/>
      <c r="W156" s="43"/>
      <c r="X156" s="43"/>
    </row>
    <row r="157" spans="1:25" ht="17.149999999999999" customHeight="1" x14ac:dyDescent="0.35">
      <c r="A157" s="43"/>
      <c r="B157" s="44"/>
      <c r="C157" s="44"/>
      <c r="D157" s="44"/>
      <c r="E157" s="44"/>
      <c r="F157" s="44"/>
      <c r="G157" s="44"/>
      <c r="H157" s="44"/>
      <c r="I157" s="44"/>
      <c r="J157" s="44"/>
      <c r="K157" s="44"/>
      <c r="L157" s="10"/>
      <c r="M157" s="10"/>
      <c r="N157" s="10"/>
      <c r="O157" s="103"/>
      <c r="P157" s="44"/>
      <c r="Q157" s="44"/>
      <c r="R157" s="44"/>
      <c r="S157" s="44"/>
      <c r="T157" s="44"/>
      <c r="U157" s="44"/>
      <c r="V157" s="44"/>
      <c r="W157" s="43"/>
      <c r="X157" s="43"/>
    </row>
    <row r="158" spans="1:25" ht="17.149999999999999" customHeight="1" x14ac:dyDescent="0.35">
      <c r="A158" s="43"/>
      <c r="B158" s="44"/>
      <c r="C158" s="44"/>
      <c r="D158" s="44"/>
      <c r="E158" s="44"/>
      <c r="F158" s="44"/>
      <c r="G158" s="44"/>
      <c r="H158" s="44"/>
      <c r="I158" s="44"/>
      <c r="J158" s="44"/>
      <c r="K158" s="44"/>
      <c r="L158" s="44"/>
      <c r="M158" s="44"/>
      <c r="N158" s="44"/>
      <c r="O158" s="44"/>
      <c r="P158" s="44"/>
      <c r="Q158" s="44"/>
      <c r="R158" s="44"/>
      <c r="S158" s="44"/>
      <c r="T158" s="44"/>
      <c r="U158" s="44"/>
      <c r="V158" s="44"/>
      <c r="W158" s="43"/>
      <c r="X158" s="43"/>
    </row>
    <row r="159" spans="1:25" ht="17.149999999999999" customHeight="1" x14ac:dyDescent="0.35">
      <c r="A159" s="89"/>
      <c r="B159" s="44"/>
      <c r="C159" s="44"/>
      <c r="D159" s="66"/>
      <c r="E159" s="197"/>
      <c r="F159" s="66"/>
      <c r="G159" s="66"/>
      <c r="H159" s="66"/>
      <c r="I159" s="66"/>
      <c r="J159" s="66"/>
      <c r="K159" s="66"/>
      <c r="L159" s="66"/>
      <c r="M159" s="66"/>
      <c r="N159" s="66"/>
      <c r="O159" s="44"/>
      <c r="P159" s="44"/>
      <c r="Q159" s="44"/>
      <c r="R159" s="44"/>
      <c r="S159" s="44"/>
      <c r="T159" s="44"/>
      <c r="U159" s="44"/>
      <c r="V159" s="44"/>
      <c r="W159" s="43"/>
      <c r="X159" s="43"/>
      <c r="Y159" s="3"/>
    </row>
    <row r="160" spans="1:25" ht="17.149999999999999" customHeight="1" x14ac:dyDescent="0.35">
      <c r="A160" s="89"/>
      <c r="B160" s="44"/>
      <c r="C160" s="44"/>
      <c r="D160" s="44"/>
      <c r="E160" s="197"/>
      <c r="F160" s="44"/>
      <c r="G160" s="44"/>
      <c r="H160" s="44"/>
      <c r="I160" s="44"/>
      <c r="J160" s="44"/>
      <c r="K160" s="44"/>
      <c r="L160" s="44"/>
      <c r="M160" s="44"/>
      <c r="N160" s="66"/>
      <c r="O160" s="44"/>
      <c r="P160" s="44"/>
      <c r="Q160" s="44"/>
      <c r="R160" s="44"/>
      <c r="S160" s="44"/>
      <c r="T160" s="44"/>
      <c r="U160" s="44"/>
      <c r="V160" s="44"/>
      <c r="W160" s="43"/>
      <c r="X160" s="43"/>
      <c r="Y160" s="3"/>
    </row>
    <row r="161" spans="1:25" x14ac:dyDescent="0.35">
      <c r="A161" s="89"/>
      <c r="B161" s="44"/>
      <c r="C161" s="44"/>
      <c r="D161" s="44"/>
      <c r="E161" s="197"/>
      <c r="F161" s="44"/>
      <c r="G161" s="44"/>
      <c r="H161" s="44"/>
      <c r="I161" s="44"/>
      <c r="J161" s="44"/>
      <c r="K161" s="44"/>
      <c r="L161" s="44"/>
      <c r="M161" s="44"/>
      <c r="N161" s="66"/>
      <c r="O161" s="44"/>
      <c r="P161" s="44"/>
      <c r="Q161" s="44"/>
      <c r="R161" s="44"/>
      <c r="S161" s="44"/>
      <c r="T161" s="44"/>
      <c r="U161" s="44"/>
      <c r="V161" s="44"/>
      <c r="W161" s="43"/>
      <c r="X161" s="43"/>
      <c r="Y161" s="3"/>
    </row>
    <row r="162" spans="1:25" ht="15" customHeight="1" x14ac:dyDescent="0.35">
      <c r="A162" s="43"/>
      <c r="B162" s="44"/>
      <c r="C162" s="44"/>
      <c r="D162" s="44"/>
      <c r="E162" s="44"/>
      <c r="F162" s="44"/>
      <c r="G162" s="44"/>
      <c r="H162" s="44"/>
      <c r="I162" s="44"/>
      <c r="J162" s="44"/>
      <c r="K162" s="44"/>
      <c r="L162" s="44"/>
      <c r="M162" s="44"/>
      <c r="N162" s="44"/>
      <c r="O162" s="44"/>
      <c r="P162" s="44"/>
      <c r="Q162" s="44"/>
      <c r="R162" s="44"/>
      <c r="S162" s="44"/>
      <c r="T162" s="44"/>
      <c r="U162" s="44"/>
      <c r="V162" s="44"/>
      <c r="W162" s="43"/>
      <c r="X162" s="43"/>
      <c r="Y162" s="3"/>
    </row>
    <row r="163" spans="1:25" ht="13.5" customHeight="1" x14ac:dyDescent="0.35">
      <c r="A163" s="43"/>
      <c r="B163" s="44"/>
      <c r="C163" s="44"/>
      <c r="D163" s="44"/>
      <c r="E163" s="44"/>
      <c r="F163" s="44"/>
      <c r="G163" s="44"/>
      <c r="H163" s="44"/>
      <c r="I163" s="44"/>
      <c r="J163" s="44"/>
      <c r="K163" s="44"/>
      <c r="L163" s="44"/>
      <c r="M163" s="44"/>
      <c r="N163" s="44"/>
      <c r="O163" s="44"/>
      <c r="P163" s="44"/>
      <c r="Q163" s="44"/>
      <c r="R163" s="44"/>
      <c r="S163" s="44"/>
      <c r="T163" s="44"/>
      <c r="U163" s="44"/>
      <c r="V163" s="44"/>
      <c r="W163" s="43"/>
      <c r="X163" s="43"/>
    </row>
    <row r="164" spans="1:25" x14ac:dyDescent="0.35">
      <c r="A164" s="43"/>
      <c r="B164" s="44"/>
      <c r="C164" s="44"/>
      <c r="D164" s="104"/>
      <c r="E164" s="44"/>
      <c r="F164" s="44"/>
      <c r="G164" s="44"/>
      <c r="H164" s="44"/>
      <c r="I164" s="44"/>
      <c r="J164" s="44"/>
      <c r="K164" s="44"/>
      <c r="L164" s="44"/>
      <c r="M164" s="44"/>
      <c r="N164" s="44"/>
      <c r="O164" s="44"/>
      <c r="P164" s="44"/>
      <c r="Q164" s="44"/>
      <c r="R164" s="44"/>
      <c r="S164" s="44"/>
      <c r="T164" s="44"/>
      <c r="U164" s="44"/>
      <c r="V164" s="44"/>
      <c r="W164" s="43"/>
      <c r="X164" s="43"/>
    </row>
    <row r="165" spans="1:25" x14ac:dyDescent="0.35">
      <c r="A165" s="43"/>
      <c r="B165" s="44"/>
      <c r="C165" s="44"/>
      <c r="D165" s="104"/>
      <c r="E165" s="44"/>
      <c r="F165" s="44"/>
      <c r="G165" s="44"/>
      <c r="H165" s="44"/>
      <c r="I165" s="44"/>
      <c r="J165" s="44"/>
      <c r="K165" s="44"/>
      <c r="L165" s="44"/>
      <c r="M165" s="44"/>
      <c r="N165" s="44"/>
      <c r="O165" s="44"/>
      <c r="P165" s="44"/>
      <c r="Q165" s="196"/>
      <c r="R165" s="196"/>
      <c r="S165" s="196"/>
      <c r="T165" s="196"/>
      <c r="U165" s="44"/>
      <c r="V165" s="44"/>
      <c r="W165" s="43"/>
      <c r="X165" s="43"/>
    </row>
    <row r="166" spans="1:25" x14ac:dyDescent="0.35">
      <c r="A166" s="3"/>
      <c r="B166" s="4"/>
      <c r="C166" s="4"/>
      <c r="D166" s="4"/>
      <c r="E166" s="4"/>
      <c r="F166" s="4"/>
      <c r="G166" s="4"/>
      <c r="H166" s="4"/>
      <c r="I166" s="4"/>
      <c r="J166" s="4"/>
      <c r="K166" s="4"/>
      <c r="L166" s="4"/>
      <c r="M166" s="4"/>
      <c r="N166" s="4"/>
      <c r="O166" s="4"/>
      <c r="P166" s="4"/>
      <c r="U166" s="4"/>
      <c r="V166" s="4"/>
      <c r="W166" s="3"/>
      <c r="X166" s="3"/>
    </row>
  </sheetData>
  <sheetProtection password="C8C1" sheet="1" objects="1" scenarios="1" selectLockedCells="1"/>
  <mergeCells count="80">
    <mergeCell ref="A74:A75"/>
    <mergeCell ref="L74:M74"/>
    <mergeCell ref="K73:M73"/>
    <mergeCell ref="F74:H74"/>
    <mergeCell ref="I74:I75"/>
    <mergeCell ref="F73:I73"/>
    <mergeCell ref="B74:D74"/>
    <mergeCell ref="E74:E75"/>
    <mergeCell ref="B73:E73"/>
    <mergeCell ref="H32:I32"/>
    <mergeCell ref="H33:I33"/>
    <mergeCell ref="H34:I34"/>
    <mergeCell ref="H35:I35"/>
    <mergeCell ref="H36:I36"/>
    <mergeCell ref="H37:I37"/>
    <mergeCell ref="H38:I38"/>
    <mergeCell ref="H39:I39"/>
    <mergeCell ref="H40:I40"/>
    <mergeCell ref="H41:I41"/>
    <mergeCell ref="H42:I42"/>
    <mergeCell ref="H48:I48"/>
    <mergeCell ref="H43:I43"/>
    <mergeCell ref="H44:I44"/>
    <mergeCell ref="H45:I45"/>
    <mergeCell ref="H46:I46"/>
    <mergeCell ref="H47:I47"/>
    <mergeCell ref="J32:K32"/>
    <mergeCell ref="J33:K33"/>
    <mergeCell ref="J34:K34"/>
    <mergeCell ref="J35:K35"/>
    <mergeCell ref="J36:K36"/>
    <mergeCell ref="J45:K45"/>
    <mergeCell ref="J37:K37"/>
    <mergeCell ref="J38:K38"/>
    <mergeCell ref="J39:K39"/>
    <mergeCell ref="J40:K40"/>
    <mergeCell ref="J41:K41"/>
    <mergeCell ref="B30:Y30"/>
    <mergeCell ref="H49:I49"/>
    <mergeCell ref="H50:I50"/>
    <mergeCell ref="L49:M49"/>
    <mergeCell ref="L50:M50"/>
    <mergeCell ref="J48:K48"/>
    <mergeCell ref="L46:M46"/>
    <mergeCell ref="L47:M47"/>
    <mergeCell ref="L48:M48"/>
    <mergeCell ref="L32:M32"/>
    <mergeCell ref="L35:M35"/>
    <mergeCell ref="L36:M36"/>
    <mergeCell ref="L37:M37"/>
    <mergeCell ref="L38:M38"/>
    <mergeCell ref="J46:K46"/>
    <mergeCell ref="J47:K47"/>
    <mergeCell ref="J49:K49"/>
    <mergeCell ref="J50:K50"/>
    <mergeCell ref="J51:K51"/>
    <mergeCell ref="J52:K52"/>
    <mergeCell ref="L33:M33"/>
    <mergeCell ref="L34:M34"/>
    <mergeCell ref="L39:M39"/>
    <mergeCell ref="L40:M40"/>
    <mergeCell ref="L41:M41"/>
    <mergeCell ref="L42:M42"/>
    <mergeCell ref="L43:M43"/>
    <mergeCell ref="J42:K42"/>
    <mergeCell ref="J43:K43"/>
    <mergeCell ref="J44:K44"/>
    <mergeCell ref="L44:M44"/>
    <mergeCell ref="L45:M45"/>
    <mergeCell ref="B100:D100"/>
    <mergeCell ref="L51:M51"/>
    <mergeCell ref="L52:M52"/>
    <mergeCell ref="D55:G55"/>
    <mergeCell ref="D56:G56"/>
    <mergeCell ref="D57:G57"/>
    <mergeCell ref="H51:I51"/>
    <mergeCell ref="H52:I52"/>
    <mergeCell ref="H53:I53"/>
    <mergeCell ref="J53:K53"/>
    <mergeCell ref="L53:M53"/>
  </mergeCells>
  <conditionalFormatting sqref="B133">
    <cfRule type="expression" dxfId="243" priority="7">
      <formula>B132&lt;B131</formula>
    </cfRule>
    <cfRule type="expression" dxfId="242" priority="8">
      <formula>B132&gt;B131</formula>
    </cfRule>
    <cfRule type="expression" dxfId="241" priority="9">
      <formula>B132=B131</formula>
    </cfRule>
  </conditionalFormatting>
  <conditionalFormatting sqref="D57">
    <cfRule type="expression" dxfId="240" priority="4">
      <formula>D56&lt;D55</formula>
    </cfRule>
    <cfRule type="expression" dxfId="239" priority="5">
      <formula>D56&gt;D55</formula>
    </cfRule>
    <cfRule type="expression" dxfId="238" priority="6">
      <formula>D56=D55</formula>
    </cfRule>
  </conditionalFormatting>
  <conditionalFormatting sqref="H10">
    <cfRule type="expression" dxfId="237" priority="1">
      <formula>H9&lt;0</formula>
    </cfRule>
    <cfRule type="expression" dxfId="236" priority="2">
      <formula>H9&gt;0</formula>
    </cfRule>
    <cfRule type="expression" dxfId="235" priority="3">
      <formula>H9=0</formula>
    </cfRule>
  </conditionalFormatting>
  <dataValidations disablePrompts="1" count="5">
    <dataValidation type="list" allowBlank="1" showInputMessage="1" showErrorMessage="1" sqref="B18">
      <formula1>Transportoptions</formula1>
    </dataValidation>
    <dataValidation type="list" allowBlank="1" showInputMessage="1" showErrorMessage="1" sqref="T123:T126">
      <formula1>"YES, NO, SO SO"</formula1>
    </dataValidation>
    <dataValidation type="list" allowBlank="1" showInputMessage="1" showErrorMessage="1" sqref="J43:J44 S43:S44">
      <formula1>"Final destination, Sub-station"</formula1>
    </dataValidation>
    <dataValidation type="list" allowBlank="1" showInputMessage="1" showErrorMessage="1" sqref="L43:L44 T43:T44">
      <formula1>"Legal, Illegal, Partly legal partly illegal"</formula1>
    </dataValidation>
    <dataValidation type="list" allowBlank="1" showInputMessage="1" showErrorMessage="1" sqref="Q43">
      <formula1>"Public, Private"</formula1>
    </dataValidation>
  </dataValidations>
  <pageMargins left="0.7" right="0.7" top="0.75" bottom="0.75" header="0.3" footer="0.3"/>
  <pageSetup paperSize="9" orientation="portrait" horizontalDpi="4294967293" r:id="rId1"/>
  <ignoredErrors>
    <ignoredError sqref="K85:L85 U36:V40 U41:V50 U51" formula="1"/>
    <ignoredError sqref="X39:X43" evalError="1"/>
  </ignoredError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6"/>
  </sheetPr>
  <dimension ref="A1:AH125"/>
  <sheetViews>
    <sheetView zoomScale="90" zoomScaleNormal="90" workbookViewId="0">
      <selection activeCell="A3" sqref="A3"/>
    </sheetView>
  </sheetViews>
  <sheetFormatPr defaultColWidth="9.1796875" defaultRowHeight="14.5" x14ac:dyDescent="0.35"/>
  <cols>
    <col min="1" max="1" width="60.7265625" style="17" customWidth="1"/>
    <col min="2" max="26" width="16.7265625" style="17" customWidth="1"/>
    <col min="27" max="27" width="21.7265625" style="17" bestFit="1" customWidth="1"/>
    <col min="28" max="29" width="16.7265625" style="17" customWidth="1"/>
    <col min="30" max="16384" width="9.1796875" style="17"/>
  </cols>
  <sheetData>
    <row r="1" spans="1:20" ht="18.75" customHeight="1" x14ac:dyDescent="0.35">
      <c r="A1" s="13" t="str">
        <f>'User interface_RES'!AJ11</f>
        <v>Any city in , the world</v>
      </c>
    </row>
    <row r="2" spans="1:20" s="185" customFormat="1" ht="11.25" customHeight="1" x14ac:dyDescent="0.35"/>
    <row r="3" spans="1:20" ht="26" x14ac:dyDescent="0.35">
      <c r="A3" s="182" t="s">
        <v>1096</v>
      </c>
    </row>
    <row r="4" spans="1:20" s="3" customFormat="1" ht="17.149999999999999" customHeight="1" x14ac:dyDescent="0.35">
      <c r="B4" s="1320"/>
      <c r="C4" s="4"/>
      <c r="D4" s="4"/>
      <c r="E4" s="4"/>
      <c r="F4" s="4"/>
      <c r="G4" s="4"/>
      <c r="H4" s="4"/>
      <c r="I4" s="4"/>
      <c r="J4" s="4"/>
      <c r="K4" s="4"/>
      <c r="L4" s="4"/>
      <c r="M4" s="4"/>
      <c r="N4" s="4"/>
      <c r="O4" s="4"/>
      <c r="P4" s="4"/>
      <c r="Q4" s="4"/>
      <c r="R4" s="4"/>
      <c r="S4" s="4"/>
      <c r="T4" s="4"/>
    </row>
    <row r="5" spans="1:20" s="3" customFormat="1" ht="17.149999999999999" customHeight="1" x14ac:dyDescent="0.35">
      <c r="B5" s="132"/>
      <c r="C5" s="4"/>
      <c r="D5" s="4"/>
      <c r="E5" s="4"/>
      <c r="F5" s="4"/>
      <c r="G5" s="4"/>
      <c r="H5" s="4"/>
      <c r="I5" s="4"/>
      <c r="J5" s="4"/>
      <c r="K5" s="4"/>
      <c r="L5" s="4"/>
      <c r="M5" s="4"/>
      <c r="N5" s="4"/>
      <c r="O5" s="4"/>
      <c r="P5" s="4"/>
      <c r="Q5" s="4"/>
      <c r="R5" s="4"/>
      <c r="S5" s="4"/>
      <c r="T5" s="4"/>
    </row>
    <row r="6" spans="1:20" ht="18" customHeight="1" x14ac:dyDescent="0.3">
      <c r="A6" s="137"/>
      <c r="B6" s="1505" t="s">
        <v>9</v>
      </c>
      <c r="C6" s="115"/>
    </row>
    <row r="7" spans="1:20" s="185" customFormat="1" ht="11.25" customHeight="1" x14ac:dyDescent="0.35">
      <c r="A7" s="237"/>
      <c r="B7" s="222"/>
    </row>
    <row r="8" spans="1:20" ht="18" customHeight="1" x14ac:dyDescent="0.35">
      <c r="A8" s="230" t="s">
        <v>1097</v>
      </c>
      <c r="B8" s="288">
        <f>B10+B14</f>
        <v>29136675</v>
      </c>
      <c r="D8" s="231" t="s">
        <v>793</v>
      </c>
      <c r="H8" s="205">
        <f>'Transport volumes'!B10+'Transport volumes'!B13</f>
        <v>29136675</v>
      </c>
    </row>
    <row r="9" spans="1:20" ht="18" customHeight="1" x14ac:dyDescent="0.35">
      <c r="A9" s="2"/>
      <c r="H9" s="53">
        <f>B8-H8</f>
        <v>0</v>
      </c>
    </row>
    <row r="10" spans="1:20" ht="18" customHeight="1" x14ac:dyDescent="0.35">
      <c r="A10" s="206" t="s">
        <v>1098</v>
      </c>
      <c r="B10" s="207">
        <f>SUM(B11:B12)</f>
        <v>9274136.25</v>
      </c>
      <c r="H10" s="1519" t="str">
        <f>IF(H9=0,"OK","Not OK")</f>
        <v>OK</v>
      </c>
    </row>
    <row r="11" spans="1:20" ht="18" customHeight="1" x14ac:dyDescent="0.35">
      <c r="A11" s="300" t="s">
        <v>1099</v>
      </c>
      <c r="B11" s="301">
        <f>B116</f>
        <v>9274136.25</v>
      </c>
    </row>
    <row r="12" spans="1:20" ht="18" customHeight="1" x14ac:dyDescent="0.35">
      <c r="A12" s="300" t="s">
        <v>1100</v>
      </c>
      <c r="B12" s="301">
        <f>B117</f>
        <v>0</v>
      </c>
    </row>
    <row r="13" spans="1:20" ht="18" customHeight="1" x14ac:dyDescent="0.35">
      <c r="A13" s="145"/>
      <c r="B13" s="156"/>
      <c r="E13" s="3"/>
      <c r="F13" s="3"/>
      <c r="G13" s="3"/>
      <c r="H13" s="116"/>
      <c r="I13" s="7"/>
      <c r="J13" s="54"/>
      <c r="K13" s="3"/>
    </row>
    <row r="14" spans="1:20" ht="18" customHeight="1" x14ac:dyDescent="0.35">
      <c r="A14" s="208" t="s">
        <v>1101</v>
      </c>
      <c r="B14" s="209">
        <f>SUM(B15:B16)</f>
        <v>19862538.75</v>
      </c>
      <c r="E14" s="3"/>
      <c r="F14" s="3"/>
      <c r="G14" s="3"/>
      <c r="H14" s="47"/>
      <c r="I14" s="3"/>
      <c r="J14" s="54"/>
      <c r="K14" s="3"/>
    </row>
    <row r="15" spans="1:20" ht="18" customHeight="1" x14ac:dyDescent="0.35">
      <c r="A15" s="300" t="s">
        <v>1102</v>
      </c>
      <c r="B15" s="301">
        <f>B120</f>
        <v>19862538.75</v>
      </c>
      <c r="E15" s="3"/>
      <c r="F15" s="3"/>
      <c r="G15" s="3"/>
      <c r="H15" s="47"/>
      <c r="I15" s="3"/>
      <c r="J15" s="54"/>
      <c r="K15" s="3"/>
    </row>
    <row r="16" spans="1:20" ht="18" customHeight="1" x14ac:dyDescent="0.35">
      <c r="A16" s="300" t="s">
        <v>1103</v>
      </c>
      <c r="B16" s="301">
        <f>B121</f>
        <v>0</v>
      </c>
      <c r="E16" s="3"/>
      <c r="F16" s="3"/>
      <c r="G16" s="3"/>
      <c r="H16" s="3"/>
      <c r="I16" s="3"/>
      <c r="J16" s="3"/>
      <c r="K16" s="3"/>
    </row>
    <row r="17" spans="1:34" s="3" customFormat="1" ht="17.149999999999999" customHeight="1" x14ac:dyDescent="0.35">
      <c r="A17" s="48"/>
      <c r="B17" s="48"/>
    </row>
    <row r="18" spans="1:34" s="3" customFormat="1" ht="17.149999999999999" customHeight="1" x14ac:dyDescent="0.35">
      <c r="A18" s="47"/>
      <c r="B18" s="47"/>
    </row>
    <row r="19" spans="1:34" s="3" customFormat="1" ht="17.149999999999999" customHeight="1" x14ac:dyDescent="0.35">
      <c r="A19" s="47"/>
      <c r="C19" s="54"/>
      <c r="D19" s="54"/>
    </row>
    <row r="20" spans="1:34" ht="16.5" customHeight="1" x14ac:dyDescent="0.35">
      <c r="A20" s="183" t="s">
        <v>977</v>
      </c>
      <c r="B20" s="3"/>
      <c r="C20" s="54"/>
      <c r="D20" s="54"/>
      <c r="E20" s="3"/>
      <c r="F20" s="3"/>
      <c r="G20" s="3"/>
      <c r="H20" s="3"/>
      <c r="I20" s="3"/>
      <c r="J20" s="3"/>
      <c r="K20" s="3"/>
    </row>
    <row r="21" spans="1:34" ht="17.149999999999999" customHeight="1" x14ac:dyDescent="0.35">
      <c r="A21" s="47"/>
      <c r="B21" s="3"/>
      <c r="C21" s="54"/>
      <c r="D21" s="54"/>
      <c r="E21" s="3"/>
      <c r="F21" s="3"/>
      <c r="G21" s="3"/>
      <c r="H21" s="3"/>
      <c r="I21" s="3"/>
      <c r="J21" s="3"/>
      <c r="K21" s="3"/>
    </row>
    <row r="22" spans="1:34" ht="17.149999999999999" customHeight="1" x14ac:dyDescent="0.35">
      <c r="A22" s="949" t="s">
        <v>1104</v>
      </c>
      <c r="B22" s="1506" t="s">
        <v>9</v>
      </c>
      <c r="C22" s="54"/>
      <c r="D22" s="54"/>
      <c r="E22" s="3"/>
      <c r="F22" s="3"/>
      <c r="G22" s="3"/>
      <c r="H22" s="3"/>
      <c r="I22" s="3"/>
      <c r="J22" s="3"/>
      <c r="K22" s="3"/>
    </row>
    <row r="23" spans="1:34" ht="17.149999999999999" customHeight="1" x14ac:dyDescent="0.35">
      <c r="A23" s="3"/>
      <c r="B23" s="3"/>
      <c r="C23" s="3"/>
      <c r="D23" s="3"/>
      <c r="E23" s="3"/>
      <c r="F23" s="3"/>
      <c r="I23" s="43"/>
      <c r="J23" s="3"/>
      <c r="K23" s="3"/>
      <c r="L23" s="3"/>
      <c r="V23" s="11"/>
      <c r="AA23" s="11"/>
    </row>
    <row r="24" spans="1:34" s="11" customFormat="1" ht="17.149999999999999" customHeight="1" x14ac:dyDescent="0.35">
      <c r="A24" s="1808" t="s">
        <v>513</v>
      </c>
      <c r="B24" s="1764" t="s">
        <v>1105</v>
      </c>
      <c r="C24" s="1836" t="s">
        <v>516</v>
      </c>
      <c r="D24" s="1837"/>
      <c r="E24" s="1808" t="s">
        <v>569</v>
      </c>
      <c r="F24" s="1808" t="s">
        <v>1106</v>
      </c>
      <c r="G24" s="1784" t="s">
        <v>518</v>
      </c>
      <c r="H24" s="1784"/>
      <c r="I24" s="1808" t="s">
        <v>519</v>
      </c>
      <c r="J24" s="1808" t="s">
        <v>1107</v>
      </c>
      <c r="K24" s="1808" t="s">
        <v>510</v>
      </c>
      <c r="L24" s="1808" t="s">
        <v>520</v>
      </c>
      <c r="M24" s="1808" t="s">
        <v>1108</v>
      </c>
      <c r="N24" s="1808" t="s">
        <v>512</v>
      </c>
      <c r="O24" s="198"/>
      <c r="P24" s="1808" t="s">
        <v>521</v>
      </c>
      <c r="Q24" s="1808"/>
      <c r="R24" s="1808"/>
      <c r="S24" s="1808"/>
      <c r="T24" s="1808"/>
      <c r="U24" s="198"/>
      <c r="V24" s="1784" t="s">
        <v>1109</v>
      </c>
      <c r="W24" s="1784"/>
      <c r="X24" s="1784"/>
      <c r="Y24" s="1784"/>
      <c r="AA24" s="1797" t="s">
        <v>1110</v>
      </c>
      <c r="AB24" s="1805"/>
      <c r="AC24" s="1798"/>
    </row>
    <row r="25" spans="1:34" s="11" customFormat="1" ht="45" customHeight="1" x14ac:dyDescent="0.35">
      <c r="A25" s="1808"/>
      <c r="B25" s="1766"/>
      <c r="C25" s="1838"/>
      <c r="D25" s="1839"/>
      <c r="E25" s="1808"/>
      <c r="F25" s="1808"/>
      <c r="G25" s="1511" t="s">
        <v>523</v>
      </c>
      <c r="H25" s="1511" t="s">
        <v>524</v>
      </c>
      <c r="I25" s="1808"/>
      <c r="J25" s="1808"/>
      <c r="K25" s="1808"/>
      <c r="L25" s="1808"/>
      <c r="M25" s="1808"/>
      <c r="N25" s="1808"/>
      <c r="O25" s="198"/>
      <c r="P25" s="1511" t="s">
        <v>525</v>
      </c>
      <c r="Q25" s="1511" t="s">
        <v>526</v>
      </c>
      <c r="R25" s="1511" t="s">
        <v>559</v>
      </c>
      <c r="S25" s="1511" t="s">
        <v>528</v>
      </c>
      <c r="T25" s="1511" t="s">
        <v>1111</v>
      </c>
      <c r="U25" s="198"/>
      <c r="V25" s="950" t="s">
        <v>1112</v>
      </c>
      <c r="W25" s="1511" t="s">
        <v>740</v>
      </c>
      <c r="X25" s="1511" t="s">
        <v>741</v>
      </c>
      <c r="Y25" s="1511" t="s">
        <v>729</v>
      </c>
      <c r="AA25" s="950" t="s">
        <v>1112</v>
      </c>
      <c r="AB25" s="1511" t="s">
        <v>1113</v>
      </c>
      <c r="AC25" s="1511" t="s">
        <v>1114</v>
      </c>
    </row>
    <row r="26" spans="1:34" s="315" customFormat="1" ht="13" x14ac:dyDescent="0.35">
      <c r="A26" s="310"/>
      <c r="B26" s="311"/>
      <c r="C26" s="312"/>
      <c r="D26" s="313"/>
      <c r="E26" s="310"/>
      <c r="F26" s="310"/>
      <c r="G26" s="310"/>
      <c r="H26" s="310"/>
      <c r="I26" s="310"/>
      <c r="J26" s="317"/>
      <c r="K26" s="316"/>
      <c r="L26" s="310"/>
      <c r="M26" s="317"/>
      <c r="N26" s="316"/>
      <c r="O26" s="318"/>
      <c r="P26" s="1510"/>
      <c r="Q26" s="1510"/>
      <c r="R26" s="1510"/>
      <c r="S26" s="1510"/>
      <c r="T26" s="1510"/>
      <c r="U26" s="318"/>
      <c r="V26" s="320"/>
      <c r="W26" s="310"/>
      <c r="X26" s="310"/>
      <c r="Y26" s="310"/>
      <c r="AA26" s="314"/>
      <c r="AB26" s="311"/>
      <c r="AC26" s="311"/>
    </row>
    <row r="27" spans="1:34" s="3" customFormat="1" ht="17.149999999999999" customHeight="1" x14ac:dyDescent="0.35">
      <c r="A27" s="88" t="str">
        <f>Interface_Treatment!B15</f>
        <v>Plant 1 [sewerage treatment works]</v>
      </c>
      <c r="B27" s="51">
        <f>Interface_Treatment!D15</f>
        <v>0</v>
      </c>
      <c r="C27" s="1840">
        <f>Interface_Treatment!E15</f>
        <v>0</v>
      </c>
      <c r="D27" s="1841"/>
      <c r="E27" s="51">
        <f>Interface_Treatment!G15</f>
        <v>0</v>
      </c>
      <c r="F27" s="51">
        <f t="shared" ref="F27:F32" si="0">B27</f>
        <v>0</v>
      </c>
      <c r="G27" s="359">
        <f>Interface_Treatment!H15</f>
        <v>0</v>
      </c>
      <c r="H27" s="359">
        <f>Interface_Treatment!I15</f>
        <v>0</v>
      </c>
      <c r="I27" s="359">
        <f>Interface_Treatment!J15</f>
        <v>0</v>
      </c>
      <c r="J27" s="86">
        <f t="shared" ref="J27:J32" si="1">IF(I27=0,0,IF(I27="NO",G27,IF(I27="YES",0)))</f>
        <v>0</v>
      </c>
      <c r="K27" s="86">
        <f t="shared" ref="K27:K32" si="2">IF(I27=0,0,IF(I27="YES",G27,IF(I27="NO",0)))</f>
        <v>0</v>
      </c>
      <c r="L27" s="359">
        <f>Interface_Treatment!K15</f>
        <v>0</v>
      </c>
      <c r="M27" s="86">
        <f t="shared" ref="M27:M32" si="3">IF(L27=0,0,IF(L27="NO",H27,IF(L27="YES",0)))</f>
        <v>0</v>
      </c>
      <c r="N27" s="86">
        <f t="shared" ref="N27:N32" si="4">IF(L27=0,0,IF(L27="YES",H27,IF(L27="NO",0)))</f>
        <v>0</v>
      </c>
      <c r="O27" s="319"/>
      <c r="P27" s="937">
        <f>Interface_Treatment!N15</f>
        <v>0</v>
      </c>
      <c r="Q27" s="937">
        <f>Interface_Treatment!O15</f>
        <v>0</v>
      </c>
      <c r="R27" s="937">
        <f>Interface_Treatment!P15</f>
        <v>0</v>
      </c>
      <c r="S27" s="937">
        <f>Interface_Treatment!Q15</f>
        <v>0</v>
      </c>
      <c r="T27" s="937">
        <f>Interface_Treatment!R15</f>
        <v>0</v>
      </c>
      <c r="U27" s="319"/>
      <c r="V27" s="15" t="s">
        <v>730</v>
      </c>
      <c r="W27" s="937">
        <f>Interface_Environment!C23</f>
        <v>0</v>
      </c>
      <c r="X27" s="937">
        <f>Interface_Environment!D23</f>
        <v>0</v>
      </c>
      <c r="Y27" s="937">
        <f>Interface_Environment!E23</f>
        <v>0</v>
      </c>
      <c r="AA27" s="111" t="s">
        <v>1115</v>
      </c>
      <c r="AB27" s="937" t="s">
        <v>1116</v>
      </c>
      <c r="AC27" s="937" t="s">
        <v>1116</v>
      </c>
      <c r="AH27" s="17"/>
    </row>
    <row r="28" spans="1:34" s="3" customFormat="1" ht="17.149999999999999" customHeight="1" x14ac:dyDescent="0.35">
      <c r="A28" s="49" t="str">
        <f>Interface_Treatment!B16</f>
        <v>Plant 2 [sewerage treatment works]</v>
      </c>
      <c r="B28" s="51">
        <f>Interface_Treatment!D16</f>
        <v>0</v>
      </c>
      <c r="C28" s="1842">
        <f>Interface_Treatment!E16</f>
        <v>0</v>
      </c>
      <c r="D28" s="1843"/>
      <c r="E28" s="50">
        <f>Interface_Treatment!G16</f>
        <v>0</v>
      </c>
      <c r="F28" s="50">
        <f t="shared" si="0"/>
        <v>0</v>
      </c>
      <c r="G28" s="346">
        <f>Interface_Treatment!H16</f>
        <v>0</v>
      </c>
      <c r="H28" s="346">
        <f>Interface_Treatment!I16</f>
        <v>0</v>
      </c>
      <c r="I28" s="346">
        <f>Interface_Treatment!J16</f>
        <v>0</v>
      </c>
      <c r="J28" s="87">
        <f t="shared" si="1"/>
        <v>0</v>
      </c>
      <c r="K28" s="87">
        <f t="shared" si="2"/>
        <v>0</v>
      </c>
      <c r="L28" s="346">
        <f>Interface_Treatment!K16</f>
        <v>0</v>
      </c>
      <c r="M28" s="87">
        <f t="shared" si="3"/>
        <v>0</v>
      </c>
      <c r="N28" s="87">
        <f t="shared" si="4"/>
        <v>0</v>
      </c>
      <c r="O28" s="319"/>
      <c r="P28" s="348">
        <f>Interface_Treatment!N16</f>
        <v>0</v>
      </c>
      <c r="Q28" s="348">
        <f>Interface_Treatment!O16</f>
        <v>0</v>
      </c>
      <c r="R28" s="348">
        <f>Interface_Treatment!P16</f>
        <v>0</v>
      </c>
      <c r="S28" s="348">
        <f>Interface_Treatment!Q16</f>
        <v>0</v>
      </c>
      <c r="T28" s="348">
        <f>Interface_Treatment!R16</f>
        <v>0</v>
      </c>
      <c r="U28" s="319"/>
      <c r="V28" s="59" t="s">
        <v>731</v>
      </c>
      <c r="W28" s="348">
        <f>Interface_Environment!C24</f>
        <v>0</v>
      </c>
      <c r="X28" s="348">
        <f>Interface_Environment!D24</f>
        <v>0</v>
      </c>
      <c r="Y28" s="348">
        <f>Interface_Environment!E24</f>
        <v>0</v>
      </c>
      <c r="AA28" s="59" t="s">
        <v>1117</v>
      </c>
      <c r="AB28" s="348" t="s">
        <v>1118</v>
      </c>
      <c r="AC28" s="348" t="s">
        <v>1119</v>
      </c>
      <c r="AH28" s="17"/>
    </row>
    <row r="29" spans="1:34" s="3" customFormat="1" ht="17.149999999999999" customHeight="1" x14ac:dyDescent="0.35">
      <c r="A29" s="88" t="str">
        <f>Interface_Treatment!B17</f>
        <v>Plant 3 [insert name]</v>
      </c>
      <c r="B29" s="51">
        <f>Interface_Treatment!D17</f>
        <v>0</v>
      </c>
      <c r="C29" s="1840">
        <f>Interface_Treatment!E17</f>
        <v>0</v>
      </c>
      <c r="D29" s="1841"/>
      <c r="E29" s="51">
        <f>Interface_Treatment!G17</f>
        <v>0</v>
      </c>
      <c r="F29" s="51">
        <f t="shared" si="0"/>
        <v>0</v>
      </c>
      <c r="G29" s="359">
        <f>Interface_Treatment!H17</f>
        <v>0</v>
      </c>
      <c r="H29" s="359">
        <f>Interface_Treatment!I17</f>
        <v>0</v>
      </c>
      <c r="I29" s="359">
        <f>Interface_Treatment!J17</f>
        <v>0</v>
      </c>
      <c r="J29" s="86">
        <f t="shared" si="1"/>
        <v>0</v>
      </c>
      <c r="K29" s="86">
        <f t="shared" si="2"/>
        <v>0</v>
      </c>
      <c r="L29" s="359">
        <f>Interface_Treatment!K17</f>
        <v>0</v>
      </c>
      <c r="M29" s="86">
        <f t="shared" si="3"/>
        <v>0</v>
      </c>
      <c r="N29" s="86">
        <f t="shared" si="4"/>
        <v>0</v>
      </c>
      <c r="O29" s="319"/>
      <c r="P29" s="937">
        <f>Interface_Treatment!N17</f>
        <v>0</v>
      </c>
      <c r="Q29" s="937">
        <f>Interface_Treatment!O17</f>
        <v>0</v>
      </c>
      <c r="R29" s="937">
        <f>Interface_Treatment!P17</f>
        <v>0</v>
      </c>
      <c r="S29" s="937">
        <f>Interface_Treatment!Q17</f>
        <v>0</v>
      </c>
      <c r="T29" s="937">
        <f>Interface_Treatment!R17</f>
        <v>0</v>
      </c>
      <c r="U29" s="319"/>
      <c r="V29" s="15" t="s">
        <v>732</v>
      </c>
      <c r="W29" s="937">
        <f>Interface_Environment!C25</f>
        <v>0</v>
      </c>
      <c r="X29" s="937">
        <f>Interface_Environment!D25</f>
        <v>0</v>
      </c>
      <c r="Y29" s="937">
        <f>Interface_Environment!E25</f>
        <v>0</v>
      </c>
      <c r="AH29" s="17"/>
    </row>
    <row r="30" spans="1:34" s="3" customFormat="1" ht="17.149999999999999" customHeight="1" x14ac:dyDescent="0.35">
      <c r="A30" s="49" t="str">
        <f>Interface_Treatment!B18</f>
        <v>Plant 4 [insert name]</v>
      </c>
      <c r="B30" s="51">
        <f>Interface_Treatment!D18</f>
        <v>0</v>
      </c>
      <c r="C30" s="1842">
        <f>Interface_Treatment!E18</f>
        <v>0</v>
      </c>
      <c r="D30" s="1843"/>
      <c r="E30" s="50">
        <f>Interface_Treatment!G18</f>
        <v>0</v>
      </c>
      <c r="F30" s="50">
        <f t="shared" si="0"/>
        <v>0</v>
      </c>
      <c r="G30" s="346">
        <f>Interface_Treatment!H18</f>
        <v>0</v>
      </c>
      <c r="H30" s="346">
        <f>Interface_Treatment!I18</f>
        <v>0</v>
      </c>
      <c r="I30" s="346">
        <f>Interface_Treatment!J18</f>
        <v>0</v>
      </c>
      <c r="J30" s="87">
        <f t="shared" si="1"/>
        <v>0</v>
      </c>
      <c r="K30" s="87">
        <f t="shared" si="2"/>
        <v>0</v>
      </c>
      <c r="L30" s="346">
        <f>Interface_Treatment!K18</f>
        <v>0</v>
      </c>
      <c r="M30" s="87">
        <f t="shared" si="3"/>
        <v>0</v>
      </c>
      <c r="N30" s="87">
        <f t="shared" si="4"/>
        <v>0</v>
      </c>
      <c r="O30" s="319"/>
      <c r="P30" s="348">
        <f>Interface_Treatment!N18</f>
        <v>0</v>
      </c>
      <c r="Q30" s="348">
        <f>Interface_Treatment!O18</f>
        <v>0</v>
      </c>
      <c r="R30" s="348">
        <f>Interface_Treatment!P18</f>
        <v>0</v>
      </c>
      <c r="S30" s="348">
        <f>Interface_Treatment!Q18</f>
        <v>0</v>
      </c>
      <c r="T30" s="348">
        <f>Interface_Treatment!R18</f>
        <v>0</v>
      </c>
      <c r="U30" s="319"/>
      <c r="V30" s="59" t="s">
        <v>733</v>
      </c>
      <c r="W30" s="348">
        <f>Interface_Environment!C26</f>
        <v>0</v>
      </c>
      <c r="X30" s="348">
        <f>Interface_Environment!D26</f>
        <v>0</v>
      </c>
      <c r="Y30" s="348">
        <f>Interface_Environment!E26</f>
        <v>0</v>
      </c>
      <c r="AH30" s="17"/>
    </row>
    <row r="31" spans="1:34" s="3" customFormat="1" ht="17.149999999999999" customHeight="1" x14ac:dyDescent="0.35">
      <c r="A31" s="88" t="str">
        <f>Interface_Treatment!B19</f>
        <v>Plant 5 [insert name]</v>
      </c>
      <c r="B31" s="51">
        <f>Interface_Treatment!D19</f>
        <v>0</v>
      </c>
      <c r="C31" s="1840">
        <f>Interface_Treatment!E19</f>
        <v>0</v>
      </c>
      <c r="D31" s="1841"/>
      <c r="E31" s="51">
        <f>Interface_Treatment!G19</f>
        <v>0</v>
      </c>
      <c r="F31" s="51">
        <f t="shared" si="0"/>
        <v>0</v>
      </c>
      <c r="G31" s="359">
        <f>Interface_Treatment!H19</f>
        <v>0</v>
      </c>
      <c r="H31" s="359">
        <f>Interface_Treatment!I19</f>
        <v>0</v>
      </c>
      <c r="I31" s="359">
        <f>Interface_Treatment!J19</f>
        <v>0</v>
      </c>
      <c r="J31" s="86">
        <f t="shared" si="1"/>
        <v>0</v>
      </c>
      <c r="K31" s="86">
        <f t="shared" si="2"/>
        <v>0</v>
      </c>
      <c r="L31" s="359">
        <f>Interface_Treatment!K19</f>
        <v>0</v>
      </c>
      <c r="M31" s="86">
        <f t="shared" si="3"/>
        <v>0</v>
      </c>
      <c r="N31" s="86">
        <f t="shared" si="4"/>
        <v>0</v>
      </c>
      <c r="O31" s="319"/>
      <c r="P31" s="937">
        <f>Interface_Treatment!N19</f>
        <v>0</v>
      </c>
      <c r="Q31" s="937">
        <f>Interface_Treatment!O19</f>
        <v>0</v>
      </c>
      <c r="R31" s="937">
        <f>Interface_Treatment!P19</f>
        <v>0</v>
      </c>
      <c r="S31" s="937">
        <f>Interface_Treatment!Q19</f>
        <v>0</v>
      </c>
      <c r="T31" s="937">
        <f>Interface_Treatment!R19</f>
        <v>0</v>
      </c>
      <c r="U31" s="319"/>
      <c r="V31" s="15" t="s">
        <v>734</v>
      </c>
      <c r="W31" s="937">
        <f>Interface_Environment!C27</f>
        <v>0</v>
      </c>
      <c r="X31" s="937">
        <f>Interface_Environment!D27</f>
        <v>0</v>
      </c>
      <c r="Y31" s="937">
        <f>Interface_Environment!E27</f>
        <v>0</v>
      </c>
      <c r="AH31" s="17"/>
    </row>
    <row r="32" spans="1:34" s="3" customFormat="1" ht="17.149999999999999" customHeight="1" x14ac:dyDescent="0.35">
      <c r="A32" s="49" t="str">
        <f>Interface_Treatment!B20</f>
        <v>Plant 6 [insert name]</v>
      </c>
      <c r="B32" s="51">
        <f>Interface_Treatment!D20</f>
        <v>0</v>
      </c>
      <c r="C32" s="1842">
        <f>Interface_Treatment!E20</f>
        <v>0</v>
      </c>
      <c r="D32" s="1843"/>
      <c r="E32" s="50">
        <f>Interface_Treatment!G20</f>
        <v>0</v>
      </c>
      <c r="F32" s="50">
        <f t="shared" si="0"/>
        <v>0</v>
      </c>
      <c r="G32" s="346">
        <f>Interface_Treatment!H20</f>
        <v>0</v>
      </c>
      <c r="H32" s="346">
        <f>Interface_Treatment!I20</f>
        <v>0</v>
      </c>
      <c r="I32" s="346">
        <f>Interface_Treatment!J20</f>
        <v>0</v>
      </c>
      <c r="J32" s="87">
        <f t="shared" si="1"/>
        <v>0</v>
      </c>
      <c r="K32" s="87">
        <f t="shared" si="2"/>
        <v>0</v>
      </c>
      <c r="L32" s="346">
        <f>Interface_Treatment!K20</f>
        <v>0</v>
      </c>
      <c r="M32" s="87">
        <f t="shared" si="3"/>
        <v>0</v>
      </c>
      <c r="N32" s="87">
        <f t="shared" si="4"/>
        <v>0</v>
      </c>
      <c r="O32" s="319"/>
      <c r="P32" s="348">
        <f>Interface_Treatment!N20</f>
        <v>0</v>
      </c>
      <c r="Q32" s="348">
        <f>Interface_Treatment!O20</f>
        <v>0</v>
      </c>
      <c r="R32" s="348">
        <f>Interface_Treatment!P20</f>
        <v>0</v>
      </c>
      <c r="S32" s="348">
        <f>Interface_Treatment!Q20</f>
        <v>0</v>
      </c>
      <c r="T32" s="348">
        <f>Interface_Treatment!R20</f>
        <v>0</v>
      </c>
      <c r="U32" s="319"/>
      <c r="V32" s="59" t="s">
        <v>735</v>
      </c>
      <c r="W32" s="348">
        <f>Interface_Environment!C28</f>
        <v>0</v>
      </c>
      <c r="X32" s="348">
        <f>Interface_Environment!D28</f>
        <v>0</v>
      </c>
      <c r="Y32" s="348">
        <f>Interface_Environment!E28</f>
        <v>0</v>
      </c>
      <c r="AH32" s="17"/>
    </row>
    <row r="33" spans="1:34" s="12" customFormat="1" ht="17.149999999999999" customHeight="1" x14ac:dyDescent="0.35">
      <c r="A33" s="950" t="s">
        <v>208</v>
      </c>
      <c r="B33" s="951">
        <f>SUM(B27:B32)</f>
        <v>0</v>
      </c>
      <c r="C33" s="1844"/>
      <c r="D33" s="1845"/>
      <c r="E33" s="951">
        <f>SUM(E27:E32)</f>
        <v>0</v>
      </c>
      <c r="F33" s="951">
        <f>SUM(F27:F32)</f>
        <v>0</v>
      </c>
      <c r="G33" s="951">
        <f>SUM(G27:G32)</f>
        <v>0</v>
      </c>
      <c r="H33" s="951">
        <f>SUM(H27:H32)</f>
        <v>0</v>
      </c>
      <c r="I33" s="952"/>
      <c r="J33" s="948">
        <f>SUM(J27:J32)</f>
        <v>0</v>
      </c>
      <c r="K33" s="948">
        <f>SUM(K27:K32)</f>
        <v>0</v>
      </c>
      <c r="L33" s="948"/>
      <c r="M33" s="948">
        <f>SUM(M27:M32)</f>
        <v>0</v>
      </c>
      <c r="N33" s="948">
        <f>SUM(N27:N32)</f>
        <v>0</v>
      </c>
      <c r="O33" s="32"/>
      <c r="P33" s="32"/>
      <c r="Q33" s="32"/>
      <c r="R33" s="32"/>
      <c r="S33" s="32"/>
      <c r="T33" s="32"/>
      <c r="U33" s="32"/>
      <c r="V33" s="15"/>
      <c r="W33" s="937">
        <f>Interface_Environment!C29</f>
        <v>0</v>
      </c>
      <c r="X33" s="937">
        <f>Interface_Environment!D29</f>
        <v>0</v>
      </c>
      <c r="Y33" s="937">
        <f>Interface_Environment!E29</f>
        <v>0</v>
      </c>
    </row>
    <row r="34" spans="1:34" ht="17.149999999999999" customHeight="1" x14ac:dyDescent="0.3">
      <c r="A34" s="3"/>
      <c r="B34" s="3"/>
      <c r="C34" s="6"/>
      <c r="D34" s="6"/>
      <c r="E34" s="52"/>
      <c r="F34" s="1520">
        <f>F33</f>
        <v>0</v>
      </c>
      <c r="G34" s="1846">
        <f>G33+H33</f>
        <v>0</v>
      </c>
      <c r="H34" s="1847"/>
      <c r="I34" s="43"/>
      <c r="J34" s="1848">
        <f>SUM(J33:K33)</f>
        <v>0</v>
      </c>
      <c r="K34" s="1848"/>
      <c r="L34" s="43"/>
      <c r="M34" s="1848">
        <f>SUM(M33:N33)</f>
        <v>0</v>
      </c>
      <c r="N34" s="1848"/>
      <c r="O34" s="107"/>
      <c r="P34" s="107"/>
      <c r="Q34" s="107"/>
      <c r="R34" s="107"/>
      <c r="S34" s="107"/>
      <c r="T34" s="107"/>
      <c r="U34" s="107"/>
      <c r="V34" s="47" t="s">
        <v>1120</v>
      </c>
      <c r="W34" s="137"/>
      <c r="X34" s="137"/>
      <c r="Y34" s="137"/>
    </row>
    <row r="35" spans="1:34" ht="17.149999999999999" customHeight="1" x14ac:dyDescent="0.3">
      <c r="A35" s="950" t="s">
        <v>553</v>
      </c>
      <c r="B35" s="1523">
        <f>'Transport volumes'!B116</f>
        <v>0</v>
      </c>
      <c r="C35" s="6"/>
      <c r="D35" s="6"/>
      <c r="E35" s="52"/>
      <c r="F35" s="3"/>
      <c r="G35" s="1823" t="str">
        <f>IF(G34=F34,"OK","Not OK")</f>
        <v>OK</v>
      </c>
      <c r="H35" s="1823"/>
      <c r="I35" s="43"/>
      <c r="J35" s="1823" t="str">
        <f>IF(J34=G33,"OK","Not OK")</f>
        <v>OK</v>
      </c>
      <c r="K35" s="1823"/>
      <c r="L35" s="43"/>
      <c r="M35" s="1823" t="str">
        <f>IF(M34=H33,"OK","Not OK")</f>
        <v>OK</v>
      </c>
      <c r="N35" s="1823"/>
      <c r="O35" s="107"/>
      <c r="P35" s="107"/>
      <c r="Q35" s="107"/>
      <c r="R35" s="107"/>
      <c r="S35" s="107"/>
      <c r="T35" s="107"/>
      <c r="U35" s="107"/>
      <c r="V35" s="47" t="s">
        <v>1121</v>
      </c>
      <c r="W35" s="137"/>
      <c r="X35" s="137"/>
      <c r="Y35" s="137"/>
    </row>
    <row r="36" spans="1:34" ht="17.149999999999999" customHeight="1" x14ac:dyDescent="0.3">
      <c r="A36" s="143" t="s">
        <v>251</v>
      </c>
      <c r="B36" s="1520">
        <f>B35-B33</f>
        <v>0</v>
      </c>
      <c r="C36" s="6"/>
      <c r="D36" s="6"/>
      <c r="E36" s="52"/>
      <c r="F36" s="3"/>
      <c r="G36" s="3"/>
      <c r="H36" s="43"/>
      <c r="I36" s="43"/>
      <c r="J36" s="43"/>
      <c r="K36" s="43"/>
      <c r="L36" s="43"/>
      <c r="M36" s="43"/>
      <c r="N36" s="107"/>
      <c r="O36" s="107"/>
      <c r="P36" s="107"/>
      <c r="Q36" s="107"/>
      <c r="R36" s="107"/>
      <c r="S36" s="107"/>
      <c r="T36" s="107"/>
      <c r="U36" s="107"/>
      <c r="V36" s="137"/>
      <c r="W36" s="137"/>
      <c r="X36" s="137"/>
      <c r="Y36" s="137"/>
    </row>
    <row r="37" spans="1:34" ht="17.149999999999999" customHeight="1" x14ac:dyDescent="0.3">
      <c r="A37" s="3"/>
      <c r="B37" s="1519" t="str">
        <f>IF(B36=0,"OK","Not OK")</f>
        <v>OK</v>
      </c>
      <c r="C37" s="6"/>
      <c r="D37" s="6"/>
      <c r="E37" s="52"/>
      <c r="F37" s="3"/>
      <c r="G37" s="3"/>
      <c r="H37" s="43"/>
      <c r="I37" s="43"/>
      <c r="J37" s="43"/>
      <c r="K37" s="43"/>
      <c r="L37" s="43"/>
      <c r="M37" s="43"/>
      <c r="N37" s="107"/>
      <c r="O37" s="107"/>
      <c r="P37" s="107"/>
      <c r="Q37" s="107"/>
      <c r="R37" s="107"/>
      <c r="S37" s="107"/>
      <c r="T37" s="107"/>
      <c r="U37" s="107"/>
      <c r="V37" s="137"/>
      <c r="W37" s="137"/>
      <c r="X37" s="137"/>
      <c r="Y37" s="137"/>
    </row>
    <row r="38" spans="1:34" ht="17.149999999999999" customHeight="1" x14ac:dyDescent="0.3">
      <c r="A38" s="3"/>
      <c r="B38" s="3"/>
      <c r="C38" s="6"/>
      <c r="D38" s="6"/>
      <c r="E38" s="52"/>
      <c r="F38" s="3"/>
      <c r="G38" s="3"/>
      <c r="H38" s="43"/>
      <c r="I38" s="43"/>
      <c r="J38" s="43"/>
      <c r="K38" s="43"/>
      <c r="L38" s="43"/>
      <c r="M38" s="43"/>
      <c r="N38" s="107"/>
      <c r="O38" s="107"/>
      <c r="P38" s="107"/>
      <c r="Q38" s="107"/>
      <c r="R38" s="107"/>
      <c r="S38" s="107"/>
      <c r="T38" s="107"/>
      <c r="U38" s="107"/>
      <c r="V38" s="137"/>
      <c r="W38" s="137"/>
      <c r="X38" s="137"/>
      <c r="Y38" s="137"/>
    </row>
    <row r="39" spans="1:34" ht="17.149999999999999" customHeight="1" x14ac:dyDescent="0.3">
      <c r="A39" s="3"/>
      <c r="B39" s="3"/>
      <c r="C39" s="6"/>
      <c r="D39" s="6"/>
      <c r="E39" s="52"/>
      <c r="F39" s="3"/>
      <c r="G39" s="3"/>
      <c r="H39" s="43"/>
      <c r="I39" s="43"/>
      <c r="J39" s="43"/>
      <c r="K39" s="43"/>
      <c r="L39" s="43"/>
      <c r="M39" s="43"/>
      <c r="N39" s="107"/>
      <c r="O39" s="107"/>
      <c r="P39" s="107"/>
      <c r="Q39" s="107"/>
      <c r="R39" s="107"/>
      <c r="S39" s="107"/>
      <c r="T39" s="107"/>
      <c r="U39" s="107"/>
      <c r="V39" s="137"/>
      <c r="W39" s="137"/>
      <c r="X39" s="137"/>
      <c r="Y39" s="137"/>
    </row>
    <row r="40" spans="1:34" ht="17.149999999999999" customHeight="1" x14ac:dyDescent="0.3">
      <c r="A40" s="949" t="s">
        <v>1122</v>
      </c>
      <c r="B40" s="1506" t="s">
        <v>9</v>
      </c>
      <c r="C40" s="6"/>
      <c r="D40" s="6"/>
      <c r="E40" s="52"/>
      <c r="F40" s="3"/>
      <c r="G40" s="3"/>
      <c r="H40" s="43"/>
      <c r="I40" s="43"/>
      <c r="J40" s="43"/>
      <c r="K40" s="43"/>
      <c r="L40" s="43"/>
      <c r="M40" s="43"/>
      <c r="N40" s="107"/>
      <c r="O40" s="107"/>
      <c r="P40" s="107"/>
      <c r="Q40" s="107"/>
      <c r="R40" s="107"/>
      <c r="S40" s="107"/>
      <c r="T40" s="107"/>
      <c r="U40" s="107"/>
      <c r="V40" s="137"/>
      <c r="W40" s="137"/>
      <c r="X40" s="137"/>
      <c r="Y40" s="137"/>
    </row>
    <row r="41" spans="1:34" ht="17.149999999999999" customHeight="1" x14ac:dyDescent="0.3">
      <c r="A41" s="3"/>
      <c r="B41" s="3"/>
      <c r="C41" s="6"/>
      <c r="D41" s="6"/>
      <c r="E41" s="52"/>
      <c r="F41" s="3"/>
      <c r="G41" s="3"/>
      <c r="H41" s="43"/>
      <c r="I41" s="43"/>
      <c r="J41" s="43"/>
      <c r="K41" s="43"/>
      <c r="L41" s="43"/>
      <c r="M41" s="43"/>
      <c r="N41" s="107"/>
      <c r="O41" s="107"/>
      <c r="P41" s="107"/>
      <c r="Q41" s="107"/>
      <c r="R41" s="107"/>
      <c r="S41" s="107"/>
      <c r="T41" s="107"/>
      <c r="U41" s="107"/>
      <c r="V41" s="137"/>
      <c r="W41" s="137"/>
      <c r="X41" s="137"/>
      <c r="Y41" s="137"/>
    </row>
    <row r="42" spans="1:34" s="11" customFormat="1" ht="17.149999999999999" customHeight="1" x14ac:dyDescent="0.3">
      <c r="A42" s="1808" t="s">
        <v>513</v>
      </c>
      <c r="B42" s="1764" t="s">
        <v>1105</v>
      </c>
      <c r="C42" s="1836" t="s">
        <v>516</v>
      </c>
      <c r="D42" s="1837"/>
      <c r="E42" s="1808" t="s">
        <v>569</v>
      </c>
      <c r="F42" s="1808" t="s">
        <v>1106</v>
      </c>
      <c r="G42" s="1784" t="s">
        <v>518</v>
      </c>
      <c r="H42" s="1784"/>
      <c r="I42" s="1808" t="s">
        <v>519</v>
      </c>
      <c r="J42" s="1808" t="s">
        <v>1107</v>
      </c>
      <c r="K42" s="1808" t="s">
        <v>510</v>
      </c>
      <c r="L42" s="1808" t="s">
        <v>520</v>
      </c>
      <c r="M42" s="1808" t="s">
        <v>1108</v>
      </c>
      <c r="N42" s="1808" t="s">
        <v>512</v>
      </c>
      <c r="O42" s="198"/>
      <c r="P42" s="1808" t="s">
        <v>521</v>
      </c>
      <c r="Q42" s="1808"/>
      <c r="R42" s="1808"/>
      <c r="S42" s="1808"/>
      <c r="T42" s="1808"/>
      <c r="U42" s="102"/>
      <c r="V42" s="137"/>
      <c r="W42" s="137"/>
      <c r="X42" s="137"/>
      <c r="Y42" s="137"/>
      <c r="Z42" s="137"/>
      <c r="AA42" s="137"/>
      <c r="AB42" s="137"/>
      <c r="AC42" s="137"/>
      <c r="AD42" s="137"/>
      <c r="AE42" s="137"/>
      <c r="AF42" s="137"/>
      <c r="AG42" s="137"/>
    </row>
    <row r="43" spans="1:34" s="11" customFormat="1" ht="45" customHeight="1" x14ac:dyDescent="0.3">
      <c r="A43" s="1808"/>
      <c r="B43" s="1766"/>
      <c r="C43" s="1838"/>
      <c r="D43" s="1839"/>
      <c r="E43" s="1808"/>
      <c r="F43" s="1808"/>
      <c r="G43" s="1511" t="s">
        <v>523</v>
      </c>
      <c r="H43" s="1511" t="s">
        <v>524</v>
      </c>
      <c r="I43" s="1808"/>
      <c r="J43" s="1808"/>
      <c r="K43" s="1808"/>
      <c r="L43" s="1808"/>
      <c r="M43" s="1808"/>
      <c r="N43" s="1808"/>
      <c r="O43" s="198"/>
      <c r="P43" s="1511" t="s">
        <v>525</v>
      </c>
      <c r="Q43" s="1511" t="s">
        <v>526</v>
      </c>
      <c r="R43" s="1511" t="s">
        <v>559</v>
      </c>
      <c r="S43" s="1511" t="s">
        <v>528</v>
      </c>
      <c r="T43" s="1511" t="s">
        <v>1111</v>
      </c>
      <c r="U43" s="102"/>
      <c r="V43" s="137"/>
      <c r="W43" s="137"/>
      <c r="X43" s="137"/>
      <c r="Y43" s="137"/>
      <c r="Z43" s="137"/>
      <c r="AA43" s="137"/>
      <c r="AB43" s="137"/>
      <c r="AC43" s="137"/>
      <c r="AD43" s="137"/>
      <c r="AE43" s="137"/>
      <c r="AF43" s="137"/>
      <c r="AG43" s="137"/>
      <c r="AH43" s="11" t="s">
        <v>541</v>
      </c>
    </row>
    <row r="44" spans="1:34" s="315" customFormat="1" ht="13" x14ac:dyDescent="0.3">
      <c r="A44" s="310"/>
      <c r="B44" s="311"/>
      <c r="C44" s="312"/>
      <c r="D44" s="313"/>
      <c r="E44" s="310"/>
      <c r="F44" s="310"/>
      <c r="G44" s="310"/>
      <c r="H44" s="310"/>
      <c r="I44" s="310"/>
      <c r="J44" s="317"/>
      <c r="K44" s="316"/>
      <c r="L44" s="310"/>
      <c r="M44" s="317"/>
      <c r="N44" s="316"/>
      <c r="O44" s="318"/>
      <c r="P44" s="1510"/>
      <c r="Q44" s="1510"/>
      <c r="R44" s="1510"/>
      <c r="S44" s="1510"/>
      <c r="T44" s="1510"/>
      <c r="U44" s="102"/>
      <c r="V44" s="137"/>
      <c r="W44" s="137"/>
      <c r="X44" s="137"/>
      <c r="Y44" s="137"/>
      <c r="Z44" s="137"/>
      <c r="AA44" s="137"/>
      <c r="AB44" s="137"/>
      <c r="AC44" s="137"/>
      <c r="AD44" s="137"/>
      <c r="AE44" s="137"/>
      <c r="AF44" s="137"/>
      <c r="AG44" s="137"/>
    </row>
    <row r="45" spans="1:34" s="3" customFormat="1" ht="17.149999999999999" customHeight="1" x14ac:dyDescent="0.3">
      <c r="A45" s="88" t="str">
        <f>Interface_Treatment!B32</f>
        <v>Plant 1</v>
      </c>
      <c r="B45" s="51">
        <f>Interface_Treatment!D32</f>
        <v>1378720.5</v>
      </c>
      <c r="C45" s="1840" t="str">
        <f>Interface_Treatment!E32</f>
        <v>Anaerobic digestion</v>
      </c>
      <c r="D45" s="1841"/>
      <c r="E45" s="51">
        <f>Interface_Treatment!G32</f>
        <v>20</v>
      </c>
      <c r="F45" s="51">
        <f>B45</f>
        <v>1378720.5</v>
      </c>
      <c r="G45" s="359">
        <f>Interface_Treatment!H32</f>
        <v>1378720.5</v>
      </c>
      <c r="H45" s="359">
        <f>Interface_Treatment!I32</f>
        <v>0</v>
      </c>
      <c r="I45" s="359" t="str">
        <f>Interface_Treatment!J32</f>
        <v>YES</v>
      </c>
      <c r="J45" s="86">
        <f>IF(I45=0,0,IF(I45="NO",G45,IF(I45="YES",0)))</f>
        <v>0</v>
      </c>
      <c r="K45" s="86">
        <f>IF(I45=0,0,IF(I45="YES",G45,IF(I45="NO",0)))</f>
        <v>1378720.5</v>
      </c>
      <c r="L45" s="359">
        <f>Interface_Treatment!K32</f>
        <v>0</v>
      </c>
      <c r="M45" s="86">
        <f>IF(L45=0,0,IF(L45="NO",H45,IF(L45="YES",0)))</f>
        <v>0</v>
      </c>
      <c r="N45" s="86">
        <f>IF(L45=0,0,IF(L45="YES",H45,IF(L45="NO",0)))</f>
        <v>0</v>
      </c>
      <c r="O45" s="319"/>
      <c r="P45" s="937">
        <f>Interface_Treatment!N32</f>
        <v>0</v>
      </c>
      <c r="Q45" s="937">
        <f>Interface_Treatment!O32</f>
        <v>0</v>
      </c>
      <c r="R45" s="937">
        <f>Interface_Treatment!P32</f>
        <v>0</v>
      </c>
      <c r="S45" s="937">
        <f>Interface_Treatment!Q32</f>
        <v>0</v>
      </c>
      <c r="T45" s="937">
        <f>Interface_Treatment!R32</f>
        <v>0</v>
      </c>
      <c r="U45" s="319"/>
      <c r="V45" s="137"/>
      <c r="W45" s="137"/>
      <c r="X45" s="137"/>
      <c r="Y45" s="137"/>
      <c r="Z45" s="137"/>
      <c r="AA45" s="137"/>
      <c r="AB45" s="137"/>
      <c r="AC45" s="137"/>
      <c r="AH45" s="17" t="s">
        <v>542</v>
      </c>
    </row>
    <row r="46" spans="1:34" s="3" customFormat="1" ht="17.149999999999999" customHeight="1" x14ac:dyDescent="0.3">
      <c r="A46" s="941" t="str">
        <f>Interface_Treatment!B33</f>
        <v>Plant 2</v>
      </c>
      <c r="B46" s="940">
        <f>Interface_Treatment!D33</f>
        <v>6663815.75</v>
      </c>
      <c r="C46" s="1849">
        <f>Interface_Treatment!E33</f>
        <v>0</v>
      </c>
      <c r="D46" s="1850"/>
      <c r="E46" s="940">
        <f>Interface_Treatment!G33</f>
        <v>45</v>
      </c>
      <c r="F46" s="940">
        <f>B46</f>
        <v>6663815.75</v>
      </c>
      <c r="G46" s="942">
        <f>Interface_Treatment!H33</f>
        <v>6663815.75</v>
      </c>
      <c r="H46" s="942">
        <f>Interface_Treatment!I33</f>
        <v>0</v>
      </c>
      <c r="I46" s="942" t="str">
        <f>Interface_Treatment!J33</f>
        <v>YES</v>
      </c>
      <c r="J46" s="943">
        <f>IF(I46=0,0,IF(I46="NO",G46,IF(I46="YES",0)))</f>
        <v>0</v>
      </c>
      <c r="K46" s="943">
        <f>IF(I46=0,0,IF(I46="YES",G46,IF(I46="NO",0)))</f>
        <v>6663815.75</v>
      </c>
      <c r="L46" s="942">
        <f>Interface_Treatment!K33</f>
        <v>0</v>
      </c>
      <c r="M46" s="943">
        <f>IF(L46=0,0,IF(L46="NO",H46,IF(L46="YES",0)))</f>
        <v>0</v>
      </c>
      <c r="N46" s="943">
        <f>IF(L46=0,0,IF(L46="YES",H46,IF(L46="NO",0)))</f>
        <v>0</v>
      </c>
      <c r="O46" s="319"/>
      <c r="P46" s="944">
        <f>Interface_Treatment!N33</f>
        <v>0</v>
      </c>
      <c r="Q46" s="944">
        <f>Interface_Treatment!O33</f>
        <v>0</v>
      </c>
      <c r="R46" s="944">
        <f>Interface_Treatment!P33</f>
        <v>0</v>
      </c>
      <c r="S46" s="944">
        <f>Interface_Treatment!Q33</f>
        <v>0</v>
      </c>
      <c r="T46" s="944">
        <f>Interface_Treatment!R33</f>
        <v>0</v>
      </c>
      <c r="U46" s="319"/>
      <c r="V46" s="137"/>
      <c r="W46" s="137"/>
      <c r="X46" s="137"/>
      <c r="Y46" s="137"/>
      <c r="Z46" s="137"/>
      <c r="AA46" s="137"/>
      <c r="AB46" s="137"/>
      <c r="AC46" s="137"/>
      <c r="AH46" s="17" t="s">
        <v>547</v>
      </c>
    </row>
    <row r="47" spans="1:34" s="3" customFormat="1" ht="17.149999999999999" customHeight="1" x14ac:dyDescent="0.3">
      <c r="A47" s="88" t="str">
        <f>Interface_Treatment!B34</f>
        <v>Plant 3</v>
      </c>
      <c r="B47" s="51">
        <f>Interface_Treatment!D34</f>
        <v>6893602.5</v>
      </c>
      <c r="C47" s="1840" t="str">
        <f>Interface_Treatment!E34</f>
        <v>Anaerobic digestion</v>
      </c>
      <c r="D47" s="1841"/>
      <c r="E47" s="51">
        <f>Interface_Treatment!G34</f>
        <v>45</v>
      </c>
      <c r="F47" s="51">
        <f t="shared" ref="F47:F54" si="5">B47</f>
        <v>6893602.5</v>
      </c>
      <c r="G47" s="359">
        <f>Interface_Treatment!H34</f>
        <v>6893602.5</v>
      </c>
      <c r="H47" s="359">
        <f>Interface_Treatment!I34</f>
        <v>0</v>
      </c>
      <c r="I47" s="359" t="str">
        <f>Interface_Treatment!J34</f>
        <v>NO</v>
      </c>
      <c r="J47" s="86">
        <f t="shared" ref="J47:J54" si="6">IF(I47=0,0,IF(I47="NO",G47,IF(I47="YES",0)))</f>
        <v>6893602.5</v>
      </c>
      <c r="K47" s="86">
        <f t="shared" ref="K47:K54" si="7">IF(I47=0,0,IF(I47="YES",G47,IF(I47="NO",0)))</f>
        <v>0</v>
      </c>
      <c r="L47" s="359">
        <f>Interface_Treatment!K34</f>
        <v>0</v>
      </c>
      <c r="M47" s="86">
        <f t="shared" ref="M47:M54" si="8">IF(L47=0,0,IF(L47="NO",H47,IF(L47="YES",0)))</f>
        <v>0</v>
      </c>
      <c r="N47" s="86">
        <f t="shared" ref="N47:N54" si="9">IF(L47=0,0,IF(L47="YES",H47,IF(L47="NO",0)))</f>
        <v>0</v>
      </c>
      <c r="O47" s="319"/>
      <c r="P47" s="937">
        <f>Interface_Treatment!N34</f>
        <v>0</v>
      </c>
      <c r="Q47" s="937">
        <f>Interface_Treatment!O34</f>
        <v>0</v>
      </c>
      <c r="R47" s="937">
        <f>Interface_Treatment!P34</f>
        <v>0</v>
      </c>
      <c r="S47" s="937">
        <f>Interface_Treatment!Q34</f>
        <v>0</v>
      </c>
      <c r="T47" s="937">
        <f>Interface_Treatment!R34</f>
        <v>0</v>
      </c>
      <c r="U47" s="319"/>
      <c r="V47" s="137"/>
      <c r="W47" s="137"/>
      <c r="X47" s="137"/>
      <c r="Y47" s="137"/>
      <c r="Z47" s="137"/>
      <c r="AA47" s="137"/>
      <c r="AB47" s="137"/>
      <c r="AC47" s="137"/>
      <c r="AH47" s="17" t="s">
        <v>549</v>
      </c>
    </row>
    <row r="48" spans="1:34" s="3" customFormat="1" ht="17.149999999999999" customHeight="1" x14ac:dyDescent="0.3">
      <c r="A48" s="941" t="str">
        <f>Interface_Treatment!B35</f>
        <v>Plant 4</v>
      </c>
      <c r="B48" s="940">
        <f>Interface_Treatment!D35</f>
        <v>8042536.2499999991</v>
      </c>
      <c r="C48" s="1849" t="str">
        <f>Interface_Treatment!E35</f>
        <v>Anaerobic digestion</v>
      </c>
      <c r="D48" s="1850"/>
      <c r="E48" s="940">
        <f>Interface_Treatment!G35</f>
        <v>50</v>
      </c>
      <c r="F48" s="940">
        <f t="shared" si="5"/>
        <v>8042536.2499999991</v>
      </c>
      <c r="G48" s="942">
        <f>Interface_Treatment!H35</f>
        <v>8042536.2499999991</v>
      </c>
      <c r="H48" s="942">
        <f>Interface_Treatment!I35</f>
        <v>0</v>
      </c>
      <c r="I48" s="942" t="str">
        <f>Interface_Treatment!J35</f>
        <v>NO</v>
      </c>
      <c r="J48" s="943">
        <f t="shared" si="6"/>
        <v>8042536.2499999991</v>
      </c>
      <c r="K48" s="943">
        <f t="shared" si="7"/>
        <v>0</v>
      </c>
      <c r="L48" s="942">
        <f>Interface_Treatment!K35</f>
        <v>0</v>
      </c>
      <c r="M48" s="943">
        <f t="shared" si="8"/>
        <v>0</v>
      </c>
      <c r="N48" s="943">
        <f t="shared" si="9"/>
        <v>0</v>
      </c>
      <c r="O48" s="319"/>
      <c r="P48" s="944">
        <f>Interface_Treatment!N35</f>
        <v>0</v>
      </c>
      <c r="Q48" s="944">
        <f>Interface_Treatment!O35</f>
        <v>0</v>
      </c>
      <c r="R48" s="944">
        <f>Interface_Treatment!P35</f>
        <v>0</v>
      </c>
      <c r="S48" s="944">
        <f>Interface_Treatment!Q35</f>
        <v>0</v>
      </c>
      <c r="T48" s="944">
        <f>Interface_Treatment!R35</f>
        <v>0</v>
      </c>
      <c r="U48" s="319"/>
      <c r="V48" s="137"/>
      <c r="W48" s="137"/>
      <c r="X48" s="137"/>
      <c r="Y48" s="137"/>
      <c r="Z48" s="137"/>
      <c r="AA48" s="137"/>
      <c r="AB48" s="137"/>
      <c r="AC48" s="137"/>
      <c r="AH48" s="17" t="s">
        <v>551</v>
      </c>
    </row>
    <row r="49" spans="1:34" s="3" customFormat="1" ht="17.149999999999999" customHeight="1" x14ac:dyDescent="0.3">
      <c r="A49" s="88" t="str">
        <f>Interface_Treatment!B36</f>
        <v>Plant 5 [insert name]</v>
      </c>
      <c r="B49" s="51">
        <f>Interface_Treatment!D36</f>
        <v>0</v>
      </c>
      <c r="C49" s="1840">
        <f>Interface_Treatment!E36</f>
        <v>0</v>
      </c>
      <c r="D49" s="1841"/>
      <c r="E49" s="51">
        <f>Interface_Treatment!G36</f>
        <v>0</v>
      </c>
      <c r="F49" s="51">
        <f t="shared" si="5"/>
        <v>0</v>
      </c>
      <c r="G49" s="359">
        <f>Interface_Treatment!H36</f>
        <v>0</v>
      </c>
      <c r="H49" s="359">
        <f>Interface_Treatment!I36</f>
        <v>0</v>
      </c>
      <c r="I49" s="359">
        <f>Interface_Treatment!J36</f>
        <v>0</v>
      </c>
      <c r="J49" s="86">
        <f t="shared" si="6"/>
        <v>0</v>
      </c>
      <c r="K49" s="86">
        <f t="shared" si="7"/>
        <v>0</v>
      </c>
      <c r="L49" s="359">
        <f>Interface_Treatment!K36</f>
        <v>0</v>
      </c>
      <c r="M49" s="86">
        <f t="shared" si="8"/>
        <v>0</v>
      </c>
      <c r="N49" s="86">
        <f t="shared" si="9"/>
        <v>0</v>
      </c>
      <c r="O49" s="319"/>
      <c r="P49" s="937">
        <f>Interface_Treatment!N36</f>
        <v>0</v>
      </c>
      <c r="Q49" s="937">
        <f>Interface_Treatment!O36</f>
        <v>0</v>
      </c>
      <c r="R49" s="937">
        <f>Interface_Treatment!P36</f>
        <v>0</v>
      </c>
      <c r="S49" s="937">
        <f>Interface_Treatment!Q36</f>
        <v>0</v>
      </c>
      <c r="T49" s="937">
        <f>Interface_Treatment!R36</f>
        <v>0</v>
      </c>
      <c r="U49" s="319"/>
      <c r="V49" s="137"/>
      <c r="W49" s="137"/>
      <c r="X49" s="137"/>
      <c r="Y49" s="137"/>
      <c r="Z49" s="137"/>
      <c r="AA49" s="137"/>
      <c r="AB49" s="137"/>
      <c r="AC49" s="137"/>
      <c r="AH49" s="17" t="s">
        <v>552</v>
      </c>
    </row>
    <row r="50" spans="1:34" s="3" customFormat="1" ht="17.149999999999999" customHeight="1" x14ac:dyDescent="0.3">
      <c r="A50" s="941" t="str">
        <f>Interface_Treatment!B37</f>
        <v>Plant 6 [insert name]</v>
      </c>
      <c r="B50" s="940">
        <f>Interface_Treatment!D37</f>
        <v>0</v>
      </c>
      <c r="C50" s="1849">
        <f>Interface_Treatment!E37</f>
        <v>0</v>
      </c>
      <c r="D50" s="1850"/>
      <c r="E50" s="940">
        <f>Interface_Treatment!G37</f>
        <v>0</v>
      </c>
      <c r="F50" s="940">
        <f t="shared" si="5"/>
        <v>0</v>
      </c>
      <c r="G50" s="942">
        <f>Interface_Treatment!H37</f>
        <v>0</v>
      </c>
      <c r="H50" s="942">
        <f>Interface_Treatment!I37</f>
        <v>0</v>
      </c>
      <c r="I50" s="942">
        <f>Interface_Treatment!J37</f>
        <v>0</v>
      </c>
      <c r="J50" s="943">
        <f t="shared" si="6"/>
        <v>0</v>
      </c>
      <c r="K50" s="943">
        <f t="shared" si="7"/>
        <v>0</v>
      </c>
      <c r="L50" s="942">
        <f>Interface_Treatment!K37</f>
        <v>0</v>
      </c>
      <c r="M50" s="943">
        <f t="shared" si="8"/>
        <v>0</v>
      </c>
      <c r="N50" s="943">
        <f t="shared" si="9"/>
        <v>0</v>
      </c>
      <c r="O50" s="319"/>
      <c r="P50" s="944">
        <f>Interface_Treatment!N37</f>
        <v>0</v>
      </c>
      <c r="Q50" s="944">
        <f>Interface_Treatment!O37</f>
        <v>0</v>
      </c>
      <c r="R50" s="944">
        <f>Interface_Treatment!P37</f>
        <v>0</v>
      </c>
      <c r="S50" s="944">
        <f>Interface_Treatment!Q37</f>
        <v>0</v>
      </c>
      <c r="T50" s="944">
        <f>Interface_Treatment!R37</f>
        <v>0</v>
      </c>
      <c r="U50" s="319"/>
      <c r="V50" s="137"/>
      <c r="W50" s="137"/>
      <c r="X50" s="137"/>
      <c r="Y50" s="137"/>
      <c r="Z50" s="137"/>
      <c r="AA50" s="137"/>
      <c r="AB50" s="137"/>
      <c r="AC50" s="137"/>
      <c r="AH50" s="17"/>
    </row>
    <row r="51" spans="1:34" s="3" customFormat="1" ht="17.149999999999999" customHeight="1" x14ac:dyDescent="0.3">
      <c r="A51" s="88" t="str">
        <f>Interface_Treatment!B38</f>
        <v>Plant 7 [insert name]</v>
      </c>
      <c r="B51" s="51">
        <f>Interface_Treatment!D38</f>
        <v>0</v>
      </c>
      <c r="C51" s="1840">
        <f>Interface_Treatment!E38</f>
        <v>0</v>
      </c>
      <c r="D51" s="1841"/>
      <c r="E51" s="51">
        <f>Interface_Treatment!G38</f>
        <v>0</v>
      </c>
      <c r="F51" s="51">
        <f t="shared" si="5"/>
        <v>0</v>
      </c>
      <c r="G51" s="359">
        <f>Interface_Treatment!H38</f>
        <v>0</v>
      </c>
      <c r="H51" s="359">
        <f>Interface_Treatment!I38</f>
        <v>0</v>
      </c>
      <c r="I51" s="359">
        <f>Interface_Treatment!J38</f>
        <v>0</v>
      </c>
      <c r="J51" s="86">
        <f t="shared" si="6"/>
        <v>0</v>
      </c>
      <c r="K51" s="86">
        <f t="shared" si="7"/>
        <v>0</v>
      </c>
      <c r="L51" s="359">
        <f>Interface_Treatment!K38</f>
        <v>0</v>
      </c>
      <c r="M51" s="86">
        <f t="shared" si="8"/>
        <v>0</v>
      </c>
      <c r="N51" s="86">
        <f t="shared" si="9"/>
        <v>0</v>
      </c>
      <c r="O51" s="319"/>
      <c r="P51" s="937">
        <f>Interface_Treatment!N38</f>
        <v>0</v>
      </c>
      <c r="Q51" s="937">
        <f>Interface_Treatment!O38</f>
        <v>0</v>
      </c>
      <c r="R51" s="937">
        <f>Interface_Treatment!P38</f>
        <v>0</v>
      </c>
      <c r="S51" s="937">
        <f>Interface_Treatment!Q38</f>
        <v>0</v>
      </c>
      <c r="T51" s="937">
        <f>Interface_Treatment!R38</f>
        <v>0</v>
      </c>
      <c r="U51" s="319"/>
      <c r="V51" s="137"/>
      <c r="W51" s="137"/>
      <c r="X51" s="137"/>
      <c r="Y51" s="137"/>
      <c r="Z51" s="137"/>
      <c r="AA51" s="137"/>
      <c r="AB51" s="137"/>
      <c r="AC51" s="137"/>
      <c r="AH51" s="17"/>
    </row>
    <row r="52" spans="1:34" s="3" customFormat="1" ht="17.149999999999999" customHeight="1" x14ac:dyDescent="0.3">
      <c r="A52" s="941" t="str">
        <f>Interface_Treatment!B39</f>
        <v>Plant 8 [insert name]</v>
      </c>
      <c r="B52" s="940">
        <f>Interface_Treatment!D39</f>
        <v>0</v>
      </c>
      <c r="C52" s="1849">
        <f>Interface_Treatment!E39</f>
        <v>0</v>
      </c>
      <c r="D52" s="1850"/>
      <c r="E52" s="940">
        <f>Interface_Treatment!G39</f>
        <v>0</v>
      </c>
      <c r="F52" s="940">
        <f t="shared" si="5"/>
        <v>0</v>
      </c>
      <c r="G52" s="942">
        <f>Interface_Treatment!H39</f>
        <v>0</v>
      </c>
      <c r="H52" s="942">
        <f>Interface_Treatment!I39</f>
        <v>0</v>
      </c>
      <c r="I52" s="942">
        <f>Interface_Treatment!J39</f>
        <v>0</v>
      </c>
      <c r="J52" s="943">
        <f t="shared" si="6"/>
        <v>0</v>
      </c>
      <c r="K52" s="943">
        <f t="shared" si="7"/>
        <v>0</v>
      </c>
      <c r="L52" s="942">
        <f>Interface_Treatment!K39</f>
        <v>0</v>
      </c>
      <c r="M52" s="943">
        <f t="shared" si="8"/>
        <v>0</v>
      </c>
      <c r="N52" s="943">
        <f t="shared" si="9"/>
        <v>0</v>
      </c>
      <c r="O52" s="319"/>
      <c r="P52" s="944">
        <f>Interface_Treatment!N39</f>
        <v>0</v>
      </c>
      <c r="Q52" s="944">
        <f>Interface_Treatment!O39</f>
        <v>0</v>
      </c>
      <c r="R52" s="944">
        <f>Interface_Treatment!P39</f>
        <v>0</v>
      </c>
      <c r="S52" s="944">
        <f>Interface_Treatment!Q39</f>
        <v>0</v>
      </c>
      <c r="T52" s="944">
        <f>Interface_Treatment!R39</f>
        <v>0</v>
      </c>
      <c r="U52" s="319"/>
      <c r="V52" s="137"/>
      <c r="W52" s="137"/>
      <c r="X52" s="137"/>
      <c r="Y52" s="137"/>
      <c r="Z52" s="137"/>
      <c r="AA52" s="137"/>
      <c r="AB52" s="137"/>
      <c r="AC52" s="137"/>
      <c r="AH52" s="17"/>
    </row>
    <row r="53" spans="1:34" s="3" customFormat="1" ht="17.149999999999999" customHeight="1" x14ac:dyDescent="0.3">
      <c r="A53" s="88" t="str">
        <f>Interface_Treatment!B40</f>
        <v>Plant 9 [insert name]</v>
      </c>
      <c r="B53" s="51">
        <f>Interface_Treatment!D40</f>
        <v>0</v>
      </c>
      <c r="C53" s="1840">
        <f>Interface_Treatment!E40</f>
        <v>0</v>
      </c>
      <c r="D53" s="1841"/>
      <c r="E53" s="51">
        <f>Interface_Treatment!G40</f>
        <v>0</v>
      </c>
      <c r="F53" s="51">
        <f t="shared" si="5"/>
        <v>0</v>
      </c>
      <c r="G53" s="359">
        <f>Interface_Treatment!H40</f>
        <v>0</v>
      </c>
      <c r="H53" s="359">
        <f>Interface_Treatment!I40</f>
        <v>0</v>
      </c>
      <c r="I53" s="359">
        <f>Interface_Treatment!J40</f>
        <v>0</v>
      </c>
      <c r="J53" s="86">
        <f t="shared" si="6"/>
        <v>0</v>
      </c>
      <c r="K53" s="86">
        <f t="shared" si="7"/>
        <v>0</v>
      </c>
      <c r="L53" s="359">
        <f>Interface_Treatment!K40</f>
        <v>0</v>
      </c>
      <c r="M53" s="86">
        <f t="shared" si="8"/>
        <v>0</v>
      </c>
      <c r="N53" s="86">
        <f t="shared" si="9"/>
        <v>0</v>
      </c>
      <c r="O53" s="319"/>
      <c r="P53" s="937">
        <f>Interface_Treatment!N40</f>
        <v>0</v>
      </c>
      <c r="Q53" s="937">
        <f>Interface_Treatment!O40</f>
        <v>0</v>
      </c>
      <c r="R53" s="937">
        <f>Interface_Treatment!P40</f>
        <v>0</v>
      </c>
      <c r="S53" s="937">
        <f>Interface_Treatment!Q40</f>
        <v>0</v>
      </c>
      <c r="T53" s="937">
        <f>Interface_Treatment!R40</f>
        <v>0</v>
      </c>
      <c r="U53" s="319"/>
      <c r="V53" s="137"/>
      <c r="W53" s="137"/>
      <c r="X53" s="137"/>
      <c r="Y53" s="137"/>
      <c r="Z53" s="137"/>
      <c r="AA53" s="137"/>
      <c r="AB53" s="137"/>
      <c r="AC53" s="137"/>
      <c r="AH53" s="17"/>
    </row>
    <row r="54" spans="1:34" s="3" customFormat="1" ht="17.149999999999999" customHeight="1" x14ac:dyDescent="0.3">
      <c r="A54" s="941" t="str">
        <f>Interface_Treatment!B41</f>
        <v>Plant 10 [insert name]</v>
      </c>
      <c r="B54" s="940">
        <f>Interface_Treatment!D41</f>
        <v>0</v>
      </c>
      <c r="C54" s="1849">
        <f>Interface_Treatment!E41</f>
        <v>0</v>
      </c>
      <c r="D54" s="1850"/>
      <c r="E54" s="940">
        <f>Interface_Treatment!G41</f>
        <v>0</v>
      </c>
      <c r="F54" s="940">
        <f t="shared" si="5"/>
        <v>0</v>
      </c>
      <c r="G54" s="942">
        <f>Interface_Treatment!H41</f>
        <v>0</v>
      </c>
      <c r="H54" s="942">
        <f>Interface_Treatment!I41</f>
        <v>0</v>
      </c>
      <c r="I54" s="942">
        <f>Interface_Treatment!J41</f>
        <v>0</v>
      </c>
      <c r="J54" s="943">
        <f t="shared" si="6"/>
        <v>0</v>
      </c>
      <c r="K54" s="943">
        <f t="shared" si="7"/>
        <v>0</v>
      </c>
      <c r="L54" s="942">
        <f>Interface_Treatment!K41</f>
        <v>0</v>
      </c>
      <c r="M54" s="943">
        <f t="shared" si="8"/>
        <v>0</v>
      </c>
      <c r="N54" s="943">
        <f t="shared" si="9"/>
        <v>0</v>
      </c>
      <c r="O54" s="319"/>
      <c r="P54" s="944">
        <f>Interface_Treatment!N41</f>
        <v>0</v>
      </c>
      <c r="Q54" s="944">
        <f>Interface_Treatment!O41</f>
        <v>0</v>
      </c>
      <c r="R54" s="944">
        <f>Interface_Treatment!P41</f>
        <v>0</v>
      </c>
      <c r="S54" s="944">
        <f>Interface_Treatment!Q41</f>
        <v>0</v>
      </c>
      <c r="T54" s="944">
        <f>Interface_Treatment!R41</f>
        <v>0</v>
      </c>
      <c r="U54" s="319"/>
      <c r="V54" s="137"/>
      <c r="W54" s="137"/>
      <c r="X54" s="137"/>
      <c r="Y54" s="137"/>
      <c r="Z54" s="137"/>
      <c r="AA54" s="137"/>
      <c r="AB54" s="137"/>
      <c r="AC54" s="137"/>
      <c r="AH54" s="17" t="s">
        <v>543</v>
      </c>
    </row>
    <row r="55" spans="1:34" s="12" customFormat="1" ht="17.149999999999999" customHeight="1" x14ac:dyDescent="0.3">
      <c r="A55" s="950" t="s">
        <v>208</v>
      </c>
      <c r="B55" s="951">
        <f>SUM(B45:B54)</f>
        <v>22978675</v>
      </c>
      <c r="C55" s="1844"/>
      <c r="D55" s="1845"/>
      <c r="E55" s="951">
        <f>SUM(E45:E54)</f>
        <v>160</v>
      </c>
      <c r="F55" s="951">
        <f>SUM(F45:F54)</f>
        <v>22978675</v>
      </c>
      <c r="G55" s="951">
        <f>SUM(G45:G54)</f>
        <v>22978675</v>
      </c>
      <c r="H55" s="951">
        <f>SUM(H45:H54)</f>
        <v>0</v>
      </c>
      <c r="I55" s="952"/>
      <c r="J55" s="948">
        <f>SUM(J45:J54)</f>
        <v>14936138.75</v>
      </c>
      <c r="K55" s="948">
        <f>SUM(K45:K54)</f>
        <v>8042536.25</v>
      </c>
      <c r="L55" s="948"/>
      <c r="M55" s="948">
        <f>SUM(M45:M54)</f>
        <v>0</v>
      </c>
      <c r="N55" s="948">
        <f>SUM(N45:N54)</f>
        <v>0</v>
      </c>
      <c r="O55" s="32"/>
      <c r="P55" s="10"/>
      <c r="Q55" s="10"/>
      <c r="R55" s="10"/>
      <c r="S55" s="10"/>
      <c r="T55" s="10"/>
      <c r="U55" s="10"/>
      <c r="V55" s="137"/>
      <c r="W55" s="137"/>
      <c r="X55" s="137"/>
      <c r="Y55" s="137"/>
      <c r="Z55" s="137"/>
      <c r="AA55" s="137"/>
      <c r="AB55" s="137"/>
      <c r="AC55" s="137"/>
      <c r="AD55" s="137"/>
      <c r="AE55" s="137"/>
      <c r="AF55" s="137"/>
      <c r="AG55" s="137"/>
    </row>
    <row r="56" spans="1:34" ht="17.149999999999999" customHeight="1" x14ac:dyDescent="0.3">
      <c r="A56" s="3"/>
      <c r="B56" s="3"/>
      <c r="C56" s="6"/>
      <c r="D56" s="6"/>
      <c r="E56" s="52"/>
      <c r="F56" s="1520">
        <f>F55</f>
        <v>22978675</v>
      </c>
      <c r="G56" s="1846">
        <f>G55+H55</f>
        <v>22978675</v>
      </c>
      <c r="H56" s="1847"/>
      <c r="I56" s="43"/>
      <c r="J56" s="1848">
        <f>SUM(J55:K55)</f>
        <v>22978675</v>
      </c>
      <c r="K56" s="1848"/>
      <c r="L56" s="43"/>
      <c r="M56" s="1848">
        <f>SUM(M55:N55)</f>
        <v>0</v>
      </c>
      <c r="N56" s="1848"/>
      <c r="O56" s="107"/>
      <c r="P56" s="43"/>
      <c r="Q56" s="43"/>
      <c r="R56" s="43"/>
      <c r="S56" s="43"/>
      <c r="T56" s="43"/>
      <c r="U56" s="43"/>
      <c r="V56" s="137"/>
      <c r="W56" s="137"/>
      <c r="X56" s="137"/>
      <c r="Y56" s="137"/>
      <c r="Z56" s="137"/>
      <c r="AA56" s="137"/>
      <c r="AB56" s="137"/>
      <c r="AC56" s="137"/>
      <c r="AD56" s="137"/>
      <c r="AE56" s="137"/>
      <c r="AF56" s="137"/>
      <c r="AG56" s="137"/>
    </row>
    <row r="57" spans="1:34" ht="17.149999999999999" customHeight="1" x14ac:dyDescent="0.3">
      <c r="A57" s="950" t="s">
        <v>564</v>
      </c>
      <c r="B57" s="1523">
        <f>'Transport volumes'!B119</f>
        <v>22978675</v>
      </c>
      <c r="C57" s="6"/>
      <c r="D57" s="6"/>
      <c r="E57" s="52"/>
      <c r="F57" s="3"/>
      <c r="G57" s="1823" t="str">
        <f>IF(G56=F56,"OK","Not OK")</f>
        <v>OK</v>
      </c>
      <c r="H57" s="1823"/>
      <c r="I57" s="43"/>
      <c r="J57" s="1823" t="str">
        <f>IF(J56=G55,"OK","Not OK")</f>
        <v>OK</v>
      </c>
      <c r="K57" s="1823"/>
      <c r="L57" s="43"/>
      <c r="M57" s="1823" t="str">
        <f>IF(M56=H55,"OK","Not OK")</f>
        <v>OK</v>
      </c>
      <c r="N57" s="1823"/>
      <c r="O57" s="107"/>
      <c r="P57" s="43"/>
      <c r="Q57" s="43"/>
      <c r="R57" s="43"/>
      <c r="S57" s="43"/>
      <c r="T57" s="43"/>
      <c r="U57" s="43"/>
      <c r="V57" s="137"/>
      <c r="W57" s="137"/>
      <c r="X57" s="137"/>
      <c r="Y57" s="137"/>
      <c r="Z57" s="137"/>
      <c r="AA57" s="137"/>
      <c r="AB57" s="137"/>
      <c r="AC57" s="137"/>
      <c r="AD57" s="137"/>
      <c r="AE57" s="137"/>
      <c r="AF57" s="137"/>
      <c r="AG57" s="137"/>
    </row>
    <row r="58" spans="1:34" ht="17.149999999999999" customHeight="1" x14ac:dyDescent="0.3">
      <c r="A58" s="143" t="s">
        <v>251</v>
      </c>
      <c r="B58" s="1520">
        <f>B57-B55</f>
        <v>0</v>
      </c>
      <c r="C58" s="6"/>
      <c r="D58" s="6"/>
      <c r="E58" s="52"/>
      <c r="F58" s="3"/>
      <c r="G58" s="3"/>
      <c r="H58" s="43"/>
      <c r="I58" s="43"/>
      <c r="J58" s="43"/>
      <c r="K58" s="43"/>
      <c r="L58" s="43"/>
      <c r="M58" s="43"/>
      <c r="N58" s="107"/>
      <c r="O58" s="107"/>
      <c r="P58" s="107"/>
      <c r="Q58" s="107"/>
      <c r="R58" s="107"/>
      <c r="S58" s="107"/>
      <c r="T58" s="107"/>
      <c r="U58" s="107"/>
      <c r="V58" s="137"/>
      <c r="W58" s="137"/>
      <c r="X58" s="137"/>
      <c r="Y58" s="137"/>
      <c r="Z58" s="137"/>
      <c r="AA58" s="137"/>
      <c r="AB58" s="137"/>
      <c r="AC58" s="137"/>
      <c r="AD58" s="137"/>
      <c r="AE58" s="137"/>
      <c r="AF58" s="137"/>
      <c r="AG58" s="137"/>
    </row>
    <row r="59" spans="1:34" ht="17.149999999999999" customHeight="1" x14ac:dyDescent="0.3">
      <c r="A59" s="3"/>
      <c r="B59" s="1519" t="str">
        <f>IF(B58=0,"OK","Not OK")</f>
        <v>OK</v>
      </c>
      <c r="C59" s="6"/>
      <c r="D59" s="6"/>
      <c r="E59" s="52"/>
      <c r="F59" s="3"/>
      <c r="G59" s="3"/>
      <c r="H59" s="43"/>
      <c r="I59" s="43"/>
      <c r="J59" s="43"/>
      <c r="K59" s="43"/>
      <c r="L59" s="43"/>
      <c r="M59" s="43"/>
      <c r="N59" s="107"/>
      <c r="O59" s="107"/>
      <c r="P59" s="107"/>
      <c r="Q59" s="107"/>
      <c r="R59" s="107"/>
      <c r="S59" s="107"/>
      <c r="T59" s="107"/>
      <c r="U59" s="107"/>
      <c r="V59" s="137"/>
      <c r="W59" s="137"/>
      <c r="X59" s="137"/>
      <c r="Y59" s="137"/>
      <c r="Z59" s="137"/>
      <c r="AA59" s="137"/>
      <c r="AB59" s="137"/>
      <c r="AC59" s="137"/>
      <c r="AD59" s="137"/>
      <c r="AE59" s="137"/>
      <c r="AF59" s="137"/>
      <c r="AG59" s="137"/>
    </row>
    <row r="60" spans="1:34" ht="17.149999999999999" customHeight="1" x14ac:dyDescent="0.3">
      <c r="A60" s="3"/>
      <c r="B60" s="3"/>
      <c r="C60" s="6"/>
      <c r="D60" s="6"/>
      <c r="E60" s="52"/>
      <c r="F60" s="3"/>
      <c r="G60" s="3"/>
      <c r="H60" s="43"/>
      <c r="I60" s="43"/>
      <c r="J60" s="43"/>
      <c r="K60" s="43"/>
      <c r="L60" s="43"/>
      <c r="M60" s="43"/>
      <c r="N60" s="107"/>
      <c r="O60" s="107"/>
      <c r="P60" s="107"/>
      <c r="Q60" s="107"/>
      <c r="R60" s="107"/>
      <c r="S60" s="107"/>
      <c r="T60" s="107"/>
      <c r="U60" s="107"/>
      <c r="V60" s="137"/>
      <c r="W60" s="137"/>
      <c r="X60" s="137"/>
      <c r="Y60" s="137"/>
      <c r="Z60" s="137"/>
      <c r="AA60" s="137"/>
      <c r="AB60" s="137"/>
      <c r="AC60" s="137"/>
      <c r="AD60" s="137"/>
      <c r="AE60" s="137"/>
      <c r="AF60" s="137"/>
      <c r="AG60" s="137"/>
    </row>
    <row r="61" spans="1:34" ht="17.149999999999999" customHeight="1" x14ac:dyDescent="0.3">
      <c r="A61" s="3"/>
      <c r="B61" s="3"/>
      <c r="C61" s="6"/>
      <c r="D61" s="6"/>
      <c r="E61" s="52"/>
      <c r="F61" s="3"/>
      <c r="G61" s="3"/>
      <c r="H61" s="43"/>
      <c r="I61" s="43"/>
      <c r="J61" s="43"/>
      <c r="K61" s="43"/>
      <c r="L61" s="43"/>
      <c r="M61" s="43"/>
      <c r="N61" s="107"/>
      <c r="O61" s="107"/>
      <c r="P61" s="107"/>
      <c r="Q61" s="107"/>
      <c r="R61" s="107"/>
      <c r="S61" s="107"/>
      <c r="T61" s="107"/>
      <c r="U61" s="107"/>
      <c r="V61" s="137"/>
      <c r="W61" s="137"/>
      <c r="X61" s="137"/>
      <c r="Y61" s="137"/>
      <c r="Z61" s="137"/>
      <c r="AA61" s="137"/>
      <c r="AB61" s="137"/>
      <c r="AC61" s="137"/>
      <c r="AD61" s="137"/>
      <c r="AE61" s="137"/>
      <c r="AF61" s="137"/>
      <c r="AG61" s="137"/>
    </row>
    <row r="62" spans="1:34" ht="17.149999999999999" customHeight="1" x14ac:dyDescent="0.3">
      <c r="A62" s="949" t="s">
        <v>1123</v>
      </c>
      <c r="B62" s="1506" t="s">
        <v>9</v>
      </c>
      <c r="C62" s="6"/>
      <c r="D62" s="6"/>
      <c r="E62" s="52"/>
      <c r="F62" s="3"/>
      <c r="G62" s="3"/>
      <c r="H62" s="43"/>
      <c r="I62" s="43"/>
      <c r="J62" s="43"/>
      <c r="K62" s="43"/>
      <c r="L62" s="43"/>
      <c r="M62" s="43"/>
      <c r="N62" s="107"/>
      <c r="O62" s="107"/>
      <c r="P62" s="107"/>
      <c r="Q62" s="107"/>
      <c r="R62" s="107"/>
      <c r="S62" s="107"/>
      <c r="T62" s="107"/>
      <c r="U62" s="107"/>
      <c r="V62" s="137"/>
      <c r="W62" s="137"/>
      <c r="X62" s="137"/>
      <c r="Y62" s="137"/>
      <c r="Z62" s="137"/>
      <c r="AA62" s="137"/>
      <c r="AB62" s="137"/>
      <c r="AC62" s="137"/>
      <c r="AD62" s="137"/>
      <c r="AE62" s="137"/>
      <c r="AF62" s="137"/>
      <c r="AG62" s="137"/>
    </row>
    <row r="63" spans="1:34" ht="17.149999999999999" customHeight="1" x14ac:dyDescent="0.3">
      <c r="A63" s="3"/>
      <c r="B63" s="3"/>
      <c r="C63" s="6"/>
      <c r="D63" s="6"/>
      <c r="E63" s="52"/>
      <c r="F63" s="3"/>
      <c r="G63" s="3"/>
      <c r="H63" s="43"/>
      <c r="I63" s="43"/>
      <c r="J63" s="43"/>
      <c r="K63" s="43"/>
      <c r="L63" s="43"/>
      <c r="M63" s="43"/>
      <c r="N63" s="107"/>
      <c r="O63" s="107"/>
      <c r="P63" s="107"/>
      <c r="Q63" s="107"/>
      <c r="R63" s="107"/>
      <c r="S63" s="107"/>
      <c r="T63" s="107"/>
      <c r="U63" s="107"/>
      <c r="V63" s="137"/>
      <c r="W63" s="137"/>
      <c r="X63" s="137"/>
      <c r="Y63" s="137"/>
      <c r="Z63" s="137"/>
      <c r="AA63" s="137"/>
      <c r="AB63" s="137"/>
      <c r="AC63" s="137"/>
      <c r="AD63" s="137"/>
      <c r="AE63" s="137"/>
      <c r="AF63" s="137"/>
      <c r="AG63" s="137"/>
    </row>
    <row r="64" spans="1:34" s="11" customFormat="1" ht="17.149999999999999" customHeight="1" x14ac:dyDescent="0.3">
      <c r="A64" s="1808" t="s">
        <v>568</v>
      </c>
      <c r="B64" s="1764" t="s">
        <v>1105</v>
      </c>
      <c r="C64" s="1836" t="s">
        <v>516</v>
      </c>
      <c r="D64" s="1837"/>
      <c r="E64" s="1808" t="s">
        <v>569</v>
      </c>
      <c r="F64" s="1808" t="s">
        <v>1106</v>
      </c>
      <c r="G64" s="1784" t="s">
        <v>518</v>
      </c>
      <c r="H64" s="1784"/>
      <c r="I64" s="1808" t="s">
        <v>519</v>
      </c>
      <c r="J64" s="1808" t="s">
        <v>1107</v>
      </c>
      <c r="K64" s="1808" t="s">
        <v>510</v>
      </c>
      <c r="L64" s="1808" t="s">
        <v>520</v>
      </c>
      <c r="M64" s="1808" t="s">
        <v>1108</v>
      </c>
      <c r="N64" s="1808" t="s">
        <v>512</v>
      </c>
      <c r="O64" s="198"/>
      <c r="P64" s="198"/>
      <c r="Q64" s="198"/>
      <c r="R64" s="198"/>
      <c r="S64" s="198"/>
      <c r="T64" s="198"/>
      <c r="U64" s="198"/>
      <c r="V64" s="137"/>
      <c r="W64" s="137"/>
      <c r="X64" s="137"/>
      <c r="Y64" s="137"/>
      <c r="Z64" s="137"/>
      <c r="AA64" s="137"/>
      <c r="AB64" s="137"/>
      <c r="AC64" s="137"/>
      <c r="AD64" s="137"/>
      <c r="AE64" s="137"/>
      <c r="AF64" s="137"/>
      <c r="AG64" s="137"/>
    </row>
    <row r="65" spans="1:34" s="11" customFormat="1" ht="45" customHeight="1" x14ac:dyDescent="0.3">
      <c r="A65" s="1808"/>
      <c r="B65" s="1766"/>
      <c r="C65" s="1838"/>
      <c r="D65" s="1839"/>
      <c r="E65" s="1808"/>
      <c r="F65" s="1808"/>
      <c r="G65" s="1511" t="s">
        <v>523</v>
      </c>
      <c r="H65" s="1511" t="s">
        <v>524</v>
      </c>
      <c r="I65" s="1808"/>
      <c r="J65" s="1808"/>
      <c r="K65" s="1808"/>
      <c r="L65" s="1808"/>
      <c r="M65" s="1808"/>
      <c r="N65" s="1808"/>
      <c r="O65" s="198"/>
      <c r="P65" s="198"/>
      <c r="Q65" s="198"/>
      <c r="R65" s="198"/>
      <c r="S65" s="198"/>
      <c r="T65" s="198"/>
      <c r="U65" s="198"/>
      <c r="V65" s="137"/>
      <c r="W65" s="137"/>
      <c r="X65" s="137"/>
      <c r="Y65" s="137"/>
      <c r="Z65" s="137"/>
      <c r="AA65" s="137"/>
      <c r="AB65" s="137"/>
      <c r="AC65" s="137"/>
      <c r="AD65" s="137"/>
      <c r="AE65" s="137"/>
      <c r="AF65" s="137"/>
      <c r="AG65" s="137"/>
      <c r="AH65" s="11" t="s">
        <v>541</v>
      </c>
    </row>
    <row r="66" spans="1:34" s="315" customFormat="1" ht="13" x14ac:dyDescent="0.3">
      <c r="A66" s="310"/>
      <c r="B66" s="311"/>
      <c r="C66" s="312"/>
      <c r="D66" s="313"/>
      <c r="E66" s="310"/>
      <c r="F66" s="310"/>
      <c r="G66" s="310"/>
      <c r="H66" s="310"/>
      <c r="I66" s="310"/>
      <c r="J66" s="317"/>
      <c r="K66" s="316"/>
      <c r="L66" s="310"/>
      <c r="M66" s="317"/>
      <c r="N66" s="316"/>
      <c r="O66" s="318"/>
      <c r="P66" s="318"/>
      <c r="Q66" s="318"/>
      <c r="R66" s="318"/>
      <c r="S66" s="318"/>
      <c r="T66" s="318"/>
      <c r="U66" s="318"/>
      <c r="V66" s="137"/>
      <c r="W66" s="137"/>
      <c r="X66" s="137"/>
      <c r="Y66" s="137"/>
      <c r="Z66" s="137"/>
      <c r="AA66" s="137"/>
      <c r="AB66" s="137"/>
      <c r="AC66" s="137"/>
      <c r="AD66" s="137"/>
      <c r="AE66" s="137"/>
      <c r="AF66" s="137"/>
      <c r="AG66" s="137"/>
    </row>
    <row r="67" spans="1:34" s="3" customFormat="1" ht="17.149999999999999" customHeight="1" x14ac:dyDescent="0.3">
      <c r="A67" s="88" t="str">
        <f>Interface_Treatment!B53</f>
        <v>Location 1 [insert name]</v>
      </c>
      <c r="B67" s="51">
        <f>Interface_Treatment!D53</f>
        <v>0</v>
      </c>
      <c r="C67" s="1840">
        <f>Interface_Treatment!E53</f>
        <v>0</v>
      </c>
      <c r="D67" s="1841"/>
      <c r="E67" s="51">
        <f>Interface_Treatment!G53</f>
        <v>0</v>
      </c>
      <c r="F67" s="51">
        <f t="shared" ref="F67:F72" si="10">B67</f>
        <v>0</v>
      </c>
      <c r="G67" s="359">
        <f>Interface_Treatment!H53</f>
        <v>0</v>
      </c>
      <c r="H67" s="359">
        <f>Interface_Treatment!I53</f>
        <v>0</v>
      </c>
      <c r="I67" s="359">
        <f>Interface_Treatment!J53</f>
        <v>0</v>
      </c>
      <c r="J67" s="86">
        <f t="shared" ref="J67:J72" si="11">IF(I67=0,0,IF(I67="NO",G67,IF(I67="YES",0)))</f>
        <v>0</v>
      </c>
      <c r="K67" s="86">
        <f t="shared" ref="K67:K72" si="12">IF(I67=0,0,IF(I67="YES",G67,IF(I67="NO",0)))</f>
        <v>0</v>
      </c>
      <c r="L67" s="359">
        <f>Interface_Treatment!K53</f>
        <v>0</v>
      </c>
      <c r="M67" s="86">
        <f t="shared" ref="M67:M72" si="13">IF(L67=0,0,IF(L67="NO",H67,IF(L67="YES",0)))</f>
        <v>0</v>
      </c>
      <c r="N67" s="86">
        <f t="shared" ref="N67:N72" si="14">IF(L67=0,0,IF(L67="YES",H67,IF(L67="NO",0)))</f>
        <v>0</v>
      </c>
      <c r="O67" s="319"/>
      <c r="P67" s="319"/>
      <c r="Q67" s="319"/>
      <c r="R67" s="319"/>
      <c r="S67" s="319"/>
      <c r="T67" s="319"/>
      <c r="U67" s="319"/>
      <c r="V67" s="137"/>
      <c r="W67" s="137"/>
      <c r="X67" s="137"/>
      <c r="Y67" s="137"/>
      <c r="Z67" s="137"/>
      <c r="AA67" s="137"/>
      <c r="AB67" s="137"/>
      <c r="AC67" s="137"/>
      <c r="AD67" s="137"/>
      <c r="AE67" s="137"/>
      <c r="AF67" s="137"/>
      <c r="AG67" s="137"/>
      <c r="AH67" s="17" t="s">
        <v>542</v>
      </c>
    </row>
    <row r="68" spans="1:34" s="3" customFormat="1" ht="17.149999999999999" customHeight="1" x14ac:dyDescent="0.3">
      <c r="A68" s="49" t="str">
        <f>Interface_Treatment!B54</f>
        <v>Location 2 [insert name]</v>
      </c>
      <c r="B68" s="50">
        <f>Interface_Treatment!D54</f>
        <v>0</v>
      </c>
      <c r="C68" s="1842">
        <f>Interface_Treatment!E54</f>
        <v>0</v>
      </c>
      <c r="D68" s="1843"/>
      <c r="E68" s="50">
        <f>Interface_Treatment!G54</f>
        <v>0</v>
      </c>
      <c r="F68" s="50">
        <f t="shared" si="10"/>
        <v>0</v>
      </c>
      <c r="G68" s="346">
        <f>Interface_Treatment!H54</f>
        <v>0</v>
      </c>
      <c r="H68" s="346">
        <f>Interface_Treatment!I54</f>
        <v>0</v>
      </c>
      <c r="I68" s="346">
        <f>Interface_Treatment!J54</f>
        <v>0</v>
      </c>
      <c r="J68" s="87">
        <f t="shared" si="11"/>
        <v>0</v>
      </c>
      <c r="K68" s="87">
        <f t="shared" si="12"/>
        <v>0</v>
      </c>
      <c r="L68" s="346">
        <f>Interface_Treatment!K54</f>
        <v>0</v>
      </c>
      <c r="M68" s="87">
        <f t="shared" si="13"/>
        <v>0</v>
      </c>
      <c r="N68" s="87">
        <f t="shared" si="14"/>
        <v>0</v>
      </c>
      <c r="O68" s="319"/>
      <c r="P68" s="319"/>
      <c r="Q68" s="319"/>
      <c r="R68" s="319"/>
      <c r="S68" s="319"/>
      <c r="T68" s="319"/>
      <c r="U68" s="319"/>
      <c r="V68" s="137"/>
      <c r="W68" s="137"/>
      <c r="X68" s="137"/>
      <c r="Y68" s="137"/>
      <c r="Z68" s="137"/>
      <c r="AA68" s="137"/>
      <c r="AB68" s="137"/>
      <c r="AC68" s="137"/>
      <c r="AD68" s="137"/>
      <c r="AE68" s="137"/>
      <c r="AF68" s="137"/>
      <c r="AG68" s="137"/>
      <c r="AH68" s="17" t="s">
        <v>547</v>
      </c>
    </row>
    <row r="69" spans="1:34" s="3" customFormat="1" ht="17.149999999999999" customHeight="1" x14ac:dyDescent="0.3">
      <c r="A69" s="88" t="str">
        <f>Interface_Treatment!B55</f>
        <v>Location 3 [insert name]</v>
      </c>
      <c r="B69" s="51">
        <f>Interface_Treatment!D55</f>
        <v>0</v>
      </c>
      <c r="C69" s="1840">
        <f>Interface_Treatment!E55</f>
        <v>0</v>
      </c>
      <c r="D69" s="1841"/>
      <c r="E69" s="51">
        <f>Interface_Treatment!G55</f>
        <v>0</v>
      </c>
      <c r="F69" s="51">
        <f t="shared" si="10"/>
        <v>0</v>
      </c>
      <c r="G69" s="359">
        <f>Interface_Treatment!H55</f>
        <v>0</v>
      </c>
      <c r="H69" s="359">
        <f>Interface_Treatment!I55</f>
        <v>0</v>
      </c>
      <c r="I69" s="359">
        <f>Interface_Treatment!J55</f>
        <v>0</v>
      </c>
      <c r="J69" s="86">
        <f t="shared" si="11"/>
        <v>0</v>
      </c>
      <c r="K69" s="86">
        <f t="shared" si="12"/>
        <v>0</v>
      </c>
      <c r="L69" s="359">
        <f>Interface_Treatment!K55</f>
        <v>0</v>
      </c>
      <c r="M69" s="86">
        <f t="shared" si="13"/>
        <v>0</v>
      </c>
      <c r="N69" s="86">
        <f t="shared" si="14"/>
        <v>0</v>
      </c>
      <c r="O69" s="319"/>
      <c r="P69" s="319"/>
      <c r="Q69" s="319"/>
      <c r="R69" s="319"/>
      <c r="S69" s="319"/>
      <c r="T69" s="319"/>
      <c r="U69" s="319"/>
      <c r="V69" s="137"/>
      <c r="W69" s="137"/>
      <c r="X69" s="137"/>
      <c r="Y69" s="137"/>
      <c r="Z69" s="137"/>
      <c r="AA69" s="137"/>
      <c r="AB69" s="137"/>
      <c r="AC69" s="137"/>
      <c r="AD69" s="137"/>
      <c r="AE69" s="137"/>
      <c r="AF69" s="137"/>
      <c r="AG69" s="137"/>
      <c r="AH69" s="17" t="s">
        <v>549</v>
      </c>
    </row>
    <row r="70" spans="1:34" s="3" customFormat="1" ht="17.149999999999999" customHeight="1" x14ac:dyDescent="0.3">
      <c r="A70" s="49" t="str">
        <f>Interface_Treatment!B56</f>
        <v>Location 4 [insert name]</v>
      </c>
      <c r="B70" s="50">
        <f>Interface_Treatment!D56</f>
        <v>0</v>
      </c>
      <c r="C70" s="1842">
        <f>Interface_Treatment!E56</f>
        <v>0</v>
      </c>
      <c r="D70" s="1843"/>
      <c r="E70" s="50">
        <f>Interface_Treatment!G56</f>
        <v>0</v>
      </c>
      <c r="F70" s="50">
        <f t="shared" si="10"/>
        <v>0</v>
      </c>
      <c r="G70" s="346">
        <f>Interface_Treatment!H56</f>
        <v>0</v>
      </c>
      <c r="H70" s="346">
        <f>Interface_Treatment!I56</f>
        <v>0</v>
      </c>
      <c r="I70" s="346">
        <f>Interface_Treatment!J56</f>
        <v>0</v>
      </c>
      <c r="J70" s="87">
        <f t="shared" si="11"/>
        <v>0</v>
      </c>
      <c r="K70" s="87">
        <f t="shared" si="12"/>
        <v>0</v>
      </c>
      <c r="L70" s="346">
        <f>Interface_Treatment!K56</f>
        <v>0</v>
      </c>
      <c r="M70" s="87">
        <f t="shared" si="13"/>
        <v>0</v>
      </c>
      <c r="N70" s="87">
        <f t="shared" si="14"/>
        <v>0</v>
      </c>
      <c r="O70" s="319"/>
      <c r="P70" s="319"/>
      <c r="Q70" s="319"/>
      <c r="R70" s="319"/>
      <c r="S70" s="319"/>
      <c r="T70" s="319"/>
      <c r="U70" s="319"/>
      <c r="V70" s="137"/>
      <c r="W70" s="137"/>
      <c r="X70" s="137"/>
      <c r="Y70" s="137"/>
      <c r="Z70" s="137"/>
      <c r="AA70" s="137"/>
      <c r="AB70" s="137"/>
      <c r="AC70" s="137"/>
      <c r="AD70" s="137"/>
      <c r="AE70" s="137"/>
      <c r="AF70" s="137"/>
      <c r="AG70" s="137"/>
      <c r="AH70" s="17" t="s">
        <v>551</v>
      </c>
    </row>
    <row r="71" spans="1:34" s="3" customFormat="1" ht="17.149999999999999" customHeight="1" x14ac:dyDescent="0.3">
      <c r="A71" s="88" t="str">
        <f>Interface_Treatment!B57</f>
        <v>Location 5 [insert name]</v>
      </c>
      <c r="B71" s="51">
        <f>Interface_Treatment!D57</f>
        <v>0</v>
      </c>
      <c r="C71" s="1840">
        <f>Interface_Treatment!E57</f>
        <v>0</v>
      </c>
      <c r="D71" s="1841"/>
      <c r="E71" s="51">
        <f>Interface_Treatment!G57</f>
        <v>0</v>
      </c>
      <c r="F71" s="51">
        <f t="shared" si="10"/>
        <v>0</v>
      </c>
      <c r="G71" s="359">
        <f>Interface_Treatment!H57</f>
        <v>0</v>
      </c>
      <c r="H71" s="359">
        <f>Interface_Treatment!I57</f>
        <v>0</v>
      </c>
      <c r="I71" s="359">
        <f>Interface_Treatment!J57</f>
        <v>0</v>
      </c>
      <c r="J71" s="86">
        <f t="shared" si="11"/>
        <v>0</v>
      </c>
      <c r="K71" s="86">
        <f t="shared" si="12"/>
        <v>0</v>
      </c>
      <c r="L71" s="359">
        <f>Interface_Treatment!K57</f>
        <v>0</v>
      </c>
      <c r="M71" s="86">
        <f t="shared" si="13"/>
        <v>0</v>
      </c>
      <c r="N71" s="86">
        <f t="shared" si="14"/>
        <v>0</v>
      </c>
      <c r="O71" s="319"/>
      <c r="P71" s="319"/>
      <c r="Q71" s="319"/>
      <c r="R71" s="319"/>
      <c r="S71" s="319"/>
      <c r="T71" s="319"/>
      <c r="U71" s="319"/>
      <c r="V71" s="137"/>
      <c r="W71" s="137"/>
      <c r="X71" s="137"/>
      <c r="Y71" s="137"/>
      <c r="Z71" s="137"/>
      <c r="AA71" s="137"/>
      <c r="AB71" s="137"/>
      <c r="AC71" s="137"/>
      <c r="AD71" s="137"/>
      <c r="AE71" s="137"/>
      <c r="AF71" s="137"/>
      <c r="AG71" s="137"/>
      <c r="AH71" s="17" t="s">
        <v>552</v>
      </c>
    </row>
    <row r="72" spans="1:34" s="3" customFormat="1" ht="17.149999999999999" customHeight="1" x14ac:dyDescent="0.3">
      <c r="A72" s="49" t="str">
        <f>Interface_Treatment!B58</f>
        <v>Location 6 [insert name]</v>
      </c>
      <c r="B72" s="50">
        <f>Interface_Treatment!D58</f>
        <v>0</v>
      </c>
      <c r="C72" s="1842">
        <f>Interface_Treatment!E58</f>
        <v>0</v>
      </c>
      <c r="D72" s="1843"/>
      <c r="E72" s="50">
        <f>Interface_Treatment!G58</f>
        <v>0</v>
      </c>
      <c r="F72" s="50">
        <f t="shared" si="10"/>
        <v>0</v>
      </c>
      <c r="G72" s="346">
        <f>Interface_Treatment!H58</f>
        <v>0</v>
      </c>
      <c r="H72" s="346">
        <f>Interface_Treatment!I58</f>
        <v>0</v>
      </c>
      <c r="I72" s="346">
        <f>Interface_Treatment!J58</f>
        <v>0</v>
      </c>
      <c r="J72" s="87">
        <f t="shared" si="11"/>
        <v>0</v>
      </c>
      <c r="K72" s="87">
        <f t="shared" si="12"/>
        <v>0</v>
      </c>
      <c r="L72" s="346">
        <f>Interface_Treatment!K58</f>
        <v>0</v>
      </c>
      <c r="M72" s="87">
        <f t="shared" si="13"/>
        <v>0</v>
      </c>
      <c r="N72" s="87">
        <f t="shared" si="14"/>
        <v>0</v>
      </c>
      <c r="O72" s="319"/>
      <c r="P72" s="319"/>
      <c r="Q72" s="319"/>
      <c r="R72" s="319"/>
      <c r="S72" s="319"/>
      <c r="T72" s="319"/>
      <c r="U72" s="319"/>
      <c r="V72" s="137"/>
      <c r="W72" s="137"/>
      <c r="X72" s="137"/>
      <c r="Y72" s="137"/>
      <c r="Z72" s="137"/>
      <c r="AA72" s="137"/>
      <c r="AB72" s="137"/>
      <c r="AC72" s="137"/>
      <c r="AD72" s="137"/>
      <c r="AE72" s="137"/>
      <c r="AF72" s="137"/>
      <c r="AG72" s="137"/>
      <c r="AH72" s="17" t="s">
        <v>543</v>
      </c>
    </row>
    <row r="73" spans="1:34" s="12" customFormat="1" ht="17.149999999999999" customHeight="1" x14ac:dyDescent="0.3">
      <c r="A73" s="950" t="s">
        <v>208</v>
      </c>
      <c r="B73" s="951">
        <f>SUM(B67:B72)</f>
        <v>0</v>
      </c>
      <c r="C73" s="1844"/>
      <c r="D73" s="1845"/>
      <c r="E73" s="951">
        <f>SUM(E67:E72)</f>
        <v>0</v>
      </c>
      <c r="F73" s="951">
        <f>SUM(F67:F72)</f>
        <v>0</v>
      </c>
      <c r="G73" s="951">
        <f>SUM(G67:G72)</f>
        <v>0</v>
      </c>
      <c r="H73" s="951">
        <f>SUM(H67:H72)</f>
        <v>0</v>
      </c>
      <c r="I73" s="952"/>
      <c r="J73" s="948">
        <f>SUM(J67:J72)</f>
        <v>0</v>
      </c>
      <c r="K73" s="948">
        <f>SUM(K67:K72)</f>
        <v>0</v>
      </c>
      <c r="L73" s="948"/>
      <c r="M73" s="948">
        <f>SUM(M67:M72)</f>
        <v>0</v>
      </c>
      <c r="N73" s="948">
        <f>SUM(N67:N72)</f>
        <v>0</v>
      </c>
      <c r="O73" s="32"/>
      <c r="P73" s="32"/>
      <c r="Q73" s="32"/>
      <c r="R73" s="32"/>
      <c r="S73" s="32"/>
      <c r="T73" s="32"/>
      <c r="U73" s="32"/>
      <c r="V73" s="137"/>
      <c r="W73" s="137"/>
      <c r="X73" s="137"/>
      <c r="Y73" s="137"/>
      <c r="Z73" s="137"/>
      <c r="AA73" s="137"/>
      <c r="AB73" s="137"/>
      <c r="AC73" s="137"/>
      <c r="AD73" s="137"/>
      <c r="AE73" s="137"/>
      <c r="AF73" s="137"/>
      <c r="AG73" s="137"/>
    </row>
    <row r="74" spans="1:34" ht="17.149999999999999" customHeight="1" x14ac:dyDescent="0.3">
      <c r="A74" s="3"/>
      <c r="B74" s="3"/>
      <c r="C74" s="6"/>
      <c r="D74" s="6"/>
      <c r="E74" s="52"/>
      <c r="F74" s="1520">
        <f>F73</f>
        <v>0</v>
      </c>
      <c r="G74" s="1846">
        <f>G73+H73</f>
        <v>0</v>
      </c>
      <c r="H74" s="1847"/>
      <c r="I74" s="43"/>
      <c r="J74" s="1848">
        <f>SUM(J73:K73)</f>
        <v>0</v>
      </c>
      <c r="K74" s="1848"/>
      <c r="L74" s="43"/>
      <c r="M74" s="1848">
        <f>SUM(M73:N73)</f>
        <v>0</v>
      </c>
      <c r="N74" s="1848"/>
      <c r="O74" s="107"/>
      <c r="P74" s="107"/>
      <c r="Q74" s="107"/>
      <c r="R74" s="107"/>
      <c r="S74" s="107"/>
      <c r="T74" s="107"/>
      <c r="U74" s="107"/>
      <c r="V74" s="137"/>
      <c r="W74" s="137"/>
      <c r="X74" s="137"/>
      <c r="Y74" s="137"/>
      <c r="Z74" s="137"/>
      <c r="AA74" s="137"/>
      <c r="AB74" s="137"/>
      <c r="AC74" s="137"/>
      <c r="AD74" s="137"/>
      <c r="AE74" s="137"/>
      <c r="AF74" s="137"/>
      <c r="AG74" s="137"/>
    </row>
    <row r="75" spans="1:34" ht="17.149999999999999" customHeight="1" x14ac:dyDescent="0.3">
      <c r="A75" s="950" t="s">
        <v>591</v>
      </c>
      <c r="B75" s="1523">
        <f>'Transport volumes'!B120</f>
        <v>0</v>
      </c>
      <c r="C75" s="6"/>
      <c r="D75" s="6"/>
      <c r="E75" s="52"/>
      <c r="F75" s="3"/>
      <c r="G75" s="1823" t="str">
        <f>IF(G74=F74,"OK","Not OK")</f>
        <v>OK</v>
      </c>
      <c r="H75" s="1823"/>
      <c r="I75" s="43"/>
      <c r="J75" s="1823" t="str">
        <f>IF(J74=G73,"OK","Not OK")</f>
        <v>OK</v>
      </c>
      <c r="K75" s="1823"/>
      <c r="L75" s="43"/>
      <c r="M75" s="1823" t="str">
        <f>IF(M74=H73,"OK","Not OK")</f>
        <v>OK</v>
      </c>
      <c r="N75" s="1823"/>
      <c r="O75" s="107"/>
      <c r="P75" s="107"/>
      <c r="Q75" s="107"/>
      <c r="R75" s="107"/>
      <c r="S75" s="107"/>
      <c r="T75" s="107"/>
      <c r="U75" s="107"/>
      <c r="V75" s="137"/>
      <c r="W75" s="137"/>
      <c r="X75" s="137"/>
      <c r="Y75" s="137"/>
      <c r="Z75" s="137"/>
      <c r="AA75" s="137"/>
      <c r="AB75" s="137"/>
      <c r="AC75" s="137"/>
      <c r="AD75" s="137"/>
      <c r="AE75" s="137"/>
      <c r="AF75" s="137"/>
      <c r="AG75" s="137"/>
    </row>
    <row r="76" spans="1:34" ht="17.149999999999999" customHeight="1" x14ac:dyDescent="0.3">
      <c r="A76" s="143" t="s">
        <v>251</v>
      </c>
      <c r="B76" s="1520">
        <f>B75-B73</f>
        <v>0</v>
      </c>
      <c r="C76" s="6"/>
      <c r="D76" s="6"/>
      <c r="E76" s="52"/>
      <c r="F76" s="3"/>
      <c r="G76" s="3"/>
      <c r="H76" s="43"/>
      <c r="I76" s="43"/>
      <c r="J76" s="43"/>
      <c r="K76" s="43"/>
      <c r="L76" s="43"/>
      <c r="M76" s="43"/>
      <c r="N76" s="107"/>
      <c r="O76" s="107"/>
      <c r="P76" s="107"/>
      <c r="Q76" s="107"/>
      <c r="R76" s="107"/>
      <c r="S76" s="107"/>
      <c r="T76" s="107"/>
      <c r="U76" s="107"/>
      <c r="V76" s="137"/>
      <c r="W76" s="137"/>
      <c r="X76" s="137"/>
      <c r="Y76" s="137"/>
      <c r="Z76" s="137"/>
      <c r="AA76" s="137"/>
      <c r="AB76" s="137"/>
      <c r="AC76" s="137"/>
      <c r="AD76" s="137"/>
      <c r="AE76" s="137"/>
      <c r="AF76" s="137"/>
      <c r="AG76" s="137"/>
    </row>
    <row r="77" spans="1:34" ht="17.149999999999999" customHeight="1" x14ac:dyDescent="0.3">
      <c r="A77" s="3"/>
      <c r="B77" s="1519" t="str">
        <f>IF(B76=0,"OK","Not OK")</f>
        <v>OK</v>
      </c>
      <c r="C77" s="6"/>
      <c r="D77" s="6"/>
      <c r="E77" s="52"/>
      <c r="F77" s="3"/>
      <c r="G77" s="3"/>
      <c r="H77" s="43"/>
      <c r="I77" s="43"/>
      <c r="J77" s="43"/>
      <c r="K77" s="43"/>
      <c r="L77" s="43"/>
      <c r="M77" s="43"/>
      <c r="N77" s="107"/>
      <c r="O77" s="107"/>
      <c r="P77" s="107"/>
      <c r="Q77" s="107"/>
      <c r="R77" s="107"/>
      <c r="S77" s="107"/>
      <c r="T77" s="107"/>
      <c r="U77" s="107"/>
      <c r="V77" s="137"/>
      <c r="W77" s="137"/>
      <c r="X77" s="137"/>
      <c r="Y77" s="137"/>
      <c r="Z77" s="137"/>
      <c r="AA77" s="137"/>
      <c r="AB77" s="137"/>
      <c r="AC77" s="137"/>
      <c r="AD77" s="137"/>
      <c r="AE77" s="137"/>
      <c r="AF77" s="137"/>
      <c r="AG77" s="137"/>
    </row>
    <row r="78" spans="1:34" ht="17.149999999999999" customHeight="1" x14ac:dyDescent="0.3">
      <c r="A78" s="3"/>
      <c r="B78" s="3"/>
      <c r="C78" s="6"/>
      <c r="D78" s="6"/>
      <c r="E78" s="52"/>
      <c r="F78" s="3"/>
      <c r="G78" s="3"/>
      <c r="H78" s="43"/>
      <c r="I78" s="43"/>
      <c r="J78" s="43"/>
      <c r="K78" s="43"/>
      <c r="L78" s="43"/>
      <c r="M78" s="43"/>
      <c r="N78" s="107"/>
      <c r="O78" s="107"/>
      <c r="P78" s="107"/>
      <c r="Q78" s="107"/>
      <c r="R78" s="107"/>
      <c r="S78" s="107"/>
      <c r="T78" s="107"/>
      <c r="U78" s="107"/>
      <c r="V78" s="137"/>
      <c r="W78" s="137"/>
      <c r="X78" s="137"/>
      <c r="Y78" s="137"/>
      <c r="Z78" s="137"/>
      <c r="AA78" s="137"/>
      <c r="AB78" s="137"/>
      <c r="AC78" s="137"/>
      <c r="AD78" s="137"/>
      <c r="AE78" s="137"/>
      <c r="AF78" s="137"/>
      <c r="AG78" s="137"/>
    </row>
    <row r="79" spans="1:34" ht="17.149999999999999" customHeight="1" x14ac:dyDescent="0.3">
      <c r="A79" s="3"/>
      <c r="B79" s="3"/>
      <c r="C79" s="6"/>
      <c r="D79" s="6"/>
      <c r="E79" s="52"/>
      <c r="F79" s="3"/>
      <c r="G79" s="3"/>
      <c r="H79" s="43"/>
      <c r="I79" s="43"/>
      <c r="J79" s="43"/>
      <c r="K79" s="43"/>
      <c r="L79" s="43"/>
      <c r="M79" s="43"/>
      <c r="N79" s="107"/>
      <c r="O79" s="107"/>
      <c r="P79" s="107"/>
      <c r="Q79" s="107"/>
      <c r="R79" s="107"/>
      <c r="S79" s="107"/>
      <c r="T79" s="107"/>
      <c r="U79" s="107"/>
      <c r="V79" s="137"/>
      <c r="W79" s="137"/>
      <c r="X79" s="137"/>
      <c r="Y79" s="137"/>
      <c r="Z79" s="137"/>
      <c r="AA79" s="137"/>
      <c r="AB79" s="137"/>
      <c r="AC79" s="137"/>
      <c r="AD79" s="137"/>
      <c r="AE79" s="137"/>
      <c r="AF79" s="137"/>
      <c r="AG79" s="137"/>
    </row>
    <row r="80" spans="1:34" ht="17.149999999999999" customHeight="1" x14ac:dyDescent="0.3">
      <c r="A80" s="949" t="s">
        <v>1124</v>
      </c>
      <c r="B80" s="1506" t="s">
        <v>9</v>
      </c>
      <c r="C80" s="6"/>
      <c r="D80" s="6"/>
      <c r="E80" s="52"/>
      <c r="F80" s="3"/>
      <c r="G80" s="3"/>
      <c r="H80" s="43"/>
      <c r="I80" s="43"/>
      <c r="J80" s="43"/>
      <c r="K80" s="43"/>
      <c r="L80" s="43"/>
      <c r="M80" s="43"/>
      <c r="N80" s="107"/>
      <c r="O80" s="107"/>
      <c r="P80" s="107"/>
      <c r="Q80" s="107"/>
      <c r="R80" s="107"/>
      <c r="S80" s="107"/>
      <c r="T80" s="107"/>
      <c r="U80" s="107"/>
      <c r="V80" s="137"/>
      <c r="W80" s="137"/>
      <c r="X80" s="137"/>
      <c r="Y80" s="137"/>
      <c r="Z80" s="137"/>
      <c r="AA80" s="137"/>
      <c r="AB80" s="137"/>
      <c r="AC80" s="137"/>
      <c r="AD80" s="137"/>
      <c r="AE80" s="137"/>
      <c r="AF80" s="137"/>
      <c r="AG80" s="137"/>
    </row>
    <row r="81" spans="1:34" ht="17.149999999999999" customHeight="1" x14ac:dyDescent="0.3">
      <c r="A81" s="3"/>
      <c r="B81" s="3"/>
      <c r="C81" s="6"/>
      <c r="D81" s="6"/>
      <c r="E81" s="52"/>
      <c r="F81" s="3"/>
      <c r="G81" s="3"/>
      <c r="H81" s="43"/>
      <c r="I81" s="43"/>
      <c r="J81" s="43"/>
      <c r="K81" s="43"/>
      <c r="L81" s="43"/>
      <c r="M81" s="43"/>
      <c r="N81" s="107"/>
      <c r="O81" s="107"/>
      <c r="P81" s="107"/>
      <c r="Q81" s="107"/>
      <c r="R81" s="107"/>
      <c r="S81" s="107"/>
      <c r="T81" s="107"/>
      <c r="U81" s="107"/>
      <c r="V81" s="137"/>
      <c r="W81" s="137"/>
      <c r="X81" s="137"/>
      <c r="Y81" s="137"/>
      <c r="Z81" s="137"/>
      <c r="AA81" s="137"/>
      <c r="AB81" s="137"/>
      <c r="AC81" s="137"/>
      <c r="AD81" s="137"/>
      <c r="AE81" s="137"/>
      <c r="AF81" s="137"/>
      <c r="AG81" s="137"/>
    </row>
    <row r="82" spans="1:34" s="11" customFormat="1" ht="17.149999999999999" customHeight="1" x14ac:dyDescent="0.3">
      <c r="A82" s="1808" t="s">
        <v>579</v>
      </c>
      <c r="B82" s="1764" t="s">
        <v>1105</v>
      </c>
      <c r="C82" s="1836" t="s">
        <v>516</v>
      </c>
      <c r="D82" s="1837"/>
      <c r="E82" s="1808" t="s">
        <v>580</v>
      </c>
      <c r="F82" s="1808" t="s">
        <v>1106</v>
      </c>
      <c r="G82" s="1784" t="s">
        <v>518</v>
      </c>
      <c r="H82" s="1784"/>
      <c r="I82" s="1808" t="s">
        <v>519</v>
      </c>
      <c r="J82" s="1808" t="s">
        <v>1107</v>
      </c>
      <c r="K82" s="1808" t="s">
        <v>510</v>
      </c>
      <c r="L82" s="1808" t="s">
        <v>520</v>
      </c>
      <c r="M82" s="1808" t="s">
        <v>1108</v>
      </c>
      <c r="N82" s="1808" t="s">
        <v>512</v>
      </c>
      <c r="O82" s="198"/>
      <c r="P82" s="198"/>
      <c r="Q82" s="198"/>
      <c r="R82" s="198"/>
      <c r="S82" s="198"/>
      <c r="T82" s="198"/>
      <c r="U82" s="198"/>
      <c r="V82" s="137"/>
      <c r="W82" s="137"/>
      <c r="X82" s="137"/>
      <c r="Y82" s="137"/>
      <c r="Z82" s="137"/>
      <c r="AA82" s="137"/>
      <c r="AB82" s="137"/>
      <c r="AC82" s="137"/>
      <c r="AD82" s="137"/>
      <c r="AE82" s="137"/>
      <c r="AF82" s="137"/>
      <c r="AG82" s="137"/>
    </row>
    <row r="83" spans="1:34" s="11" customFormat="1" ht="45" customHeight="1" x14ac:dyDescent="0.3">
      <c r="A83" s="1808"/>
      <c r="B83" s="1766"/>
      <c r="C83" s="1838"/>
      <c r="D83" s="1839"/>
      <c r="E83" s="1808"/>
      <c r="F83" s="1808"/>
      <c r="G83" s="1511" t="s">
        <v>523</v>
      </c>
      <c r="H83" s="1511" t="s">
        <v>524</v>
      </c>
      <c r="I83" s="1808"/>
      <c r="J83" s="1808"/>
      <c r="K83" s="1808"/>
      <c r="L83" s="1808"/>
      <c r="M83" s="1808"/>
      <c r="N83" s="1808"/>
      <c r="O83" s="198"/>
      <c r="P83" s="198"/>
      <c r="Q83" s="198"/>
      <c r="R83" s="198"/>
      <c r="S83" s="198"/>
      <c r="T83" s="198"/>
      <c r="U83" s="198"/>
      <c r="V83" s="137"/>
      <c r="W83" s="137"/>
      <c r="X83" s="137"/>
      <c r="Y83" s="137"/>
      <c r="Z83" s="137"/>
      <c r="AA83" s="137"/>
      <c r="AB83" s="137"/>
      <c r="AC83" s="137"/>
      <c r="AD83" s="137"/>
      <c r="AE83" s="137"/>
      <c r="AF83" s="137"/>
      <c r="AG83" s="137"/>
      <c r="AH83" s="11" t="s">
        <v>541</v>
      </c>
    </row>
    <row r="84" spans="1:34" s="315" customFormat="1" ht="13" x14ac:dyDescent="0.3">
      <c r="A84" s="310"/>
      <c r="B84" s="311"/>
      <c r="C84" s="312"/>
      <c r="D84" s="313"/>
      <c r="E84" s="310"/>
      <c r="F84" s="310"/>
      <c r="G84" s="310"/>
      <c r="H84" s="310"/>
      <c r="I84" s="310"/>
      <c r="J84" s="317"/>
      <c r="K84" s="316"/>
      <c r="L84" s="310"/>
      <c r="M84" s="317"/>
      <c r="N84" s="316"/>
      <c r="O84" s="318"/>
      <c r="P84" s="318"/>
      <c r="Q84" s="318"/>
      <c r="R84" s="318"/>
      <c r="S84" s="318"/>
      <c r="T84" s="318"/>
      <c r="U84" s="318"/>
      <c r="V84" s="137"/>
      <c r="W84" s="137"/>
      <c r="X84" s="137"/>
      <c r="Y84" s="137"/>
      <c r="Z84" s="137"/>
      <c r="AA84" s="137"/>
      <c r="AB84" s="137"/>
      <c r="AC84" s="137"/>
      <c r="AD84" s="137"/>
      <c r="AE84" s="137"/>
      <c r="AF84" s="137"/>
      <c r="AG84" s="137"/>
    </row>
    <row r="85" spans="1:34" s="3" customFormat="1" ht="17.149999999999999" customHeight="1" x14ac:dyDescent="0.3">
      <c r="A85" s="88" t="str">
        <f>Interface_Treatment!B70</f>
        <v>Low income residential areas (not treated)</v>
      </c>
      <c r="B85" s="51">
        <f>Interface_Treatment!D70</f>
        <v>4926400</v>
      </c>
      <c r="C85" s="1840" t="str">
        <f>Interface_Treatment!E70</f>
        <v>Primary treatment in septic tank</v>
      </c>
      <c r="D85" s="1841"/>
      <c r="E85" s="51">
        <f>Interface_Treatment!G70</f>
        <v>0</v>
      </c>
      <c r="F85" s="51">
        <f t="shared" ref="F85:F90" si="15">B85</f>
        <v>4926400</v>
      </c>
      <c r="G85" s="359">
        <f>Interface_Treatment!H70</f>
        <v>4926400</v>
      </c>
      <c r="H85" s="359">
        <f>Interface_Treatment!I70</f>
        <v>0</v>
      </c>
      <c r="I85" s="359" t="str">
        <f>Interface_Treatment!J70</f>
        <v>NO</v>
      </c>
      <c r="J85" s="86">
        <f t="shared" ref="J85:J90" si="16">IF(I85=0,0,IF(I85="NO",G85,IF(I85="YES",0)))</f>
        <v>4926400</v>
      </c>
      <c r="K85" s="86">
        <f t="shared" ref="K85:K90" si="17">IF(I85=0,0,IF(I85="YES",G85,IF(I85="NO",0)))</f>
        <v>0</v>
      </c>
      <c r="L85" s="359">
        <f>Interface_Treatment!K70</f>
        <v>0</v>
      </c>
      <c r="M85" s="86">
        <f t="shared" ref="M85:M90" si="18">IF(L85=0,0,IF(L85="NO",H85,IF(L85="YES",0)))</f>
        <v>0</v>
      </c>
      <c r="N85" s="86">
        <f t="shared" ref="N85:N90" si="19">IF(L85=0,0,IF(L85="YES",H85,IF(L85="NO",0)))</f>
        <v>0</v>
      </c>
      <c r="O85" s="319"/>
      <c r="P85" s="319"/>
      <c r="Q85" s="319"/>
      <c r="R85" s="319"/>
      <c r="S85" s="319"/>
      <c r="T85" s="319"/>
      <c r="U85" s="319"/>
      <c r="V85" s="137"/>
      <c r="W85" s="137"/>
      <c r="X85" s="137"/>
      <c r="Y85" s="137"/>
      <c r="Z85" s="137"/>
      <c r="AA85" s="137"/>
      <c r="AB85" s="137"/>
      <c r="AC85" s="137"/>
      <c r="AD85" s="137"/>
      <c r="AE85" s="137"/>
      <c r="AF85" s="137"/>
      <c r="AG85" s="137"/>
      <c r="AH85" s="17" t="s">
        <v>542</v>
      </c>
    </row>
    <row r="86" spans="1:34" s="3" customFormat="1" ht="17.149999999999999" customHeight="1" x14ac:dyDescent="0.3">
      <c r="A86" s="49" t="str">
        <f>Interface_Treatment!B71</f>
        <v>High income residential areas (treated)</v>
      </c>
      <c r="B86" s="50">
        <f>Interface_Treatment!D71</f>
        <v>1231600</v>
      </c>
      <c r="C86" s="1842" t="str">
        <f>Interface_Treatment!E71</f>
        <v>Primary treatment plus secondary treatment</v>
      </c>
      <c r="D86" s="1843"/>
      <c r="E86" s="50">
        <f>Interface_Treatment!G71</f>
        <v>0</v>
      </c>
      <c r="F86" s="50">
        <f t="shared" si="15"/>
        <v>1231600</v>
      </c>
      <c r="G86" s="346">
        <f>Interface_Treatment!H71</f>
        <v>1231600</v>
      </c>
      <c r="H86" s="346">
        <f>Interface_Treatment!I71</f>
        <v>0</v>
      </c>
      <c r="I86" s="346" t="str">
        <f>Interface_Treatment!J71</f>
        <v>YES</v>
      </c>
      <c r="J86" s="87">
        <f t="shared" si="16"/>
        <v>0</v>
      </c>
      <c r="K86" s="87">
        <f t="shared" si="17"/>
        <v>1231600</v>
      </c>
      <c r="L86" s="346">
        <f>Interface_Treatment!K71</f>
        <v>0</v>
      </c>
      <c r="M86" s="87">
        <f t="shared" si="18"/>
        <v>0</v>
      </c>
      <c r="N86" s="87">
        <f t="shared" si="19"/>
        <v>0</v>
      </c>
      <c r="O86" s="319"/>
      <c r="P86" s="319"/>
      <c r="Q86" s="319"/>
      <c r="R86" s="319"/>
      <c r="S86" s="319"/>
      <c r="T86" s="319"/>
      <c r="U86" s="319"/>
      <c r="V86" s="137"/>
      <c r="W86" s="137"/>
      <c r="X86" s="137"/>
      <c r="Y86" s="137"/>
      <c r="Z86" s="137"/>
      <c r="AA86" s="137"/>
      <c r="AB86" s="137"/>
      <c r="AC86" s="137"/>
      <c r="AD86" s="137"/>
      <c r="AE86" s="137"/>
      <c r="AF86" s="137"/>
      <c r="AG86" s="137"/>
      <c r="AH86" s="17" t="s">
        <v>547</v>
      </c>
    </row>
    <row r="87" spans="1:34" s="3" customFormat="1" ht="17.149999999999999" customHeight="1" x14ac:dyDescent="0.3">
      <c r="A87" s="88" t="str">
        <f>Interface_Treatment!B72</f>
        <v>Onsite septic tanks | [Insert location]</v>
      </c>
      <c r="B87" s="51">
        <f>Interface_Treatment!D72</f>
        <v>0</v>
      </c>
      <c r="C87" s="1840">
        <f>Interface_Treatment!E72</f>
        <v>0</v>
      </c>
      <c r="D87" s="1841"/>
      <c r="E87" s="51">
        <f>Interface_Treatment!G72</f>
        <v>0</v>
      </c>
      <c r="F87" s="51">
        <f t="shared" si="15"/>
        <v>0</v>
      </c>
      <c r="G87" s="359">
        <f>Interface_Treatment!H72</f>
        <v>0</v>
      </c>
      <c r="H87" s="359">
        <f>Interface_Treatment!I72</f>
        <v>0</v>
      </c>
      <c r="I87" s="359">
        <f>Interface_Treatment!J72</f>
        <v>0</v>
      </c>
      <c r="J87" s="86">
        <f t="shared" si="16"/>
        <v>0</v>
      </c>
      <c r="K87" s="86">
        <f t="shared" si="17"/>
        <v>0</v>
      </c>
      <c r="L87" s="359">
        <f>Interface_Treatment!K72</f>
        <v>0</v>
      </c>
      <c r="M87" s="86">
        <f t="shared" si="18"/>
        <v>0</v>
      </c>
      <c r="N87" s="86">
        <f t="shared" si="19"/>
        <v>0</v>
      </c>
      <c r="O87" s="319"/>
      <c r="P87" s="319"/>
      <c r="Q87" s="319"/>
      <c r="R87" s="319"/>
      <c r="S87" s="319"/>
      <c r="T87" s="319"/>
      <c r="U87" s="319"/>
      <c r="V87" s="137"/>
      <c r="W87" s="137"/>
      <c r="X87" s="137"/>
      <c r="Y87" s="137"/>
      <c r="Z87" s="137"/>
      <c r="AA87" s="137"/>
      <c r="AB87" s="137"/>
      <c r="AC87" s="137"/>
      <c r="AD87" s="137"/>
      <c r="AE87" s="137"/>
      <c r="AF87" s="137"/>
      <c r="AG87" s="137"/>
      <c r="AH87" s="17" t="s">
        <v>549</v>
      </c>
    </row>
    <row r="88" spans="1:34" s="3" customFormat="1" ht="17.149999999999999" customHeight="1" x14ac:dyDescent="0.3">
      <c r="A88" s="49" t="str">
        <f>Interface_Treatment!B73</f>
        <v>Onsite septic tanks | [Insert location]</v>
      </c>
      <c r="B88" s="50">
        <f>Interface_Treatment!D73</f>
        <v>0</v>
      </c>
      <c r="C88" s="1842">
        <f>Interface_Treatment!E73</f>
        <v>0</v>
      </c>
      <c r="D88" s="1843"/>
      <c r="E88" s="50">
        <f>Interface_Treatment!G73</f>
        <v>0</v>
      </c>
      <c r="F88" s="50">
        <f t="shared" si="15"/>
        <v>0</v>
      </c>
      <c r="G88" s="346">
        <f>Interface_Treatment!H73</f>
        <v>0</v>
      </c>
      <c r="H88" s="346">
        <f>Interface_Treatment!I73</f>
        <v>0</v>
      </c>
      <c r="I88" s="346">
        <f>Interface_Treatment!J73</f>
        <v>0</v>
      </c>
      <c r="J88" s="87">
        <f t="shared" si="16"/>
        <v>0</v>
      </c>
      <c r="K88" s="87">
        <f t="shared" si="17"/>
        <v>0</v>
      </c>
      <c r="L88" s="346">
        <f>Interface_Treatment!K73</f>
        <v>0</v>
      </c>
      <c r="M88" s="87">
        <f t="shared" si="18"/>
        <v>0</v>
      </c>
      <c r="N88" s="87">
        <f t="shared" si="19"/>
        <v>0</v>
      </c>
      <c r="O88" s="319"/>
      <c r="P88" s="319"/>
      <c r="Q88" s="319"/>
      <c r="R88" s="319"/>
      <c r="S88" s="319"/>
      <c r="T88" s="319"/>
      <c r="U88" s="319"/>
      <c r="V88" s="137"/>
      <c r="W88" s="137"/>
      <c r="X88" s="137"/>
      <c r="Y88" s="137"/>
      <c r="Z88" s="137"/>
      <c r="AA88" s="137"/>
      <c r="AB88" s="137"/>
      <c r="AC88" s="137"/>
      <c r="AD88" s="137"/>
      <c r="AE88" s="137"/>
      <c r="AF88" s="137"/>
      <c r="AG88" s="137"/>
      <c r="AH88" s="17" t="s">
        <v>551</v>
      </c>
    </row>
    <row r="89" spans="1:34" s="3" customFormat="1" ht="17.149999999999999" customHeight="1" x14ac:dyDescent="0.3">
      <c r="A89" s="88">
        <f>Interface_Treatment!B74</f>
        <v>0</v>
      </c>
      <c r="B89" s="51">
        <f>Interface_Treatment!D74</f>
        <v>0</v>
      </c>
      <c r="C89" s="1840">
        <f>Interface_Treatment!E74</f>
        <v>0</v>
      </c>
      <c r="D89" s="1841"/>
      <c r="E89" s="51">
        <f>Interface_Treatment!G74</f>
        <v>0</v>
      </c>
      <c r="F89" s="51">
        <f t="shared" si="15"/>
        <v>0</v>
      </c>
      <c r="G89" s="359">
        <f>Interface_Treatment!H74</f>
        <v>0</v>
      </c>
      <c r="H89" s="359">
        <f>Interface_Treatment!I74</f>
        <v>0</v>
      </c>
      <c r="I89" s="359">
        <f>Interface_Treatment!J74</f>
        <v>0</v>
      </c>
      <c r="J89" s="86">
        <f t="shared" si="16"/>
        <v>0</v>
      </c>
      <c r="K89" s="86">
        <f t="shared" si="17"/>
        <v>0</v>
      </c>
      <c r="L89" s="359">
        <f>Interface_Treatment!K74</f>
        <v>0</v>
      </c>
      <c r="M89" s="86">
        <f t="shared" si="18"/>
        <v>0</v>
      </c>
      <c r="N89" s="86">
        <f t="shared" si="19"/>
        <v>0</v>
      </c>
      <c r="O89" s="319"/>
      <c r="P89" s="319"/>
      <c r="Q89" s="319"/>
      <c r="R89" s="319"/>
      <c r="S89" s="319"/>
      <c r="T89" s="319"/>
      <c r="U89" s="319"/>
      <c r="V89" s="137"/>
      <c r="W89" s="137"/>
      <c r="X89" s="137"/>
      <c r="Y89" s="137"/>
      <c r="Z89" s="137"/>
      <c r="AA89" s="137"/>
      <c r="AB89" s="137"/>
      <c r="AC89" s="137"/>
      <c r="AD89" s="137"/>
      <c r="AE89" s="137"/>
      <c r="AF89" s="137"/>
      <c r="AG89" s="137"/>
      <c r="AH89" s="17" t="s">
        <v>552</v>
      </c>
    </row>
    <row r="90" spans="1:34" s="3" customFormat="1" ht="17.149999999999999" customHeight="1" x14ac:dyDescent="0.3">
      <c r="A90" s="49">
        <f>Interface_Treatment!B75</f>
        <v>0</v>
      </c>
      <c r="B90" s="50">
        <f>Interface_Treatment!D75</f>
        <v>0</v>
      </c>
      <c r="C90" s="1842">
        <f>Interface_Treatment!E75</f>
        <v>0</v>
      </c>
      <c r="D90" s="1843"/>
      <c r="E90" s="50">
        <f>Interface_Treatment!G75</f>
        <v>0</v>
      </c>
      <c r="F90" s="50">
        <f t="shared" si="15"/>
        <v>0</v>
      </c>
      <c r="G90" s="346">
        <f>Interface_Treatment!H75</f>
        <v>0</v>
      </c>
      <c r="H90" s="346">
        <f>Interface_Treatment!I75</f>
        <v>0</v>
      </c>
      <c r="I90" s="346">
        <f>Interface_Treatment!J75</f>
        <v>0</v>
      </c>
      <c r="J90" s="87">
        <f t="shared" si="16"/>
        <v>0</v>
      </c>
      <c r="K90" s="87">
        <f t="shared" si="17"/>
        <v>0</v>
      </c>
      <c r="L90" s="346">
        <f>Interface_Treatment!K75</f>
        <v>0</v>
      </c>
      <c r="M90" s="87">
        <f t="shared" si="18"/>
        <v>0</v>
      </c>
      <c r="N90" s="87">
        <f t="shared" si="19"/>
        <v>0</v>
      </c>
      <c r="O90" s="319"/>
      <c r="P90" s="319"/>
      <c r="Q90" s="319"/>
      <c r="R90" s="319"/>
      <c r="S90" s="319"/>
      <c r="T90" s="319"/>
      <c r="U90" s="319"/>
      <c r="V90" s="137"/>
      <c r="W90" s="137"/>
      <c r="X90" s="137"/>
      <c r="Y90" s="137"/>
      <c r="Z90" s="137"/>
      <c r="AA90" s="137"/>
      <c r="AB90" s="137"/>
      <c r="AC90" s="137"/>
      <c r="AD90" s="137"/>
      <c r="AE90" s="137"/>
      <c r="AF90" s="137"/>
      <c r="AG90" s="137"/>
      <c r="AH90" s="17" t="s">
        <v>543</v>
      </c>
    </row>
    <row r="91" spans="1:34" s="12" customFormat="1" ht="17.149999999999999" customHeight="1" x14ac:dyDescent="0.3">
      <c r="A91" s="950" t="s">
        <v>208</v>
      </c>
      <c r="B91" s="951">
        <f>SUM(B85:B90)</f>
        <v>6158000</v>
      </c>
      <c r="C91" s="1844"/>
      <c r="D91" s="1845"/>
      <c r="E91" s="951">
        <f>SUM(E85:E90)</f>
        <v>0</v>
      </c>
      <c r="F91" s="951">
        <f>SUM(F85:F90)</f>
        <v>6158000</v>
      </c>
      <c r="G91" s="951">
        <f>SUM(G85:G90)</f>
        <v>6158000</v>
      </c>
      <c r="H91" s="951">
        <f>SUM(H85:H90)</f>
        <v>0</v>
      </c>
      <c r="I91" s="952"/>
      <c r="J91" s="948">
        <f>SUM(J85:J90)</f>
        <v>4926400</v>
      </c>
      <c r="K91" s="948">
        <f>SUM(K85:K90)</f>
        <v>1231600</v>
      </c>
      <c r="L91" s="948"/>
      <c r="M91" s="948">
        <f>SUM(M85:M90)</f>
        <v>0</v>
      </c>
      <c r="N91" s="948">
        <f>SUM(N85:N90)</f>
        <v>0</v>
      </c>
      <c r="O91" s="32"/>
      <c r="P91" s="32"/>
      <c r="Q91" s="32"/>
      <c r="R91" s="32"/>
      <c r="S91" s="32"/>
      <c r="T91" s="32"/>
      <c r="U91" s="32"/>
      <c r="V91" s="137"/>
      <c r="W91" s="137"/>
      <c r="X91" s="137"/>
      <c r="Y91" s="137"/>
      <c r="Z91" s="137"/>
      <c r="AA91" s="137"/>
      <c r="AB91" s="137"/>
      <c r="AC91" s="137"/>
      <c r="AD91" s="137"/>
      <c r="AE91" s="137"/>
      <c r="AF91" s="137"/>
      <c r="AG91" s="137"/>
    </row>
    <row r="92" spans="1:34" ht="17.149999999999999" customHeight="1" x14ac:dyDescent="0.3">
      <c r="A92" s="3"/>
      <c r="B92" s="3"/>
      <c r="C92" s="6"/>
      <c r="D92" s="6"/>
      <c r="E92" s="52"/>
      <c r="F92" s="1520">
        <f>F91</f>
        <v>6158000</v>
      </c>
      <c r="G92" s="1846">
        <f>G91+H91</f>
        <v>6158000</v>
      </c>
      <c r="H92" s="1847"/>
      <c r="I92" s="43"/>
      <c r="J92" s="1848">
        <f>SUM(J91:K91)</f>
        <v>6158000</v>
      </c>
      <c r="K92" s="1848"/>
      <c r="L92" s="43"/>
      <c r="M92" s="1848">
        <f>SUM(M91:N91)</f>
        <v>0</v>
      </c>
      <c r="N92" s="1848"/>
      <c r="O92" s="107"/>
      <c r="P92" s="107"/>
      <c r="Q92" s="107"/>
      <c r="R92" s="107"/>
      <c r="S92" s="107"/>
      <c r="T92" s="107"/>
      <c r="U92" s="107"/>
      <c r="V92" s="137"/>
      <c r="W92" s="137"/>
      <c r="X92" s="137"/>
      <c r="Y92" s="137"/>
      <c r="Z92" s="137"/>
      <c r="AA92" s="137"/>
      <c r="AB92" s="137"/>
      <c r="AC92" s="137"/>
      <c r="AD92" s="137"/>
      <c r="AE92" s="137"/>
      <c r="AF92" s="137"/>
      <c r="AG92" s="137"/>
    </row>
    <row r="93" spans="1:34" ht="17.149999999999999" customHeight="1" x14ac:dyDescent="0.3">
      <c r="A93" s="950" t="s">
        <v>587</v>
      </c>
      <c r="B93" s="1523">
        <f>'Transport volumes'!B121</f>
        <v>6158000</v>
      </c>
      <c r="C93" s="6"/>
      <c r="D93" s="6"/>
      <c r="E93" s="52"/>
      <c r="F93" s="3"/>
      <c r="G93" s="1823" t="str">
        <f>IF(G92=F92,"OK","Not OK")</f>
        <v>OK</v>
      </c>
      <c r="H93" s="1823"/>
      <c r="I93" s="43"/>
      <c r="J93" s="1823" t="str">
        <f>IF(J92=G91,"OK","Not OK")</f>
        <v>OK</v>
      </c>
      <c r="K93" s="1823"/>
      <c r="L93" s="43"/>
      <c r="M93" s="1823" t="str">
        <f>IF(M92=H91,"OK","Not OK")</f>
        <v>OK</v>
      </c>
      <c r="N93" s="1823"/>
      <c r="O93" s="107"/>
      <c r="P93" s="107"/>
      <c r="Q93" s="107"/>
      <c r="R93" s="107"/>
      <c r="S93" s="107"/>
      <c r="T93" s="107"/>
      <c r="U93" s="107"/>
      <c r="V93" s="137"/>
      <c r="W93" s="137"/>
      <c r="X93" s="137"/>
      <c r="Y93" s="137"/>
      <c r="Z93" s="137"/>
      <c r="AA93" s="137"/>
      <c r="AB93" s="137"/>
      <c r="AC93" s="137"/>
      <c r="AD93" s="137"/>
      <c r="AE93" s="137"/>
      <c r="AF93" s="137"/>
      <c r="AG93" s="137"/>
    </row>
    <row r="94" spans="1:34" ht="17.149999999999999" customHeight="1" x14ac:dyDescent="0.3">
      <c r="A94" s="143" t="s">
        <v>251</v>
      </c>
      <c r="B94" s="1520">
        <f>B93-B91</f>
        <v>0</v>
      </c>
      <c r="C94" s="6"/>
      <c r="D94" s="6"/>
      <c r="E94" s="52"/>
      <c r="F94" s="3"/>
      <c r="G94" s="3"/>
      <c r="H94" s="43"/>
      <c r="I94" s="43"/>
      <c r="J94" s="43"/>
      <c r="K94" s="43"/>
      <c r="L94" s="43"/>
      <c r="M94" s="43"/>
      <c r="N94" s="107"/>
      <c r="O94" s="107"/>
      <c r="P94" s="107"/>
      <c r="Q94" s="107"/>
      <c r="R94" s="107"/>
      <c r="S94" s="107"/>
      <c r="T94" s="107"/>
      <c r="U94" s="107"/>
      <c r="V94" s="137"/>
      <c r="W94" s="137"/>
      <c r="X94" s="137"/>
      <c r="Y94" s="137"/>
      <c r="Z94" s="137"/>
      <c r="AA94" s="137"/>
      <c r="AB94" s="137"/>
      <c r="AC94" s="137"/>
      <c r="AD94" s="137"/>
      <c r="AE94" s="137"/>
      <c r="AF94" s="137"/>
      <c r="AG94" s="137"/>
    </row>
    <row r="95" spans="1:34" ht="17.149999999999999" customHeight="1" x14ac:dyDescent="0.3">
      <c r="A95" s="3"/>
      <c r="B95" s="1519" t="str">
        <f>IF(B94=0,"OK","Not OK")</f>
        <v>OK</v>
      </c>
      <c r="C95" s="6"/>
      <c r="D95" s="6"/>
      <c r="E95" s="52"/>
      <c r="F95" s="3"/>
      <c r="G95" s="3"/>
      <c r="H95" s="43"/>
      <c r="I95" s="43"/>
      <c r="J95" s="43"/>
      <c r="K95" s="43"/>
      <c r="L95" s="43"/>
      <c r="M95" s="43"/>
      <c r="N95" s="107"/>
      <c r="O95" s="107"/>
      <c r="P95" s="107"/>
      <c r="Q95" s="107"/>
      <c r="R95" s="107"/>
      <c r="S95" s="107"/>
      <c r="T95" s="107"/>
      <c r="U95" s="107"/>
      <c r="V95" s="137"/>
      <c r="W95" s="137"/>
      <c r="X95" s="137"/>
      <c r="Y95" s="137"/>
      <c r="Z95" s="137"/>
      <c r="AA95" s="137"/>
      <c r="AB95" s="137"/>
      <c r="AC95" s="137"/>
      <c r="AD95" s="137"/>
      <c r="AE95" s="137"/>
      <c r="AF95" s="137"/>
      <c r="AG95" s="137"/>
    </row>
    <row r="96" spans="1:34" ht="17.149999999999999" customHeight="1" x14ac:dyDescent="0.3">
      <c r="A96" s="3"/>
      <c r="B96" s="3"/>
      <c r="C96" s="3"/>
      <c r="D96" s="3"/>
      <c r="E96" s="3"/>
      <c r="F96" s="3"/>
      <c r="G96" s="3"/>
      <c r="H96" s="3"/>
      <c r="I96" s="3"/>
      <c r="J96" s="3"/>
      <c r="K96" s="3"/>
      <c r="V96" s="137"/>
      <c r="W96" s="137"/>
      <c r="X96" s="137"/>
      <c r="Y96" s="137"/>
      <c r="Z96" s="137"/>
      <c r="AA96" s="137"/>
      <c r="AB96" s="137"/>
      <c r="AC96" s="137"/>
      <c r="AD96" s="137"/>
      <c r="AE96" s="137"/>
      <c r="AF96" s="137"/>
      <c r="AG96" s="137"/>
    </row>
    <row r="97" spans="1:11" ht="17.149999999999999" customHeight="1" x14ac:dyDescent="0.35">
      <c r="A97" s="3"/>
      <c r="B97" s="3"/>
      <c r="C97" s="3"/>
      <c r="D97" s="3"/>
      <c r="E97" s="3"/>
      <c r="F97" s="3"/>
      <c r="G97" s="3"/>
      <c r="H97" s="3"/>
      <c r="I97" s="3"/>
      <c r="J97" s="107"/>
      <c r="K97" s="3"/>
    </row>
    <row r="98" spans="1:11" ht="17.149999999999999" customHeight="1" x14ac:dyDescent="0.35">
      <c r="A98" s="949" t="s">
        <v>1097</v>
      </c>
      <c r="B98" s="1504" t="s">
        <v>9</v>
      </c>
      <c r="C98" s="3"/>
      <c r="D98" s="3"/>
      <c r="E98" s="3"/>
      <c r="F98" s="3"/>
      <c r="G98" s="3"/>
      <c r="H98" s="3"/>
      <c r="I98" s="3"/>
      <c r="J98" s="107"/>
      <c r="K98" s="3"/>
    </row>
    <row r="99" spans="1:11" ht="17.149999999999999" customHeight="1" x14ac:dyDescent="0.35">
      <c r="A99" s="3"/>
      <c r="B99" s="3"/>
      <c r="C99" s="3"/>
      <c r="D99" s="3"/>
      <c r="E99" s="3"/>
      <c r="F99" s="3"/>
      <c r="G99" s="3"/>
      <c r="H99" s="3"/>
      <c r="I99" s="3"/>
      <c r="J99" s="107"/>
      <c r="K99" s="3"/>
    </row>
    <row r="100" spans="1:11" s="12" customFormat="1" ht="17.149999999999999" customHeight="1" x14ac:dyDescent="0.35">
      <c r="A100" s="1851" t="s">
        <v>1125</v>
      </c>
      <c r="B100" s="1797" t="s">
        <v>21</v>
      </c>
      <c r="C100" s="1798"/>
      <c r="D100" s="1797" t="s">
        <v>22</v>
      </c>
      <c r="E100" s="1798"/>
      <c r="G100" s="1797" t="s">
        <v>1072</v>
      </c>
      <c r="H100" s="1798"/>
      <c r="J100" s="93"/>
    </row>
    <row r="101" spans="1:11" s="12" customFormat="1" ht="17.149999999999999" customHeight="1" x14ac:dyDescent="0.35">
      <c r="A101" s="1852"/>
      <c r="B101" s="1503" t="s">
        <v>28</v>
      </c>
      <c r="C101" s="1503" t="s">
        <v>1126</v>
      </c>
      <c r="D101" s="1503" t="s">
        <v>28</v>
      </c>
      <c r="E101" s="1503" t="s">
        <v>1126</v>
      </c>
      <c r="G101" s="1503" t="s">
        <v>28</v>
      </c>
      <c r="H101" s="1503" t="s">
        <v>1126</v>
      </c>
      <c r="J101" s="93"/>
    </row>
    <row r="102" spans="1:11" s="3" customFormat="1" ht="13" x14ac:dyDescent="0.35">
      <c r="A102" s="143"/>
      <c r="B102" s="321"/>
      <c r="C102" s="292"/>
      <c r="D102" s="321"/>
      <c r="E102" s="292"/>
      <c r="G102" s="321"/>
      <c r="H102" s="292"/>
      <c r="J102" s="43"/>
    </row>
    <row r="103" spans="1:11" ht="17.149999999999999" customHeight="1" x14ac:dyDescent="0.35">
      <c r="A103" s="322" t="s">
        <v>1127</v>
      </c>
      <c r="B103" s="100">
        <f>K33</f>
        <v>0</v>
      </c>
      <c r="C103" s="100">
        <f>J33</f>
        <v>0</v>
      </c>
      <c r="D103" s="100">
        <f>N33</f>
        <v>0</v>
      </c>
      <c r="E103" s="100">
        <f>M33</f>
        <v>0</v>
      </c>
      <c r="F103" s="3"/>
      <c r="G103" s="100">
        <f t="shared" ref="G103:H106" si="20">B103+D103</f>
        <v>0</v>
      </c>
      <c r="H103" s="100">
        <f t="shared" si="20"/>
        <v>0</v>
      </c>
      <c r="I103" s="3"/>
      <c r="J103" s="107"/>
      <c r="K103" s="3"/>
    </row>
    <row r="104" spans="1:11" ht="17.149999999999999" customHeight="1" x14ac:dyDescent="0.35">
      <c r="A104" s="138" t="s">
        <v>1128</v>
      </c>
      <c r="B104" s="141">
        <f>K55</f>
        <v>8042536.25</v>
      </c>
      <c r="C104" s="141">
        <f>J55</f>
        <v>14936138.75</v>
      </c>
      <c r="D104" s="141">
        <f>N55</f>
        <v>0</v>
      </c>
      <c r="E104" s="141">
        <f>M55</f>
        <v>0</v>
      </c>
      <c r="F104" s="3"/>
      <c r="G104" s="141">
        <f t="shared" si="20"/>
        <v>8042536.25</v>
      </c>
      <c r="H104" s="141">
        <f t="shared" si="20"/>
        <v>14936138.75</v>
      </c>
      <c r="I104" s="3"/>
      <c r="J104" s="107"/>
      <c r="K104" s="3"/>
    </row>
    <row r="105" spans="1:11" ht="17.149999999999999" customHeight="1" x14ac:dyDescent="0.35">
      <c r="A105" s="322" t="s">
        <v>1085</v>
      </c>
      <c r="B105" s="100">
        <f>K73</f>
        <v>0</v>
      </c>
      <c r="C105" s="100">
        <f>J73</f>
        <v>0</v>
      </c>
      <c r="D105" s="100">
        <f>N73</f>
        <v>0</v>
      </c>
      <c r="E105" s="100">
        <f>M73</f>
        <v>0</v>
      </c>
      <c r="F105" s="3"/>
      <c r="G105" s="100">
        <f t="shared" si="20"/>
        <v>0</v>
      </c>
      <c r="H105" s="100">
        <f t="shared" si="20"/>
        <v>0</v>
      </c>
      <c r="I105" s="3"/>
      <c r="J105" s="107"/>
      <c r="K105" s="3"/>
    </row>
    <row r="106" spans="1:11" ht="17.149999999999999" customHeight="1" x14ac:dyDescent="0.35">
      <c r="A106" s="138" t="s">
        <v>1086</v>
      </c>
      <c r="B106" s="141">
        <f>K91</f>
        <v>1231600</v>
      </c>
      <c r="C106" s="141">
        <f>J91</f>
        <v>4926400</v>
      </c>
      <c r="D106" s="141">
        <f>N91</f>
        <v>0</v>
      </c>
      <c r="E106" s="141">
        <f>M91</f>
        <v>0</v>
      </c>
      <c r="F106" s="3"/>
      <c r="G106" s="141">
        <f t="shared" si="20"/>
        <v>1231600</v>
      </c>
      <c r="H106" s="141">
        <f t="shared" si="20"/>
        <v>4926400</v>
      </c>
      <c r="I106" s="3"/>
      <c r="J106" s="107"/>
      <c r="K106" s="3"/>
    </row>
    <row r="107" spans="1:11" s="12" customFormat="1" ht="17.149999999999999" customHeight="1" x14ac:dyDescent="0.35">
      <c r="A107" s="950" t="s">
        <v>208</v>
      </c>
      <c r="B107" s="948">
        <f>SUM(B103:B106)</f>
        <v>9274136.25</v>
      </c>
      <c r="C107" s="948">
        <f>SUM(C103:C106)</f>
        <v>19862538.75</v>
      </c>
      <c r="D107" s="948">
        <f>SUM(D103:D106)</f>
        <v>0</v>
      </c>
      <c r="E107" s="948">
        <f>SUM(E103:E106)</f>
        <v>0</v>
      </c>
      <c r="G107" s="948">
        <f>SUM(G103:G106)</f>
        <v>9274136.25</v>
      </c>
      <c r="H107" s="948">
        <f>SUM(H103:H106)</f>
        <v>19862538.75</v>
      </c>
      <c r="J107" s="93"/>
    </row>
    <row r="108" spans="1:11" ht="17.149999999999999" customHeight="1" x14ac:dyDescent="0.35">
      <c r="A108" s="3"/>
      <c r="B108" s="3"/>
      <c r="C108" s="3"/>
      <c r="D108" s="3"/>
      <c r="E108" s="3"/>
      <c r="F108" s="3"/>
      <c r="G108" s="3"/>
      <c r="H108" s="3"/>
      <c r="I108" s="3"/>
      <c r="J108" s="107"/>
      <c r="K108" s="3"/>
    </row>
    <row r="109" spans="1:11" ht="17.149999999999999" customHeight="1" x14ac:dyDescent="0.35">
      <c r="A109" s="3"/>
      <c r="B109" s="3"/>
      <c r="C109" s="3"/>
      <c r="D109" s="3"/>
      <c r="E109" s="3"/>
      <c r="F109" s="3"/>
      <c r="G109" s="3"/>
      <c r="H109" s="3"/>
      <c r="I109" s="3"/>
      <c r="J109" s="107"/>
      <c r="K109" s="3"/>
    </row>
    <row r="110" spans="1:11" ht="17.149999999999999" customHeight="1" x14ac:dyDescent="0.35">
      <c r="A110" s="3"/>
      <c r="B110" s="3"/>
      <c r="C110" s="3"/>
      <c r="D110" s="3"/>
      <c r="E110" s="3"/>
      <c r="F110" s="3"/>
      <c r="G110" s="3"/>
      <c r="H110" s="3"/>
      <c r="I110" s="3"/>
      <c r="J110" s="107"/>
      <c r="K110" s="3"/>
    </row>
    <row r="111" spans="1:11" ht="17.149999999999999" customHeight="1" x14ac:dyDescent="0.35">
      <c r="A111" s="949" t="s">
        <v>1097</v>
      </c>
      <c r="B111" s="1504" t="s">
        <v>9</v>
      </c>
    </row>
    <row r="112" spans="1:11" s="185" customFormat="1" ht="10.5" x14ac:dyDescent="0.35">
      <c r="A112" s="237"/>
      <c r="B112" s="222"/>
      <c r="C112" s="285"/>
      <c r="D112" s="285"/>
      <c r="E112" s="285"/>
      <c r="F112" s="285"/>
      <c r="G112" s="285"/>
      <c r="H112" s="285"/>
      <c r="I112" s="285"/>
      <c r="J112" s="285"/>
    </row>
    <row r="113" spans="1:10" ht="17.149999999999999" customHeight="1" x14ac:dyDescent="0.35">
      <c r="A113" s="80"/>
      <c r="B113" s="1513" t="s">
        <v>841</v>
      </c>
      <c r="C113" s="107"/>
      <c r="D113" s="107"/>
      <c r="E113" s="107"/>
      <c r="F113" s="107"/>
      <c r="G113" s="107"/>
      <c r="H113" s="107"/>
      <c r="I113" s="107"/>
      <c r="J113" s="107"/>
    </row>
    <row r="114" spans="1:10" s="185" customFormat="1" ht="10.5" x14ac:dyDescent="0.35">
      <c r="A114" s="237"/>
      <c r="B114" s="222"/>
      <c r="C114" s="285"/>
      <c r="D114" s="285"/>
      <c r="E114" s="285"/>
      <c r="F114" s="285"/>
      <c r="G114" s="285"/>
      <c r="H114" s="285"/>
      <c r="I114" s="285"/>
      <c r="J114" s="285"/>
    </row>
    <row r="115" spans="1:10" ht="17.149999999999999" customHeight="1" x14ac:dyDescent="0.35">
      <c r="A115" s="206" t="s">
        <v>1098</v>
      </c>
      <c r="B115" s="207">
        <f>SUM(B116:B117)</f>
        <v>9274136.25</v>
      </c>
      <c r="C115" s="103"/>
      <c r="D115" s="103"/>
      <c r="E115" s="96"/>
      <c r="F115" s="44"/>
      <c r="G115" s="44"/>
      <c r="H115" s="104"/>
      <c r="I115" s="103"/>
      <c r="J115" s="107"/>
    </row>
    <row r="116" spans="1:10" ht="17.149999999999999" customHeight="1" x14ac:dyDescent="0.35">
      <c r="A116" s="149" t="s">
        <v>1129</v>
      </c>
      <c r="B116" s="297">
        <f>B107</f>
        <v>9274136.25</v>
      </c>
      <c r="C116" s="103"/>
      <c r="D116" s="103"/>
      <c r="E116" s="96"/>
      <c r="F116" s="44"/>
      <c r="G116" s="44"/>
      <c r="H116" s="96"/>
      <c r="I116" s="103"/>
      <c r="J116" s="107"/>
    </row>
    <row r="117" spans="1:10" ht="17.149999999999999" customHeight="1" x14ac:dyDescent="0.35">
      <c r="A117" s="149" t="s">
        <v>1130</v>
      </c>
      <c r="B117" s="297">
        <f>D107</f>
        <v>0</v>
      </c>
      <c r="C117" s="103"/>
      <c r="D117" s="103"/>
      <c r="E117" s="96"/>
      <c r="F117" s="44"/>
      <c r="G117" s="44"/>
      <c r="H117" s="96"/>
      <c r="I117" s="44"/>
      <c r="J117" s="107"/>
    </row>
    <row r="118" spans="1:10" ht="17.149999999999999" customHeight="1" x14ac:dyDescent="0.35">
      <c r="A118" s="145"/>
      <c r="B118" s="156"/>
      <c r="C118" s="107"/>
      <c r="D118" s="107"/>
      <c r="E118" s="107"/>
      <c r="F118" s="107"/>
      <c r="G118" s="107"/>
      <c r="H118" s="107"/>
      <c r="I118" s="107"/>
      <c r="J118" s="107"/>
    </row>
    <row r="119" spans="1:10" ht="17.149999999999999" customHeight="1" x14ac:dyDescent="0.35">
      <c r="A119" s="208" t="s">
        <v>1101</v>
      </c>
      <c r="B119" s="209">
        <f>SUM(B120:B121)</f>
        <v>19862538.75</v>
      </c>
      <c r="C119" s="107"/>
      <c r="D119" s="107"/>
      <c r="E119" s="107"/>
      <c r="F119" s="107"/>
      <c r="G119" s="107"/>
      <c r="H119" s="107"/>
      <c r="I119" s="107"/>
      <c r="J119" s="107"/>
    </row>
    <row r="120" spans="1:10" ht="17.149999999999999" customHeight="1" x14ac:dyDescent="0.35">
      <c r="A120" s="149" t="s">
        <v>1131</v>
      </c>
      <c r="B120" s="297">
        <f>C107</f>
        <v>19862538.75</v>
      </c>
      <c r="C120" s="107"/>
      <c r="D120" s="107"/>
      <c r="E120" s="107"/>
      <c r="F120" s="107"/>
      <c r="G120" s="107"/>
      <c r="H120" s="107"/>
      <c r="I120" s="107"/>
      <c r="J120" s="107"/>
    </row>
    <row r="121" spans="1:10" ht="17.149999999999999" customHeight="1" x14ac:dyDescent="0.35">
      <c r="A121" s="149" t="s">
        <v>1132</v>
      </c>
      <c r="B121" s="297">
        <f>E107</f>
        <v>0</v>
      </c>
    </row>
    <row r="122" spans="1:10" ht="17.149999999999999" customHeight="1" x14ac:dyDescent="0.35">
      <c r="A122" s="107"/>
      <c r="B122" s="196"/>
    </row>
    <row r="123" spans="1:10" ht="17.149999999999999" customHeight="1" x14ac:dyDescent="0.35">
      <c r="A123" s="212" t="s">
        <v>1095</v>
      </c>
      <c r="B123" s="28">
        <f>B115+B119</f>
        <v>29136675</v>
      </c>
      <c r="E123" s="19"/>
    </row>
    <row r="124" spans="1:10" ht="17.149999999999999" customHeight="1" x14ac:dyDescent="0.35">
      <c r="A124" s="194"/>
      <c r="B124" s="205">
        <f>'Transport volumes'!B115+'Transport volumes'!B118</f>
        <v>29136675</v>
      </c>
    </row>
    <row r="125" spans="1:10" ht="17.149999999999999" customHeight="1" x14ac:dyDescent="0.35">
      <c r="A125" s="11"/>
      <c r="B125" s="1519" t="str">
        <f>IF(B123=B124,"OK","Not OK")</f>
        <v>OK</v>
      </c>
    </row>
  </sheetData>
  <sheetProtection password="C8C1" sheet="1" objects="1" scenarios="1" selectLockedCells="1"/>
  <mergeCells count="112">
    <mergeCell ref="C73:D73"/>
    <mergeCell ref="G100:H100"/>
    <mergeCell ref="C50:D50"/>
    <mergeCell ref="C51:D51"/>
    <mergeCell ref="C52:D52"/>
    <mergeCell ref="C53:D53"/>
    <mergeCell ref="B100:C100"/>
    <mergeCell ref="D100:E100"/>
    <mergeCell ref="A100:A101"/>
    <mergeCell ref="G93:H93"/>
    <mergeCell ref="G64:H64"/>
    <mergeCell ref="C68:D68"/>
    <mergeCell ref="C69:D69"/>
    <mergeCell ref="C70:D70"/>
    <mergeCell ref="A64:A65"/>
    <mergeCell ref="B64:B65"/>
    <mergeCell ref="J64:J65"/>
    <mergeCell ref="V24:Y24"/>
    <mergeCell ref="C91:D91"/>
    <mergeCell ref="G92:H92"/>
    <mergeCell ref="J92:K92"/>
    <mergeCell ref="M92:N92"/>
    <mergeCell ref="C88:D88"/>
    <mergeCell ref="C89:D89"/>
    <mergeCell ref="C90:D90"/>
    <mergeCell ref="C85:D85"/>
    <mergeCell ref="C86:D86"/>
    <mergeCell ref="C87:D87"/>
    <mergeCell ref="L82:L83"/>
    <mergeCell ref="M82:M83"/>
    <mergeCell ref="N82:N83"/>
    <mergeCell ref="G74:H74"/>
    <mergeCell ref="J74:K74"/>
    <mergeCell ref="M74:N74"/>
    <mergeCell ref="G75:H75"/>
    <mergeCell ref="J75:K75"/>
    <mergeCell ref="M75:N75"/>
    <mergeCell ref="C67:D67"/>
    <mergeCell ref="C71:D71"/>
    <mergeCell ref="C72:D72"/>
    <mergeCell ref="A42:A43"/>
    <mergeCell ref="J93:K93"/>
    <mergeCell ref="M93:N93"/>
    <mergeCell ref="P24:T24"/>
    <mergeCell ref="N42:N43"/>
    <mergeCell ref="C49:D49"/>
    <mergeCell ref="C54:D54"/>
    <mergeCell ref="C55:D55"/>
    <mergeCell ref="C46:D46"/>
    <mergeCell ref="C47:D47"/>
    <mergeCell ref="C48:D48"/>
    <mergeCell ref="C64:D65"/>
    <mergeCell ref="E64:E65"/>
    <mergeCell ref="F64:F65"/>
    <mergeCell ref="G56:H56"/>
    <mergeCell ref="J56:K56"/>
    <mergeCell ref="M56:N56"/>
    <mergeCell ref="G57:H57"/>
    <mergeCell ref="J57:K57"/>
    <mergeCell ref="M57:N57"/>
    <mergeCell ref="L64:L65"/>
    <mergeCell ref="M64:M65"/>
    <mergeCell ref="N64:N65"/>
    <mergeCell ref="I64:I65"/>
    <mergeCell ref="L42:L43"/>
    <mergeCell ref="K64:K65"/>
    <mergeCell ref="AA24:AC24"/>
    <mergeCell ref="A82:A83"/>
    <mergeCell ref="B82:B83"/>
    <mergeCell ref="C82:D83"/>
    <mergeCell ref="E82:E83"/>
    <mergeCell ref="F82:F83"/>
    <mergeCell ref="G82:H82"/>
    <mergeCell ref="N24:N25"/>
    <mergeCell ref="K82:K83"/>
    <mergeCell ref="G24:H24"/>
    <mergeCell ref="J82:J83"/>
    <mergeCell ref="I82:I83"/>
    <mergeCell ref="I24:I25"/>
    <mergeCell ref="K24:K25"/>
    <mergeCell ref="L24:L25"/>
    <mergeCell ref="M24:M25"/>
    <mergeCell ref="J34:K34"/>
    <mergeCell ref="C32:D32"/>
    <mergeCell ref="J35:K35"/>
    <mergeCell ref="C45:D45"/>
    <mergeCell ref="M34:N34"/>
    <mergeCell ref="M35:N35"/>
    <mergeCell ref="M42:M43"/>
    <mergeCell ref="B42:B43"/>
    <mergeCell ref="P42:T42"/>
    <mergeCell ref="A24:A25"/>
    <mergeCell ref="B24:B25"/>
    <mergeCell ref="E24:E25"/>
    <mergeCell ref="F24:F25"/>
    <mergeCell ref="C24:D25"/>
    <mergeCell ref="J24:J25"/>
    <mergeCell ref="C27:D27"/>
    <mergeCell ref="C28:D28"/>
    <mergeCell ref="C29:D29"/>
    <mergeCell ref="C30:D30"/>
    <mergeCell ref="C31:D31"/>
    <mergeCell ref="C33:D33"/>
    <mergeCell ref="G34:H34"/>
    <mergeCell ref="G35:H35"/>
    <mergeCell ref="C42:D43"/>
    <mergeCell ref="E42:E43"/>
    <mergeCell ref="F42:F43"/>
    <mergeCell ref="G42:H42"/>
    <mergeCell ref="I42:I43"/>
    <mergeCell ref="J42:J43"/>
    <mergeCell ref="K42:K43"/>
  </mergeCells>
  <conditionalFormatting sqref="B37">
    <cfRule type="expression" dxfId="234" priority="55">
      <formula>B36&lt;0</formula>
    </cfRule>
    <cfRule type="expression" dxfId="233" priority="56">
      <formula>B36&gt;0</formula>
    </cfRule>
    <cfRule type="expression" dxfId="232" priority="57">
      <formula>B36=0</formula>
    </cfRule>
  </conditionalFormatting>
  <conditionalFormatting sqref="G35:H35">
    <cfRule type="expression" dxfId="231" priority="52">
      <formula>G34&gt;F34</formula>
    </cfRule>
    <cfRule type="expression" dxfId="230" priority="53">
      <formula>G34&lt;F34</formula>
    </cfRule>
    <cfRule type="expression" dxfId="229" priority="54">
      <formula>G34=F34</formula>
    </cfRule>
  </conditionalFormatting>
  <conditionalFormatting sqref="J35">
    <cfRule type="expression" dxfId="228" priority="220">
      <formula>J34&lt;G33</formula>
    </cfRule>
    <cfRule type="expression" dxfId="227" priority="221">
      <formula>J34&gt;G33</formula>
    </cfRule>
    <cfRule type="expression" dxfId="226" priority="222">
      <formula>J34=G33</formula>
    </cfRule>
  </conditionalFormatting>
  <conditionalFormatting sqref="B59">
    <cfRule type="expression" dxfId="225" priority="40">
      <formula>B58&lt;0</formula>
    </cfRule>
    <cfRule type="expression" dxfId="224" priority="41">
      <formula>B58&gt;0</formula>
    </cfRule>
    <cfRule type="expression" dxfId="223" priority="42">
      <formula>B58=0</formula>
    </cfRule>
  </conditionalFormatting>
  <conditionalFormatting sqref="G57:H57">
    <cfRule type="expression" dxfId="222" priority="37">
      <formula>G56&gt;F56</formula>
    </cfRule>
    <cfRule type="expression" dxfId="221" priority="38">
      <formula>G56&lt;F56</formula>
    </cfRule>
    <cfRule type="expression" dxfId="220" priority="39">
      <formula>G56=F56</formula>
    </cfRule>
  </conditionalFormatting>
  <conditionalFormatting sqref="J57">
    <cfRule type="expression" dxfId="219" priority="43">
      <formula>J56&lt;G55</formula>
    </cfRule>
    <cfRule type="expression" dxfId="218" priority="44">
      <formula>J56&gt;G55</formula>
    </cfRule>
    <cfRule type="expression" dxfId="217" priority="45">
      <formula>J56=G55</formula>
    </cfRule>
  </conditionalFormatting>
  <conditionalFormatting sqref="B77">
    <cfRule type="expression" dxfId="216" priority="28">
      <formula>B76&lt;0</formula>
    </cfRule>
    <cfRule type="expression" dxfId="215" priority="29">
      <formula>B76&gt;0</formula>
    </cfRule>
    <cfRule type="expression" dxfId="214" priority="30">
      <formula>B76=0</formula>
    </cfRule>
  </conditionalFormatting>
  <conditionalFormatting sqref="G75:H75">
    <cfRule type="expression" dxfId="213" priority="25">
      <formula>G74&gt;F74</formula>
    </cfRule>
    <cfRule type="expression" dxfId="212" priority="26">
      <formula>G74&lt;F74</formula>
    </cfRule>
    <cfRule type="expression" dxfId="211" priority="27">
      <formula>G74=F74</formula>
    </cfRule>
  </conditionalFormatting>
  <conditionalFormatting sqref="J75">
    <cfRule type="expression" dxfId="210" priority="31">
      <formula>J74&lt;G73</formula>
    </cfRule>
    <cfRule type="expression" dxfId="209" priority="32">
      <formula>J74&gt;G73</formula>
    </cfRule>
    <cfRule type="expression" dxfId="208" priority="33">
      <formula>J74=G73</formula>
    </cfRule>
  </conditionalFormatting>
  <conditionalFormatting sqref="B95">
    <cfRule type="expression" dxfId="207" priority="13">
      <formula>B94&lt;0</formula>
    </cfRule>
    <cfRule type="expression" dxfId="206" priority="14">
      <formula>B94&gt;0</formula>
    </cfRule>
    <cfRule type="expression" dxfId="205" priority="15">
      <formula>B94=0</formula>
    </cfRule>
  </conditionalFormatting>
  <conditionalFormatting sqref="G93:H93">
    <cfRule type="expression" dxfId="204" priority="10">
      <formula>G92&gt;F92</formula>
    </cfRule>
    <cfRule type="expression" dxfId="203" priority="11">
      <formula>G92&lt;F92</formula>
    </cfRule>
    <cfRule type="expression" dxfId="202" priority="12">
      <formula>G92=F92</formula>
    </cfRule>
  </conditionalFormatting>
  <conditionalFormatting sqref="J93">
    <cfRule type="expression" dxfId="201" priority="16">
      <formula>J92&lt;G91</formula>
    </cfRule>
    <cfRule type="expression" dxfId="200" priority="17">
      <formula>J92&gt;G91</formula>
    </cfRule>
    <cfRule type="expression" dxfId="199" priority="18">
      <formula>J92=G91</formula>
    </cfRule>
  </conditionalFormatting>
  <conditionalFormatting sqref="B125">
    <cfRule type="expression" dxfId="198" priority="4">
      <formula>B124&lt;B123</formula>
    </cfRule>
    <cfRule type="expression" dxfId="197" priority="5">
      <formula>B124&gt;B123</formula>
    </cfRule>
    <cfRule type="expression" dxfId="196" priority="6">
      <formula>B124=B123</formula>
    </cfRule>
  </conditionalFormatting>
  <conditionalFormatting sqref="M35 M57 M75 M93">
    <cfRule type="expression" dxfId="195" priority="280">
      <formula>M34&lt;H33</formula>
    </cfRule>
    <cfRule type="expression" dxfId="194" priority="281">
      <formula>M34&gt;H33</formula>
    </cfRule>
    <cfRule type="expression" dxfId="193" priority="282">
      <formula>M34=H33</formula>
    </cfRule>
  </conditionalFormatting>
  <conditionalFormatting sqref="H10">
    <cfRule type="expression" dxfId="192" priority="1">
      <formula>H9&lt;0</formula>
    </cfRule>
    <cfRule type="expression" dxfId="191" priority="2">
      <formula>H9&gt;0</formula>
    </cfRule>
    <cfRule type="expression" dxfId="190" priority="3">
      <formula>H9=0</formula>
    </cfRule>
  </conditionalFormatting>
  <dataValidations count="1">
    <dataValidation type="list" allowBlank="1" showInputMessage="1" showErrorMessage="1" sqref="B14">
      <formula1>Transportoptions</formula1>
    </dataValidation>
  </dataValidations>
  <pageMargins left="0.7" right="0.7" top="0.75" bottom="0.75" header="0.3" footer="0.3"/>
  <pageSetup paperSize="9" orientation="portrait" horizontalDpi="4294967294"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6"/>
  </sheetPr>
  <dimension ref="A1:AJ215"/>
  <sheetViews>
    <sheetView zoomScale="90" zoomScaleNormal="90" workbookViewId="0">
      <selection activeCell="A3" sqref="A3"/>
    </sheetView>
  </sheetViews>
  <sheetFormatPr defaultColWidth="9.1796875" defaultRowHeight="14.5" x14ac:dyDescent="0.35"/>
  <cols>
    <col min="1" max="1" width="60.7265625" style="17" customWidth="1"/>
    <col min="2" max="34" width="16.7265625" style="17" customWidth="1"/>
    <col min="35" max="16384" width="9.1796875" style="17"/>
  </cols>
  <sheetData>
    <row r="1" spans="1:26" ht="18.75" customHeight="1" x14ac:dyDescent="0.35">
      <c r="A1" s="13" t="str">
        <f>'User interface_RES'!AJ11</f>
        <v>Any city in , the world</v>
      </c>
    </row>
    <row r="2" spans="1:26" s="185" customFormat="1" ht="11.25" customHeight="1" x14ac:dyDescent="0.35">
      <c r="B2" s="237"/>
    </row>
    <row r="3" spans="1:26" ht="26" x14ac:dyDescent="0.35">
      <c r="A3" s="182" t="s">
        <v>1133</v>
      </c>
      <c r="B3" s="13"/>
    </row>
    <row r="4" spans="1:26" s="3" customFormat="1" ht="17.149999999999999" customHeight="1" x14ac:dyDescent="0.35">
      <c r="B4" s="1320"/>
      <c r="C4" s="4"/>
      <c r="D4" s="4"/>
      <c r="E4" s="4"/>
      <c r="F4" s="4"/>
      <c r="G4" s="4"/>
      <c r="H4" s="4"/>
      <c r="I4" s="4"/>
      <c r="J4" s="4"/>
      <c r="K4" s="4"/>
      <c r="L4" s="4"/>
      <c r="M4" s="4"/>
      <c r="N4" s="4"/>
      <c r="O4" s="4"/>
      <c r="P4" s="4"/>
      <c r="Q4" s="4"/>
      <c r="R4" s="4"/>
      <c r="S4" s="4"/>
      <c r="T4" s="4"/>
      <c r="U4" s="4"/>
      <c r="V4" s="4"/>
    </row>
    <row r="5" spans="1:26" s="3" customFormat="1" ht="17.149999999999999" customHeight="1" x14ac:dyDescent="0.35">
      <c r="B5" s="52"/>
      <c r="C5" s="4"/>
      <c r="D5" s="4"/>
      <c r="E5" s="4"/>
      <c r="F5" s="4"/>
      <c r="G5" s="4"/>
      <c r="H5" s="4"/>
      <c r="I5" s="4"/>
      <c r="J5" s="4"/>
      <c r="K5" s="4"/>
      <c r="L5" s="4"/>
      <c r="M5" s="4"/>
      <c r="N5" s="4"/>
      <c r="O5" s="4"/>
      <c r="P5" s="4"/>
      <c r="Q5" s="4"/>
      <c r="R5" s="4"/>
      <c r="S5" s="4"/>
      <c r="T5" s="4"/>
      <c r="U5" s="4"/>
      <c r="V5" s="4"/>
    </row>
    <row r="6" spans="1:26" ht="18" customHeight="1" x14ac:dyDescent="0.35">
      <c r="A6" s="137"/>
      <c r="B6" s="1505" t="s">
        <v>9</v>
      </c>
      <c r="C6" s="1315"/>
    </row>
    <row r="7" spans="1:26" s="185" customFormat="1" ht="10.5" x14ac:dyDescent="0.25">
      <c r="A7" s="237"/>
      <c r="B7" s="222"/>
      <c r="C7" s="287"/>
    </row>
    <row r="8" spans="1:26" ht="18" customHeight="1" x14ac:dyDescent="0.3">
      <c r="A8" s="230" t="s">
        <v>1134</v>
      </c>
      <c r="B8" s="288">
        <f>B10+B14</f>
        <v>29136675</v>
      </c>
      <c r="C8" s="137"/>
      <c r="D8" s="231" t="s">
        <v>793</v>
      </c>
      <c r="O8" s="64"/>
      <c r="P8" s="3"/>
      <c r="Q8" s="3"/>
      <c r="R8" s="3"/>
      <c r="S8" s="3"/>
      <c r="T8" s="47"/>
      <c r="U8" s="54"/>
      <c r="V8" s="65"/>
      <c r="W8" s="64"/>
      <c r="X8" s="47"/>
      <c r="Y8" s="47"/>
      <c r="Z8" s="64"/>
    </row>
    <row r="9" spans="1:26" ht="18" customHeight="1" x14ac:dyDescent="0.3">
      <c r="A9" s="2"/>
      <c r="C9" s="137"/>
      <c r="D9" s="47"/>
      <c r="O9" s="64"/>
      <c r="P9" s="3"/>
      <c r="Q9" s="3"/>
      <c r="R9" s="3"/>
      <c r="S9" s="3"/>
      <c r="T9" s="47"/>
      <c r="U9" s="54"/>
      <c r="V9" s="65"/>
      <c r="W9" s="64"/>
      <c r="X9" s="47"/>
      <c r="Y9" s="47"/>
      <c r="Z9" s="64"/>
    </row>
    <row r="10" spans="1:26" ht="18" customHeight="1" x14ac:dyDescent="0.3">
      <c r="A10" s="206" t="s">
        <v>1135</v>
      </c>
      <c r="B10" s="207">
        <f>SUM(B11:B12)</f>
        <v>9274136.25</v>
      </c>
      <c r="C10" s="137"/>
      <c r="D10" s="47"/>
      <c r="H10" s="205">
        <f>'Treatment volumes'!B10</f>
        <v>9274136.25</v>
      </c>
      <c r="O10" s="64"/>
      <c r="P10" s="3"/>
      <c r="Q10" s="3"/>
      <c r="R10" s="3"/>
      <c r="S10" s="3"/>
      <c r="T10" s="47"/>
      <c r="U10" s="54"/>
      <c r="V10" s="65"/>
      <c r="W10" s="64"/>
      <c r="X10" s="47"/>
      <c r="Y10" s="47"/>
      <c r="Z10" s="64"/>
    </row>
    <row r="11" spans="1:26" ht="18" customHeight="1" x14ac:dyDescent="0.3">
      <c r="A11" s="945" t="s">
        <v>1136</v>
      </c>
      <c r="B11" s="946">
        <f>B200</f>
        <v>9274136.25</v>
      </c>
      <c r="C11" s="137"/>
      <c r="D11" s="47"/>
      <c r="H11" s="53">
        <f>B10-H10</f>
        <v>0</v>
      </c>
      <c r="O11" s="64"/>
      <c r="P11" s="3"/>
      <c r="Q11" s="3"/>
      <c r="R11" s="3"/>
      <c r="S11" s="3"/>
      <c r="T11" s="47"/>
      <c r="U11" s="54"/>
      <c r="V11" s="65"/>
      <c r="W11" s="64"/>
      <c r="X11" s="47"/>
      <c r="Y11" s="47"/>
      <c r="Z11" s="64"/>
    </row>
    <row r="12" spans="1:26" ht="18" customHeight="1" x14ac:dyDescent="0.3">
      <c r="A12" s="945" t="s">
        <v>1137</v>
      </c>
      <c r="B12" s="946">
        <f>B202</f>
        <v>0</v>
      </c>
      <c r="C12" s="137"/>
      <c r="D12" s="3"/>
      <c r="H12" s="1519" t="str">
        <f>IF(H11=0,"OK","Not OK")</f>
        <v>OK</v>
      </c>
      <c r="O12" s="3"/>
      <c r="P12" s="3"/>
      <c r="Q12" s="3"/>
      <c r="R12" s="3"/>
      <c r="S12" s="3"/>
      <c r="T12" s="3"/>
      <c r="U12" s="3"/>
      <c r="V12" s="3"/>
      <c r="W12" s="3"/>
      <c r="X12" s="3"/>
      <c r="Y12" s="3"/>
      <c r="Z12" s="3"/>
    </row>
    <row r="13" spans="1:26" ht="18" customHeight="1" x14ac:dyDescent="0.3">
      <c r="A13" s="306"/>
      <c r="B13" s="307"/>
      <c r="C13" s="137"/>
      <c r="D13" s="3"/>
      <c r="E13" s="56"/>
      <c r="F13" s="57"/>
      <c r="G13" s="57"/>
      <c r="H13" s="57"/>
      <c r="I13" s="57"/>
      <c r="J13" s="57"/>
      <c r="K13" s="57"/>
      <c r="L13" s="57"/>
      <c r="M13" s="57"/>
      <c r="N13" s="57"/>
      <c r="O13" s="3"/>
      <c r="P13" s="3"/>
      <c r="Q13" s="3"/>
      <c r="R13" s="3"/>
      <c r="S13" s="3"/>
      <c r="T13" s="3"/>
      <c r="U13" s="3"/>
      <c r="V13" s="3"/>
      <c r="W13" s="3"/>
      <c r="X13" s="3"/>
      <c r="Y13" s="3"/>
      <c r="Z13" s="3"/>
    </row>
    <row r="14" spans="1:26" ht="18" customHeight="1" x14ac:dyDescent="0.3">
      <c r="A14" s="208" t="s">
        <v>1138</v>
      </c>
      <c r="B14" s="209">
        <f>SUM(B15:B16)</f>
        <v>19862538.75</v>
      </c>
      <c r="C14" s="137"/>
      <c r="D14" s="3"/>
      <c r="E14" s="56"/>
      <c r="F14" s="57"/>
      <c r="G14" s="57"/>
      <c r="H14" s="57"/>
      <c r="I14" s="57"/>
      <c r="J14" s="57"/>
      <c r="K14" s="57"/>
      <c r="L14" s="57"/>
      <c r="M14" s="57"/>
      <c r="N14" s="57"/>
      <c r="O14" s="3"/>
      <c r="P14" s="3"/>
      <c r="Q14" s="3"/>
      <c r="R14" s="3"/>
      <c r="S14" s="3"/>
      <c r="T14" s="3"/>
      <c r="U14" s="3"/>
      <c r="V14" s="3"/>
      <c r="W14" s="3"/>
      <c r="X14" s="3"/>
      <c r="Y14" s="3"/>
      <c r="Z14" s="3"/>
    </row>
    <row r="15" spans="1:26" ht="18" customHeight="1" x14ac:dyDescent="0.3">
      <c r="A15" s="945" t="s">
        <v>1139</v>
      </c>
      <c r="B15" s="946">
        <f>B204</f>
        <v>19862538.75</v>
      </c>
      <c r="C15" s="137"/>
      <c r="D15" s="3"/>
      <c r="E15" s="3"/>
      <c r="F15" s="3"/>
      <c r="G15" s="3"/>
      <c r="H15" s="3"/>
      <c r="I15" s="84"/>
      <c r="J15" s="84"/>
      <c r="K15" s="84"/>
      <c r="L15" s="84"/>
      <c r="M15" s="84"/>
      <c r="N15" s="84"/>
      <c r="O15" s="3"/>
      <c r="P15" s="3"/>
      <c r="Q15" s="3"/>
      <c r="R15" s="3"/>
      <c r="S15" s="3"/>
      <c r="T15" s="3"/>
      <c r="U15" s="3"/>
      <c r="V15" s="3"/>
      <c r="W15" s="3"/>
      <c r="X15" s="3"/>
      <c r="Y15" s="3"/>
      <c r="Z15" s="3"/>
    </row>
    <row r="16" spans="1:26" ht="18" customHeight="1" x14ac:dyDescent="0.35">
      <c r="A16" s="945" t="s">
        <v>1140</v>
      </c>
      <c r="B16" s="946">
        <f>B206</f>
        <v>0</v>
      </c>
      <c r="C16" s="3"/>
      <c r="D16" s="3"/>
      <c r="E16" s="3"/>
      <c r="F16" s="3"/>
      <c r="G16" s="3"/>
      <c r="H16" s="3"/>
      <c r="I16" s="84"/>
      <c r="J16" s="84"/>
      <c r="K16" s="84"/>
      <c r="L16" s="84"/>
      <c r="M16" s="84"/>
      <c r="N16" s="84"/>
      <c r="O16" s="3"/>
      <c r="P16" s="3"/>
      <c r="Q16" s="3"/>
      <c r="R16" s="3"/>
      <c r="S16" s="3"/>
      <c r="T16" s="3"/>
      <c r="U16" s="3"/>
      <c r="V16" s="3"/>
      <c r="W16" s="3"/>
      <c r="X16" s="3"/>
      <c r="Y16" s="3"/>
      <c r="Z16" s="3"/>
    </row>
    <row r="17" spans="1:36" s="60" customFormat="1" ht="17.149999999999999" customHeight="1" x14ac:dyDescent="0.35">
      <c r="A17" s="338"/>
      <c r="B17" s="339"/>
      <c r="I17" s="340"/>
      <c r="J17" s="340"/>
      <c r="K17" s="340"/>
      <c r="L17" s="340"/>
      <c r="M17" s="340"/>
      <c r="N17" s="340"/>
    </row>
    <row r="18" spans="1:36" s="60" customFormat="1" ht="17.149999999999999" customHeight="1" x14ac:dyDescent="0.35">
      <c r="A18" s="338"/>
      <c r="B18" s="339"/>
      <c r="I18" s="340"/>
      <c r="J18" s="340"/>
      <c r="K18" s="340"/>
      <c r="L18" s="340"/>
      <c r="M18" s="340"/>
      <c r="N18" s="340"/>
    </row>
    <row r="19" spans="1:36" s="60" customFormat="1" ht="17.149999999999999" customHeight="1" x14ac:dyDescent="0.35">
      <c r="A19" s="338"/>
      <c r="B19" s="339"/>
      <c r="I19" s="340"/>
      <c r="J19" s="340"/>
      <c r="K19" s="340"/>
      <c r="L19" s="340"/>
      <c r="M19" s="340"/>
      <c r="N19" s="340"/>
    </row>
    <row r="20" spans="1:36" ht="17.149999999999999" customHeight="1" x14ac:dyDescent="0.35">
      <c r="A20" s="183" t="s">
        <v>977</v>
      </c>
      <c r="B20" s="117"/>
      <c r="C20" s="3"/>
      <c r="D20" s="3"/>
      <c r="E20" s="3"/>
      <c r="F20" s="3"/>
      <c r="G20" s="3"/>
      <c r="H20" s="3"/>
      <c r="I20" s="84"/>
      <c r="J20" s="84"/>
      <c r="K20" s="84"/>
      <c r="L20" s="84"/>
      <c r="M20" s="84"/>
      <c r="N20" s="84"/>
      <c r="O20" s="3"/>
      <c r="P20" s="3"/>
      <c r="Q20" s="3"/>
      <c r="R20" s="3"/>
      <c r="S20" s="3"/>
      <c r="T20" s="3"/>
      <c r="U20" s="3"/>
      <c r="V20" s="3"/>
      <c r="W20" s="3"/>
      <c r="X20" s="3"/>
      <c r="Y20" s="3"/>
      <c r="Z20" s="3"/>
    </row>
    <row r="21" spans="1:36" ht="17.149999999999999" customHeight="1" x14ac:dyDescent="0.35">
      <c r="A21" s="47"/>
      <c r="B21" s="117"/>
      <c r="C21" s="3"/>
      <c r="D21" s="3"/>
      <c r="E21" s="3"/>
      <c r="F21" s="3"/>
      <c r="G21" s="3"/>
      <c r="H21" s="3"/>
      <c r="I21" s="84"/>
      <c r="J21" s="84"/>
      <c r="K21" s="84"/>
      <c r="L21" s="84"/>
      <c r="M21" s="84"/>
      <c r="N21" s="84"/>
      <c r="O21" s="3"/>
      <c r="P21" s="3"/>
      <c r="Q21" s="3"/>
      <c r="R21" s="3"/>
      <c r="S21" s="3"/>
      <c r="T21" s="3"/>
      <c r="U21" s="3"/>
      <c r="V21" s="3"/>
      <c r="W21" s="3"/>
      <c r="X21" s="3"/>
      <c r="Y21" s="3"/>
      <c r="Z21" s="3"/>
    </row>
    <row r="22" spans="1:36" ht="17.149999999999999" customHeight="1" x14ac:dyDescent="0.35">
      <c r="A22" s="324" t="s">
        <v>1141</v>
      </c>
      <c r="B22" s="323"/>
      <c r="C22" s="3"/>
      <c r="D22" s="3"/>
      <c r="E22" s="3"/>
      <c r="F22" s="3"/>
      <c r="G22" s="3"/>
      <c r="H22" s="3"/>
      <c r="I22" s="84"/>
      <c r="J22" s="84"/>
      <c r="K22" s="84"/>
      <c r="L22" s="84"/>
      <c r="M22" s="84"/>
      <c r="N22" s="84"/>
      <c r="O22" s="3"/>
      <c r="P22" s="3"/>
      <c r="Q22" s="3"/>
      <c r="R22" s="3"/>
      <c r="S22" s="3"/>
      <c r="T22" s="3"/>
      <c r="U22" s="3"/>
      <c r="V22" s="3"/>
      <c r="W22" s="3"/>
      <c r="X22" s="3"/>
      <c r="Y22" s="3"/>
      <c r="Z22" s="3"/>
    </row>
    <row r="23" spans="1:36" ht="17.149999999999999" customHeight="1" x14ac:dyDescent="0.35">
      <c r="A23" s="3"/>
      <c r="B23" s="117"/>
      <c r="C23" s="3"/>
      <c r="D23" s="3"/>
      <c r="E23" s="3"/>
      <c r="F23" s="3"/>
      <c r="G23" s="3"/>
      <c r="H23" s="3"/>
      <c r="I23" s="84"/>
      <c r="J23" s="84"/>
      <c r="K23" s="84"/>
      <c r="L23" s="84"/>
      <c r="M23" s="84"/>
      <c r="N23" s="84"/>
      <c r="O23" s="3"/>
      <c r="P23" s="3"/>
      <c r="Q23" s="3"/>
      <c r="R23" s="3"/>
      <c r="S23" s="3"/>
      <c r="T23" s="3"/>
      <c r="U23" s="3"/>
      <c r="V23" s="3"/>
      <c r="W23" s="3"/>
      <c r="X23" s="3"/>
      <c r="Y23" s="3"/>
      <c r="Z23" s="3"/>
      <c r="AA23" s="3"/>
      <c r="AB23" s="3"/>
    </row>
    <row r="24" spans="1:36" ht="17.149999999999999" customHeight="1" x14ac:dyDescent="0.35">
      <c r="A24" s="949" t="s">
        <v>1142</v>
      </c>
      <c r="B24" s="1777" t="s">
        <v>9</v>
      </c>
      <c r="C24" s="1777"/>
      <c r="D24" s="3"/>
      <c r="E24" s="3"/>
      <c r="F24" s="3"/>
      <c r="G24" s="3"/>
      <c r="H24" s="3"/>
      <c r="I24" s="84"/>
      <c r="J24" s="84"/>
      <c r="K24" s="84"/>
      <c r="L24" s="84"/>
      <c r="M24" s="84"/>
      <c r="N24" s="84"/>
      <c r="O24" s="3"/>
      <c r="P24" s="3"/>
      <c r="Q24" s="3"/>
      <c r="R24" s="3"/>
      <c r="S24" s="3"/>
      <c r="T24" s="3"/>
      <c r="U24" s="3"/>
      <c r="V24" s="3"/>
      <c r="W24" s="3"/>
      <c r="X24" s="3"/>
      <c r="Y24" s="3"/>
      <c r="Z24" s="3"/>
      <c r="AA24" s="3"/>
      <c r="AB24" s="3"/>
    </row>
    <row r="25" spans="1:36" ht="17.149999999999999" customHeight="1" x14ac:dyDescent="0.35">
      <c r="A25" s="3"/>
      <c r="B25" s="117"/>
      <c r="C25" s="3"/>
      <c r="D25" s="1797" t="s">
        <v>509</v>
      </c>
      <c r="E25" s="1805"/>
      <c r="F25" s="1805"/>
      <c r="G25" s="1805"/>
      <c r="H25" s="1805"/>
      <c r="I25" s="1805"/>
      <c r="J25" s="1805"/>
      <c r="K25" s="1805"/>
      <c r="L25" s="1805"/>
      <c r="M25" s="1805"/>
      <c r="N25" s="1798"/>
      <c r="O25" s="3"/>
      <c r="P25" s="1784" t="s">
        <v>510</v>
      </c>
      <c r="Q25" s="1784"/>
      <c r="R25" s="1784"/>
      <c r="S25" s="1784"/>
      <c r="T25" s="1784"/>
      <c r="U25" s="1784"/>
      <c r="V25" s="1784"/>
      <c r="W25" s="1784"/>
      <c r="X25" s="1784"/>
      <c r="Y25" s="1784"/>
      <c r="Z25" s="1784"/>
      <c r="AA25" s="3"/>
      <c r="AB25" s="1784" t="s">
        <v>1107</v>
      </c>
      <c r="AC25" s="1784"/>
      <c r="AD25" s="1784"/>
      <c r="AE25" s="1784"/>
      <c r="AF25" s="1784"/>
      <c r="AG25" s="329"/>
      <c r="AH25" s="78"/>
      <c r="AI25" s="78"/>
      <c r="AJ25" s="78"/>
    </row>
    <row r="26" spans="1:36" s="11" customFormat="1" ht="17.149999999999999" customHeight="1" x14ac:dyDescent="0.35">
      <c r="A26" s="1808" t="s">
        <v>513</v>
      </c>
      <c r="B26" s="1764" t="s">
        <v>1143</v>
      </c>
      <c r="C26" s="1764" t="s">
        <v>1144</v>
      </c>
      <c r="D26" s="1784" t="s">
        <v>522</v>
      </c>
      <c r="E26" s="1784"/>
      <c r="F26" s="1784"/>
      <c r="G26" s="1784"/>
      <c r="H26" s="1784"/>
      <c r="I26" s="1784"/>
      <c r="J26" s="1784" t="s">
        <v>1145</v>
      </c>
      <c r="K26" s="1784"/>
      <c r="L26" s="1784"/>
      <c r="M26" s="1784"/>
      <c r="N26" s="1784"/>
      <c r="P26" s="1784" t="s">
        <v>522</v>
      </c>
      <c r="Q26" s="1784"/>
      <c r="R26" s="1784"/>
      <c r="S26" s="1784"/>
      <c r="T26" s="1784"/>
      <c r="U26" s="1784"/>
      <c r="V26" s="1784" t="s">
        <v>1145</v>
      </c>
      <c r="W26" s="1784"/>
      <c r="X26" s="1784"/>
      <c r="Y26" s="1784"/>
      <c r="Z26" s="1784"/>
      <c r="AA26" s="3"/>
      <c r="AB26" s="1784" t="s">
        <v>1145</v>
      </c>
      <c r="AC26" s="1784"/>
      <c r="AD26" s="1784"/>
      <c r="AE26" s="1784"/>
      <c r="AF26" s="1784"/>
    </row>
    <row r="27" spans="1:36" s="11" customFormat="1" ht="17.149999999999999" customHeight="1" x14ac:dyDescent="0.35">
      <c r="A27" s="1808"/>
      <c r="B27" s="1766"/>
      <c r="C27" s="1766"/>
      <c r="D27" s="1511" t="s">
        <v>531</v>
      </c>
      <c r="E27" s="1511" t="s">
        <v>532</v>
      </c>
      <c r="F27" s="1511" t="s">
        <v>533</v>
      </c>
      <c r="G27" s="1511" t="s">
        <v>333</v>
      </c>
      <c r="H27" s="1511" t="s">
        <v>208</v>
      </c>
      <c r="I27" s="1511" t="s">
        <v>535</v>
      </c>
      <c r="J27" s="1511" t="s">
        <v>531</v>
      </c>
      <c r="K27" s="1511" t="s">
        <v>532</v>
      </c>
      <c r="L27" s="1511" t="s">
        <v>533</v>
      </c>
      <c r="M27" s="1511" t="s">
        <v>333</v>
      </c>
      <c r="N27" s="1511" t="s">
        <v>208</v>
      </c>
      <c r="O27" s="198"/>
      <c r="P27" s="1511" t="s">
        <v>531</v>
      </c>
      <c r="Q27" s="1511" t="s">
        <v>532</v>
      </c>
      <c r="R27" s="1511" t="s">
        <v>533</v>
      </c>
      <c r="S27" s="1511" t="s">
        <v>537</v>
      </c>
      <c r="T27" s="1511" t="s">
        <v>208</v>
      </c>
      <c r="U27" s="1511" t="s">
        <v>535</v>
      </c>
      <c r="V27" s="1511" t="s">
        <v>531</v>
      </c>
      <c r="W27" s="1511" t="s">
        <v>532</v>
      </c>
      <c r="X27" s="1511" t="s">
        <v>533</v>
      </c>
      <c r="Y27" s="1511" t="s">
        <v>333</v>
      </c>
      <c r="Z27" s="1511" t="s">
        <v>208</v>
      </c>
      <c r="AA27" s="3"/>
      <c r="AB27" s="1511" t="s">
        <v>531</v>
      </c>
      <c r="AC27" s="1511" t="s">
        <v>532</v>
      </c>
      <c r="AD27" s="1511" t="s">
        <v>533</v>
      </c>
      <c r="AE27" s="1511" t="s">
        <v>333</v>
      </c>
      <c r="AF27" s="1511" t="s">
        <v>208</v>
      </c>
    </row>
    <row r="28" spans="1:36" s="60" customFormat="1" ht="13" x14ac:dyDescent="0.35">
      <c r="A28" s="356"/>
      <c r="B28" s="1522"/>
      <c r="C28" s="1522"/>
      <c r="D28" s="153"/>
      <c r="E28" s="153"/>
      <c r="F28" s="153"/>
      <c r="G28" s="153"/>
      <c r="H28" s="153"/>
      <c r="I28" s="1522"/>
      <c r="J28" s="153"/>
      <c r="K28" s="153"/>
      <c r="L28" s="153"/>
      <c r="M28" s="153"/>
      <c r="N28" s="153"/>
      <c r="O28" s="327"/>
      <c r="P28" s="153"/>
      <c r="Q28" s="153"/>
      <c r="R28" s="153"/>
      <c r="S28" s="155"/>
      <c r="T28" s="153"/>
      <c r="U28" s="1522"/>
      <c r="V28" s="153"/>
      <c r="W28" s="153"/>
      <c r="X28" s="153"/>
      <c r="Y28" s="153"/>
      <c r="Z28" s="153"/>
      <c r="AB28" s="153"/>
      <c r="AC28" s="153"/>
      <c r="AD28" s="153"/>
      <c r="AE28" s="153"/>
      <c r="AF28" s="153"/>
    </row>
    <row r="29" spans="1:36" s="955" customFormat="1" ht="17.149999999999999" customHeight="1" x14ac:dyDescent="0.35">
      <c r="A29" s="953" t="str">
        <f>'Treatment volumes'!A27</f>
        <v>Plant 1 [sewerage treatment works]</v>
      </c>
      <c r="B29" s="1522">
        <f>'Treatment volumes'!G27</f>
        <v>0</v>
      </c>
      <c r="C29" s="1522">
        <f>'Treatment volumes'!K27</f>
        <v>0</v>
      </c>
      <c r="D29" s="956">
        <f>Interface_Treatment!U15</f>
        <v>0</v>
      </c>
      <c r="E29" s="956">
        <f>Interface_Treatment!V15</f>
        <v>0</v>
      </c>
      <c r="F29" s="956">
        <f>Interface_Treatment!W15</f>
        <v>0</v>
      </c>
      <c r="G29" s="956">
        <f>Interface_Treatment!X15</f>
        <v>0</v>
      </c>
      <c r="H29" s="1468">
        <f t="shared" ref="H29:H34" si="0">SUM(D29:G29)</f>
        <v>0</v>
      </c>
      <c r="I29" s="957" t="str">
        <f t="shared" ref="I29:I34" si="1">IF(AND(B29=0,H29=0),"OK",IF(AND(B29&gt;0,H29=1),"OK","Not OK"))</f>
        <v>OK</v>
      </c>
      <c r="J29" s="1522">
        <f t="shared" ref="J29:M34" si="2">D29*$B29</f>
        <v>0</v>
      </c>
      <c r="K29" s="1522">
        <f t="shared" si="2"/>
        <v>0</v>
      </c>
      <c r="L29" s="1522">
        <f t="shared" si="2"/>
        <v>0</v>
      </c>
      <c r="M29" s="1522">
        <f t="shared" si="2"/>
        <v>0</v>
      </c>
      <c r="N29" s="1518">
        <f t="shared" ref="N29:N34" si="3">SUM(J29:M29)</f>
        <v>0</v>
      </c>
      <c r="O29" s="958"/>
      <c r="P29" s="956">
        <f>Interface_Treatment!AC15</f>
        <v>0</v>
      </c>
      <c r="Q29" s="956">
        <f>Interface_Treatment!AD15</f>
        <v>0</v>
      </c>
      <c r="R29" s="956">
        <f>Interface_Treatment!AE15</f>
        <v>0</v>
      </c>
      <c r="S29" s="956">
        <f>Interface_Treatment!AF15</f>
        <v>0</v>
      </c>
      <c r="T29" s="1468">
        <f t="shared" ref="T29:T34" si="4">SUM(P29:S29)</f>
        <v>0</v>
      </c>
      <c r="U29" s="957" t="str">
        <f t="shared" ref="U29:U34" si="5">IF(AND(C29=0,T29=0),"OK",IF(AND(C29&gt;0,T29=1),"OK","Not OK"))</f>
        <v>OK</v>
      </c>
      <c r="V29" s="1522">
        <f t="shared" ref="V29:V34" si="6">P29*$C29</f>
        <v>0</v>
      </c>
      <c r="W29" s="1522">
        <f t="shared" ref="W29:W34" si="7">Q29*$C29</f>
        <v>0</v>
      </c>
      <c r="X29" s="1522">
        <f t="shared" ref="X29:X34" si="8">R29*$C29</f>
        <v>0</v>
      </c>
      <c r="Y29" s="1522">
        <f t="shared" ref="Y29:Y34" si="9">S29*$C29</f>
        <v>0</v>
      </c>
      <c r="Z29" s="1522">
        <f t="shared" ref="Z29:Z34" si="10">SUM(V29:Y29)</f>
        <v>0</v>
      </c>
      <c r="AA29" s="10"/>
      <c r="AB29" s="1522">
        <f t="shared" ref="AB29:AD34" si="11">J29-V29</f>
        <v>0</v>
      </c>
      <c r="AC29" s="1522">
        <f t="shared" si="11"/>
        <v>0</v>
      </c>
      <c r="AD29" s="1522">
        <f t="shared" si="11"/>
        <v>0</v>
      </c>
      <c r="AE29" s="1522">
        <f t="shared" ref="AE29:AE34" si="12">M29</f>
        <v>0</v>
      </c>
      <c r="AF29" s="1518">
        <f t="shared" ref="AF29:AF34" si="13">SUM(AB29:AE29)</f>
        <v>0</v>
      </c>
    </row>
    <row r="30" spans="1:36" s="955" customFormat="1" ht="17.149999999999999" customHeight="1" x14ac:dyDescent="0.35">
      <c r="A30" s="953" t="str">
        <f>'Treatment volumes'!A28</f>
        <v>Plant 2 [sewerage treatment works]</v>
      </c>
      <c r="B30" s="1522">
        <f>'Treatment volumes'!G28</f>
        <v>0</v>
      </c>
      <c r="C30" s="1522">
        <f>'Treatment volumes'!K28</f>
        <v>0</v>
      </c>
      <c r="D30" s="956">
        <f>Interface_Treatment!U16</f>
        <v>0</v>
      </c>
      <c r="E30" s="956">
        <f>Interface_Treatment!V16</f>
        <v>0</v>
      </c>
      <c r="F30" s="956">
        <f>Interface_Treatment!W16</f>
        <v>0</v>
      </c>
      <c r="G30" s="956">
        <f>Interface_Treatment!X16</f>
        <v>0</v>
      </c>
      <c r="H30" s="1468">
        <f t="shared" si="0"/>
        <v>0</v>
      </c>
      <c r="I30" s="957" t="str">
        <f t="shared" si="1"/>
        <v>OK</v>
      </c>
      <c r="J30" s="1522">
        <f t="shared" si="2"/>
        <v>0</v>
      </c>
      <c r="K30" s="1522">
        <f t="shared" si="2"/>
        <v>0</v>
      </c>
      <c r="L30" s="1522">
        <f t="shared" si="2"/>
        <v>0</v>
      </c>
      <c r="M30" s="1522">
        <f t="shared" si="2"/>
        <v>0</v>
      </c>
      <c r="N30" s="1518">
        <f t="shared" si="3"/>
        <v>0</v>
      </c>
      <c r="O30" s="958"/>
      <c r="P30" s="956">
        <f>Interface_Treatment!AC16</f>
        <v>0</v>
      </c>
      <c r="Q30" s="956">
        <f>Interface_Treatment!AD16</f>
        <v>0</v>
      </c>
      <c r="R30" s="956">
        <f>Interface_Treatment!AE16</f>
        <v>0</v>
      </c>
      <c r="S30" s="956">
        <f>Interface_Treatment!AF16</f>
        <v>0</v>
      </c>
      <c r="T30" s="1468">
        <f t="shared" si="4"/>
        <v>0</v>
      </c>
      <c r="U30" s="957" t="str">
        <f t="shared" si="5"/>
        <v>OK</v>
      </c>
      <c r="V30" s="1522">
        <f t="shared" si="6"/>
        <v>0</v>
      </c>
      <c r="W30" s="1522">
        <f t="shared" si="7"/>
        <v>0</v>
      </c>
      <c r="X30" s="1522">
        <f t="shared" si="8"/>
        <v>0</v>
      </c>
      <c r="Y30" s="1522">
        <f t="shared" si="9"/>
        <v>0</v>
      </c>
      <c r="Z30" s="1522">
        <f t="shared" si="10"/>
        <v>0</v>
      </c>
      <c r="AA30" s="10"/>
      <c r="AB30" s="1522">
        <f t="shared" si="11"/>
        <v>0</v>
      </c>
      <c r="AC30" s="1522">
        <f t="shared" si="11"/>
        <v>0</v>
      </c>
      <c r="AD30" s="1522">
        <f t="shared" si="11"/>
        <v>0</v>
      </c>
      <c r="AE30" s="1522">
        <f t="shared" si="12"/>
        <v>0</v>
      </c>
      <c r="AF30" s="1518">
        <f t="shared" si="13"/>
        <v>0</v>
      </c>
    </row>
    <row r="31" spans="1:36" s="955" customFormat="1" ht="17.149999999999999" customHeight="1" x14ac:dyDescent="0.35">
      <c r="A31" s="953" t="str">
        <f>'Treatment volumes'!A29</f>
        <v>Plant 3 [insert name]</v>
      </c>
      <c r="B31" s="1522">
        <f>'Treatment volumes'!G29</f>
        <v>0</v>
      </c>
      <c r="C31" s="1522">
        <f>'Treatment volumes'!K29</f>
        <v>0</v>
      </c>
      <c r="D31" s="956">
        <f>Interface_Treatment!U17</f>
        <v>0</v>
      </c>
      <c r="E31" s="956">
        <f>Interface_Treatment!V17</f>
        <v>0</v>
      </c>
      <c r="F31" s="956">
        <f>Interface_Treatment!W17</f>
        <v>0</v>
      </c>
      <c r="G31" s="956">
        <f>Interface_Treatment!X17</f>
        <v>0</v>
      </c>
      <c r="H31" s="1468">
        <f t="shared" si="0"/>
        <v>0</v>
      </c>
      <c r="I31" s="957" t="str">
        <f t="shared" si="1"/>
        <v>OK</v>
      </c>
      <c r="J31" s="1522">
        <f t="shared" si="2"/>
        <v>0</v>
      </c>
      <c r="K31" s="1522">
        <f t="shared" si="2"/>
        <v>0</v>
      </c>
      <c r="L31" s="1522">
        <f t="shared" si="2"/>
        <v>0</v>
      </c>
      <c r="M31" s="1522">
        <f t="shared" si="2"/>
        <v>0</v>
      </c>
      <c r="N31" s="1518">
        <f t="shared" si="3"/>
        <v>0</v>
      </c>
      <c r="O31" s="958"/>
      <c r="P31" s="956">
        <f>Interface_Treatment!AC17</f>
        <v>0</v>
      </c>
      <c r="Q31" s="956">
        <f>Interface_Treatment!AD17</f>
        <v>0</v>
      </c>
      <c r="R31" s="956">
        <f>Interface_Treatment!AE17</f>
        <v>0</v>
      </c>
      <c r="S31" s="956">
        <f>Interface_Treatment!AF17</f>
        <v>0</v>
      </c>
      <c r="T31" s="1468">
        <f t="shared" si="4"/>
        <v>0</v>
      </c>
      <c r="U31" s="957" t="str">
        <f t="shared" si="5"/>
        <v>OK</v>
      </c>
      <c r="V31" s="1522">
        <f t="shared" si="6"/>
        <v>0</v>
      </c>
      <c r="W31" s="1522">
        <f t="shared" si="7"/>
        <v>0</v>
      </c>
      <c r="X31" s="1522">
        <f t="shared" si="8"/>
        <v>0</v>
      </c>
      <c r="Y31" s="1522">
        <f t="shared" si="9"/>
        <v>0</v>
      </c>
      <c r="Z31" s="1522">
        <f t="shared" si="10"/>
        <v>0</v>
      </c>
      <c r="AA31" s="10"/>
      <c r="AB31" s="1522">
        <f t="shared" si="11"/>
        <v>0</v>
      </c>
      <c r="AC31" s="1522">
        <f t="shared" si="11"/>
        <v>0</v>
      </c>
      <c r="AD31" s="1522">
        <f t="shared" si="11"/>
        <v>0</v>
      </c>
      <c r="AE31" s="1522">
        <f t="shared" si="12"/>
        <v>0</v>
      </c>
      <c r="AF31" s="1518">
        <f t="shared" si="13"/>
        <v>0</v>
      </c>
    </row>
    <row r="32" spans="1:36" s="955" customFormat="1" ht="17.149999999999999" customHeight="1" x14ac:dyDescent="0.35">
      <c r="A32" s="953" t="str">
        <f>'Treatment volumes'!A30</f>
        <v>Plant 4 [insert name]</v>
      </c>
      <c r="B32" s="1522">
        <f>'Treatment volumes'!G30</f>
        <v>0</v>
      </c>
      <c r="C32" s="1522">
        <f>'Treatment volumes'!K30</f>
        <v>0</v>
      </c>
      <c r="D32" s="956">
        <f>Interface_Treatment!U18</f>
        <v>0</v>
      </c>
      <c r="E32" s="956">
        <f>Interface_Treatment!V18</f>
        <v>0</v>
      </c>
      <c r="F32" s="956">
        <f>Interface_Treatment!W18</f>
        <v>0</v>
      </c>
      <c r="G32" s="956">
        <f>Interface_Treatment!X18</f>
        <v>0</v>
      </c>
      <c r="H32" s="1468">
        <f t="shared" si="0"/>
        <v>0</v>
      </c>
      <c r="I32" s="957" t="str">
        <f t="shared" si="1"/>
        <v>OK</v>
      </c>
      <c r="J32" s="1522">
        <f t="shared" si="2"/>
        <v>0</v>
      </c>
      <c r="K32" s="1522">
        <f t="shared" si="2"/>
        <v>0</v>
      </c>
      <c r="L32" s="1522">
        <f t="shared" si="2"/>
        <v>0</v>
      </c>
      <c r="M32" s="1522">
        <f t="shared" si="2"/>
        <v>0</v>
      </c>
      <c r="N32" s="1518">
        <f t="shared" si="3"/>
        <v>0</v>
      </c>
      <c r="P32" s="956">
        <f>Interface_Treatment!AC18</f>
        <v>0</v>
      </c>
      <c r="Q32" s="956">
        <f>Interface_Treatment!AD18</f>
        <v>0</v>
      </c>
      <c r="R32" s="956">
        <f>Interface_Treatment!AE18</f>
        <v>0</v>
      </c>
      <c r="S32" s="956">
        <f>Interface_Treatment!AF18</f>
        <v>0</v>
      </c>
      <c r="T32" s="1468">
        <f t="shared" si="4"/>
        <v>0</v>
      </c>
      <c r="U32" s="957" t="str">
        <f t="shared" si="5"/>
        <v>OK</v>
      </c>
      <c r="V32" s="1522">
        <f t="shared" si="6"/>
        <v>0</v>
      </c>
      <c r="W32" s="1522">
        <f t="shared" si="7"/>
        <v>0</v>
      </c>
      <c r="X32" s="1522">
        <f t="shared" si="8"/>
        <v>0</v>
      </c>
      <c r="Y32" s="1522">
        <f t="shared" si="9"/>
        <v>0</v>
      </c>
      <c r="Z32" s="1522">
        <f t="shared" si="10"/>
        <v>0</v>
      </c>
      <c r="AA32" s="10"/>
      <c r="AB32" s="1522">
        <f t="shared" si="11"/>
        <v>0</v>
      </c>
      <c r="AC32" s="1522">
        <f t="shared" si="11"/>
        <v>0</v>
      </c>
      <c r="AD32" s="1522">
        <f t="shared" si="11"/>
        <v>0</v>
      </c>
      <c r="AE32" s="1522">
        <f t="shared" si="12"/>
        <v>0</v>
      </c>
      <c r="AF32" s="1518">
        <f t="shared" si="13"/>
        <v>0</v>
      </c>
    </row>
    <row r="33" spans="1:36" s="955" customFormat="1" ht="17.149999999999999" customHeight="1" x14ac:dyDescent="0.35">
      <c r="A33" s="953" t="str">
        <f>'Treatment volumes'!A31</f>
        <v>Plant 5 [insert name]</v>
      </c>
      <c r="B33" s="1522">
        <f>'Treatment volumes'!G31</f>
        <v>0</v>
      </c>
      <c r="C33" s="1522">
        <f>'Treatment volumes'!K31</f>
        <v>0</v>
      </c>
      <c r="D33" s="956">
        <f>Interface_Treatment!U19</f>
        <v>0</v>
      </c>
      <c r="E33" s="956">
        <f>Interface_Treatment!V19</f>
        <v>0</v>
      </c>
      <c r="F33" s="956">
        <f>Interface_Treatment!W19</f>
        <v>0</v>
      </c>
      <c r="G33" s="956">
        <f>Interface_Treatment!X19</f>
        <v>0</v>
      </c>
      <c r="H33" s="1468">
        <f t="shared" si="0"/>
        <v>0</v>
      </c>
      <c r="I33" s="957" t="str">
        <f t="shared" si="1"/>
        <v>OK</v>
      </c>
      <c r="J33" s="1522">
        <f t="shared" si="2"/>
        <v>0</v>
      </c>
      <c r="K33" s="1522">
        <f t="shared" si="2"/>
        <v>0</v>
      </c>
      <c r="L33" s="1522">
        <f t="shared" si="2"/>
        <v>0</v>
      </c>
      <c r="M33" s="1522">
        <f t="shared" si="2"/>
        <v>0</v>
      </c>
      <c r="N33" s="1518">
        <f t="shared" si="3"/>
        <v>0</v>
      </c>
      <c r="P33" s="956">
        <f>Interface_Treatment!AC19</f>
        <v>0</v>
      </c>
      <c r="Q33" s="956">
        <f>Interface_Treatment!AD19</f>
        <v>0</v>
      </c>
      <c r="R33" s="956">
        <f>Interface_Treatment!AE19</f>
        <v>0</v>
      </c>
      <c r="S33" s="956">
        <f>Interface_Treatment!AF19</f>
        <v>0</v>
      </c>
      <c r="T33" s="1468">
        <f t="shared" si="4"/>
        <v>0</v>
      </c>
      <c r="U33" s="957" t="str">
        <f t="shared" si="5"/>
        <v>OK</v>
      </c>
      <c r="V33" s="1522">
        <f t="shared" si="6"/>
        <v>0</v>
      </c>
      <c r="W33" s="1522">
        <f t="shared" si="7"/>
        <v>0</v>
      </c>
      <c r="X33" s="1522">
        <f t="shared" si="8"/>
        <v>0</v>
      </c>
      <c r="Y33" s="1522">
        <f t="shared" si="9"/>
        <v>0</v>
      </c>
      <c r="Z33" s="1522">
        <f t="shared" si="10"/>
        <v>0</v>
      </c>
      <c r="AA33" s="10"/>
      <c r="AB33" s="1522">
        <f t="shared" si="11"/>
        <v>0</v>
      </c>
      <c r="AC33" s="1522">
        <f t="shared" si="11"/>
        <v>0</v>
      </c>
      <c r="AD33" s="1522">
        <f t="shared" si="11"/>
        <v>0</v>
      </c>
      <c r="AE33" s="1522">
        <f t="shared" si="12"/>
        <v>0</v>
      </c>
      <c r="AF33" s="1518">
        <f t="shared" si="13"/>
        <v>0</v>
      </c>
    </row>
    <row r="34" spans="1:36" s="955" customFormat="1" ht="17.149999999999999" customHeight="1" x14ac:dyDescent="0.35">
      <c r="A34" s="953" t="str">
        <f>'Treatment volumes'!A32</f>
        <v>Plant 6 [insert name]</v>
      </c>
      <c r="B34" s="1522">
        <f>'Treatment volumes'!G32</f>
        <v>0</v>
      </c>
      <c r="C34" s="1522">
        <f>'Treatment volumes'!K32</f>
        <v>0</v>
      </c>
      <c r="D34" s="956">
        <f>Interface_Treatment!U20</f>
        <v>0</v>
      </c>
      <c r="E34" s="956">
        <f>Interface_Treatment!V20</f>
        <v>0</v>
      </c>
      <c r="F34" s="956">
        <f>Interface_Treatment!W20</f>
        <v>0</v>
      </c>
      <c r="G34" s="956">
        <f>Interface_Treatment!X20</f>
        <v>0</v>
      </c>
      <c r="H34" s="1468">
        <f t="shared" si="0"/>
        <v>0</v>
      </c>
      <c r="I34" s="957" t="str">
        <f t="shared" si="1"/>
        <v>OK</v>
      </c>
      <c r="J34" s="1522">
        <f t="shared" si="2"/>
        <v>0</v>
      </c>
      <c r="K34" s="1522">
        <f t="shared" si="2"/>
        <v>0</v>
      </c>
      <c r="L34" s="1522">
        <f t="shared" si="2"/>
        <v>0</v>
      </c>
      <c r="M34" s="1522">
        <f t="shared" si="2"/>
        <v>0</v>
      </c>
      <c r="N34" s="1518">
        <f t="shared" si="3"/>
        <v>0</v>
      </c>
      <c r="O34" s="103"/>
      <c r="P34" s="956">
        <f>Interface_Treatment!AC20</f>
        <v>0</v>
      </c>
      <c r="Q34" s="956">
        <f>Interface_Treatment!AD20</f>
        <v>0</v>
      </c>
      <c r="R34" s="956">
        <f>Interface_Treatment!AE20</f>
        <v>0</v>
      </c>
      <c r="S34" s="956">
        <f>Interface_Treatment!AF20</f>
        <v>0</v>
      </c>
      <c r="T34" s="1468">
        <f t="shared" si="4"/>
        <v>0</v>
      </c>
      <c r="U34" s="957" t="str">
        <f t="shared" si="5"/>
        <v>OK</v>
      </c>
      <c r="V34" s="1522">
        <f t="shared" si="6"/>
        <v>0</v>
      </c>
      <c r="W34" s="1522">
        <f t="shared" si="7"/>
        <v>0</v>
      </c>
      <c r="X34" s="1522">
        <f t="shared" si="8"/>
        <v>0</v>
      </c>
      <c r="Y34" s="1522">
        <f t="shared" si="9"/>
        <v>0</v>
      </c>
      <c r="Z34" s="1522">
        <f t="shared" si="10"/>
        <v>0</v>
      </c>
      <c r="AA34" s="10"/>
      <c r="AB34" s="1522">
        <f t="shared" si="11"/>
        <v>0</v>
      </c>
      <c r="AC34" s="1522">
        <f t="shared" si="11"/>
        <v>0</v>
      </c>
      <c r="AD34" s="1522">
        <f t="shared" si="11"/>
        <v>0</v>
      </c>
      <c r="AE34" s="1522">
        <f t="shared" si="12"/>
        <v>0</v>
      </c>
      <c r="AF34" s="1518">
        <f t="shared" si="13"/>
        <v>0</v>
      </c>
    </row>
    <row r="35" spans="1:36" s="12" customFormat="1" ht="17.149999999999999" customHeight="1" x14ac:dyDescent="0.35">
      <c r="A35" s="950" t="s">
        <v>208</v>
      </c>
      <c r="B35" s="948">
        <f>SUM(B29:B34)</f>
        <v>0</v>
      </c>
      <c r="C35" s="948">
        <f>SUM(C29:C34)</f>
        <v>0</v>
      </c>
      <c r="D35" s="952"/>
      <c r="E35" s="952"/>
      <c r="F35" s="952"/>
      <c r="G35" s="952"/>
      <c r="H35" s="952"/>
      <c r="I35" s="952"/>
      <c r="J35" s="948">
        <f>SUM(J29:J34)</f>
        <v>0</v>
      </c>
      <c r="K35" s="948">
        <f>SUM(K29:K34)</f>
        <v>0</v>
      </c>
      <c r="L35" s="948">
        <f>SUM(L29:L34)</f>
        <v>0</v>
      </c>
      <c r="M35" s="948">
        <f>SUM(M29:M34)</f>
        <v>0</v>
      </c>
      <c r="N35" s="948">
        <f>SUM(N29:N34)</f>
        <v>0</v>
      </c>
      <c r="O35" s="213"/>
      <c r="P35" s="952"/>
      <c r="Q35" s="952"/>
      <c r="R35" s="952"/>
      <c r="S35" s="952"/>
      <c r="T35" s="952"/>
      <c r="U35" s="952"/>
      <c r="V35" s="948">
        <f>SUM(V29:V34)</f>
        <v>0</v>
      </c>
      <c r="W35" s="948">
        <f>SUM(W29:W34)</f>
        <v>0</v>
      </c>
      <c r="X35" s="948">
        <f>SUM(X29:X34)</f>
        <v>0</v>
      </c>
      <c r="Y35" s="948">
        <f>SUM(Y29:Y34)</f>
        <v>0</v>
      </c>
      <c r="Z35" s="948">
        <f>SUM(Z29:Z34)</f>
        <v>0</v>
      </c>
      <c r="AA35" s="32"/>
      <c r="AB35" s="948">
        <f>SUM(AB29:AB34)</f>
        <v>0</v>
      </c>
      <c r="AC35" s="948">
        <f>SUM(AC29:AC34)</f>
        <v>0</v>
      </c>
      <c r="AD35" s="948">
        <f>SUM(AD29:AD34)</f>
        <v>0</v>
      </c>
      <c r="AE35" s="948">
        <f>SUM(AE29:AE34)</f>
        <v>0</v>
      </c>
      <c r="AF35" s="948">
        <f>SUM(AF29:AF34)</f>
        <v>0</v>
      </c>
    </row>
    <row r="36" spans="1:36" s="136" customFormat="1" ht="17.149999999999999" customHeight="1" x14ac:dyDescent="0.35">
      <c r="A36" s="78"/>
      <c r="B36" s="32"/>
      <c r="C36" s="32"/>
      <c r="D36" s="412"/>
      <c r="E36" s="412"/>
      <c r="F36" s="412"/>
      <c r="G36" s="412"/>
      <c r="H36" s="412"/>
      <c r="I36" s="412"/>
      <c r="J36" s="1468">
        <f>IF($N$35=0,0,J35/$N$35)</f>
        <v>0</v>
      </c>
      <c r="K36" s="1468">
        <f>IF($N$35=0,0,K35/$N$35)</f>
        <v>0</v>
      </c>
      <c r="L36" s="1468">
        <f>IF($N$35=0,0,L35/$N$35)</f>
        <v>0</v>
      </c>
      <c r="M36" s="1468">
        <f>IF($N$35=0,0,M35/$N$35)</f>
        <v>0</v>
      </c>
      <c r="N36" s="1468">
        <f>IF($N$35=0,0,N35/$N$35)</f>
        <v>0</v>
      </c>
      <c r="O36" s="412"/>
      <c r="P36" s="412"/>
      <c r="Q36" s="412"/>
      <c r="R36" s="412"/>
      <c r="S36" s="412"/>
      <c r="T36" s="412"/>
      <c r="U36" s="412"/>
      <c r="V36" s="32"/>
      <c r="W36" s="32"/>
      <c r="X36" s="32"/>
      <c r="Y36" s="32"/>
      <c r="Z36" s="32"/>
      <c r="AA36" s="32"/>
      <c r="AB36" s="32"/>
      <c r="AC36" s="32"/>
      <c r="AD36" s="32"/>
      <c r="AE36" s="32"/>
      <c r="AF36" s="32"/>
    </row>
    <row r="37" spans="1:36" ht="17.149999999999999" customHeight="1" x14ac:dyDescent="0.35">
      <c r="A37" s="3"/>
      <c r="B37" s="67"/>
      <c r="C37" s="67"/>
      <c r="D37" s="67"/>
      <c r="E37" s="67"/>
      <c r="F37" s="67"/>
      <c r="G37" s="67"/>
      <c r="H37" s="67"/>
      <c r="I37" s="67"/>
      <c r="J37" s="67"/>
      <c r="K37" s="67"/>
      <c r="L37" s="67"/>
      <c r="M37" s="67"/>
      <c r="N37" s="67"/>
      <c r="O37" s="67"/>
      <c r="P37" s="3" t="s">
        <v>1146</v>
      </c>
      <c r="Q37" s="3"/>
      <c r="R37" s="3"/>
      <c r="S37" s="3"/>
      <c r="T37" s="3"/>
      <c r="U37" s="3"/>
      <c r="V37" s="3"/>
      <c r="W37" s="3"/>
      <c r="X37" s="3"/>
      <c r="Y37" s="3"/>
      <c r="Z37" s="60"/>
      <c r="AA37" s="60"/>
    </row>
    <row r="38" spans="1:36" ht="17.149999999999999" customHeight="1" x14ac:dyDescent="0.35">
      <c r="A38" s="3"/>
      <c r="B38" s="67"/>
      <c r="C38" s="67"/>
      <c r="D38" s="67"/>
      <c r="E38" s="67"/>
      <c r="F38" s="67"/>
      <c r="G38" s="67"/>
      <c r="H38" s="67"/>
      <c r="I38" s="67"/>
      <c r="J38" s="67"/>
      <c r="K38" s="67"/>
      <c r="L38" s="67"/>
      <c r="M38" s="67"/>
      <c r="N38" s="67"/>
      <c r="O38" s="67"/>
      <c r="Q38" s="3"/>
      <c r="R38" s="3"/>
      <c r="S38" s="3"/>
      <c r="T38" s="3"/>
      <c r="U38" s="3"/>
      <c r="V38" s="3"/>
      <c r="W38" s="3"/>
      <c r="X38" s="3"/>
      <c r="Y38" s="3"/>
      <c r="Z38" s="60"/>
      <c r="AA38" s="60"/>
    </row>
    <row r="39" spans="1:36" ht="17.149999999999999" customHeight="1" x14ac:dyDescent="0.35">
      <c r="A39" s="949" t="s">
        <v>1147</v>
      </c>
      <c r="B39" s="1777" t="s">
        <v>9</v>
      </c>
      <c r="C39" s="1777"/>
      <c r="D39" s="3"/>
      <c r="E39" s="3"/>
      <c r="F39" s="3"/>
      <c r="G39" s="3"/>
      <c r="H39" s="3"/>
      <c r="I39" s="84"/>
      <c r="J39" s="84"/>
      <c r="K39" s="84"/>
      <c r="L39" s="84"/>
      <c r="M39" s="84"/>
      <c r="N39" s="84"/>
      <c r="O39" s="3"/>
      <c r="P39" s="3"/>
      <c r="Q39" s="3"/>
      <c r="R39" s="3"/>
      <c r="S39" s="3"/>
      <c r="T39" s="3"/>
      <c r="U39" s="3"/>
      <c r="V39" s="3"/>
      <c r="W39" s="3"/>
      <c r="X39" s="3"/>
      <c r="Y39" s="3"/>
      <c r="Z39" s="3"/>
      <c r="AA39" s="3"/>
      <c r="AB39" s="3"/>
    </row>
    <row r="40" spans="1:36" ht="17.149999999999999" customHeight="1" x14ac:dyDescent="0.35">
      <c r="A40" s="3"/>
      <c r="B40" s="117"/>
      <c r="C40" s="3"/>
      <c r="D40" s="1797" t="s">
        <v>509</v>
      </c>
      <c r="E40" s="1805"/>
      <c r="F40" s="1805"/>
      <c r="G40" s="1805"/>
      <c r="H40" s="1805"/>
      <c r="I40" s="1805"/>
      <c r="J40" s="1805"/>
      <c r="K40" s="1805"/>
      <c r="L40" s="1805"/>
      <c r="M40" s="1805"/>
      <c r="N40" s="1798"/>
      <c r="O40" s="3"/>
      <c r="P40" s="1784" t="s">
        <v>510</v>
      </c>
      <c r="Q40" s="1784"/>
      <c r="R40" s="1784"/>
      <c r="S40" s="1784"/>
      <c r="T40" s="1784"/>
      <c r="U40" s="1784"/>
      <c r="V40" s="1784"/>
      <c r="W40" s="1784"/>
      <c r="X40" s="1784"/>
      <c r="Y40" s="1784"/>
      <c r="Z40" s="1784"/>
      <c r="AA40" s="3"/>
      <c r="AB40" s="1784" t="s">
        <v>1107</v>
      </c>
      <c r="AC40" s="1784"/>
      <c r="AD40" s="1784"/>
      <c r="AE40" s="1784"/>
      <c r="AF40" s="1784"/>
      <c r="AG40" s="329"/>
      <c r="AH40" s="78"/>
      <c r="AI40" s="78"/>
      <c r="AJ40" s="78"/>
    </row>
    <row r="41" spans="1:36" s="11" customFormat="1" ht="17.149999999999999" customHeight="1" x14ac:dyDescent="0.35">
      <c r="A41" s="1808" t="s">
        <v>513</v>
      </c>
      <c r="B41" s="1764" t="s">
        <v>1143</v>
      </c>
      <c r="C41" s="1764" t="s">
        <v>1144</v>
      </c>
      <c r="D41" s="1784" t="s">
        <v>522</v>
      </c>
      <c r="E41" s="1784"/>
      <c r="F41" s="1784"/>
      <c r="G41" s="1784"/>
      <c r="H41" s="1784"/>
      <c r="I41" s="1784"/>
      <c r="J41" s="1784" t="s">
        <v>1145</v>
      </c>
      <c r="K41" s="1784"/>
      <c r="L41" s="1784"/>
      <c r="M41" s="1784"/>
      <c r="N41" s="1784"/>
      <c r="P41" s="1784" t="s">
        <v>522</v>
      </c>
      <c r="Q41" s="1784"/>
      <c r="R41" s="1784"/>
      <c r="S41" s="1784"/>
      <c r="T41" s="1784"/>
      <c r="U41" s="1784"/>
      <c r="V41" s="1784" t="s">
        <v>1145</v>
      </c>
      <c r="W41" s="1784"/>
      <c r="X41" s="1784"/>
      <c r="Y41" s="1784"/>
      <c r="Z41" s="1784"/>
      <c r="AA41" s="3"/>
      <c r="AB41" s="1784" t="s">
        <v>1145</v>
      </c>
      <c r="AC41" s="1784"/>
      <c r="AD41" s="1784"/>
      <c r="AE41" s="1784"/>
      <c r="AF41" s="1784"/>
    </row>
    <row r="42" spans="1:36" s="11" customFormat="1" ht="17.149999999999999" customHeight="1" x14ac:dyDescent="0.35">
      <c r="A42" s="1808"/>
      <c r="B42" s="1766"/>
      <c r="C42" s="1766"/>
      <c r="D42" s="1511" t="s">
        <v>531</v>
      </c>
      <c r="E42" s="1511" t="s">
        <v>532</v>
      </c>
      <c r="F42" s="1511" t="s">
        <v>533</v>
      </c>
      <c r="G42" s="1511" t="s">
        <v>333</v>
      </c>
      <c r="H42" s="1511" t="s">
        <v>208</v>
      </c>
      <c r="I42" s="1511" t="s">
        <v>535</v>
      </c>
      <c r="J42" s="1511" t="s">
        <v>531</v>
      </c>
      <c r="K42" s="1511" t="s">
        <v>532</v>
      </c>
      <c r="L42" s="1511" t="s">
        <v>533</v>
      </c>
      <c r="M42" s="1511" t="s">
        <v>333</v>
      </c>
      <c r="N42" s="1511" t="s">
        <v>208</v>
      </c>
      <c r="O42" s="198"/>
      <c r="P42" s="1511" t="s">
        <v>531</v>
      </c>
      <c r="Q42" s="1511" t="s">
        <v>532</v>
      </c>
      <c r="R42" s="1511" t="s">
        <v>533</v>
      </c>
      <c r="S42" s="1511" t="s">
        <v>537</v>
      </c>
      <c r="T42" s="1511" t="s">
        <v>208</v>
      </c>
      <c r="U42" s="1511" t="s">
        <v>535</v>
      </c>
      <c r="V42" s="1511" t="s">
        <v>531</v>
      </c>
      <c r="W42" s="1511" t="s">
        <v>532</v>
      </c>
      <c r="X42" s="1511" t="s">
        <v>533</v>
      </c>
      <c r="Y42" s="1511" t="s">
        <v>333</v>
      </c>
      <c r="Z42" s="1511" t="s">
        <v>208</v>
      </c>
      <c r="AA42" s="3"/>
      <c r="AB42" s="1511" t="s">
        <v>531</v>
      </c>
      <c r="AC42" s="1511" t="s">
        <v>532</v>
      </c>
      <c r="AD42" s="1511" t="s">
        <v>533</v>
      </c>
      <c r="AE42" s="1511" t="s">
        <v>333</v>
      </c>
      <c r="AF42" s="1511" t="s">
        <v>208</v>
      </c>
    </row>
    <row r="43" spans="1:36" s="60" customFormat="1" ht="13" x14ac:dyDescent="0.35">
      <c r="A43" s="356"/>
      <c r="B43" s="1522"/>
      <c r="C43" s="1522"/>
      <c r="D43" s="153"/>
      <c r="E43" s="153"/>
      <c r="F43" s="153"/>
      <c r="G43" s="153"/>
      <c r="H43" s="153"/>
      <c r="I43" s="1522"/>
      <c r="J43" s="153"/>
      <c r="K43" s="153"/>
      <c r="L43" s="153"/>
      <c r="M43" s="153"/>
      <c r="N43" s="153"/>
      <c r="O43" s="327"/>
      <c r="P43" s="153"/>
      <c r="Q43" s="153"/>
      <c r="R43" s="153"/>
      <c r="S43" s="153"/>
      <c r="T43" s="153"/>
      <c r="U43" s="1522"/>
      <c r="V43" s="153"/>
      <c r="W43" s="153"/>
      <c r="X43" s="153"/>
      <c r="Y43" s="153"/>
      <c r="Z43" s="153"/>
      <c r="AA43" s="165"/>
      <c r="AB43" s="153"/>
      <c r="AC43" s="153"/>
      <c r="AD43" s="153"/>
      <c r="AE43" s="153"/>
      <c r="AF43" s="153"/>
    </row>
    <row r="44" spans="1:36" s="955" customFormat="1" ht="17.149999999999999" customHeight="1" x14ac:dyDescent="0.35">
      <c r="A44" s="953" t="str">
        <f>'Treatment volumes'!A45</f>
        <v>Plant 1</v>
      </c>
      <c r="B44" s="1522">
        <f>'Treatment volumes'!G45</f>
        <v>1378720.5</v>
      </c>
      <c r="C44" s="1522">
        <f>'Treatment volumes'!K45</f>
        <v>1378720.5</v>
      </c>
      <c r="D44" s="956">
        <f>Interface_Treatment!U32</f>
        <v>1</v>
      </c>
      <c r="E44" s="956">
        <f>Interface_Treatment!V32</f>
        <v>0</v>
      </c>
      <c r="F44" s="956">
        <f>Interface_Treatment!W32</f>
        <v>0</v>
      </c>
      <c r="G44" s="956">
        <f>Interface_Treatment!X32</f>
        <v>0</v>
      </c>
      <c r="H44" s="1468">
        <f>SUM(D44:G44)</f>
        <v>1</v>
      </c>
      <c r="I44" s="957" t="str">
        <f>IF(AND(B44=0,H44=0),"OK",IF(AND(B44&gt;0,H44=1),"OK","Not OK"))</f>
        <v>OK</v>
      </c>
      <c r="J44" s="1522">
        <f>D44*$B44</f>
        <v>1378720.5</v>
      </c>
      <c r="K44" s="1522">
        <f>E44*$B44</f>
        <v>0</v>
      </c>
      <c r="L44" s="1522">
        <f>F44*$B44</f>
        <v>0</v>
      </c>
      <c r="M44" s="1522">
        <f>G44*$B44</f>
        <v>0</v>
      </c>
      <c r="N44" s="1518">
        <f>SUM(J44:M44)</f>
        <v>1378720.5</v>
      </c>
      <c r="O44" s="958"/>
      <c r="P44" s="956">
        <f>Interface_Treatment!AC32</f>
        <v>1</v>
      </c>
      <c r="Q44" s="956">
        <f>Interface_Treatment!AD32</f>
        <v>0</v>
      </c>
      <c r="R44" s="956">
        <f>Interface_Treatment!AE32</f>
        <v>0</v>
      </c>
      <c r="S44" s="956">
        <f>Interface_Treatment!AF32</f>
        <v>0</v>
      </c>
      <c r="T44" s="1468">
        <f>SUM(P44:S44)</f>
        <v>1</v>
      </c>
      <c r="U44" s="957" t="str">
        <f>IF(AND(C44=0,S44=0),"OK",IF(AND(C44&gt;0,S44=1),"OK","Not OK"))</f>
        <v>Not OK</v>
      </c>
      <c r="V44" s="1522">
        <f>P44*$C44</f>
        <v>1378720.5</v>
      </c>
      <c r="W44" s="1522">
        <f t="shared" ref="W44:W53" si="14">Q44*$C44</f>
        <v>0</v>
      </c>
      <c r="X44" s="1522">
        <f t="shared" ref="X44:X53" si="15">R44*$C44</f>
        <v>0</v>
      </c>
      <c r="Y44" s="1522">
        <f t="shared" ref="Y44:Y53" si="16">S44*$C44</f>
        <v>0</v>
      </c>
      <c r="Z44" s="1522">
        <f>SUM(V44:Y44)</f>
        <v>1378720.5</v>
      </c>
      <c r="AA44" s="10"/>
      <c r="AB44" s="1522">
        <f>J44-V44</f>
        <v>0</v>
      </c>
      <c r="AC44" s="1522">
        <f>K44-W44</f>
        <v>0</v>
      </c>
      <c r="AD44" s="1522">
        <f>L44-X44</f>
        <v>0</v>
      </c>
      <c r="AE44" s="1522">
        <f>M44-Y44</f>
        <v>0</v>
      </c>
      <c r="AF44" s="1518">
        <f>SUM(AB44:AE44)</f>
        <v>0</v>
      </c>
    </row>
    <row r="45" spans="1:36" s="955" customFormat="1" ht="17.149999999999999" customHeight="1" x14ac:dyDescent="0.35">
      <c r="A45" s="953" t="str">
        <f>'Treatment volumes'!A46</f>
        <v>Plant 2</v>
      </c>
      <c r="B45" s="1522">
        <f>'Treatment volumes'!G46</f>
        <v>6663815.75</v>
      </c>
      <c r="C45" s="1522">
        <f>'Treatment volumes'!K46</f>
        <v>6663815.75</v>
      </c>
      <c r="D45" s="956">
        <f>Interface_Treatment!U33</f>
        <v>1</v>
      </c>
      <c r="E45" s="956">
        <f>Interface_Treatment!V33</f>
        <v>0</v>
      </c>
      <c r="F45" s="956">
        <f>Interface_Treatment!W33</f>
        <v>0</v>
      </c>
      <c r="G45" s="956">
        <f>Interface_Treatment!X33</f>
        <v>0</v>
      </c>
      <c r="H45" s="1468">
        <f t="shared" ref="H45:H53" si="17">SUM(D45:G45)</f>
        <v>1</v>
      </c>
      <c r="I45" s="957" t="str">
        <f t="shared" ref="I45:I53" si="18">IF(AND(B45=0,H45=0),"OK",IF(AND(B45&gt;0,H45=1),"OK","Not OK"))</f>
        <v>OK</v>
      </c>
      <c r="J45" s="1522">
        <f t="shared" ref="J45:J53" si="19">D45*$B45</f>
        <v>6663815.75</v>
      </c>
      <c r="K45" s="1522">
        <f t="shared" ref="K45:K53" si="20">E45*$B45</f>
        <v>0</v>
      </c>
      <c r="L45" s="1522">
        <f t="shared" ref="L45:L53" si="21">F45*$B45</f>
        <v>0</v>
      </c>
      <c r="M45" s="1522">
        <f t="shared" ref="M45:M53" si="22">G45*$B45</f>
        <v>0</v>
      </c>
      <c r="N45" s="1518">
        <f t="shared" ref="N45:N53" si="23">SUM(J45:M45)</f>
        <v>6663815.75</v>
      </c>
      <c r="O45" s="958"/>
      <c r="P45" s="956">
        <f>Interface_Treatment!AC33</f>
        <v>1</v>
      </c>
      <c r="Q45" s="956">
        <f>Interface_Treatment!AD33</f>
        <v>0</v>
      </c>
      <c r="R45" s="956">
        <f>Interface_Treatment!AE33</f>
        <v>0</v>
      </c>
      <c r="S45" s="956">
        <f>Interface_Treatment!AF33</f>
        <v>0</v>
      </c>
      <c r="T45" s="1468">
        <f t="shared" ref="T45:T53" si="24">SUM(P45:S45)</f>
        <v>1</v>
      </c>
      <c r="U45" s="957" t="str">
        <f t="shared" ref="U45:U53" si="25">IF(AND(C45=0,S45=0),"OK",IF(AND(C45&gt;0,S45=1),"OK","Not OK"))</f>
        <v>Not OK</v>
      </c>
      <c r="V45" s="1522">
        <f t="shared" ref="V45:V53" si="26">P45*$C45</f>
        <v>6663815.75</v>
      </c>
      <c r="W45" s="1522">
        <f t="shared" si="14"/>
        <v>0</v>
      </c>
      <c r="X45" s="1522">
        <f t="shared" si="15"/>
        <v>0</v>
      </c>
      <c r="Y45" s="1522">
        <f t="shared" si="16"/>
        <v>0</v>
      </c>
      <c r="Z45" s="1522">
        <f t="shared" ref="Z45:Z53" si="27">SUM(V45:Y45)</f>
        <v>6663815.75</v>
      </c>
      <c r="AA45" s="10"/>
      <c r="AB45" s="1522">
        <f t="shared" ref="AB45:AB53" si="28">J45-V45</f>
        <v>0</v>
      </c>
      <c r="AC45" s="1522">
        <f t="shared" ref="AC45:AC53" si="29">K45-W45</f>
        <v>0</v>
      </c>
      <c r="AD45" s="1522">
        <f t="shared" ref="AD45:AE53" si="30">L45-X45</f>
        <v>0</v>
      </c>
      <c r="AE45" s="1522">
        <f t="shared" si="30"/>
        <v>0</v>
      </c>
      <c r="AF45" s="1518">
        <f t="shared" ref="AF45:AF53" si="31">SUM(AB45:AE45)</f>
        <v>0</v>
      </c>
    </row>
    <row r="46" spans="1:36" s="955" customFormat="1" ht="17.149999999999999" customHeight="1" x14ac:dyDescent="0.35">
      <c r="A46" s="953" t="str">
        <f>'Treatment volumes'!A47</f>
        <v>Plant 3</v>
      </c>
      <c r="B46" s="1522">
        <f>'Treatment volumes'!G47</f>
        <v>6893602.5</v>
      </c>
      <c r="C46" s="1522">
        <f>'Treatment volumes'!K47</f>
        <v>0</v>
      </c>
      <c r="D46" s="956">
        <f>Interface_Treatment!U34</f>
        <v>1</v>
      </c>
      <c r="E46" s="956">
        <f>Interface_Treatment!V34</f>
        <v>0</v>
      </c>
      <c r="F46" s="956">
        <f>Interface_Treatment!W34</f>
        <v>0</v>
      </c>
      <c r="G46" s="956">
        <f>Interface_Treatment!X34</f>
        <v>0</v>
      </c>
      <c r="H46" s="1468">
        <f t="shared" si="17"/>
        <v>1</v>
      </c>
      <c r="I46" s="957" t="str">
        <f t="shared" si="18"/>
        <v>OK</v>
      </c>
      <c r="J46" s="1522">
        <f t="shared" si="19"/>
        <v>6893602.5</v>
      </c>
      <c r="K46" s="1522">
        <f t="shared" si="20"/>
        <v>0</v>
      </c>
      <c r="L46" s="1522">
        <f t="shared" si="21"/>
        <v>0</v>
      </c>
      <c r="M46" s="1522">
        <f t="shared" si="22"/>
        <v>0</v>
      </c>
      <c r="N46" s="1518">
        <f t="shared" si="23"/>
        <v>6893602.5</v>
      </c>
      <c r="O46" s="958"/>
      <c r="P46" s="956">
        <f>Interface_Treatment!AC34</f>
        <v>0</v>
      </c>
      <c r="Q46" s="956">
        <f>Interface_Treatment!AD34</f>
        <v>0</v>
      </c>
      <c r="R46" s="956">
        <f>Interface_Treatment!AE34</f>
        <v>0</v>
      </c>
      <c r="S46" s="956">
        <f>Interface_Treatment!AF34</f>
        <v>0</v>
      </c>
      <c r="T46" s="1468">
        <f t="shared" si="24"/>
        <v>0</v>
      </c>
      <c r="U46" s="957" t="str">
        <f t="shared" si="25"/>
        <v>OK</v>
      </c>
      <c r="V46" s="1522">
        <f t="shared" si="26"/>
        <v>0</v>
      </c>
      <c r="W46" s="1522">
        <f t="shared" si="14"/>
        <v>0</v>
      </c>
      <c r="X46" s="1522">
        <f t="shared" si="15"/>
        <v>0</v>
      </c>
      <c r="Y46" s="1522">
        <f t="shared" si="16"/>
        <v>0</v>
      </c>
      <c r="Z46" s="1522">
        <f t="shared" si="27"/>
        <v>0</v>
      </c>
      <c r="AA46" s="10"/>
      <c r="AB46" s="1522">
        <f t="shared" si="28"/>
        <v>6893602.5</v>
      </c>
      <c r="AC46" s="1522">
        <f t="shared" si="29"/>
        <v>0</v>
      </c>
      <c r="AD46" s="1522">
        <f t="shared" si="30"/>
        <v>0</v>
      </c>
      <c r="AE46" s="1522">
        <f t="shared" si="30"/>
        <v>0</v>
      </c>
      <c r="AF46" s="1518">
        <f t="shared" si="31"/>
        <v>6893602.5</v>
      </c>
    </row>
    <row r="47" spans="1:36" s="955" customFormat="1" ht="17.149999999999999" customHeight="1" x14ac:dyDescent="0.35">
      <c r="A47" s="953" t="str">
        <f>'Treatment volumes'!A48</f>
        <v>Plant 4</v>
      </c>
      <c r="B47" s="1522">
        <f>'Treatment volumes'!G48</f>
        <v>8042536.2499999991</v>
      </c>
      <c r="C47" s="1522">
        <f>'Treatment volumes'!K48</f>
        <v>0</v>
      </c>
      <c r="D47" s="956">
        <f>Interface_Treatment!U35</f>
        <v>1</v>
      </c>
      <c r="E47" s="956">
        <f>Interface_Treatment!V35</f>
        <v>0</v>
      </c>
      <c r="F47" s="956">
        <f>Interface_Treatment!W35</f>
        <v>0</v>
      </c>
      <c r="G47" s="956">
        <f>Interface_Treatment!X35</f>
        <v>0</v>
      </c>
      <c r="H47" s="1468">
        <f t="shared" si="17"/>
        <v>1</v>
      </c>
      <c r="I47" s="957" t="str">
        <f t="shared" si="18"/>
        <v>OK</v>
      </c>
      <c r="J47" s="1522">
        <f t="shared" si="19"/>
        <v>8042536.2499999991</v>
      </c>
      <c r="K47" s="1522">
        <f t="shared" si="20"/>
        <v>0</v>
      </c>
      <c r="L47" s="1522">
        <f t="shared" si="21"/>
        <v>0</v>
      </c>
      <c r="M47" s="1522">
        <f t="shared" si="22"/>
        <v>0</v>
      </c>
      <c r="N47" s="1518">
        <f t="shared" si="23"/>
        <v>8042536.2499999991</v>
      </c>
      <c r="P47" s="956">
        <f>Interface_Treatment!AC35</f>
        <v>0</v>
      </c>
      <c r="Q47" s="956">
        <f>Interface_Treatment!AD35</f>
        <v>0</v>
      </c>
      <c r="R47" s="956">
        <f>Interface_Treatment!AE35</f>
        <v>0</v>
      </c>
      <c r="S47" s="956">
        <f>Interface_Treatment!AF35</f>
        <v>0</v>
      </c>
      <c r="T47" s="1468">
        <f t="shared" si="24"/>
        <v>0</v>
      </c>
      <c r="U47" s="957" t="str">
        <f t="shared" si="25"/>
        <v>OK</v>
      </c>
      <c r="V47" s="1522">
        <f t="shared" si="26"/>
        <v>0</v>
      </c>
      <c r="W47" s="1522">
        <f t="shared" si="14"/>
        <v>0</v>
      </c>
      <c r="X47" s="1522">
        <f t="shared" si="15"/>
        <v>0</v>
      </c>
      <c r="Y47" s="1522">
        <f t="shared" si="16"/>
        <v>0</v>
      </c>
      <c r="Z47" s="1522">
        <f t="shared" si="27"/>
        <v>0</v>
      </c>
      <c r="AA47" s="10"/>
      <c r="AB47" s="1522">
        <f t="shared" si="28"/>
        <v>8042536.2499999991</v>
      </c>
      <c r="AC47" s="1522">
        <f t="shared" si="29"/>
        <v>0</v>
      </c>
      <c r="AD47" s="1522">
        <f t="shared" si="30"/>
        <v>0</v>
      </c>
      <c r="AE47" s="1522">
        <f t="shared" si="30"/>
        <v>0</v>
      </c>
      <c r="AF47" s="1518">
        <f t="shared" si="31"/>
        <v>8042536.2499999991</v>
      </c>
    </row>
    <row r="48" spans="1:36" s="955" customFormat="1" ht="17.149999999999999" customHeight="1" x14ac:dyDescent="0.35">
      <c r="A48" s="953" t="str">
        <f>'Treatment volumes'!A49</f>
        <v>Plant 5 [insert name]</v>
      </c>
      <c r="B48" s="1522">
        <f>'Treatment volumes'!G49</f>
        <v>0</v>
      </c>
      <c r="C48" s="1522">
        <f>'Treatment volumes'!K49</f>
        <v>0</v>
      </c>
      <c r="D48" s="956">
        <f>Interface_Treatment!U36</f>
        <v>0</v>
      </c>
      <c r="E48" s="956">
        <f>Interface_Treatment!V36</f>
        <v>0</v>
      </c>
      <c r="F48" s="956">
        <f>Interface_Treatment!W36</f>
        <v>0</v>
      </c>
      <c r="G48" s="956">
        <f>Interface_Treatment!X36</f>
        <v>0</v>
      </c>
      <c r="H48" s="1468">
        <f t="shared" si="17"/>
        <v>0</v>
      </c>
      <c r="I48" s="957" t="str">
        <f t="shared" si="18"/>
        <v>OK</v>
      </c>
      <c r="J48" s="1522">
        <f t="shared" si="19"/>
        <v>0</v>
      </c>
      <c r="K48" s="1522">
        <f t="shared" si="20"/>
        <v>0</v>
      </c>
      <c r="L48" s="1522">
        <f t="shared" si="21"/>
        <v>0</v>
      </c>
      <c r="M48" s="1522">
        <f t="shared" si="22"/>
        <v>0</v>
      </c>
      <c r="N48" s="1518">
        <f t="shared" si="23"/>
        <v>0</v>
      </c>
      <c r="P48" s="956">
        <f>Interface_Treatment!AC36</f>
        <v>0</v>
      </c>
      <c r="Q48" s="956">
        <f>Interface_Treatment!AD36</f>
        <v>0</v>
      </c>
      <c r="R48" s="956">
        <f>Interface_Treatment!AE36</f>
        <v>0</v>
      </c>
      <c r="S48" s="956">
        <f>Interface_Treatment!AF36</f>
        <v>0</v>
      </c>
      <c r="T48" s="1468">
        <f t="shared" si="24"/>
        <v>0</v>
      </c>
      <c r="U48" s="957" t="str">
        <f t="shared" si="25"/>
        <v>OK</v>
      </c>
      <c r="V48" s="1522">
        <f t="shared" si="26"/>
        <v>0</v>
      </c>
      <c r="W48" s="1522">
        <f t="shared" si="14"/>
        <v>0</v>
      </c>
      <c r="X48" s="1522">
        <f t="shared" si="15"/>
        <v>0</v>
      </c>
      <c r="Y48" s="1522">
        <f t="shared" si="16"/>
        <v>0</v>
      </c>
      <c r="Z48" s="1522">
        <f t="shared" si="27"/>
        <v>0</v>
      </c>
      <c r="AA48" s="10"/>
      <c r="AB48" s="1522">
        <f t="shared" si="28"/>
        <v>0</v>
      </c>
      <c r="AC48" s="1522">
        <f t="shared" si="29"/>
        <v>0</v>
      </c>
      <c r="AD48" s="1522">
        <f t="shared" si="30"/>
        <v>0</v>
      </c>
      <c r="AE48" s="1522">
        <f t="shared" si="30"/>
        <v>0</v>
      </c>
      <c r="AF48" s="1518">
        <f t="shared" si="31"/>
        <v>0</v>
      </c>
    </row>
    <row r="49" spans="1:36" s="955" customFormat="1" ht="17.149999999999999" customHeight="1" x14ac:dyDescent="0.35">
      <c r="A49" s="953" t="str">
        <f>'Treatment volumes'!A50</f>
        <v>Plant 6 [insert name]</v>
      </c>
      <c r="B49" s="1522">
        <f>'Treatment volumes'!G50</f>
        <v>0</v>
      </c>
      <c r="C49" s="1522">
        <f>'Treatment volumes'!K50</f>
        <v>0</v>
      </c>
      <c r="D49" s="956">
        <f>Interface_Treatment!U37</f>
        <v>0</v>
      </c>
      <c r="E49" s="956">
        <f>Interface_Treatment!V37</f>
        <v>0</v>
      </c>
      <c r="F49" s="956">
        <f>Interface_Treatment!W37</f>
        <v>0</v>
      </c>
      <c r="G49" s="956">
        <f>Interface_Treatment!X37</f>
        <v>0</v>
      </c>
      <c r="H49" s="1468">
        <f t="shared" si="17"/>
        <v>0</v>
      </c>
      <c r="I49" s="957" t="str">
        <f t="shared" si="18"/>
        <v>OK</v>
      </c>
      <c r="J49" s="1522">
        <f t="shared" si="19"/>
        <v>0</v>
      </c>
      <c r="K49" s="1522">
        <f t="shared" si="20"/>
        <v>0</v>
      </c>
      <c r="L49" s="1522">
        <f t="shared" si="21"/>
        <v>0</v>
      </c>
      <c r="M49" s="1522">
        <f t="shared" si="22"/>
        <v>0</v>
      </c>
      <c r="N49" s="1518">
        <f t="shared" si="23"/>
        <v>0</v>
      </c>
      <c r="P49" s="956">
        <f>Interface_Treatment!AC37</f>
        <v>0</v>
      </c>
      <c r="Q49" s="956">
        <f>Interface_Treatment!AD37</f>
        <v>0</v>
      </c>
      <c r="R49" s="956">
        <f>Interface_Treatment!AE37</f>
        <v>0</v>
      </c>
      <c r="S49" s="956">
        <f>Interface_Treatment!AF37</f>
        <v>0</v>
      </c>
      <c r="T49" s="1468">
        <f t="shared" si="24"/>
        <v>0</v>
      </c>
      <c r="U49" s="957" t="str">
        <f t="shared" si="25"/>
        <v>OK</v>
      </c>
      <c r="V49" s="1522">
        <f t="shared" si="26"/>
        <v>0</v>
      </c>
      <c r="W49" s="1522">
        <f t="shared" si="14"/>
        <v>0</v>
      </c>
      <c r="X49" s="1522">
        <f t="shared" si="15"/>
        <v>0</v>
      </c>
      <c r="Y49" s="1522">
        <f t="shared" si="16"/>
        <v>0</v>
      </c>
      <c r="Z49" s="1522">
        <f t="shared" si="27"/>
        <v>0</v>
      </c>
      <c r="AA49" s="10"/>
      <c r="AB49" s="1522">
        <f t="shared" si="28"/>
        <v>0</v>
      </c>
      <c r="AC49" s="1522">
        <f t="shared" si="29"/>
        <v>0</v>
      </c>
      <c r="AD49" s="1522">
        <f t="shared" si="30"/>
        <v>0</v>
      </c>
      <c r="AE49" s="1522">
        <f t="shared" si="30"/>
        <v>0</v>
      </c>
      <c r="AF49" s="1518">
        <f t="shared" si="31"/>
        <v>0</v>
      </c>
    </row>
    <row r="50" spans="1:36" s="955" customFormat="1" ht="17.149999999999999" customHeight="1" x14ac:dyDescent="0.35">
      <c r="A50" s="953" t="str">
        <f>'Treatment volumes'!A51</f>
        <v>Plant 7 [insert name]</v>
      </c>
      <c r="B50" s="1522">
        <f>'Treatment volumes'!G51</f>
        <v>0</v>
      </c>
      <c r="C50" s="1522">
        <f>'Treatment volumes'!K51</f>
        <v>0</v>
      </c>
      <c r="D50" s="956">
        <f>Interface_Treatment!U38</f>
        <v>0</v>
      </c>
      <c r="E50" s="956">
        <f>Interface_Treatment!V38</f>
        <v>0</v>
      </c>
      <c r="F50" s="956">
        <f>Interface_Treatment!W38</f>
        <v>0</v>
      </c>
      <c r="G50" s="956">
        <f>Interface_Treatment!X38</f>
        <v>0</v>
      </c>
      <c r="H50" s="1468">
        <f t="shared" si="17"/>
        <v>0</v>
      </c>
      <c r="I50" s="957" t="str">
        <f t="shared" si="18"/>
        <v>OK</v>
      </c>
      <c r="J50" s="1522">
        <f t="shared" si="19"/>
        <v>0</v>
      </c>
      <c r="K50" s="1522">
        <f t="shared" si="20"/>
        <v>0</v>
      </c>
      <c r="L50" s="1522">
        <f t="shared" si="21"/>
        <v>0</v>
      </c>
      <c r="M50" s="1522">
        <f t="shared" si="22"/>
        <v>0</v>
      </c>
      <c r="N50" s="1518">
        <f t="shared" si="23"/>
        <v>0</v>
      </c>
      <c r="P50" s="956">
        <f>Interface_Treatment!AC38</f>
        <v>0</v>
      </c>
      <c r="Q50" s="956">
        <f>Interface_Treatment!AD38</f>
        <v>0</v>
      </c>
      <c r="R50" s="956">
        <f>Interface_Treatment!AE38</f>
        <v>0</v>
      </c>
      <c r="S50" s="956">
        <f>Interface_Treatment!AF38</f>
        <v>0</v>
      </c>
      <c r="T50" s="1468">
        <f t="shared" si="24"/>
        <v>0</v>
      </c>
      <c r="U50" s="957" t="str">
        <f t="shared" si="25"/>
        <v>OK</v>
      </c>
      <c r="V50" s="1522">
        <f t="shared" si="26"/>
        <v>0</v>
      </c>
      <c r="W50" s="1522">
        <f t="shared" si="14"/>
        <v>0</v>
      </c>
      <c r="X50" s="1522">
        <f t="shared" si="15"/>
        <v>0</v>
      </c>
      <c r="Y50" s="1522">
        <f t="shared" si="16"/>
        <v>0</v>
      </c>
      <c r="Z50" s="1522">
        <f t="shared" si="27"/>
        <v>0</v>
      </c>
      <c r="AA50" s="10"/>
      <c r="AB50" s="1522">
        <f t="shared" si="28"/>
        <v>0</v>
      </c>
      <c r="AC50" s="1522">
        <f t="shared" si="29"/>
        <v>0</v>
      </c>
      <c r="AD50" s="1522">
        <f t="shared" si="30"/>
        <v>0</v>
      </c>
      <c r="AE50" s="1522">
        <f t="shared" si="30"/>
        <v>0</v>
      </c>
      <c r="AF50" s="1518">
        <f t="shared" si="31"/>
        <v>0</v>
      </c>
    </row>
    <row r="51" spans="1:36" s="955" customFormat="1" ht="17.149999999999999" customHeight="1" x14ac:dyDescent="0.35">
      <c r="A51" s="953" t="str">
        <f>'Treatment volumes'!A52</f>
        <v>Plant 8 [insert name]</v>
      </c>
      <c r="B51" s="1522">
        <f>'Treatment volumes'!G52</f>
        <v>0</v>
      </c>
      <c r="C51" s="1522">
        <f>'Treatment volumes'!K52</f>
        <v>0</v>
      </c>
      <c r="D51" s="956">
        <f>Interface_Treatment!U39</f>
        <v>0</v>
      </c>
      <c r="E51" s="956">
        <f>Interface_Treatment!V39</f>
        <v>0</v>
      </c>
      <c r="F51" s="956">
        <f>Interface_Treatment!W39</f>
        <v>0</v>
      </c>
      <c r="G51" s="956">
        <f>Interface_Treatment!X39</f>
        <v>0</v>
      </c>
      <c r="H51" s="1468">
        <f t="shared" si="17"/>
        <v>0</v>
      </c>
      <c r="I51" s="957" t="str">
        <f t="shared" si="18"/>
        <v>OK</v>
      </c>
      <c r="J51" s="1522">
        <f t="shared" si="19"/>
        <v>0</v>
      </c>
      <c r="K51" s="1522">
        <f t="shared" si="20"/>
        <v>0</v>
      </c>
      <c r="L51" s="1522">
        <f t="shared" si="21"/>
        <v>0</v>
      </c>
      <c r="M51" s="1522">
        <f t="shared" si="22"/>
        <v>0</v>
      </c>
      <c r="N51" s="1518">
        <f t="shared" si="23"/>
        <v>0</v>
      </c>
      <c r="P51" s="956">
        <f>Interface_Treatment!AC39</f>
        <v>0</v>
      </c>
      <c r="Q51" s="956">
        <f>Interface_Treatment!AD39</f>
        <v>0</v>
      </c>
      <c r="R51" s="956">
        <f>Interface_Treatment!AE39</f>
        <v>0</v>
      </c>
      <c r="S51" s="956">
        <f>Interface_Treatment!AF39</f>
        <v>0</v>
      </c>
      <c r="T51" s="1468">
        <f t="shared" si="24"/>
        <v>0</v>
      </c>
      <c r="U51" s="957" t="str">
        <f t="shared" si="25"/>
        <v>OK</v>
      </c>
      <c r="V51" s="1522">
        <f t="shared" si="26"/>
        <v>0</v>
      </c>
      <c r="W51" s="1522">
        <f t="shared" si="14"/>
        <v>0</v>
      </c>
      <c r="X51" s="1522">
        <f t="shared" si="15"/>
        <v>0</v>
      </c>
      <c r="Y51" s="1522">
        <f t="shared" si="16"/>
        <v>0</v>
      </c>
      <c r="Z51" s="1522">
        <f t="shared" si="27"/>
        <v>0</v>
      </c>
      <c r="AA51" s="10"/>
      <c r="AB51" s="1522">
        <f t="shared" si="28"/>
        <v>0</v>
      </c>
      <c r="AC51" s="1522">
        <f t="shared" si="29"/>
        <v>0</v>
      </c>
      <c r="AD51" s="1522">
        <f t="shared" si="30"/>
        <v>0</v>
      </c>
      <c r="AE51" s="1522">
        <f t="shared" si="30"/>
        <v>0</v>
      </c>
      <c r="AF51" s="1518">
        <f t="shared" si="31"/>
        <v>0</v>
      </c>
    </row>
    <row r="52" spans="1:36" s="955" customFormat="1" ht="17.149999999999999" customHeight="1" x14ac:dyDescent="0.35">
      <c r="A52" s="953" t="str">
        <f>'Treatment volumes'!A53</f>
        <v>Plant 9 [insert name]</v>
      </c>
      <c r="B52" s="1522">
        <f>'Treatment volumes'!G53</f>
        <v>0</v>
      </c>
      <c r="C52" s="1522">
        <f>'Treatment volumes'!K53</f>
        <v>0</v>
      </c>
      <c r="D52" s="956">
        <f>Interface_Treatment!U40</f>
        <v>0</v>
      </c>
      <c r="E52" s="956">
        <f>Interface_Treatment!V40</f>
        <v>0</v>
      </c>
      <c r="F52" s="956">
        <f>Interface_Treatment!W40</f>
        <v>0</v>
      </c>
      <c r="G52" s="956">
        <f>Interface_Treatment!X40</f>
        <v>0</v>
      </c>
      <c r="H52" s="1468">
        <f t="shared" si="17"/>
        <v>0</v>
      </c>
      <c r="I52" s="957" t="str">
        <f t="shared" si="18"/>
        <v>OK</v>
      </c>
      <c r="J52" s="1522">
        <f t="shared" si="19"/>
        <v>0</v>
      </c>
      <c r="K52" s="1522">
        <f t="shared" si="20"/>
        <v>0</v>
      </c>
      <c r="L52" s="1522">
        <f t="shared" si="21"/>
        <v>0</v>
      </c>
      <c r="M52" s="1522">
        <f t="shared" si="22"/>
        <v>0</v>
      </c>
      <c r="N52" s="1518">
        <f t="shared" si="23"/>
        <v>0</v>
      </c>
      <c r="P52" s="956">
        <f>Interface_Treatment!AC40</f>
        <v>0</v>
      </c>
      <c r="Q52" s="956">
        <f>Interface_Treatment!AD40</f>
        <v>0</v>
      </c>
      <c r="R52" s="956">
        <f>Interface_Treatment!AE40</f>
        <v>0</v>
      </c>
      <c r="S52" s="956">
        <f>Interface_Treatment!AF40</f>
        <v>0</v>
      </c>
      <c r="T52" s="1468">
        <f t="shared" si="24"/>
        <v>0</v>
      </c>
      <c r="U52" s="957" t="str">
        <f t="shared" si="25"/>
        <v>OK</v>
      </c>
      <c r="V52" s="1522">
        <f t="shared" si="26"/>
        <v>0</v>
      </c>
      <c r="W52" s="1522">
        <f t="shared" si="14"/>
        <v>0</v>
      </c>
      <c r="X52" s="1522">
        <f t="shared" si="15"/>
        <v>0</v>
      </c>
      <c r="Y52" s="1522">
        <f t="shared" si="16"/>
        <v>0</v>
      </c>
      <c r="Z52" s="1522">
        <f t="shared" si="27"/>
        <v>0</v>
      </c>
      <c r="AA52" s="10"/>
      <c r="AB52" s="1522">
        <f t="shared" si="28"/>
        <v>0</v>
      </c>
      <c r="AC52" s="1522">
        <f t="shared" si="29"/>
        <v>0</v>
      </c>
      <c r="AD52" s="1522">
        <f t="shared" si="30"/>
        <v>0</v>
      </c>
      <c r="AE52" s="1522">
        <f t="shared" si="30"/>
        <v>0</v>
      </c>
      <c r="AF52" s="1518">
        <f t="shared" si="31"/>
        <v>0</v>
      </c>
    </row>
    <row r="53" spans="1:36" s="955" customFormat="1" ht="17.149999999999999" customHeight="1" x14ac:dyDescent="0.35">
      <c r="A53" s="953" t="str">
        <f>'Treatment volumes'!A54</f>
        <v>Plant 10 [insert name]</v>
      </c>
      <c r="B53" s="1522">
        <f>'Treatment volumes'!G54</f>
        <v>0</v>
      </c>
      <c r="C53" s="1522">
        <f>'Treatment volumes'!K54</f>
        <v>0</v>
      </c>
      <c r="D53" s="956">
        <f>Interface_Treatment!U41</f>
        <v>0</v>
      </c>
      <c r="E53" s="956">
        <f>Interface_Treatment!V41</f>
        <v>0</v>
      </c>
      <c r="F53" s="956">
        <f>Interface_Treatment!W41</f>
        <v>0</v>
      </c>
      <c r="G53" s="956">
        <f>Interface_Treatment!X41</f>
        <v>0</v>
      </c>
      <c r="H53" s="1468">
        <f t="shared" si="17"/>
        <v>0</v>
      </c>
      <c r="I53" s="957" t="str">
        <f t="shared" si="18"/>
        <v>OK</v>
      </c>
      <c r="J53" s="1522">
        <f t="shared" si="19"/>
        <v>0</v>
      </c>
      <c r="K53" s="1522">
        <f t="shared" si="20"/>
        <v>0</v>
      </c>
      <c r="L53" s="1522">
        <f t="shared" si="21"/>
        <v>0</v>
      </c>
      <c r="M53" s="1522">
        <f t="shared" si="22"/>
        <v>0</v>
      </c>
      <c r="N53" s="1518">
        <f t="shared" si="23"/>
        <v>0</v>
      </c>
      <c r="O53" s="103"/>
      <c r="P53" s="956">
        <f>Interface_Treatment!AC41</f>
        <v>0</v>
      </c>
      <c r="Q53" s="956">
        <f>Interface_Treatment!AD41</f>
        <v>0</v>
      </c>
      <c r="R53" s="956">
        <f>Interface_Treatment!AE41</f>
        <v>0</v>
      </c>
      <c r="S53" s="956">
        <f>Interface_Treatment!AF41</f>
        <v>0</v>
      </c>
      <c r="T53" s="1468">
        <f t="shared" si="24"/>
        <v>0</v>
      </c>
      <c r="U53" s="957" t="str">
        <f t="shared" si="25"/>
        <v>OK</v>
      </c>
      <c r="V53" s="1522">
        <f t="shared" si="26"/>
        <v>0</v>
      </c>
      <c r="W53" s="1522">
        <f t="shared" si="14"/>
        <v>0</v>
      </c>
      <c r="X53" s="1522">
        <f t="shared" si="15"/>
        <v>0</v>
      </c>
      <c r="Y53" s="1522">
        <f t="shared" si="16"/>
        <v>0</v>
      </c>
      <c r="Z53" s="1522">
        <f t="shared" si="27"/>
        <v>0</v>
      </c>
      <c r="AA53" s="10"/>
      <c r="AB53" s="1522">
        <f t="shared" si="28"/>
        <v>0</v>
      </c>
      <c r="AC53" s="1522">
        <f t="shared" si="29"/>
        <v>0</v>
      </c>
      <c r="AD53" s="1522">
        <f t="shared" si="30"/>
        <v>0</v>
      </c>
      <c r="AE53" s="1522">
        <f t="shared" si="30"/>
        <v>0</v>
      </c>
      <c r="AF53" s="1518">
        <f t="shared" si="31"/>
        <v>0</v>
      </c>
    </row>
    <row r="54" spans="1:36" s="12" customFormat="1" ht="17.149999999999999" customHeight="1" x14ac:dyDescent="0.35">
      <c r="A54" s="950" t="s">
        <v>208</v>
      </c>
      <c r="B54" s="948">
        <f>SUM(B44:B53)</f>
        <v>22978675</v>
      </c>
      <c r="C54" s="948">
        <f>SUM(C44:C53)</f>
        <v>8042536.25</v>
      </c>
      <c r="D54" s="952"/>
      <c r="E54" s="952"/>
      <c r="F54" s="952"/>
      <c r="G54" s="952"/>
      <c r="H54" s="952"/>
      <c r="I54" s="952"/>
      <c r="J54" s="948">
        <f>SUM(J44:J53)</f>
        <v>22978675</v>
      </c>
      <c r="K54" s="948">
        <f>SUM(K44:K53)</f>
        <v>0</v>
      </c>
      <c r="L54" s="948">
        <f>SUM(L44:L53)</f>
        <v>0</v>
      </c>
      <c r="M54" s="948">
        <f>SUM(M44:M53)</f>
        <v>0</v>
      </c>
      <c r="N54" s="948">
        <f>SUM(N44:N53)</f>
        <v>22978675</v>
      </c>
      <c r="O54" s="213"/>
      <c r="P54" s="952"/>
      <c r="Q54" s="952"/>
      <c r="R54" s="952"/>
      <c r="S54" s="952"/>
      <c r="T54" s="952"/>
      <c r="U54" s="952"/>
      <c r="V54" s="948">
        <f>SUM(V44:V53)</f>
        <v>8042536.25</v>
      </c>
      <c r="W54" s="948">
        <f>SUM(W44:W53)</f>
        <v>0</v>
      </c>
      <c r="X54" s="948">
        <f>SUM(X44:X53)</f>
        <v>0</v>
      </c>
      <c r="Y54" s="948">
        <f>SUM(Y44:Y53)</f>
        <v>0</v>
      </c>
      <c r="Z54" s="948">
        <f>SUM(Z44:Z53)</f>
        <v>8042536.25</v>
      </c>
      <c r="AA54" s="32"/>
      <c r="AB54" s="948">
        <f>SUM(AB44:AB53)</f>
        <v>14936138.75</v>
      </c>
      <c r="AC54" s="948">
        <f>SUM(AC44:AC53)</f>
        <v>0</v>
      </c>
      <c r="AD54" s="948">
        <f>SUM(AD44:AD53)</f>
        <v>0</v>
      </c>
      <c r="AE54" s="948">
        <f>SUM(AE44:AE53)</f>
        <v>0</v>
      </c>
      <c r="AF54" s="948">
        <f>SUM(AF44:AF53)</f>
        <v>14936138.75</v>
      </c>
    </row>
    <row r="55" spans="1:36" ht="17.149999999999999" customHeight="1" x14ac:dyDescent="0.35">
      <c r="A55" s="3"/>
      <c r="B55" s="67"/>
      <c r="C55" s="67"/>
      <c r="D55" s="67"/>
      <c r="E55" s="67"/>
      <c r="F55" s="67"/>
      <c r="G55" s="67"/>
      <c r="H55" s="67"/>
      <c r="I55" s="67"/>
      <c r="J55" s="1468">
        <f>IF($N$54=0,0,J54/$N$54)</f>
        <v>1</v>
      </c>
      <c r="K55" s="1468">
        <f>IF($N$54=0,0,K54/$N$54)</f>
        <v>0</v>
      </c>
      <c r="L55" s="1468">
        <f>IF($N$54=0,0,L54/$N$54)</f>
        <v>0</v>
      </c>
      <c r="M55" s="1468">
        <f>IF($N$54=0,0,M54/$N$54)</f>
        <v>0</v>
      </c>
      <c r="N55" s="1468">
        <f>IF($N$54=0,0,N54/$N$54)</f>
        <v>1</v>
      </c>
      <c r="O55" s="67"/>
      <c r="Q55" s="3"/>
      <c r="R55" s="3"/>
      <c r="S55" s="3"/>
      <c r="T55" s="3"/>
      <c r="U55" s="3"/>
      <c r="V55" s="3"/>
      <c r="W55" s="3"/>
      <c r="X55" s="3"/>
      <c r="Y55" s="3"/>
      <c r="Z55" s="60"/>
      <c r="AA55" s="60"/>
    </row>
    <row r="56" spans="1:36" ht="17.149999999999999" customHeight="1" x14ac:dyDescent="0.35">
      <c r="A56" s="3"/>
      <c r="B56" s="67"/>
      <c r="C56" s="67"/>
      <c r="D56" s="67"/>
      <c r="E56" s="67"/>
      <c r="F56" s="67"/>
      <c r="G56" s="67"/>
      <c r="H56" s="67"/>
      <c r="I56" s="67"/>
      <c r="J56" s="67"/>
      <c r="K56" s="67"/>
      <c r="L56" s="67"/>
      <c r="M56" s="67"/>
      <c r="N56" s="67"/>
      <c r="O56" s="67"/>
      <c r="Q56" s="3"/>
      <c r="R56" s="3"/>
      <c r="S56" s="3"/>
      <c r="T56" s="3"/>
      <c r="U56" s="3"/>
      <c r="V56" s="3"/>
      <c r="W56" s="3"/>
      <c r="X56" s="3"/>
      <c r="Y56" s="3"/>
      <c r="Z56" s="60"/>
      <c r="AA56" s="60"/>
    </row>
    <row r="57" spans="1:36" ht="17.149999999999999" customHeight="1" x14ac:dyDescent="0.35">
      <c r="A57" s="3"/>
      <c r="B57" s="67"/>
      <c r="C57" s="67"/>
      <c r="D57" s="67"/>
      <c r="E57" s="67"/>
      <c r="F57" s="67"/>
      <c r="G57" s="67"/>
      <c r="H57" s="67"/>
      <c r="I57" s="67"/>
      <c r="J57" s="67"/>
      <c r="K57" s="67"/>
      <c r="L57" s="67"/>
      <c r="M57" s="67"/>
      <c r="N57" s="67"/>
      <c r="O57" s="67"/>
      <c r="Q57" s="3"/>
      <c r="R57" s="3"/>
      <c r="S57" s="3"/>
      <c r="T57" s="3"/>
      <c r="U57" s="3"/>
      <c r="V57" s="3"/>
      <c r="W57" s="3"/>
      <c r="X57" s="3"/>
      <c r="Y57" s="3"/>
      <c r="Z57" s="60"/>
      <c r="AA57" s="60"/>
    </row>
    <row r="58" spans="1:36" ht="17.149999999999999" customHeight="1" x14ac:dyDescent="0.35">
      <c r="A58" s="949" t="s">
        <v>1148</v>
      </c>
      <c r="B58" s="1777" t="s">
        <v>9</v>
      </c>
      <c r="C58" s="1777"/>
      <c r="D58" s="3"/>
      <c r="E58" s="3"/>
      <c r="F58" s="3"/>
      <c r="G58" s="3"/>
      <c r="H58" s="3"/>
      <c r="I58" s="84"/>
      <c r="J58" s="84"/>
      <c r="K58" s="84"/>
      <c r="L58" s="84"/>
      <c r="M58" s="84"/>
      <c r="N58" s="84"/>
      <c r="O58" s="3"/>
      <c r="P58" s="3"/>
      <c r="Q58" s="3"/>
      <c r="R58" s="3"/>
      <c r="S58" s="3"/>
      <c r="T58" s="3"/>
      <c r="U58" s="3"/>
      <c r="V58" s="3"/>
      <c r="W58" s="3"/>
      <c r="X58" s="3"/>
      <c r="Y58" s="3"/>
      <c r="Z58" s="3"/>
      <c r="AA58" s="3"/>
      <c r="AB58" s="3"/>
    </row>
    <row r="59" spans="1:36" ht="17.149999999999999" customHeight="1" x14ac:dyDescent="0.35">
      <c r="A59" s="3"/>
      <c r="B59" s="117"/>
      <c r="C59" s="3"/>
      <c r="D59" s="1797" t="s">
        <v>509</v>
      </c>
      <c r="E59" s="1805"/>
      <c r="F59" s="1805"/>
      <c r="G59" s="1805"/>
      <c r="H59" s="1805"/>
      <c r="I59" s="1805"/>
      <c r="J59" s="1805"/>
      <c r="K59" s="1805"/>
      <c r="L59" s="1805"/>
      <c r="M59" s="1805"/>
      <c r="N59" s="1798"/>
      <c r="O59" s="3"/>
      <c r="P59" s="1784" t="s">
        <v>510</v>
      </c>
      <c r="Q59" s="1784"/>
      <c r="R59" s="1784"/>
      <c r="S59" s="1784"/>
      <c r="T59" s="1784"/>
      <c r="U59" s="1784"/>
      <c r="V59" s="1784"/>
      <c r="W59" s="1784"/>
      <c r="X59" s="1784"/>
      <c r="Y59" s="1784"/>
      <c r="Z59" s="1784"/>
      <c r="AA59" s="3"/>
      <c r="AB59" s="1784" t="s">
        <v>1107</v>
      </c>
      <c r="AC59" s="1784"/>
      <c r="AD59" s="1784"/>
      <c r="AE59" s="1784"/>
      <c r="AF59" s="1784"/>
      <c r="AG59" s="329"/>
      <c r="AH59" s="78"/>
      <c r="AI59" s="78"/>
      <c r="AJ59" s="78"/>
    </row>
    <row r="60" spans="1:36" s="11" customFormat="1" ht="17.149999999999999" customHeight="1" x14ac:dyDescent="0.35">
      <c r="A60" s="1808" t="s">
        <v>1149</v>
      </c>
      <c r="B60" s="1764" t="s">
        <v>1143</v>
      </c>
      <c r="C60" s="1764" t="s">
        <v>1144</v>
      </c>
      <c r="D60" s="1784" t="s">
        <v>522</v>
      </c>
      <c r="E60" s="1784"/>
      <c r="F60" s="1784"/>
      <c r="G60" s="1784"/>
      <c r="H60" s="1784"/>
      <c r="I60" s="1784"/>
      <c r="J60" s="1784" t="s">
        <v>1145</v>
      </c>
      <c r="K60" s="1784"/>
      <c r="L60" s="1784"/>
      <c r="M60" s="1784"/>
      <c r="N60" s="1784"/>
      <c r="P60" s="1784" t="s">
        <v>522</v>
      </c>
      <c r="Q60" s="1784"/>
      <c r="R60" s="1784"/>
      <c r="S60" s="1784"/>
      <c r="T60" s="1784"/>
      <c r="U60" s="1784"/>
      <c r="V60" s="1784" t="s">
        <v>1145</v>
      </c>
      <c r="W60" s="1784"/>
      <c r="X60" s="1784"/>
      <c r="Y60" s="1784"/>
      <c r="Z60" s="1784"/>
      <c r="AA60" s="3"/>
      <c r="AB60" s="1784" t="s">
        <v>1145</v>
      </c>
      <c r="AC60" s="1784"/>
      <c r="AD60" s="1784"/>
      <c r="AE60" s="1784"/>
      <c r="AF60" s="1784"/>
    </row>
    <row r="61" spans="1:36" s="11" customFormat="1" ht="17.149999999999999" customHeight="1" x14ac:dyDescent="0.35">
      <c r="A61" s="1808"/>
      <c r="B61" s="1766"/>
      <c r="C61" s="1766"/>
      <c r="D61" s="1511" t="s">
        <v>531</v>
      </c>
      <c r="E61" s="1511" t="s">
        <v>532</v>
      </c>
      <c r="F61" s="1511" t="s">
        <v>533</v>
      </c>
      <c r="G61" s="1511" t="s">
        <v>333</v>
      </c>
      <c r="H61" s="1511" t="s">
        <v>208</v>
      </c>
      <c r="I61" s="1511" t="s">
        <v>535</v>
      </c>
      <c r="J61" s="1511" t="s">
        <v>531</v>
      </c>
      <c r="K61" s="1511" t="s">
        <v>532</v>
      </c>
      <c r="L61" s="1511" t="s">
        <v>533</v>
      </c>
      <c r="M61" s="1511" t="s">
        <v>333</v>
      </c>
      <c r="N61" s="1511" t="s">
        <v>208</v>
      </c>
      <c r="O61" s="198"/>
      <c r="P61" s="1511" t="s">
        <v>531</v>
      </c>
      <c r="Q61" s="1511" t="s">
        <v>532</v>
      </c>
      <c r="R61" s="1511" t="s">
        <v>533</v>
      </c>
      <c r="S61" s="1511" t="s">
        <v>537</v>
      </c>
      <c r="T61" s="1511" t="s">
        <v>208</v>
      </c>
      <c r="U61" s="1511" t="s">
        <v>535</v>
      </c>
      <c r="V61" s="1511" t="s">
        <v>531</v>
      </c>
      <c r="W61" s="1511" t="s">
        <v>532</v>
      </c>
      <c r="X61" s="1511" t="s">
        <v>533</v>
      </c>
      <c r="Y61" s="1511" t="s">
        <v>333</v>
      </c>
      <c r="Z61" s="1511" t="s">
        <v>208</v>
      </c>
      <c r="AA61" s="3"/>
      <c r="AB61" s="1511" t="s">
        <v>531</v>
      </c>
      <c r="AC61" s="1511" t="s">
        <v>532</v>
      </c>
      <c r="AD61" s="1511" t="s">
        <v>533</v>
      </c>
      <c r="AE61" s="1511" t="s">
        <v>333</v>
      </c>
      <c r="AF61" s="1511" t="s">
        <v>208</v>
      </c>
    </row>
    <row r="62" spans="1:36" s="60" customFormat="1" ht="13" x14ac:dyDescent="0.35">
      <c r="A62" s="356"/>
      <c r="B62" s="1522"/>
      <c r="C62" s="1522"/>
      <c r="D62" s="153"/>
      <c r="E62" s="153"/>
      <c r="F62" s="153"/>
      <c r="G62" s="153"/>
      <c r="H62" s="153"/>
      <c r="I62" s="1522"/>
      <c r="J62" s="153"/>
      <c r="K62" s="153"/>
      <c r="L62" s="153"/>
      <c r="M62" s="153"/>
      <c r="N62" s="153"/>
      <c r="O62" s="327"/>
      <c r="P62" s="153"/>
      <c r="Q62" s="153"/>
      <c r="R62" s="153"/>
      <c r="S62" s="153"/>
      <c r="T62" s="153"/>
      <c r="U62" s="1522"/>
      <c r="V62" s="153"/>
      <c r="W62" s="153"/>
      <c r="X62" s="153"/>
      <c r="Y62" s="153"/>
      <c r="Z62" s="153"/>
      <c r="AA62" s="165"/>
      <c r="AB62" s="153"/>
      <c r="AC62" s="153"/>
      <c r="AD62" s="153"/>
      <c r="AE62" s="153"/>
      <c r="AF62" s="153"/>
    </row>
    <row r="63" spans="1:36" s="955" customFormat="1" ht="17.149999999999999" customHeight="1" x14ac:dyDescent="0.35">
      <c r="A63" s="953" t="str">
        <f>'Treatment volumes'!A67</f>
        <v>Location 1 [insert name]</v>
      </c>
      <c r="B63" s="1522">
        <f>'Treatment volumes'!G67</f>
        <v>0</v>
      </c>
      <c r="C63" s="1522">
        <f>'Treatment volumes'!K67</f>
        <v>0</v>
      </c>
      <c r="D63" s="956">
        <f>Interface_Treatment!U53</f>
        <v>0</v>
      </c>
      <c r="E63" s="956">
        <f>Interface_Treatment!V53</f>
        <v>0</v>
      </c>
      <c r="F63" s="956">
        <f>Interface_Treatment!W53</f>
        <v>0</v>
      </c>
      <c r="G63" s="956">
        <f>Interface_Treatment!X53</f>
        <v>0</v>
      </c>
      <c r="H63" s="1468">
        <f t="shared" ref="H63:H68" si="32">SUM(D63:G63)</f>
        <v>0</v>
      </c>
      <c r="I63" s="957" t="str">
        <f t="shared" ref="I63:I68" si="33">IF(AND(B63=0,H63=0),"OK",IF(AND(B63&gt;0,H63=1),"OK","Not OK"))</f>
        <v>OK</v>
      </c>
      <c r="J63" s="1522">
        <f t="shared" ref="J63:J68" si="34">D63*$B63</f>
        <v>0</v>
      </c>
      <c r="K63" s="1522">
        <f t="shared" ref="K63:K68" si="35">E63*$B63</f>
        <v>0</v>
      </c>
      <c r="L63" s="1522">
        <f t="shared" ref="L63:L68" si="36">F63*$B63</f>
        <v>0</v>
      </c>
      <c r="M63" s="1522">
        <f t="shared" ref="M63:M68" si="37">G63*$B63</f>
        <v>0</v>
      </c>
      <c r="N63" s="1518">
        <f t="shared" ref="N63:N68" si="38">SUM(J63:M63)</f>
        <v>0</v>
      </c>
      <c r="O63" s="958"/>
      <c r="P63" s="956">
        <f>Interface_Treatment!AC53</f>
        <v>0</v>
      </c>
      <c r="Q63" s="956">
        <f>Interface_Treatment!AD53</f>
        <v>0</v>
      </c>
      <c r="R63" s="956">
        <f>Interface_Treatment!AF53</f>
        <v>0</v>
      </c>
      <c r="S63" s="956">
        <f>SUM(P63:R63)</f>
        <v>0</v>
      </c>
      <c r="T63" s="1468">
        <f t="shared" ref="T63:T68" si="39">SUM(P63:S63)</f>
        <v>0</v>
      </c>
      <c r="U63" s="957" t="str">
        <f t="shared" ref="U63:U68" si="40">IF(AND(C63=0,S63=0),"OK",IF(AND(C63&gt;0,S63=1),"OK","Not OK"))</f>
        <v>OK</v>
      </c>
      <c r="V63" s="1522">
        <f t="shared" ref="V63:V68" si="41">P63*$C63</f>
        <v>0</v>
      </c>
      <c r="W63" s="1522">
        <f t="shared" ref="W63:W68" si="42">Q63*$C63</f>
        <v>0</v>
      </c>
      <c r="X63" s="1522">
        <f t="shared" ref="X63:X68" si="43">R63*$C63</f>
        <v>0</v>
      </c>
      <c r="Y63" s="1522">
        <f t="shared" ref="Y63:Y68" si="44">S63*$C63</f>
        <v>0</v>
      </c>
      <c r="Z63" s="1518">
        <f t="shared" ref="Z63:Z68" si="45">SUM(V63:Y63)</f>
        <v>0</v>
      </c>
      <c r="AA63" s="10"/>
      <c r="AB63" s="1522">
        <f t="shared" ref="AB63:AE68" si="46">J63-V63</f>
        <v>0</v>
      </c>
      <c r="AC63" s="1522">
        <f t="shared" si="46"/>
        <v>0</v>
      </c>
      <c r="AD63" s="1522">
        <f t="shared" si="46"/>
        <v>0</v>
      </c>
      <c r="AE63" s="1522">
        <f t="shared" si="46"/>
        <v>0</v>
      </c>
      <c r="AF63" s="1518">
        <f t="shared" ref="AF63:AF68" si="47">SUM(AB63:AE63)</f>
        <v>0</v>
      </c>
    </row>
    <row r="64" spans="1:36" s="955" customFormat="1" ht="17.149999999999999" customHeight="1" x14ac:dyDescent="0.35">
      <c r="A64" s="953" t="str">
        <f>'Treatment volumes'!A68</f>
        <v>Location 2 [insert name]</v>
      </c>
      <c r="B64" s="1522">
        <f>'Treatment volumes'!G68</f>
        <v>0</v>
      </c>
      <c r="C64" s="1522">
        <f>'Treatment volumes'!K68</f>
        <v>0</v>
      </c>
      <c r="D64" s="956">
        <f>Interface_Treatment!U54</f>
        <v>0</v>
      </c>
      <c r="E64" s="956">
        <f>Interface_Treatment!V54</f>
        <v>0</v>
      </c>
      <c r="F64" s="956">
        <f>Interface_Treatment!W54</f>
        <v>0</v>
      </c>
      <c r="G64" s="956">
        <f>Interface_Treatment!X54</f>
        <v>0</v>
      </c>
      <c r="H64" s="1468">
        <f t="shared" si="32"/>
        <v>0</v>
      </c>
      <c r="I64" s="957" t="str">
        <f t="shared" si="33"/>
        <v>OK</v>
      </c>
      <c r="J64" s="1522">
        <f t="shared" si="34"/>
        <v>0</v>
      </c>
      <c r="K64" s="1522">
        <f t="shared" si="35"/>
        <v>0</v>
      </c>
      <c r="L64" s="1522">
        <f t="shared" si="36"/>
        <v>0</v>
      </c>
      <c r="M64" s="1522">
        <f t="shared" si="37"/>
        <v>0</v>
      </c>
      <c r="N64" s="1518">
        <f t="shared" si="38"/>
        <v>0</v>
      </c>
      <c r="O64" s="958"/>
      <c r="P64" s="956">
        <f>Interface_Treatment!AC54</f>
        <v>0</v>
      </c>
      <c r="Q64" s="956">
        <f>Interface_Treatment!AD54</f>
        <v>0</v>
      </c>
      <c r="R64" s="956">
        <f>Interface_Treatment!AF54</f>
        <v>0</v>
      </c>
      <c r="S64" s="956">
        <f>SUM(O64:R64)</f>
        <v>0</v>
      </c>
      <c r="T64" s="1468">
        <f t="shared" si="39"/>
        <v>0</v>
      </c>
      <c r="U64" s="957" t="str">
        <f t="shared" si="40"/>
        <v>OK</v>
      </c>
      <c r="V64" s="1522">
        <f t="shared" si="41"/>
        <v>0</v>
      </c>
      <c r="W64" s="1522">
        <f t="shared" si="42"/>
        <v>0</v>
      </c>
      <c r="X64" s="1522">
        <f t="shared" si="43"/>
        <v>0</v>
      </c>
      <c r="Y64" s="1522">
        <f t="shared" si="44"/>
        <v>0</v>
      </c>
      <c r="Z64" s="1518">
        <f t="shared" si="45"/>
        <v>0</v>
      </c>
      <c r="AA64" s="10"/>
      <c r="AB64" s="1522">
        <f t="shared" si="46"/>
        <v>0</v>
      </c>
      <c r="AC64" s="1522">
        <f t="shared" si="46"/>
        <v>0</v>
      </c>
      <c r="AD64" s="1522">
        <f t="shared" si="46"/>
        <v>0</v>
      </c>
      <c r="AE64" s="1522">
        <f t="shared" si="46"/>
        <v>0</v>
      </c>
      <c r="AF64" s="1518">
        <f t="shared" si="47"/>
        <v>0</v>
      </c>
    </row>
    <row r="65" spans="1:36" s="955" customFormat="1" ht="17.149999999999999" customHeight="1" x14ac:dyDescent="0.35">
      <c r="A65" s="953" t="str">
        <f>'Treatment volumes'!A69</f>
        <v>Location 3 [insert name]</v>
      </c>
      <c r="B65" s="1522">
        <f>'Treatment volumes'!G69</f>
        <v>0</v>
      </c>
      <c r="C65" s="1522">
        <f>'Treatment volumes'!K69</f>
        <v>0</v>
      </c>
      <c r="D65" s="956">
        <f>Interface_Treatment!U55</f>
        <v>0</v>
      </c>
      <c r="E65" s="956">
        <f>Interface_Treatment!V55</f>
        <v>0</v>
      </c>
      <c r="F65" s="956">
        <f>Interface_Treatment!W55</f>
        <v>0</v>
      </c>
      <c r="G65" s="956">
        <f>Interface_Treatment!X55</f>
        <v>0</v>
      </c>
      <c r="H65" s="1468">
        <f t="shared" si="32"/>
        <v>0</v>
      </c>
      <c r="I65" s="957" t="str">
        <f t="shared" si="33"/>
        <v>OK</v>
      </c>
      <c r="J65" s="1522">
        <f t="shared" si="34"/>
        <v>0</v>
      </c>
      <c r="K65" s="1522">
        <f t="shared" si="35"/>
        <v>0</v>
      </c>
      <c r="L65" s="1522">
        <f t="shared" si="36"/>
        <v>0</v>
      </c>
      <c r="M65" s="1522">
        <f t="shared" si="37"/>
        <v>0</v>
      </c>
      <c r="N65" s="1518">
        <f t="shared" si="38"/>
        <v>0</v>
      </c>
      <c r="O65" s="958"/>
      <c r="P65" s="956">
        <f>Interface_Treatment!AC55</f>
        <v>0</v>
      </c>
      <c r="Q65" s="956">
        <f>Interface_Treatment!AD55</f>
        <v>0</v>
      </c>
      <c r="R65" s="956">
        <f>Interface_Treatment!AF55</f>
        <v>0</v>
      </c>
      <c r="S65" s="956">
        <f>SUM(O65:R65)</f>
        <v>0</v>
      </c>
      <c r="T65" s="1468">
        <f t="shared" si="39"/>
        <v>0</v>
      </c>
      <c r="U65" s="957" t="str">
        <f t="shared" si="40"/>
        <v>OK</v>
      </c>
      <c r="V65" s="1522">
        <f t="shared" si="41"/>
        <v>0</v>
      </c>
      <c r="W65" s="1522">
        <f t="shared" si="42"/>
        <v>0</v>
      </c>
      <c r="X65" s="1522">
        <f t="shared" si="43"/>
        <v>0</v>
      </c>
      <c r="Y65" s="1522">
        <f t="shared" si="44"/>
        <v>0</v>
      </c>
      <c r="Z65" s="1518">
        <f t="shared" si="45"/>
        <v>0</v>
      </c>
      <c r="AA65" s="10"/>
      <c r="AB65" s="1522">
        <f t="shared" si="46"/>
        <v>0</v>
      </c>
      <c r="AC65" s="1522">
        <f t="shared" si="46"/>
        <v>0</v>
      </c>
      <c r="AD65" s="1522">
        <f t="shared" si="46"/>
        <v>0</v>
      </c>
      <c r="AE65" s="1522">
        <f t="shared" si="46"/>
        <v>0</v>
      </c>
      <c r="AF65" s="1518">
        <f t="shared" si="47"/>
        <v>0</v>
      </c>
    </row>
    <row r="66" spans="1:36" s="955" customFormat="1" ht="17.149999999999999" customHeight="1" x14ac:dyDescent="0.35">
      <c r="A66" s="953" t="str">
        <f>'Treatment volumes'!A70</f>
        <v>Location 4 [insert name]</v>
      </c>
      <c r="B66" s="1522">
        <f>'Treatment volumes'!G70</f>
        <v>0</v>
      </c>
      <c r="C66" s="1522">
        <f>'Treatment volumes'!K70</f>
        <v>0</v>
      </c>
      <c r="D66" s="956">
        <f>Interface_Treatment!U56</f>
        <v>0</v>
      </c>
      <c r="E66" s="956">
        <f>Interface_Treatment!V56</f>
        <v>0</v>
      </c>
      <c r="F66" s="956">
        <f>Interface_Treatment!W56</f>
        <v>0</v>
      </c>
      <c r="G66" s="956">
        <f>Interface_Treatment!X56</f>
        <v>0</v>
      </c>
      <c r="H66" s="1468">
        <f t="shared" si="32"/>
        <v>0</v>
      </c>
      <c r="I66" s="957" t="str">
        <f t="shared" si="33"/>
        <v>OK</v>
      </c>
      <c r="J66" s="1522">
        <f t="shared" si="34"/>
        <v>0</v>
      </c>
      <c r="K66" s="1522">
        <f t="shared" si="35"/>
        <v>0</v>
      </c>
      <c r="L66" s="1522">
        <f t="shared" si="36"/>
        <v>0</v>
      </c>
      <c r="M66" s="1522">
        <f t="shared" si="37"/>
        <v>0</v>
      </c>
      <c r="N66" s="1518">
        <f t="shared" si="38"/>
        <v>0</v>
      </c>
      <c r="P66" s="956">
        <f>Interface_Treatment!AC56</f>
        <v>0</v>
      </c>
      <c r="Q66" s="956">
        <f>Interface_Treatment!AD56</f>
        <v>0</v>
      </c>
      <c r="R66" s="956">
        <f>Interface_Treatment!AF56</f>
        <v>0</v>
      </c>
      <c r="S66" s="956">
        <f>SUM(O66:R66)</f>
        <v>0</v>
      </c>
      <c r="T66" s="1468">
        <f t="shared" si="39"/>
        <v>0</v>
      </c>
      <c r="U66" s="957" t="str">
        <f t="shared" si="40"/>
        <v>OK</v>
      </c>
      <c r="V66" s="1522">
        <f t="shared" si="41"/>
        <v>0</v>
      </c>
      <c r="W66" s="1522">
        <f t="shared" si="42"/>
        <v>0</v>
      </c>
      <c r="X66" s="1522">
        <f t="shared" si="43"/>
        <v>0</v>
      </c>
      <c r="Y66" s="1522">
        <f t="shared" si="44"/>
        <v>0</v>
      </c>
      <c r="Z66" s="1518">
        <f t="shared" si="45"/>
        <v>0</v>
      </c>
      <c r="AA66" s="10"/>
      <c r="AB66" s="1522">
        <f t="shared" si="46"/>
        <v>0</v>
      </c>
      <c r="AC66" s="1522">
        <f t="shared" si="46"/>
        <v>0</v>
      </c>
      <c r="AD66" s="1522">
        <f t="shared" si="46"/>
        <v>0</v>
      </c>
      <c r="AE66" s="1522">
        <f t="shared" si="46"/>
        <v>0</v>
      </c>
      <c r="AF66" s="1518">
        <f t="shared" si="47"/>
        <v>0</v>
      </c>
    </row>
    <row r="67" spans="1:36" s="955" customFormat="1" ht="17.149999999999999" customHeight="1" x14ac:dyDescent="0.35">
      <c r="A67" s="953" t="str">
        <f>'Treatment volumes'!A71</f>
        <v>Location 5 [insert name]</v>
      </c>
      <c r="B67" s="1522">
        <f>'Treatment volumes'!G71</f>
        <v>0</v>
      </c>
      <c r="C67" s="1522">
        <f>'Treatment volumes'!K71</f>
        <v>0</v>
      </c>
      <c r="D67" s="956">
        <f>Interface_Treatment!U57</f>
        <v>0</v>
      </c>
      <c r="E67" s="956">
        <f>Interface_Treatment!V57</f>
        <v>0</v>
      </c>
      <c r="F67" s="956">
        <f>Interface_Treatment!W57</f>
        <v>0</v>
      </c>
      <c r="G67" s="956">
        <f>Interface_Treatment!X57</f>
        <v>0</v>
      </c>
      <c r="H67" s="1468">
        <f t="shared" si="32"/>
        <v>0</v>
      </c>
      <c r="I67" s="957" t="str">
        <f t="shared" si="33"/>
        <v>OK</v>
      </c>
      <c r="J67" s="1522">
        <f t="shared" si="34"/>
        <v>0</v>
      </c>
      <c r="K67" s="1522">
        <f t="shared" si="35"/>
        <v>0</v>
      </c>
      <c r="L67" s="1522">
        <f t="shared" si="36"/>
        <v>0</v>
      </c>
      <c r="M67" s="1522">
        <f t="shared" si="37"/>
        <v>0</v>
      </c>
      <c r="N67" s="1518">
        <f t="shared" si="38"/>
        <v>0</v>
      </c>
      <c r="P67" s="956">
        <f>Interface_Treatment!AC57</f>
        <v>0</v>
      </c>
      <c r="Q67" s="956">
        <f>Interface_Treatment!AD57</f>
        <v>0</v>
      </c>
      <c r="R67" s="956">
        <f>Interface_Treatment!AF57</f>
        <v>0</v>
      </c>
      <c r="S67" s="956">
        <f>SUM(O67:R67)</f>
        <v>0</v>
      </c>
      <c r="T67" s="1468">
        <f t="shared" si="39"/>
        <v>0</v>
      </c>
      <c r="U67" s="957" t="str">
        <f t="shared" si="40"/>
        <v>OK</v>
      </c>
      <c r="V67" s="1522">
        <f t="shared" si="41"/>
        <v>0</v>
      </c>
      <c r="W67" s="1522">
        <f t="shared" si="42"/>
        <v>0</v>
      </c>
      <c r="X67" s="1522">
        <f t="shared" si="43"/>
        <v>0</v>
      </c>
      <c r="Y67" s="1522">
        <f t="shared" si="44"/>
        <v>0</v>
      </c>
      <c r="Z67" s="1518">
        <f t="shared" si="45"/>
        <v>0</v>
      </c>
      <c r="AA67" s="10"/>
      <c r="AB67" s="1522">
        <f t="shared" si="46"/>
        <v>0</v>
      </c>
      <c r="AC67" s="1522">
        <f t="shared" si="46"/>
        <v>0</v>
      </c>
      <c r="AD67" s="1522">
        <f t="shared" si="46"/>
        <v>0</v>
      </c>
      <c r="AE67" s="1522">
        <f t="shared" si="46"/>
        <v>0</v>
      </c>
      <c r="AF67" s="1518">
        <f t="shared" si="47"/>
        <v>0</v>
      </c>
    </row>
    <row r="68" spans="1:36" s="955" customFormat="1" ht="17.149999999999999" customHeight="1" x14ac:dyDescent="0.35">
      <c r="A68" s="953" t="str">
        <f>'Treatment volumes'!A72</f>
        <v>Location 6 [insert name]</v>
      </c>
      <c r="B68" s="1522">
        <f>'Treatment volumes'!G72</f>
        <v>0</v>
      </c>
      <c r="C68" s="1522">
        <f>'Treatment volumes'!K72</f>
        <v>0</v>
      </c>
      <c r="D68" s="956">
        <f>Interface_Treatment!U58</f>
        <v>0</v>
      </c>
      <c r="E68" s="956">
        <f>Interface_Treatment!V58</f>
        <v>0</v>
      </c>
      <c r="F68" s="956">
        <f>Interface_Treatment!W58</f>
        <v>0</v>
      </c>
      <c r="G68" s="956">
        <f>Interface_Treatment!X58</f>
        <v>0</v>
      </c>
      <c r="H68" s="1468">
        <f t="shared" si="32"/>
        <v>0</v>
      </c>
      <c r="I68" s="957" t="str">
        <f t="shared" si="33"/>
        <v>OK</v>
      </c>
      <c r="J68" s="1522">
        <f t="shared" si="34"/>
        <v>0</v>
      </c>
      <c r="K68" s="1522">
        <f t="shared" si="35"/>
        <v>0</v>
      </c>
      <c r="L68" s="1522">
        <f t="shared" si="36"/>
        <v>0</v>
      </c>
      <c r="M68" s="1522">
        <f t="shared" si="37"/>
        <v>0</v>
      </c>
      <c r="N68" s="1518">
        <f t="shared" si="38"/>
        <v>0</v>
      </c>
      <c r="O68" s="103"/>
      <c r="P68" s="956">
        <f>Interface_Treatment!AC58</f>
        <v>0</v>
      </c>
      <c r="Q68" s="956">
        <f>Interface_Treatment!AD58</f>
        <v>0</v>
      </c>
      <c r="R68" s="956">
        <f>Interface_Treatment!AF58</f>
        <v>0</v>
      </c>
      <c r="S68" s="956">
        <f>SUM(O68:R68)</f>
        <v>0</v>
      </c>
      <c r="T68" s="1468">
        <f t="shared" si="39"/>
        <v>0</v>
      </c>
      <c r="U68" s="957" t="str">
        <f t="shared" si="40"/>
        <v>OK</v>
      </c>
      <c r="V68" s="1522">
        <f t="shared" si="41"/>
        <v>0</v>
      </c>
      <c r="W68" s="1522">
        <f t="shared" si="42"/>
        <v>0</v>
      </c>
      <c r="X68" s="1522">
        <f t="shared" si="43"/>
        <v>0</v>
      </c>
      <c r="Y68" s="1522">
        <f t="shared" si="44"/>
        <v>0</v>
      </c>
      <c r="Z68" s="1518">
        <f t="shared" si="45"/>
        <v>0</v>
      </c>
      <c r="AA68" s="10"/>
      <c r="AB68" s="1522">
        <f t="shared" si="46"/>
        <v>0</v>
      </c>
      <c r="AC68" s="1522">
        <f t="shared" si="46"/>
        <v>0</v>
      </c>
      <c r="AD68" s="1522">
        <f t="shared" si="46"/>
        <v>0</v>
      </c>
      <c r="AE68" s="1522">
        <f t="shared" si="46"/>
        <v>0</v>
      </c>
      <c r="AF68" s="1518">
        <f t="shared" si="47"/>
        <v>0</v>
      </c>
    </row>
    <row r="69" spans="1:36" s="12" customFormat="1" ht="17.149999999999999" customHeight="1" x14ac:dyDescent="0.35">
      <c r="A69" s="950" t="s">
        <v>208</v>
      </c>
      <c r="B69" s="948">
        <f>SUM(B63:B68)</f>
        <v>0</v>
      </c>
      <c r="C69" s="948">
        <f>SUM(C63:C68)</f>
        <v>0</v>
      </c>
      <c r="D69" s="952"/>
      <c r="E69" s="952"/>
      <c r="F69" s="952"/>
      <c r="G69" s="952"/>
      <c r="H69" s="952"/>
      <c r="I69" s="952"/>
      <c r="J69" s="948">
        <f>SUM(J63:J68)</f>
        <v>0</v>
      </c>
      <c r="K69" s="948">
        <f>SUM(K63:K68)</f>
        <v>0</v>
      </c>
      <c r="L69" s="948">
        <f>SUM(L63:L68)</f>
        <v>0</v>
      </c>
      <c r="M69" s="948">
        <f>SUM(M63:M68)</f>
        <v>0</v>
      </c>
      <c r="N69" s="948">
        <f>SUM(N63:N68)</f>
        <v>0</v>
      </c>
      <c r="O69" s="213"/>
      <c r="P69" s="952"/>
      <c r="Q69" s="952"/>
      <c r="R69" s="952"/>
      <c r="S69" s="952"/>
      <c r="T69" s="952"/>
      <c r="U69" s="952"/>
      <c r="V69" s="948">
        <f>SUM(V63:V68)</f>
        <v>0</v>
      </c>
      <c r="W69" s="948">
        <f>SUM(W63:W68)</f>
        <v>0</v>
      </c>
      <c r="X69" s="948">
        <f>SUM(X63:X68)</f>
        <v>0</v>
      </c>
      <c r="Y69" s="948">
        <f>SUM(Y63:Y68)</f>
        <v>0</v>
      </c>
      <c r="Z69" s="948">
        <f>SUM(Z63:Z68)</f>
        <v>0</v>
      </c>
      <c r="AA69" s="32"/>
      <c r="AB69" s="948">
        <f>SUM(AB63:AB68)</f>
        <v>0</v>
      </c>
      <c r="AC69" s="948">
        <f>SUM(AC63:AC68)</f>
        <v>0</v>
      </c>
      <c r="AD69" s="948">
        <f>SUM(AD63:AD68)</f>
        <v>0</v>
      </c>
      <c r="AE69" s="948">
        <f>SUM(AE63:AE68)</f>
        <v>0</v>
      </c>
      <c r="AF69" s="948">
        <f>SUM(AF63:AF68)</f>
        <v>0</v>
      </c>
    </row>
    <row r="70" spans="1:36" ht="17.149999999999999" customHeight="1" x14ac:dyDescent="0.35">
      <c r="A70" s="3"/>
      <c r="B70" s="67"/>
      <c r="C70" s="67"/>
      <c r="D70" s="67"/>
      <c r="E70" s="67"/>
      <c r="F70" s="67"/>
      <c r="G70" s="67"/>
      <c r="H70" s="67"/>
      <c r="I70" s="67"/>
      <c r="J70" s="1468">
        <f>IF($N$69=0,0,J69/$N$69)</f>
        <v>0</v>
      </c>
      <c r="K70" s="1468">
        <f>IF($N$69=0,0,K69/$N$69)</f>
        <v>0</v>
      </c>
      <c r="L70" s="1468">
        <f>IF($N$69=0,0,L69/$N$69)</f>
        <v>0</v>
      </c>
      <c r="M70" s="1468">
        <f>IF($N$69=0,0,M69/$N$69)</f>
        <v>0</v>
      </c>
      <c r="N70" s="1468">
        <f>IF($N$69=0,0,N69/$N$69)</f>
        <v>0</v>
      </c>
      <c r="O70" s="67"/>
      <c r="Q70" s="3"/>
      <c r="R70" s="3"/>
      <c r="S70" s="3"/>
      <c r="T70" s="3"/>
      <c r="U70" s="3"/>
      <c r="V70" s="3"/>
      <c r="W70" s="3"/>
      <c r="X70" s="3"/>
      <c r="Y70" s="3"/>
      <c r="Z70" s="60"/>
      <c r="AA70" s="60"/>
    </row>
    <row r="71" spans="1:36" ht="17.149999999999999" customHeight="1" x14ac:dyDescent="0.35">
      <c r="A71" s="3"/>
      <c r="B71" s="67"/>
      <c r="C71" s="67"/>
      <c r="D71" s="67"/>
      <c r="E71" s="67"/>
      <c r="F71" s="67"/>
      <c r="G71" s="67"/>
      <c r="H71" s="67"/>
      <c r="I71" s="67"/>
      <c r="J71" s="413"/>
      <c r="K71" s="413"/>
      <c r="L71" s="413"/>
      <c r="M71" s="413"/>
      <c r="N71" s="413"/>
      <c r="O71" s="67"/>
      <c r="Q71" s="3"/>
      <c r="R71" s="3"/>
      <c r="S71" s="3"/>
      <c r="T71" s="3"/>
      <c r="U71" s="3"/>
      <c r="V71" s="3"/>
      <c r="W71" s="3"/>
      <c r="X71" s="3"/>
      <c r="Y71" s="3"/>
      <c r="Z71" s="60"/>
      <c r="AA71" s="60"/>
    </row>
    <row r="72" spans="1:36" ht="17.149999999999999" customHeight="1" x14ac:dyDescent="0.35">
      <c r="A72" s="3"/>
      <c r="B72" s="67"/>
      <c r="C72" s="67"/>
      <c r="D72" s="67"/>
      <c r="E72" s="67"/>
      <c r="F72" s="67"/>
      <c r="G72" s="67"/>
      <c r="H72" s="67"/>
      <c r="I72" s="67"/>
      <c r="J72" s="67"/>
      <c r="K72" s="67"/>
      <c r="L72" s="67"/>
      <c r="M72" s="67"/>
      <c r="N72" s="67"/>
      <c r="O72" s="67"/>
      <c r="Q72" s="3"/>
      <c r="R72" s="3"/>
      <c r="S72" s="3"/>
      <c r="T72" s="3"/>
      <c r="U72" s="3"/>
      <c r="V72" s="3"/>
      <c r="W72" s="3"/>
      <c r="X72" s="3"/>
      <c r="Y72" s="3"/>
      <c r="Z72" s="60"/>
      <c r="AA72" s="60"/>
    </row>
    <row r="73" spans="1:36" ht="17.149999999999999" customHeight="1" x14ac:dyDescent="0.35">
      <c r="A73" s="949" t="s">
        <v>1150</v>
      </c>
      <c r="B73" s="1777" t="s">
        <v>9</v>
      </c>
      <c r="C73" s="1777"/>
      <c r="D73" s="3"/>
      <c r="E73" s="3"/>
      <c r="F73" s="3"/>
      <c r="G73" s="3"/>
      <c r="H73" s="3"/>
      <c r="I73" s="84"/>
      <c r="J73" s="84"/>
      <c r="K73" s="84"/>
      <c r="L73" s="84"/>
      <c r="M73" s="84"/>
      <c r="N73" s="84"/>
      <c r="O73" s="3"/>
      <c r="P73" s="3"/>
      <c r="Q73" s="3"/>
      <c r="R73" s="3"/>
      <c r="S73" s="3"/>
      <c r="T73" s="3"/>
      <c r="U73" s="3"/>
      <c r="V73" s="3"/>
      <c r="W73" s="3"/>
      <c r="X73" s="3"/>
      <c r="Y73" s="3"/>
      <c r="Z73" s="3"/>
      <c r="AA73" s="3"/>
      <c r="AB73" s="3"/>
    </row>
    <row r="74" spans="1:36" ht="17.149999999999999" customHeight="1" x14ac:dyDescent="0.35">
      <c r="A74" s="3"/>
      <c r="B74" s="117"/>
      <c r="C74" s="3"/>
      <c r="D74" s="1797" t="s">
        <v>509</v>
      </c>
      <c r="E74" s="1805"/>
      <c r="F74" s="1805"/>
      <c r="G74" s="1805"/>
      <c r="H74" s="1805"/>
      <c r="I74" s="1805"/>
      <c r="J74" s="1805"/>
      <c r="K74" s="1805"/>
      <c r="L74" s="1805"/>
      <c r="M74" s="1805"/>
      <c r="N74" s="1798"/>
      <c r="O74" s="3"/>
      <c r="P74" s="1784" t="s">
        <v>510</v>
      </c>
      <c r="Q74" s="1784"/>
      <c r="R74" s="1784"/>
      <c r="S74" s="1784"/>
      <c r="T74" s="1784"/>
      <c r="U74" s="1784"/>
      <c r="V74" s="1784"/>
      <c r="W74" s="1784"/>
      <c r="X74" s="1784"/>
      <c r="Y74" s="1784"/>
      <c r="Z74" s="1784"/>
      <c r="AA74" s="3"/>
      <c r="AB74" s="1784" t="s">
        <v>1107</v>
      </c>
      <c r="AC74" s="1784"/>
      <c r="AD74" s="1784"/>
      <c r="AE74" s="1784"/>
      <c r="AF74" s="1784"/>
      <c r="AG74" s="329"/>
      <c r="AH74" s="78"/>
      <c r="AI74" s="78"/>
      <c r="AJ74" s="78"/>
    </row>
    <row r="75" spans="1:36" s="11" customFormat="1" ht="17.149999999999999" customHeight="1" x14ac:dyDescent="0.35">
      <c r="A75" s="1808" t="s">
        <v>579</v>
      </c>
      <c r="B75" s="1764" t="s">
        <v>1143</v>
      </c>
      <c r="C75" s="1764" t="s">
        <v>1144</v>
      </c>
      <c r="D75" s="1784" t="s">
        <v>522</v>
      </c>
      <c r="E75" s="1784"/>
      <c r="F75" s="1784"/>
      <c r="G75" s="1784"/>
      <c r="H75" s="1784"/>
      <c r="I75" s="1784"/>
      <c r="J75" s="1784" t="s">
        <v>1145</v>
      </c>
      <c r="K75" s="1784"/>
      <c r="L75" s="1784"/>
      <c r="M75" s="1784"/>
      <c r="N75" s="1784"/>
      <c r="P75" s="1784" t="s">
        <v>522</v>
      </c>
      <c r="Q75" s="1784"/>
      <c r="R75" s="1784"/>
      <c r="S75" s="1784"/>
      <c r="T75" s="1784"/>
      <c r="U75" s="1784"/>
      <c r="V75" s="1784" t="s">
        <v>1145</v>
      </c>
      <c r="W75" s="1784"/>
      <c r="X75" s="1784"/>
      <c r="Y75" s="1784"/>
      <c r="Z75" s="1784"/>
      <c r="AA75" s="3"/>
      <c r="AB75" s="1784" t="s">
        <v>1145</v>
      </c>
      <c r="AC75" s="1784"/>
      <c r="AD75" s="1784"/>
      <c r="AE75" s="1784"/>
      <c r="AF75" s="1784"/>
    </row>
    <row r="76" spans="1:36" s="11" customFormat="1" ht="17.149999999999999" customHeight="1" x14ac:dyDescent="0.35">
      <c r="A76" s="1808"/>
      <c r="B76" s="1766"/>
      <c r="C76" s="1766"/>
      <c r="D76" s="1511" t="s">
        <v>531</v>
      </c>
      <c r="E76" s="1511" t="s">
        <v>532</v>
      </c>
      <c r="F76" s="1511" t="s">
        <v>533</v>
      </c>
      <c r="G76" s="1511" t="s">
        <v>333</v>
      </c>
      <c r="H76" s="1511" t="s">
        <v>208</v>
      </c>
      <c r="I76" s="1511" t="s">
        <v>535</v>
      </c>
      <c r="J76" s="1511" t="s">
        <v>531</v>
      </c>
      <c r="K76" s="1511" t="s">
        <v>532</v>
      </c>
      <c r="L76" s="1511" t="s">
        <v>533</v>
      </c>
      <c r="M76" s="1511" t="s">
        <v>333</v>
      </c>
      <c r="N76" s="1511" t="s">
        <v>208</v>
      </c>
      <c r="O76" s="198"/>
      <c r="P76" s="1511" t="s">
        <v>531</v>
      </c>
      <c r="Q76" s="1511" t="s">
        <v>532</v>
      </c>
      <c r="R76" s="1511" t="s">
        <v>533</v>
      </c>
      <c r="S76" s="1511" t="s">
        <v>537</v>
      </c>
      <c r="T76" s="1511" t="s">
        <v>208</v>
      </c>
      <c r="U76" s="1511" t="s">
        <v>535</v>
      </c>
      <c r="V76" s="1511" t="s">
        <v>531</v>
      </c>
      <c r="W76" s="1511" t="s">
        <v>532</v>
      </c>
      <c r="X76" s="1511" t="s">
        <v>533</v>
      </c>
      <c r="Y76" s="1511" t="s">
        <v>333</v>
      </c>
      <c r="Z76" s="1511" t="s">
        <v>208</v>
      </c>
      <c r="AA76" s="3"/>
      <c r="AB76" s="1511" t="s">
        <v>531</v>
      </c>
      <c r="AC76" s="1511" t="s">
        <v>532</v>
      </c>
      <c r="AD76" s="1511" t="s">
        <v>533</v>
      </c>
      <c r="AE76" s="1511" t="s">
        <v>333</v>
      </c>
      <c r="AF76" s="1511" t="s">
        <v>208</v>
      </c>
    </row>
    <row r="77" spans="1:36" s="60" customFormat="1" ht="13" x14ac:dyDescent="0.35">
      <c r="A77" s="356"/>
      <c r="B77" s="1522"/>
      <c r="C77" s="1522"/>
      <c r="D77" s="153"/>
      <c r="E77" s="153"/>
      <c r="F77" s="153"/>
      <c r="G77" s="153"/>
      <c r="H77" s="153"/>
      <c r="I77" s="1522"/>
      <c r="J77" s="153"/>
      <c r="K77" s="153"/>
      <c r="L77" s="153"/>
      <c r="M77" s="153"/>
      <c r="N77" s="153"/>
      <c r="O77" s="327"/>
      <c r="P77" s="153"/>
      <c r="Q77" s="153"/>
      <c r="R77" s="153"/>
      <c r="S77" s="153"/>
      <c r="T77" s="153"/>
      <c r="U77" s="1522"/>
      <c r="V77" s="153"/>
      <c r="W77" s="153"/>
      <c r="X77" s="153"/>
      <c r="Y77" s="153"/>
      <c r="Z77" s="153"/>
      <c r="AA77" s="165"/>
      <c r="AB77" s="153"/>
      <c r="AC77" s="153"/>
      <c r="AD77" s="153"/>
      <c r="AE77" s="153"/>
      <c r="AF77" s="153"/>
    </row>
    <row r="78" spans="1:36" s="955" customFormat="1" ht="17.149999999999999" customHeight="1" x14ac:dyDescent="0.35">
      <c r="A78" s="953" t="str">
        <f>'Treatment volumes'!A85</f>
        <v>Low income residential areas (not treated)</v>
      </c>
      <c r="B78" s="1522">
        <f>'Treatment volumes'!G85</f>
        <v>4926400</v>
      </c>
      <c r="C78" s="1522">
        <f>'Treatment volumes'!K85</f>
        <v>0</v>
      </c>
      <c r="D78" s="956">
        <f>Interface_Treatment!U70</f>
        <v>0</v>
      </c>
      <c r="E78" s="956">
        <f>Interface_Treatment!V70</f>
        <v>0</v>
      </c>
      <c r="F78" s="956">
        <f>Interface_Treatment!W70</f>
        <v>0</v>
      </c>
      <c r="G78" s="956">
        <f>Interface_Treatment!X70</f>
        <v>1</v>
      </c>
      <c r="H78" s="1468">
        <f t="shared" ref="H78:H83" si="48">SUM(D78:G78)</f>
        <v>1</v>
      </c>
      <c r="I78" s="957" t="str">
        <f t="shared" ref="I78:I83" si="49">IF(AND(B78=0,H78=0),"OK",IF(AND(B78&gt;0,H78=1),"OK","Not OK"))</f>
        <v>OK</v>
      </c>
      <c r="J78" s="1522">
        <f t="shared" ref="J78:J83" si="50">D78*$B78</f>
        <v>0</v>
      </c>
      <c r="K78" s="1522">
        <f t="shared" ref="K78:K83" si="51">E78*$B78</f>
        <v>0</v>
      </c>
      <c r="L78" s="1522">
        <f t="shared" ref="L78:L83" si="52">F78*$B78</f>
        <v>0</v>
      </c>
      <c r="M78" s="1522">
        <f t="shared" ref="M78:M83" si="53">G78*$B78</f>
        <v>4926400</v>
      </c>
      <c r="N78" s="1518">
        <f t="shared" ref="N78:N83" si="54">SUM(J78:M78)</f>
        <v>4926400</v>
      </c>
      <c r="O78" s="958"/>
      <c r="P78" s="956">
        <f>Interface_Treatment!AC70</f>
        <v>0</v>
      </c>
      <c r="Q78" s="956">
        <f>Interface_Treatment!AD70</f>
        <v>0</v>
      </c>
      <c r="R78" s="956">
        <f>Interface_Treatment!AE70</f>
        <v>0</v>
      </c>
      <c r="S78" s="956">
        <f>Interface_Treatment!AF70</f>
        <v>0</v>
      </c>
      <c r="T78" s="1468">
        <f t="shared" ref="T78:T83" si="55">SUM(P78:S78)</f>
        <v>0</v>
      </c>
      <c r="U78" s="957" t="str">
        <f t="shared" ref="U78:U83" si="56">IF(AND(C78=0,S78=0),"OK",IF(AND(C78&gt;0,S78=1),"OK","Not OK"))</f>
        <v>OK</v>
      </c>
      <c r="V78" s="1522">
        <f t="shared" ref="V78:V83" si="57">P78*$C78</f>
        <v>0</v>
      </c>
      <c r="W78" s="1522">
        <f t="shared" ref="W78:W83" si="58">Q78*$C78</f>
        <v>0</v>
      </c>
      <c r="X78" s="1522">
        <f t="shared" ref="X78:X83" si="59">R78*$C78</f>
        <v>0</v>
      </c>
      <c r="Y78" s="1522">
        <f t="shared" ref="Y78:Y83" si="60">S78*$C78</f>
        <v>0</v>
      </c>
      <c r="Z78" s="1518">
        <f t="shared" ref="Z78:Z83" si="61">SUM(V78:Y78)</f>
        <v>0</v>
      </c>
      <c r="AA78" s="10"/>
      <c r="AB78" s="1522">
        <f t="shared" ref="AB78:AE83" si="62">J78-V78</f>
        <v>0</v>
      </c>
      <c r="AC78" s="1522">
        <f t="shared" si="62"/>
        <v>0</v>
      </c>
      <c r="AD78" s="1522">
        <f t="shared" si="62"/>
        <v>0</v>
      </c>
      <c r="AE78" s="1522">
        <f t="shared" si="62"/>
        <v>4926400</v>
      </c>
      <c r="AF78" s="1518">
        <f t="shared" ref="AF78:AF83" si="63">SUM(AB78:AE78)</f>
        <v>4926400</v>
      </c>
    </row>
    <row r="79" spans="1:36" s="955" customFormat="1" ht="17.149999999999999" customHeight="1" x14ac:dyDescent="0.35">
      <c r="A79" s="953" t="str">
        <f>'Treatment volumes'!A86</f>
        <v>High income residential areas (treated)</v>
      </c>
      <c r="B79" s="1522">
        <f>'Treatment volumes'!G86</f>
        <v>1231600</v>
      </c>
      <c r="C79" s="1522">
        <f>'Treatment volumes'!K86</f>
        <v>1231600</v>
      </c>
      <c r="D79" s="956">
        <f>Interface_Treatment!U71</f>
        <v>0</v>
      </c>
      <c r="E79" s="956">
        <f>Interface_Treatment!V71</f>
        <v>0</v>
      </c>
      <c r="F79" s="956">
        <f>Interface_Treatment!W71</f>
        <v>0</v>
      </c>
      <c r="G79" s="956">
        <f>Interface_Treatment!X71</f>
        <v>1</v>
      </c>
      <c r="H79" s="1468">
        <f t="shared" si="48"/>
        <v>1</v>
      </c>
      <c r="I79" s="957" t="str">
        <f t="shared" si="49"/>
        <v>OK</v>
      </c>
      <c r="J79" s="1522">
        <f t="shared" si="50"/>
        <v>0</v>
      </c>
      <c r="K79" s="1522">
        <f t="shared" si="51"/>
        <v>0</v>
      </c>
      <c r="L79" s="1522">
        <f t="shared" si="52"/>
        <v>0</v>
      </c>
      <c r="M79" s="1522">
        <f t="shared" si="53"/>
        <v>1231600</v>
      </c>
      <c r="N79" s="1518">
        <f t="shared" si="54"/>
        <v>1231600</v>
      </c>
      <c r="O79" s="958"/>
      <c r="P79" s="956">
        <f>Interface_Treatment!AC71</f>
        <v>0</v>
      </c>
      <c r="Q79" s="956">
        <f>Interface_Treatment!AD71</f>
        <v>0</v>
      </c>
      <c r="R79" s="956">
        <f>Interface_Treatment!AE71</f>
        <v>0</v>
      </c>
      <c r="S79" s="956">
        <f>Interface_Treatment!AF71</f>
        <v>1</v>
      </c>
      <c r="T79" s="1468">
        <f t="shared" si="55"/>
        <v>1</v>
      </c>
      <c r="U79" s="957" t="str">
        <f t="shared" si="56"/>
        <v>OK</v>
      </c>
      <c r="V79" s="1522">
        <f t="shared" si="57"/>
        <v>0</v>
      </c>
      <c r="W79" s="1522">
        <f t="shared" si="58"/>
        <v>0</v>
      </c>
      <c r="X79" s="1522">
        <f t="shared" si="59"/>
        <v>0</v>
      </c>
      <c r="Y79" s="1522">
        <f t="shared" si="60"/>
        <v>1231600</v>
      </c>
      <c r="Z79" s="1518">
        <f t="shared" si="61"/>
        <v>1231600</v>
      </c>
      <c r="AA79" s="10"/>
      <c r="AB79" s="1522">
        <f t="shared" si="62"/>
        <v>0</v>
      </c>
      <c r="AC79" s="1522">
        <f t="shared" si="62"/>
        <v>0</v>
      </c>
      <c r="AD79" s="1522">
        <f t="shared" si="62"/>
        <v>0</v>
      </c>
      <c r="AE79" s="1522">
        <f t="shared" si="62"/>
        <v>0</v>
      </c>
      <c r="AF79" s="1518">
        <f t="shared" si="63"/>
        <v>0</v>
      </c>
    </row>
    <row r="80" spans="1:36" s="955" customFormat="1" ht="17.149999999999999" customHeight="1" x14ac:dyDescent="0.35">
      <c r="A80" s="953" t="str">
        <f>'Treatment volumes'!A87</f>
        <v>Onsite septic tanks | [Insert location]</v>
      </c>
      <c r="B80" s="1522">
        <f>'Treatment volumes'!G87</f>
        <v>0</v>
      </c>
      <c r="C80" s="1522">
        <f>'Treatment volumes'!K87</f>
        <v>0</v>
      </c>
      <c r="D80" s="956">
        <f>Interface_Treatment!U72</f>
        <v>0</v>
      </c>
      <c r="E80" s="956">
        <f>Interface_Treatment!V72</f>
        <v>0</v>
      </c>
      <c r="F80" s="956">
        <f>Interface_Treatment!W72</f>
        <v>0</v>
      </c>
      <c r="G80" s="956">
        <f>Interface_Treatment!X72</f>
        <v>0</v>
      </c>
      <c r="H80" s="1468">
        <f t="shared" si="48"/>
        <v>0</v>
      </c>
      <c r="I80" s="957" t="str">
        <f t="shared" si="49"/>
        <v>OK</v>
      </c>
      <c r="J80" s="1522">
        <f t="shared" si="50"/>
        <v>0</v>
      </c>
      <c r="K80" s="1522">
        <f t="shared" si="51"/>
        <v>0</v>
      </c>
      <c r="L80" s="1522">
        <f t="shared" si="52"/>
        <v>0</v>
      </c>
      <c r="M80" s="1522">
        <f t="shared" si="53"/>
        <v>0</v>
      </c>
      <c r="N80" s="1518">
        <f t="shared" si="54"/>
        <v>0</v>
      </c>
      <c r="O80" s="958"/>
      <c r="P80" s="956">
        <f>Interface_Treatment!AC72</f>
        <v>0</v>
      </c>
      <c r="Q80" s="956">
        <f>Interface_Treatment!AD72</f>
        <v>0</v>
      </c>
      <c r="R80" s="956">
        <f>Interface_Treatment!AE72</f>
        <v>0</v>
      </c>
      <c r="S80" s="956">
        <f>Interface_Treatment!AF72</f>
        <v>0</v>
      </c>
      <c r="T80" s="1468">
        <f t="shared" si="55"/>
        <v>0</v>
      </c>
      <c r="U80" s="957" t="str">
        <f t="shared" si="56"/>
        <v>OK</v>
      </c>
      <c r="V80" s="1522">
        <f t="shared" si="57"/>
        <v>0</v>
      </c>
      <c r="W80" s="1522">
        <f t="shared" si="58"/>
        <v>0</v>
      </c>
      <c r="X80" s="1522">
        <f t="shared" si="59"/>
        <v>0</v>
      </c>
      <c r="Y80" s="1522">
        <f t="shared" si="60"/>
        <v>0</v>
      </c>
      <c r="Z80" s="1518">
        <f t="shared" si="61"/>
        <v>0</v>
      </c>
      <c r="AA80" s="10"/>
      <c r="AB80" s="1522">
        <f t="shared" si="62"/>
        <v>0</v>
      </c>
      <c r="AC80" s="1522">
        <f t="shared" si="62"/>
        <v>0</v>
      </c>
      <c r="AD80" s="1522">
        <f t="shared" si="62"/>
        <v>0</v>
      </c>
      <c r="AE80" s="1522">
        <f t="shared" si="62"/>
        <v>0</v>
      </c>
      <c r="AF80" s="1518">
        <f t="shared" si="63"/>
        <v>0</v>
      </c>
    </row>
    <row r="81" spans="1:36" s="955" customFormat="1" ht="17.149999999999999" customHeight="1" x14ac:dyDescent="0.35">
      <c r="A81" s="953" t="str">
        <f>'Treatment volumes'!A88</f>
        <v>Onsite septic tanks | [Insert location]</v>
      </c>
      <c r="B81" s="1522">
        <f>'Treatment volumes'!G88</f>
        <v>0</v>
      </c>
      <c r="C81" s="1522">
        <f>'Treatment volumes'!K88</f>
        <v>0</v>
      </c>
      <c r="D81" s="956">
        <f>Interface_Treatment!U73</f>
        <v>0</v>
      </c>
      <c r="E81" s="956">
        <f>Interface_Treatment!V73</f>
        <v>0</v>
      </c>
      <c r="F81" s="956">
        <f>Interface_Treatment!W73</f>
        <v>0</v>
      </c>
      <c r="G81" s="956">
        <f>Interface_Treatment!X73</f>
        <v>0</v>
      </c>
      <c r="H81" s="1468">
        <f t="shared" si="48"/>
        <v>0</v>
      </c>
      <c r="I81" s="957" t="str">
        <f t="shared" si="49"/>
        <v>OK</v>
      </c>
      <c r="J81" s="1522">
        <f t="shared" si="50"/>
        <v>0</v>
      </c>
      <c r="K81" s="1522">
        <f t="shared" si="51"/>
        <v>0</v>
      </c>
      <c r="L81" s="1522">
        <f t="shared" si="52"/>
        <v>0</v>
      </c>
      <c r="M81" s="1522">
        <f t="shared" si="53"/>
        <v>0</v>
      </c>
      <c r="N81" s="1518">
        <f t="shared" si="54"/>
        <v>0</v>
      </c>
      <c r="P81" s="956">
        <f>Interface_Treatment!AC73</f>
        <v>0</v>
      </c>
      <c r="Q81" s="956">
        <f>Interface_Treatment!AD73</f>
        <v>0</v>
      </c>
      <c r="R81" s="956">
        <f>Interface_Treatment!AE73</f>
        <v>0</v>
      </c>
      <c r="S81" s="956">
        <f>Interface_Treatment!AF73</f>
        <v>0</v>
      </c>
      <c r="T81" s="1468">
        <f t="shared" si="55"/>
        <v>0</v>
      </c>
      <c r="U81" s="957" t="str">
        <f t="shared" si="56"/>
        <v>OK</v>
      </c>
      <c r="V81" s="1522">
        <f t="shared" si="57"/>
        <v>0</v>
      </c>
      <c r="W81" s="1522">
        <f t="shared" si="58"/>
        <v>0</v>
      </c>
      <c r="X81" s="1522">
        <f t="shared" si="59"/>
        <v>0</v>
      </c>
      <c r="Y81" s="1522">
        <f t="shared" si="60"/>
        <v>0</v>
      </c>
      <c r="Z81" s="1518">
        <f t="shared" si="61"/>
        <v>0</v>
      </c>
      <c r="AA81" s="10"/>
      <c r="AB81" s="1522">
        <f t="shared" si="62"/>
        <v>0</v>
      </c>
      <c r="AC81" s="1522">
        <f t="shared" si="62"/>
        <v>0</v>
      </c>
      <c r="AD81" s="1522">
        <f t="shared" si="62"/>
        <v>0</v>
      </c>
      <c r="AE81" s="1522">
        <f t="shared" si="62"/>
        <v>0</v>
      </c>
      <c r="AF81" s="1518">
        <f t="shared" si="63"/>
        <v>0</v>
      </c>
    </row>
    <row r="82" spans="1:36" s="955" customFormat="1" ht="17.149999999999999" customHeight="1" x14ac:dyDescent="0.35">
      <c r="A82" s="953">
        <f>'Treatment volumes'!A89</f>
        <v>0</v>
      </c>
      <c r="B82" s="1522">
        <f>'Treatment volumes'!G89</f>
        <v>0</v>
      </c>
      <c r="C82" s="1522">
        <f>'Treatment volumes'!K89</f>
        <v>0</v>
      </c>
      <c r="D82" s="956">
        <f>Interface_Treatment!U74</f>
        <v>0</v>
      </c>
      <c r="E82" s="956">
        <f>Interface_Treatment!V74</f>
        <v>0</v>
      </c>
      <c r="F82" s="956">
        <f>Interface_Treatment!W74</f>
        <v>0</v>
      </c>
      <c r="G82" s="956">
        <f>Interface_Treatment!X74</f>
        <v>0</v>
      </c>
      <c r="H82" s="1468">
        <f t="shared" si="48"/>
        <v>0</v>
      </c>
      <c r="I82" s="957" t="str">
        <f t="shared" si="49"/>
        <v>OK</v>
      </c>
      <c r="J82" s="1522">
        <f t="shared" si="50"/>
        <v>0</v>
      </c>
      <c r="K82" s="1522">
        <f t="shared" si="51"/>
        <v>0</v>
      </c>
      <c r="L82" s="1522">
        <f t="shared" si="52"/>
        <v>0</v>
      </c>
      <c r="M82" s="1522">
        <f t="shared" si="53"/>
        <v>0</v>
      </c>
      <c r="N82" s="1518">
        <f t="shared" si="54"/>
        <v>0</v>
      </c>
      <c r="P82" s="956">
        <f>Interface_Treatment!AC74</f>
        <v>0</v>
      </c>
      <c r="Q82" s="956">
        <f>Interface_Treatment!AD74</f>
        <v>0</v>
      </c>
      <c r="R82" s="956">
        <f>Interface_Treatment!AE74</f>
        <v>0</v>
      </c>
      <c r="S82" s="956">
        <f>Interface_Treatment!AF74</f>
        <v>0</v>
      </c>
      <c r="T82" s="1468">
        <f t="shared" si="55"/>
        <v>0</v>
      </c>
      <c r="U82" s="957" t="str">
        <f t="shared" si="56"/>
        <v>OK</v>
      </c>
      <c r="V82" s="1522">
        <f t="shared" si="57"/>
        <v>0</v>
      </c>
      <c r="W82" s="1522">
        <f t="shared" si="58"/>
        <v>0</v>
      </c>
      <c r="X82" s="1522">
        <f t="shared" si="59"/>
        <v>0</v>
      </c>
      <c r="Y82" s="1522">
        <f t="shared" si="60"/>
        <v>0</v>
      </c>
      <c r="Z82" s="1518">
        <f t="shared" si="61"/>
        <v>0</v>
      </c>
      <c r="AA82" s="10"/>
      <c r="AB82" s="1522">
        <f t="shared" si="62"/>
        <v>0</v>
      </c>
      <c r="AC82" s="1522">
        <f t="shared" si="62"/>
        <v>0</v>
      </c>
      <c r="AD82" s="1522">
        <f t="shared" si="62"/>
        <v>0</v>
      </c>
      <c r="AE82" s="1522">
        <f t="shared" si="62"/>
        <v>0</v>
      </c>
      <c r="AF82" s="1518">
        <f t="shared" si="63"/>
        <v>0</v>
      </c>
    </row>
    <row r="83" spans="1:36" s="955" customFormat="1" ht="17.149999999999999" customHeight="1" x14ac:dyDescent="0.35">
      <c r="A83" s="953">
        <f>'Treatment volumes'!A90</f>
        <v>0</v>
      </c>
      <c r="B83" s="1522">
        <f>'Treatment volumes'!G90</f>
        <v>0</v>
      </c>
      <c r="C83" s="1522">
        <f>'Treatment volumes'!K90</f>
        <v>0</v>
      </c>
      <c r="D83" s="956">
        <f>Interface_Treatment!U75</f>
        <v>0</v>
      </c>
      <c r="E83" s="956">
        <f>Interface_Treatment!V75</f>
        <v>0</v>
      </c>
      <c r="F83" s="956">
        <f>Interface_Treatment!W75</f>
        <v>0</v>
      </c>
      <c r="G83" s="956">
        <f>Interface_Treatment!X75</f>
        <v>0</v>
      </c>
      <c r="H83" s="1468">
        <f t="shared" si="48"/>
        <v>0</v>
      </c>
      <c r="I83" s="957" t="str">
        <f t="shared" si="49"/>
        <v>OK</v>
      </c>
      <c r="J83" s="1522">
        <f t="shared" si="50"/>
        <v>0</v>
      </c>
      <c r="K83" s="1522">
        <f t="shared" si="51"/>
        <v>0</v>
      </c>
      <c r="L83" s="1522">
        <f t="shared" si="52"/>
        <v>0</v>
      </c>
      <c r="M83" s="1522">
        <f t="shared" si="53"/>
        <v>0</v>
      </c>
      <c r="N83" s="1518">
        <f t="shared" si="54"/>
        <v>0</v>
      </c>
      <c r="O83" s="103"/>
      <c r="P83" s="956">
        <f>Interface_Treatment!AC75</f>
        <v>0</v>
      </c>
      <c r="Q83" s="956">
        <f>Interface_Treatment!AD75</f>
        <v>0</v>
      </c>
      <c r="R83" s="956">
        <f>Interface_Treatment!AE75</f>
        <v>0</v>
      </c>
      <c r="S83" s="956">
        <f>Interface_Treatment!AF75</f>
        <v>0</v>
      </c>
      <c r="T83" s="1468">
        <f t="shared" si="55"/>
        <v>0</v>
      </c>
      <c r="U83" s="957" t="str">
        <f t="shared" si="56"/>
        <v>OK</v>
      </c>
      <c r="V83" s="1522">
        <f t="shared" si="57"/>
        <v>0</v>
      </c>
      <c r="W83" s="1522">
        <f t="shared" si="58"/>
        <v>0</v>
      </c>
      <c r="X83" s="1522">
        <f t="shared" si="59"/>
        <v>0</v>
      </c>
      <c r="Y83" s="1522">
        <f t="shared" si="60"/>
        <v>0</v>
      </c>
      <c r="Z83" s="1518">
        <f t="shared" si="61"/>
        <v>0</v>
      </c>
      <c r="AA83" s="10"/>
      <c r="AB83" s="1522">
        <f t="shared" si="62"/>
        <v>0</v>
      </c>
      <c r="AC83" s="1522">
        <f t="shared" si="62"/>
        <v>0</v>
      </c>
      <c r="AD83" s="1522">
        <f t="shared" si="62"/>
        <v>0</v>
      </c>
      <c r="AE83" s="1522">
        <f t="shared" si="62"/>
        <v>0</v>
      </c>
      <c r="AF83" s="1518">
        <f t="shared" si="63"/>
        <v>0</v>
      </c>
    </row>
    <row r="84" spans="1:36" s="12" customFormat="1" ht="17.149999999999999" customHeight="1" x14ac:dyDescent="0.35">
      <c r="A84" s="950" t="s">
        <v>208</v>
      </c>
      <c r="B84" s="948">
        <f>SUM(B78:B83)</f>
        <v>6158000</v>
      </c>
      <c r="C84" s="948">
        <f>SUM(C78:C83)</f>
        <v>1231600</v>
      </c>
      <c r="D84" s="952"/>
      <c r="E84" s="952"/>
      <c r="F84" s="952"/>
      <c r="G84" s="952"/>
      <c r="H84" s="952"/>
      <c r="I84" s="952"/>
      <c r="J84" s="948">
        <f>SUM(J78:J83)</f>
        <v>0</v>
      </c>
      <c r="K84" s="948">
        <f>SUM(K78:K83)</f>
        <v>0</v>
      </c>
      <c r="L84" s="948">
        <f>SUM(L78:L83)</f>
        <v>0</v>
      </c>
      <c r="M84" s="948">
        <f>SUM(M78:M83)</f>
        <v>6158000</v>
      </c>
      <c r="N84" s="948">
        <f>SUM(N78:N83)</f>
        <v>6158000</v>
      </c>
      <c r="O84" s="213"/>
      <c r="P84" s="952"/>
      <c r="Q84" s="952"/>
      <c r="R84" s="952"/>
      <c r="S84" s="952"/>
      <c r="T84" s="952"/>
      <c r="U84" s="952"/>
      <c r="V84" s="948">
        <f>SUM(V78:V83)</f>
        <v>0</v>
      </c>
      <c r="W84" s="948">
        <f>SUM(W78:W83)</f>
        <v>0</v>
      </c>
      <c r="X84" s="948">
        <f>SUM(X78:X83)</f>
        <v>0</v>
      </c>
      <c r="Y84" s="948">
        <f>SUM(Y78:Y83)</f>
        <v>1231600</v>
      </c>
      <c r="Z84" s="948">
        <f>SUM(Z78:Z83)</f>
        <v>1231600</v>
      </c>
      <c r="AA84" s="32"/>
      <c r="AB84" s="948">
        <f>SUM(AB78:AB83)</f>
        <v>0</v>
      </c>
      <c r="AC84" s="948">
        <f>SUM(AC78:AC83)</f>
        <v>0</v>
      </c>
      <c r="AD84" s="948">
        <f>SUM(AD78:AD83)</f>
        <v>0</v>
      </c>
      <c r="AE84" s="948">
        <f>SUM(AE78:AE83)</f>
        <v>4926400</v>
      </c>
      <c r="AF84" s="948">
        <f>SUM(AF78:AF83)</f>
        <v>4926400</v>
      </c>
    </row>
    <row r="85" spans="1:36" ht="17.149999999999999" customHeight="1" x14ac:dyDescent="0.35">
      <c r="A85" s="3"/>
      <c r="B85" s="67"/>
      <c r="C85" s="67"/>
      <c r="D85" s="67"/>
      <c r="E85" s="67"/>
      <c r="F85" s="67"/>
      <c r="G85" s="67"/>
      <c r="H85" s="67"/>
      <c r="I85" s="67"/>
      <c r="J85" s="1468">
        <f>IF($N$84=0,0,J84/$N$84)</f>
        <v>0</v>
      </c>
      <c r="K85" s="1468">
        <f>IF($N$84=0,0,K84/$N$84)</f>
        <v>0</v>
      </c>
      <c r="L85" s="1468">
        <f>IF($N$84=0,0,L84/$N$84)</f>
        <v>0</v>
      </c>
      <c r="M85" s="1468">
        <f>IF($N$84=0,0,M84/$N$84)</f>
        <v>1</v>
      </c>
      <c r="N85" s="1468">
        <f>IF($N$84=0,0,N84/$N$84)</f>
        <v>1</v>
      </c>
      <c r="O85" s="67"/>
      <c r="Q85" s="3"/>
      <c r="R85" s="3"/>
      <c r="S85" s="3"/>
      <c r="T85" s="3"/>
      <c r="U85" s="3"/>
      <c r="V85" s="3"/>
      <c r="W85" s="3"/>
      <c r="X85" s="3"/>
      <c r="Y85" s="3"/>
      <c r="Z85" s="3"/>
    </row>
    <row r="86" spans="1:36" ht="17.149999999999999" customHeight="1" x14ac:dyDescent="0.35">
      <c r="A86" s="3"/>
      <c r="B86" s="67"/>
      <c r="C86" s="67"/>
      <c r="D86" s="67"/>
      <c r="E86" s="67"/>
      <c r="F86" s="67"/>
      <c r="G86" s="67"/>
      <c r="H86" s="67"/>
      <c r="I86" s="67"/>
      <c r="J86" s="67"/>
      <c r="K86" s="67"/>
      <c r="L86" s="67"/>
      <c r="M86" s="67"/>
      <c r="N86" s="67"/>
      <c r="O86" s="67"/>
      <c r="Q86" s="3"/>
      <c r="R86" s="3"/>
      <c r="S86" s="3"/>
      <c r="T86" s="3"/>
      <c r="U86" s="3"/>
      <c r="V86" s="3"/>
      <c r="W86" s="3"/>
      <c r="X86" s="3"/>
      <c r="Y86" s="3"/>
      <c r="Z86" s="3"/>
    </row>
    <row r="87" spans="1:36" ht="17.149999999999999" customHeight="1" x14ac:dyDescent="0.35">
      <c r="A87" s="324" t="s">
        <v>1151</v>
      </c>
      <c r="B87" s="47"/>
      <c r="D87" s="3"/>
      <c r="E87" s="3"/>
      <c r="F87" s="3"/>
      <c r="G87" s="3"/>
      <c r="H87" s="3"/>
      <c r="I87" s="3"/>
      <c r="J87" s="3"/>
      <c r="K87" s="3"/>
      <c r="L87" s="3"/>
      <c r="M87" s="3"/>
      <c r="N87" s="3"/>
      <c r="O87" s="3"/>
      <c r="P87" s="3"/>
      <c r="Q87" s="3"/>
      <c r="R87" s="3"/>
      <c r="S87" s="3"/>
      <c r="T87" s="3"/>
      <c r="U87" s="3"/>
      <c r="V87" s="3"/>
      <c r="W87" s="3"/>
      <c r="X87" s="3"/>
      <c r="Y87" s="3"/>
      <c r="Z87" s="3"/>
    </row>
    <row r="88" spans="1:36" ht="17.149999999999999" customHeight="1" x14ac:dyDescent="0.35">
      <c r="A88" s="3"/>
      <c r="B88" s="3"/>
      <c r="C88" s="68"/>
      <c r="D88" s="3"/>
      <c r="E88" s="3"/>
      <c r="F88" s="3"/>
      <c r="G88" s="3"/>
      <c r="H88" s="3"/>
      <c r="I88" s="3"/>
      <c r="J88" s="3"/>
      <c r="K88" s="3"/>
      <c r="L88" s="3"/>
      <c r="M88" s="3"/>
      <c r="N88" s="3"/>
      <c r="O88" s="3"/>
      <c r="P88" s="3"/>
      <c r="Q88" s="3"/>
      <c r="R88" s="3"/>
      <c r="S88" s="3"/>
      <c r="T88" s="3"/>
      <c r="U88" s="3"/>
      <c r="V88" s="3"/>
      <c r="W88" s="3"/>
      <c r="X88" s="3"/>
      <c r="Y88" s="3"/>
      <c r="Z88" s="3"/>
    </row>
    <row r="89" spans="1:36" ht="17.149999999999999" customHeight="1" x14ac:dyDescent="0.35">
      <c r="A89" s="949" t="s">
        <v>1152</v>
      </c>
      <c r="B89" s="1777" t="s">
        <v>9</v>
      </c>
      <c r="C89" s="1777"/>
      <c r="D89" s="3"/>
      <c r="E89" s="3"/>
      <c r="F89" s="3"/>
      <c r="G89" s="3"/>
      <c r="H89" s="3"/>
      <c r="I89" s="84"/>
      <c r="J89" s="84"/>
      <c r="K89" s="84"/>
      <c r="L89" s="84"/>
      <c r="M89" s="84"/>
      <c r="N89" s="84"/>
      <c r="O89" s="3"/>
      <c r="P89" s="3"/>
      <c r="Q89" s="3"/>
      <c r="R89" s="3"/>
      <c r="S89" s="3"/>
      <c r="T89" s="3"/>
      <c r="U89" s="3"/>
      <c r="V89" s="3"/>
      <c r="W89" s="3"/>
      <c r="X89" s="3"/>
      <c r="Y89" s="3"/>
      <c r="Z89" s="3"/>
      <c r="AA89" s="3"/>
      <c r="AB89" s="3"/>
    </row>
    <row r="90" spans="1:36" ht="17.149999999999999" customHeight="1" x14ac:dyDescent="0.35">
      <c r="A90" s="3"/>
      <c r="B90" s="117"/>
      <c r="C90" s="3"/>
      <c r="D90" s="1797" t="s">
        <v>511</v>
      </c>
      <c r="E90" s="1805"/>
      <c r="F90" s="1805"/>
      <c r="G90" s="1805"/>
      <c r="H90" s="1805"/>
      <c r="I90" s="1805"/>
      <c r="J90" s="1805"/>
      <c r="K90" s="1805"/>
      <c r="L90" s="1805"/>
      <c r="M90" s="1805"/>
      <c r="N90" s="1798"/>
      <c r="O90" s="3"/>
      <c r="P90" s="1784" t="s">
        <v>512</v>
      </c>
      <c r="Q90" s="1784"/>
      <c r="R90" s="1784"/>
      <c r="S90" s="1784"/>
      <c r="T90" s="1784"/>
      <c r="U90" s="1784"/>
      <c r="V90" s="1784"/>
      <c r="W90" s="1784"/>
      <c r="X90" s="1784"/>
      <c r="Y90" s="1784"/>
      <c r="Z90" s="1784"/>
      <c r="AA90" s="3"/>
      <c r="AB90" s="1784" t="s">
        <v>1108</v>
      </c>
      <c r="AC90" s="1784"/>
      <c r="AD90" s="1784"/>
      <c r="AE90" s="1784"/>
      <c r="AF90" s="1784"/>
      <c r="AG90" s="329"/>
      <c r="AH90" s="78"/>
      <c r="AI90" s="78"/>
      <c r="AJ90" s="78"/>
    </row>
    <row r="91" spans="1:36" s="11" customFormat="1" ht="17.149999999999999" customHeight="1" x14ac:dyDescent="0.35">
      <c r="A91" s="1808" t="s">
        <v>513</v>
      </c>
      <c r="B91" s="1764" t="s">
        <v>1153</v>
      </c>
      <c r="C91" s="1764" t="s">
        <v>1144</v>
      </c>
      <c r="D91" s="1784" t="s">
        <v>522</v>
      </c>
      <c r="E91" s="1784"/>
      <c r="F91" s="1784"/>
      <c r="G91" s="1784"/>
      <c r="H91" s="1784"/>
      <c r="I91" s="1784"/>
      <c r="J91" s="1784" t="s">
        <v>1145</v>
      </c>
      <c r="K91" s="1784"/>
      <c r="L91" s="1784"/>
      <c r="M91" s="1784"/>
      <c r="N91" s="1784"/>
      <c r="P91" s="1784" t="s">
        <v>522</v>
      </c>
      <c r="Q91" s="1784"/>
      <c r="R91" s="1784"/>
      <c r="S91" s="1784"/>
      <c r="T91" s="1784"/>
      <c r="U91" s="1784"/>
      <c r="V91" s="1784" t="s">
        <v>1145</v>
      </c>
      <c r="W91" s="1784"/>
      <c r="X91" s="1784"/>
      <c r="Y91" s="1784"/>
      <c r="Z91" s="1784"/>
      <c r="AA91" s="3"/>
      <c r="AB91" s="1784" t="s">
        <v>1145</v>
      </c>
      <c r="AC91" s="1784"/>
      <c r="AD91" s="1784"/>
      <c r="AE91" s="1784"/>
      <c r="AF91" s="1784"/>
    </row>
    <row r="92" spans="1:36" s="11" customFormat="1" ht="17.149999999999999" customHeight="1" x14ac:dyDescent="0.35">
      <c r="A92" s="1808"/>
      <c r="B92" s="1766"/>
      <c r="C92" s="1766"/>
      <c r="D92" s="1511" t="s">
        <v>538</v>
      </c>
      <c r="E92" s="1511" t="s">
        <v>539</v>
      </c>
      <c r="F92" s="1511" t="s">
        <v>540</v>
      </c>
      <c r="G92" s="1511" t="s">
        <v>333</v>
      </c>
      <c r="H92" s="1511" t="s">
        <v>208</v>
      </c>
      <c r="I92" s="1511" t="s">
        <v>535</v>
      </c>
      <c r="J92" s="1511" t="s">
        <v>538</v>
      </c>
      <c r="K92" s="1511" t="s">
        <v>539</v>
      </c>
      <c r="L92" s="1511" t="s">
        <v>540</v>
      </c>
      <c r="M92" s="1511" t="s">
        <v>333</v>
      </c>
      <c r="N92" s="1511" t="s">
        <v>208</v>
      </c>
      <c r="O92" s="198"/>
      <c r="P92" s="1511" t="s">
        <v>538</v>
      </c>
      <c r="Q92" s="1511" t="s">
        <v>539</v>
      </c>
      <c r="R92" s="1511" t="s">
        <v>540</v>
      </c>
      <c r="S92" s="1511" t="s">
        <v>537</v>
      </c>
      <c r="T92" s="1511" t="s">
        <v>208</v>
      </c>
      <c r="U92" s="1511" t="s">
        <v>535</v>
      </c>
      <c r="V92" s="1511" t="s">
        <v>538</v>
      </c>
      <c r="W92" s="1511" t="s">
        <v>539</v>
      </c>
      <c r="X92" s="1511" t="s">
        <v>540</v>
      </c>
      <c r="Y92" s="1511" t="s">
        <v>333</v>
      </c>
      <c r="Z92" s="1511" t="s">
        <v>208</v>
      </c>
      <c r="AA92" s="3"/>
      <c r="AB92" s="1511" t="s">
        <v>538</v>
      </c>
      <c r="AC92" s="1511" t="s">
        <v>539</v>
      </c>
      <c r="AD92" s="1511" t="s">
        <v>540</v>
      </c>
      <c r="AE92" s="1511" t="s">
        <v>333</v>
      </c>
      <c r="AF92" s="1511" t="s">
        <v>208</v>
      </c>
    </row>
    <row r="93" spans="1:36" s="60" customFormat="1" ht="13" x14ac:dyDescent="0.35">
      <c r="A93" s="356"/>
      <c r="B93" s="1522"/>
      <c r="C93" s="1522"/>
      <c r="D93" s="153"/>
      <c r="E93" s="153"/>
      <c r="F93" s="153"/>
      <c r="G93" s="153"/>
      <c r="H93" s="153"/>
      <c r="I93" s="1522"/>
      <c r="J93" s="153"/>
      <c r="K93" s="153"/>
      <c r="L93" s="153"/>
      <c r="M93" s="153"/>
      <c r="N93" s="153"/>
      <c r="O93" s="327"/>
      <c r="P93" s="153"/>
      <c r="Q93" s="153"/>
      <c r="R93" s="153"/>
      <c r="S93" s="153"/>
      <c r="T93" s="153"/>
      <c r="U93" s="1522"/>
      <c r="V93" s="153"/>
      <c r="W93" s="153"/>
      <c r="X93" s="153"/>
      <c r="Y93" s="153"/>
      <c r="Z93" s="153"/>
      <c r="AA93" s="165"/>
      <c r="AB93" s="153"/>
      <c r="AC93" s="153"/>
      <c r="AD93" s="153"/>
      <c r="AE93" s="153"/>
      <c r="AF93" s="153"/>
    </row>
    <row r="94" spans="1:36" s="955" customFormat="1" ht="17.149999999999999" customHeight="1" x14ac:dyDescent="0.35">
      <c r="A94" s="953" t="str">
        <f>'Treatment volumes'!A27</f>
        <v>Plant 1 [sewerage treatment works]</v>
      </c>
      <c r="B94" s="1522">
        <f>'Treatment volumes'!H27</f>
        <v>0</v>
      </c>
      <c r="C94" s="1522">
        <f>'Treatment volumes'!N27</f>
        <v>0</v>
      </c>
      <c r="D94" s="956">
        <f>Interface_Treatment!AJ15</f>
        <v>0</v>
      </c>
      <c r="E94" s="956">
        <f>Interface_Treatment!AK15</f>
        <v>0</v>
      </c>
      <c r="F94" s="956">
        <f>Interface_Treatment!AL15</f>
        <v>0</v>
      </c>
      <c r="G94" s="956">
        <f>Interface_Treatment!AM15</f>
        <v>0</v>
      </c>
      <c r="H94" s="1468">
        <f t="shared" ref="H94:H99" si="64">SUM(D94:G94)</f>
        <v>0</v>
      </c>
      <c r="I94" s="957" t="str">
        <f t="shared" ref="I94:I99" si="65">IF(AND(B94=0,H94=0),"OK",IF(AND(B94&gt;0,H94=1),"OK","Not OK"))</f>
        <v>OK</v>
      </c>
      <c r="J94" s="1522">
        <f t="shared" ref="J94:J99" si="66">D94*$B94</f>
        <v>0</v>
      </c>
      <c r="K94" s="1522">
        <f t="shared" ref="K94:K99" si="67">E94*$B94</f>
        <v>0</v>
      </c>
      <c r="L94" s="1522">
        <f t="shared" ref="L94:L99" si="68">F94*$B94</f>
        <v>0</v>
      </c>
      <c r="M94" s="1522">
        <f t="shared" ref="M94:M99" si="69">G94*$B94</f>
        <v>0</v>
      </c>
      <c r="N94" s="1518">
        <f t="shared" ref="N94:N99" si="70">SUM(J94:M94)</f>
        <v>0</v>
      </c>
      <c r="O94" s="958"/>
      <c r="P94" s="956">
        <f>Interface_Treatment!AR15</f>
        <v>0</v>
      </c>
      <c r="Q94" s="956">
        <f>Interface_Treatment!AS15</f>
        <v>0</v>
      </c>
      <c r="R94" s="956">
        <f>Interface_Treatment!AT15</f>
        <v>0</v>
      </c>
      <c r="S94" s="956">
        <f>Interface_Treatment!AU15</f>
        <v>0</v>
      </c>
      <c r="T94" s="1468">
        <f>SUM(P94:S94)</f>
        <v>0</v>
      </c>
      <c r="U94" s="957" t="str">
        <f t="shared" ref="U94:U99" si="71">IF(AND(C94=0,T94=0),"OK",IF(AND(C94&gt;0,T94=1),"OK","Not OK"))</f>
        <v>OK</v>
      </c>
      <c r="V94" s="1522">
        <f t="shared" ref="V94:V99" si="72">P94*$C94</f>
        <v>0</v>
      </c>
      <c r="W94" s="1522">
        <f t="shared" ref="W94:Y99" si="73">Q94*$C94</f>
        <v>0</v>
      </c>
      <c r="X94" s="1522">
        <f t="shared" si="73"/>
        <v>0</v>
      </c>
      <c r="Y94" s="1522">
        <f t="shared" si="73"/>
        <v>0</v>
      </c>
      <c r="Z94" s="1518">
        <f t="shared" ref="Z94:Z99" si="74">SUM(V94:Y94)</f>
        <v>0</v>
      </c>
      <c r="AA94" s="10"/>
      <c r="AB94" s="1522">
        <f t="shared" ref="AB94:AB99" si="75">J94-V94</f>
        <v>0</v>
      </c>
      <c r="AC94" s="1522">
        <f t="shared" ref="AC94:AE99" si="76">K94-W94</f>
        <v>0</v>
      </c>
      <c r="AD94" s="1522">
        <f t="shared" si="76"/>
        <v>0</v>
      </c>
      <c r="AE94" s="1522">
        <f t="shared" si="76"/>
        <v>0</v>
      </c>
      <c r="AF94" s="1518">
        <f t="shared" ref="AF94:AF99" si="77">SUM(AB94:AE94)</f>
        <v>0</v>
      </c>
    </row>
    <row r="95" spans="1:36" s="955" customFormat="1" ht="17.149999999999999" customHeight="1" x14ac:dyDescent="0.35">
      <c r="A95" s="953" t="str">
        <f>'Treatment volumes'!A28</f>
        <v>Plant 2 [sewerage treatment works]</v>
      </c>
      <c r="B95" s="1522">
        <f>'Treatment volumes'!H28</f>
        <v>0</v>
      </c>
      <c r="C95" s="1522">
        <f>'Treatment volumes'!N28</f>
        <v>0</v>
      </c>
      <c r="D95" s="956">
        <f>Interface_Treatment!AJ16</f>
        <v>0</v>
      </c>
      <c r="E95" s="956">
        <f>Interface_Treatment!AK16</f>
        <v>0</v>
      </c>
      <c r="F95" s="956">
        <f>Interface_Treatment!AL16</f>
        <v>0</v>
      </c>
      <c r="G95" s="956">
        <f>Interface_Treatment!AM16</f>
        <v>0</v>
      </c>
      <c r="H95" s="1468">
        <f t="shared" si="64"/>
        <v>0</v>
      </c>
      <c r="I95" s="957" t="str">
        <f t="shared" si="65"/>
        <v>OK</v>
      </c>
      <c r="J95" s="1522">
        <f t="shared" si="66"/>
        <v>0</v>
      </c>
      <c r="K95" s="1522">
        <f t="shared" si="67"/>
        <v>0</v>
      </c>
      <c r="L95" s="1522">
        <f t="shared" si="68"/>
        <v>0</v>
      </c>
      <c r="M95" s="1522">
        <f t="shared" si="69"/>
        <v>0</v>
      </c>
      <c r="N95" s="1518">
        <f t="shared" si="70"/>
        <v>0</v>
      </c>
      <c r="O95" s="958"/>
      <c r="P95" s="956">
        <f>Interface_Treatment!AR16</f>
        <v>0</v>
      </c>
      <c r="Q95" s="956">
        <f>Interface_Treatment!AS16</f>
        <v>0</v>
      </c>
      <c r="R95" s="956">
        <f>Interface_Treatment!AT16</f>
        <v>0</v>
      </c>
      <c r="S95" s="956">
        <f>Interface_Treatment!AU16</f>
        <v>0</v>
      </c>
      <c r="T95" s="1468">
        <f>SUM(O95:S95)</f>
        <v>0</v>
      </c>
      <c r="U95" s="957" t="str">
        <f t="shared" si="71"/>
        <v>OK</v>
      </c>
      <c r="V95" s="1522">
        <f t="shared" si="72"/>
        <v>0</v>
      </c>
      <c r="W95" s="1522">
        <f t="shared" si="73"/>
        <v>0</v>
      </c>
      <c r="X95" s="1522">
        <f t="shared" si="73"/>
        <v>0</v>
      </c>
      <c r="Y95" s="1522">
        <f t="shared" si="73"/>
        <v>0</v>
      </c>
      <c r="Z95" s="1518">
        <f t="shared" si="74"/>
        <v>0</v>
      </c>
      <c r="AA95" s="10"/>
      <c r="AB95" s="1522">
        <f t="shared" si="75"/>
        <v>0</v>
      </c>
      <c r="AC95" s="1522">
        <f t="shared" si="76"/>
        <v>0</v>
      </c>
      <c r="AD95" s="1522">
        <f t="shared" si="76"/>
        <v>0</v>
      </c>
      <c r="AE95" s="1522">
        <f t="shared" si="76"/>
        <v>0</v>
      </c>
      <c r="AF95" s="1518">
        <f t="shared" si="77"/>
        <v>0</v>
      </c>
    </row>
    <row r="96" spans="1:36" s="955" customFormat="1" ht="17.149999999999999" customHeight="1" x14ac:dyDescent="0.35">
      <c r="A96" s="953" t="str">
        <f>'Treatment volumes'!A29</f>
        <v>Plant 3 [insert name]</v>
      </c>
      <c r="B96" s="1522">
        <f>'Treatment volumes'!H29</f>
        <v>0</v>
      </c>
      <c r="C96" s="1522">
        <f>'Treatment volumes'!N29</f>
        <v>0</v>
      </c>
      <c r="D96" s="956">
        <f>Interface_Treatment!AJ17</f>
        <v>0</v>
      </c>
      <c r="E96" s="956">
        <f>Interface_Treatment!AK17</f>
        <v>0</v>
      </c>
      <c r="F96" s="956">
        <f>Interface_Treatment!AL17</f>
        <v>0</v>
      </c>
      <c r="G96" s="956">
        <f>Interface_Treatment!AM17</f>
        <v>0</v>
      </c>
      <c r="H96" s="1468">
        <f t="shared" si="64"/>
        <v>0</v>
      </c>
      <c r="I96" s="957" t="str">
        <f t="shared" si="65"/>
        <v>OK</v>
      </c>
      <c r="J96" s="1522">
        <f t="shared" si="66"/>
        <v>0</v>
      </c>
      <c r="K96" s="1522">
        <f t="shared" si="67"/>
        <v>0</v>
      </c>
      <c r="L96" s="1522">
        <f t="shared" si="68"/>
        <v>0</v>
      </c>
      <c r="M96" s="1522">
        <f t="shared" si="69"/>
        <v>0</v>
      </c>
      <c r="N96" s="1518">
        <f t="shared" si="70"/>
        <v>0</v>
      </c>
      <c r="O96" s="958"/>
      <c r="P96" s="956">
        <f>Interface_Treatment!AR17</f>
        <v>0</v>
      </c>
      <c r="Q96" s="956">
        <f>Interface_Treatment!AS17</f>
        <v>0</v>
      </c>
      <c r="R96" s="956">
        <f>Interface_Treatment!AT17</f>
        <v>0</v>
      </c>
      <c r="S96" s="956">
        <f>Interface_Treatment!AU17</f>
        <v>0</v>
      </c>
      <c r="T96" s="1468">
        <f>SUM(O96:S96)</f>
        <v>0</v>
      </c>
      <c r="U96" s="957" t="str">
        <f t="shared" si="71"/>
        <v>OK</v>
      </c>
      <c r="V96" s="1522">
        <f t="shared" si="72"/>
        <v>0</v>
      </c>
      <c r="W96" s="1522">
        <f t="shared" si="73"/>
        <v>0</v>
      </c>
      <c r="X96" s="1522">
        <f t="shared" si="73"/>
        <v>0</v>
      </c>
      <c r="Y96" s="1522">
        <f t="shared" si="73"/>
        <v>0</v>
      </c>
      <c r="Z96" s="1518">
        <f t="shared" si="74"/>
        <v>0</v>
      </c>
      <c r="AA96" s="10"/>
      <c r="AB96" s="1522">
        <f t="shared" si="75"/>
        <v>0</v>
      </c>
      <c r="AC96" s="1522">
        <f t="shared" si="76"/>
        <v>0</v>
      </c>
      <c r="AD96" s="1522">
        <f t="shared" si="76"/>
        <v>0</v>
      </c>
      <c r="AE96" s="1522">
        <f t="shared" si="76"/>
        <v>0</v>
      </c>
      <c r="AF96" s="1518">
        <f t="shared" si="77"/>
        <v>0</v>
      </c>
    </row>
    <row r="97" spans="1:36" s="955" customFormat="1" ht="17.149999999999999" customHeight="1" x14ac:dyDescent="0.35">
      <c r="A97" s="953" t="str">
        <f>'Treatment volumes'!A30</f>
        <v>Plant 4 [insert name]</v>
      </c>
      <c r="B97" s="1522">
        <f>'Treatment volumes'!H30</f>
        <v>0</v>
      </c>
      <c r="C97" s="1522">
        <f>'Treatment volumes'!N30</f>
        <v>0</v>
      </c>
      <c r="D97" s="956">
        <f>Interface_Treatment!AJ18</f>
        <v>0</v>
      </c>
      <c r="E97" s="956">
        <f>Interface_Treatment!AK18</f>
        <v>0</v>
      </c>
      <c r="F97" s="956">
        <f>Interface_Treatment!AL18</f>
        <v>0</v>
      </c>
      <c r="G97" s="956">
        <f>Interface_Treatment!AM18</f>
        <v>0</v>
      </c>
      <c r="H97" s="1468">
        <f t="shared" si="64"/>
        <v>0</v>
      </c>
      <c r="I97" s="957" t="str">
        <f t="shared" si="65"/>
        <v>OK</v>
      </c>
      <c r="J97" s="1522">
        <f t="shared" si="66"/>
        <v>0</v>
      </c>
      <c r="K97" s="1522">
        <f t="shared" si="67"/>
        <v>0</v>
      </c>
      <c r="L97" s="1522">
        <f t="shared" si="68"/>
        <v>0</v>
      </c>
      <c r="M97" s="1522">
        <f t="shared" si="69"/>
        <v>0</v>
      </c>
      <c r="N97" s="1518">
        <f t="shared" si="70"/>
        <v>0</v>
      </c>
      <c r="P97" s="956">
        <f>Interface_Treatment!AR18</f>
        <v>0</v>
      </c>
      <c r="Q97" s="956">
        <f>Interface_Treatment!AS18</f>
        <v>0</v>
      </c>
      <c r="R97" s="956">
        <f>Interface_Treatment!AT18</f>
        <v>0</v>
      </c>
      <c r="S97" s="956">
        <f>Interface_Treatment!AU18</f>
        <v>0</v>
      </c>
      <c r="T97" s="1468">
        <f>SUM(O97:S97)</f>
        <v>0</v>
      </c>
      <c r="U97" s="957" t="str">
        <f t="shared" si="71"/>
        <v>OK</v>
      </c>
      <c r="V97" s="1522">
        <f t="shared" si="72"/>
        <v>0</v>
      </c>
      <c r="W97" s="1522">
        <f t="shared" si="73"/>
        <v>0</v>
      </c>
      <c r="X97" s="1522">
        <f t="shared" si="73"/>
        <v>0</v>
      </c>
      <c r="Y97" s="1522">
        <f t="shared" si="73"/>
        <v>0</v>
      </c>
      <c r="Z97" s="1518">
        <f t="shared" si="74"/>
        <v>0</v>
      </c>
      <c r="AA97" s="10"/>
      <c r="AB97" s="1522">
        <f t="shared" si="75"/>
        <v>0</v>
      </c>
      <c r="AC97" s="1522">
        <f t="shared" si="76"/>
        <v>0</v>
      </c>
      <c r="AD97" s="1522">
        <f t="shared" si="76"/>
        <v>0</v>
      </c>
      <c r="AE97" s="1522">
        <f t="shared" si="76"/>
        <v>0</v>
      </c>
      <c r="AF97" s="1518">
        <f t="shared" si="77"/>
        <v>0</v>
      </c>
    </row>
    <row r="98" spans="1:36" s="955" customFormat="1" ht="17.149999999999999" customHeight="1" x14ac:dyDescent="0.35">
      <c r="A98" s="953" t="str">
        <f>'Treatment volumes'!A31</f>
        <v>Plant 5 [insert name]</v>
      </c>
      <c r="B98" s="1522">
        <f>'Treatment volumes'!H31</f>
        <v>0</v>
      </c>
      <c r="C98" s="1522">
        <f>'Treatment volumes'!N31</f>
        <v>0</v>
      </c>
      <c r="D98" s="956">
        <f>Interface_Treatment!AJ19</f>
        <v>0</v>
      </c>
      <c r="E98" s="956">
        <f>Interface_Treatment!AK19</f>
        <v>0</v>
      </c>
      <c r="F98" s="956">
        <f>Interface_Treatment!AL19</f>
        <v>0</v>
      </c>
      <c r="G98" s="956">
        <f>Interface_Treatment!AM19</f>
        <v>0</v>
      </c>
      <c r="H98" s="1468">
        <f t="shared" si="64"/>
        <v>0</v>
      </c>
      <c r="I98" s="957" t="str">
        <f t="shared" si="65"/>
        <v>OK</v>
      </c>
      <c r="J98" s="1522">
        <f t="shared" si="66"/>
        <v>0</v>
      </c>
      <c r="K98" s="1522">
        <f t="shared" si="67"/>
        <v>0</v>
      </c>
      <c r="L98" s="1522">
        <f t="shared" si="68"/>
        <v>0</v>
      </c>
      <c r="M98" s="1522">
        <f t="shared" si="69"/>
        <v>0</v>
      </c>
      <c r="N98" s="1518">
        <f t="shared" si="70"/>
        <v>0</v>
      </c>
      <c r="P98" s="956">
        <f>Interface_Treatment!AR19</f>
        <v>0</v>
      </c>
      <c r="Q98" s="956">
        <f>Interface_Treatment!AS19</f>
        <v>0</v>
      </c>
      <c r="R98" s="956">
        <f>Interface_Treatment!AT19</f>
        <v>0</v>
      </c>
      <c r="S98" s="956">
        <f>Interface_Treatment!AU19</f>
        <v>0</v>
      </c>
      <c r="T98" s="1468">
        <f>SUM(O98:S98)</f>
        <v>0</v>
      </c>
      <c r="U98" s="957" t="str">
        <f t="shared" si="71"/>
        <v>OK</v>
      </c>
      <c r="V98" s="1522">
        <f t="shared" si="72"/>
        <v>0</v>
      </c>
      <c r="W98" s="1522">
        <f t="shared" si="73"/>
        <v>0</v>
      </c>
      <c r="X98" s="1522">
        <f t="shared" si="73"/>
        <v>0</v>
      </c>
      <c r="Y98" s="1522">
        <f t="shared" si="73"/>
        <v>0</v>
      </c>
      <c r="Z98" s="1518">
        <f t="shared" si="74"/>
        <v>0</v>
      </c>
      <c r="AA98" s="10"/>
      <c r="AB98" s="1522">
        <f t="shared" si="75"/>
        <v>0</v>
      </c>
      <c r="AC98" s="1522">
        <f t="shared" si="76"/>
        <v>0</v>
      </c>
      <c r="AD98" s="1522">
        <f t="shared" si="76"/>
        <v>0</v>
      </c>
      <c r="AE98" s="1522">
        <f t="shared" si="76"/>
        <v>0</v>
      </c>
      <c r="AF98" s="1518">
        <f t="shared" si="77"/>
        <v>0</v>
      </c>
    </row>
    <row r="99" spans="1:36" s="955" customFormat="1" ht="17.149999999999999" customHeight="1" x14ac:dyDescent="0.35">
      <c r="A99" s="953" t="str">
        <f>'Treatment volumes'!A32</f>
        <v>Plant 6 [insert name]</v>
      </c>
      <c r="B99" s="1522">
        <f>'Treatment volumes'!H32</f>
        <v>0</v>
      </c>
      <c r="C99" s="1522">
        <f>'Treatment volumes'!N32</f>
        <v>0</v>
      </c>
      <c r="D99" s="956">
        <f>Interface_Treatment!AJ20</f>
        <v>0</v>
      </c>
      <c r="E99" s="956">
        <f>Interface_Treatment!AK20</f>
        <v>0</v>
      </c>
      <c r="F99" s="956">
        <f>Interface_Treatment!AL20</f>
        <v>0</v>
      </c>
      <c r="G99" s="956">
        <f>Interface_Treatment!AM20</f>
        <v>0</v>
      </c>
      <c r="H99" s="1468">
        <f t="shared" si="64"/>
        <v>0</v>
      </c>
      <c r="I99" s="957" t="str">
        <f t="shared" si="65"/>
        <v>OK</v>
      </c>
      <c r="J99" s="1522">
        <f t="shared" si="66"/>
        <v>0</v>
      </c>
      <c r="K99" s="1522">
        <f t="shared" si="67"/>
        <v>0</v>
      </c>
      <c r="L99" s="1522">
        <f t="shared" si="68"/>
        <v>0</v>
      </c>
      <c r="M99" s="1522">
        <f t="shared" si="69"/>
        <v>0</v>
      </c>
      <c r="N99" s="1518">
        <f t="shared" si="70"/>
        <v>0</v>
      </c>
      <c r="O99" s="103"/>
      <c r="P99" s="956">
        <f>Interface_Treatment!AR20</f>
        <v>0</v>
      </c>
      <c r="Q99" s="956">
        <f>Interface_Treatment!AS20</f>
        <v>0</v>
      </c>
      <c r="R99" s="956">
        <f>Interface_Treatment!AT20</f>
        <v>0</v>
      </c>
      <c r="S99" s="956">
        <f>Interface_Treatment!AU20</f>
        <v>0</v>
      </c>
      <c r="T99" s="1468">
        <f>SUM(O99:S99)</f>
        <v>0</v>
      </c>
      <c r="U99" s="957" t="str">
        <f t="shared" si="71"/>
        <v>OK</v>
      </c>
      <c r="V99" s="1522">
        <f t="shared" si="72"/>
        <v>0</v>
      </c>
      <c r="W99" s="1522">
        <f t="shared" si="73"/>
        <v>0</v>
      </c>
      <c r="X99" s="1522">
        <f t="shared" si="73"/>
        <v>0</v>
      </c>
      <c r="Y99" s="1522">
        <f t="shared" si="73"/>
        <v>0</v>
      </c>
      <c r="Z99" s="1518">
        <f t="shared" si="74"/>
        <v>0</v>
      </c>
      <c r="AA99" s="10"/>
      <c r="AB99" s="1522">
        <f t="shared" si="75"/>
        <v>0</v>
      </c>
      <c r="AC99" s="1522">
        <f t="shared" si="76"/>
        <v>0</v>
      </c>
      <c r="AD99" s="1522">
        <f t="shared" si="76"/>
        <v>0</v>
      </c>
      <c r="AE99" s="1522">
        <f t="shared" si="76"/>
        <v>0</v>
      </c>
      <c r="AF99" s="1518">
        <f t="shared" si="77"/>
        <v>0</v>
      </c>
    </row>
    <row r="100" spans="1:36" s="12" customFormat="1" ht="17.149999999999999" customHeight="1" x14ac:dyDescent="0.35">
      <c r="A100" s="950" t="s">
        <v>208</v>
      </c>
      <c r="B100" s="948">
        <f>SUM(B94:B99)</f>
        <v>0</v>
      </c>
      <c r="C100" s="948">
        <f>SUM(C94:C99)</f>
        <v>0</v>
      </c>
      <c r="D100" s="952"/>
      <c r="E100" s="952"/>
      <c r="F100" s="952"/>
      <c r="G100" s="952"/>
      <c r="H100" s="952"/>
      <c r="I100" s="952"/>
      <c r="J100" s="948">
        <f>SUM(J94:J99)</f>
        <v>0</v>
      </c>
      <c r="K100" s="948">
        <f>SUM(K94:K99)</f>
        <v>0</v>
      </c>
      <c r="L100" s="948">
        <f>SUM(L94:L99)</f>
        <v>0</v>
      </c>
      <c r="M100" s="948">
        <f>SUM(M94:M99)</f>
        <v>0</v>
      </c>
      <c r="N100" s="948">
        <f>SUM(N94:N99)</f>
        <v>0</v>
      </c>
      <c r="O100" s="213"/>
      <c r="P100" s="952"/>
      <c r="Q100" s="952"/>
      <c r="R100" s="952"/>
      <c r="S100" s="952"/>
      <c r="T100" s="952"/>
      <c r="U100" s="952"/>
      <c r="V100" s="948">
        <f>SUM(V94:V99)</f>
        <v>0</v>
      </c>
      <c r="W100" s="948">
        <f>SUM(W94:W99)</f>
        <v>0</v>
      </c>
      <c r="X100" s="948">
        <f>SUM(X94:X99)</f>
        <v>0</v>
      </c>
      <c r="Y100" s="948">
        <f>SUM(Y94:Y99)</f>
        <v>0</v>
      </c>
      <c r="Z100" s="948">
        <f>SUM(Z94:Z99)</f>
        <v>0</v>
      </c>
      <c r="AA100" s="32"/>
      <c r="AB100" s="948">
        <f>SUM(AB94:AB99)</f>
        <v>0</v>
      </c>
      <c r="AC100" s="948">
        <f>SUM(AC94:AC99)</f>
        <v>0</v>
      </c>
      <c r="AD100" s="948">
        <f>SUM(AD94:AD99)</f>
        <v>0</v>
      </c>
      <c r="AE100" s="948">
        <f>SUM(AE94:AE99)</f>
        <v>0</v>
      </c>
      <c r="AF100" s="948">
        <f>SUM(AF94:AF99)</f>
        <v>0</v>
      </c>
    </row>
    <row r="101" spans="1:36" ht="17.149999999999999" customHeight="1" x14ac:dyDescent="0.35">
      <c r="A101" s="3"/>
      <c r="B101" s="3"/>
      <c r="C101" s="68"/>
      <c r="D101" s="3"/>
      <c r="E101" s="3"/>
      <c r="F101" s="3"/>
      <c r="G101" s="3"/>
      <c r="H101" s="3"/>
      <c r="I101" s="3"/>
      <c r="J101" s="1468">
        <f>IF($N$100=0,0,J100/$N$100)</f>
        <v>0</v>
      </c>
      <c r="K101" s="1468">
        <f>IF($N$100=0,0,K100/$N$100)</f>
        <v>0</v>
      </c>
      <c r="L101" s="1468">
        <f>IF($N$100=0,0,L100/$N$100)</f>
        <v>0</v>
      </c>
      <c r="M101" s="1468">
        <f>IF($N$100=0,0,M100/$N$100)</f>
        <v>0</v>
      </c>
      <c r="N101" s="1468">
        <f>IF($N$100=0,0,N100/$N$100)</f>
        <v>0</v>
      </c>
      <c r="O101" s="3"/>
      <c r="P101" s="3"/>
      <c r="Q101" s="3"/>
      <c r="R101" s="3"/>
      <c r="S101" s="3"/>
      <c r="T101" s="3"/>
      <c r="U101" s="3"/>
      <c r="V101" s="3"/>
      <c r="W101" s="3"/>
      <c r="X101" s="3"/>
      <c r="Y101" s="3"/>
      <c r="Z101" s="3"/>
    </row>
    <row r="102" spans="1:36" ht="17.149999999999999" customHeight="1" x14ac:dyDescent="0.35">
      <c r="A102" s="3"/>
      <c r="B102" s="3"/>
      <c r="C102" s="68"/>
      <c r="D102" s="3"/>
      <c r="E102" s="3"/>
      <c r="F102" s="3"/>
      <c r="G102" s="3"/>
      <c r="H102" s="3"/>
      <c r="I102" s="3"/>
      <c r="J102" s="3"/>
      <c r="K102" s="3"/>
      <c r="L102" s="3"/>
      <c r="M102" s="3"/>
      <c r="N102" s="3"/>
      <c r="O102" s="3"/>
      <c r="P102" s="3"/>
      <c r="Q102" s="3"/>
      <c r="R102" s="3"/>
      <c r="S102" s="3"/>
      <c r="T102" s="3"/>
      <c r="U102" s="3"/>
      <c r="V102" s="3"/>
      <c r="W102" s="3"/>
      <c r="X102" s="3"/>
      <c r="Y102" s="3"/>
      <c r="Z102" s="3"/>
    </row>
    <row r="103" spans="1:36" ht="17.149999999999999" customHeight="1" x14ac:dyDescent="0.35">
      <c r="A103" s="949" t="s">
        <v>1154</v>
      </c>
      <c r="B103" s="1777" t="s">
        <v>9</v>
      </c>
      <c r="C103" s="1777"/>
      <c r="D103" s="3"/>
      <c r="E103" s="3"/>
      <c r="F103" s="3"/>
      <c r="G103" s="3"/>
      <c r="H103" s="3"/>
      <c r="I103" s="84"/>
      <c r="J103" s="84"/>
      <c r="K103" s="84"/>
      <c r="L103" s="84"/>
      <c r="M103" s="84"/>
      <c r="N103" s="84"/>
      <c r="O103" s="3"/>
      <c r="P103" s="3"/>
      <c r="Q103" s="3"/>
      <c r="R103" s="3"/>
      <c r="S103" s="3"/>
      <c r="T103" s="3"/>
      <c r="U103" s="3"/>
      <c r="V103" s="3"/>
      <c r="W103" s="3"/>
      <c r="X103" s="3"/>
      <c r="Y103" s="3"/>
      <c r="Z103" s="3"/>
      <c r="AA103" s="3"/>
      <c r="AB103" s="3"/>
    </row>
    <row r="104" spans="1:36" ht="17.149999999999999" customHeight="1" x14ac:dyDescent="0.35">
      <c r="A104" s="3"/>
      <c r="B104" s="117"/>
      <c r="C104" s="3"/>
      <c r="D104" s="1797" t="s">
        <v>511</v>
      </c>
      <c r="E104" s="1805"/>
      <c r="F104" s="1805"/>
      <c r="G104" s="1805"/>
      <c r="H104" s="1805"/>
      <c r="I104" s="1805"/>
      <c r="J104" s="1805"/>
      <c r="K104" s="1805"/>
      <c r="L104" s="1805"/>
      <c r="M104" s="1805"/>
      <c r="N104" s="1798"/>
      <c r="O104" s="3"/>
      <c r="P104" s="1784" t="s">
        <v>512</v>
      </c>
      <c r="Q104" s="1784"/>
      <c r="R104" s="1784"/>
      <c r="S104" s="1784"/>
      <c r="T104" s="1784"/>
      <c r="U104" s="1784"/>
      <c r="V104" s="1784"/>
      <c r="W104" s="1784"/>
      <c r="X104" s="1784"/>
      <c r="Y104" s="1784"/>
      <c r="Z104" s="1784"/>
      <c r="AA104" s="3"/>
      <c r="AB104" s="1784" t="s">
        <v>1108</v>
      </c>
      <c r="AC104" s="1784"/>
      <c r="AD104" s="1784"/>
      <c r="AE104" s="1784"/>
      <c r="AF104" s="1784"/>
      <c r="AG104" s="329"/>
      <c r="AH104" s="78"/>
      <c r="AI104" s="78"/>
      <c r="AJ104" s="78"/>
    </row>
    <row r="105" spans="1:36" s="11" customFormat="1" ht="17.149999999999999" customHeight="1" x14ac:dyDescent="0.35">
      <c r="A105" s="1808" t="s">
        <v>513</v>
      </c>
      <c r="B105" s="1764" t="s">
        <v>1153</v>
      </c>
      <c r="C105" s="1764" t="s">
        <v>1144</v>
      </c>
      <c r="D105" s="1784" t="s">
        <v>522</v>
      </c>
      <c r="E105" s="1784"/>
      <c r="F105" s="1784"/>
      <c r="G105" s="1784"/>
      <c r="H105" s="1784"/>
      <c r="I105" s="1784"/>
      <c r="J105" s="1784" t="s">
        <v>1145</v>
      </c>
      <c r="K105" s="1784"/>
      <c r="L105" s="1784"/>
      <c r="M105" s="1784"/>
      <c r="N105" s="1784"/>
      <c r="P105" s="1784" t="s">
        <v>522</v>
      </c>
      <c r="Q105" s="1784"/>
      <c r="R105" s="1784"/>
      <c r="S105" s="1784"/>
      <c r="T105" s="1784"/>
      <c r="U105" s="1784"/>
      <c r="V105" s="1784" t="s">
        <v>1145</v>
      </c>
      <c r="W105" s="1784"/>
      <c r="X105" s="1784"/>
      <c r="Y105" s="1784"/>
      <c r="Z105" s="1784"/>
      <c r="AA105" s="3"/>
      <c r="AB105" s="1784" t="s">
        <v>1145</v>
      </c>
      <c r="AC105" s="1784"/>
      <c r="AD105" s="1784"/>
      <c r="AE105" s="1784"/>
      <c r="AF105" s="1784"/>
    </row>
    <row r="106" spans="1:36" s="11" customFormat="1" ht="17.149999999999999" customHeight="1" x14ac:dyDescent="0.35">
      <c r="A106" s="1808"/>
      <c r="B106" s="1766"/>
      <c r="C106" s="1766"/>
      <c r="D106" s="1511" t="s">
        <v>538</v>
      </c>
      <c r="E106" s="1511" t="s">
        <v>539</v>
      </c>
      <c r="F106" s="1511" t="s">
        <v>540</v>
      </c>
      <c r="G106" s="1511" t="s">
        <v>333</v>
      </c>
      <c r="H106" s="1511" t="s">
        <v>208</v>
      </c>
      <c r="I106" s="1511" t="s">
        <v>535</v>
      </c>
      <c r="J106" s="1511" t="s">
        <v>538</v>
      </c>
      <c r="K106" s="1511" t="s">
        <v>539</v>
      </c>
      <c r="L106" s="1511" t="s">
        <v>540</v>
      </c>
      <c r="M106" s="1511" t="s">
        <v>333</v>
      </c>
      <c r="N106" s="1511" t="s">
        <v>208</v>
      </c>
      <c r="O106" s="198"/>
      <c r="P106" s="1511" t="s">
        <v>538</v>
      </c>
      <c r="Q106" s="1511" t="s">
        <v>539</v>
      </c>
      <c r="R106" s="1511" t="s">
        <v>540</v>
      </c>
      <c r="S106" s="1511" t="s">
        <v>537</v>
      </c>
      <c r="T106" s="1511" t="s">
        <v>208</v>
      </c>
      <c r="U106" s="1511" t="s">
        <v>535</v>
      </c>
      <c r="V106" s="1511" t="s">
        <v>538</v>
      </c>
      <c r="W106" s="1511" t="s">
        <v>539</v>
      </c>
      <c r="X106" s="1511" t="s">
        <v>540</v>
      </c>
      <c r="Y106" s="1511" t="s">
        <v>333</v>
      </c>
      <c r="Z106" s="1511" t="s">
        <v>208</v>
      </c>
      <c r="AA106" s="3"/>
      <c r="AB106" s="1511" t="s">
        <v>538</v>
      </c>
      <c r="AC106" s="1511" t="s">
        <v>539</v>
      </c>
      <c r="AD106" s="1511" t="s">
        <v>540</v>
      </c>
      <c r="AE106" s="1511" t="s">
        <v>333</v>
      </c>
      <c r="AF106" s="1511" t="s">
        <v>208</v>
      </c>
    </row>
    <row r="107" spans="1:36" s="60" customFormat="1" ht="13" x14ac:dyDescent="0.35">
      <c r="A107" s="356"/>
      <c r="B107" s="1522"/>
      <c r="C107" s="1522"/>
      <c r="D107" s="153"/>
      <c r="E107" s="153"/>
      <c r="F107" s="153"/>
      <c r="G107" s="153"/>
      <c r="H107" s="153"/>
      <c r="I107" s="1522"/>
      <c r="J107" s="153"/>
      <c r="K107" s="153"/>
      <c r="L107" s="153"/>
      <c r="M107" s="153"/>
      <c r="N107" s="153"/>
      <c r="O107" s="327"/>
      <c r="P107" s="153"/>
      <c r="Q107" s="153"/>
      <c r="R107" s="153"/>
      <c r="S107" s="153"/>
      <c r="T107" s="153"/>
      <c r="U107" s="1522"/>
      <c r="V107" s="153"/>
      <c r="W107" s="153"/>
      <c r="X107" s="153"/>
      <c r="Y107" s="153"/>
      <c r="Z107" s="153"/>
      <c r="AA107" s="165"/>
      <c r="AB107" s="153"/>
      <c r="AC107" s="153"/>
      <c r="AD107" s="153"/>
      <c r="AE107" s="153"/>
      <c r="AF107" s="153"/>
    </row>
    <row r="108" spans="1:36" s="955" customFormat="1" ht="17.149999999999999" customHeight="1" x14ac:dyDescent="0.35">
      <c r="A108" s="953" t="str">
        <f>'Treatment volumes'!A45</f>
        <v>Plant 1</v>
      </c>
      <c r="B108" s="1522">
        <f>'Treatment volumes'!H45</f>
        <v>0</v>
      </c>
      <c r="C108" s="1522">
        <f>'Treatment volumes'!N45</f>
        <v>0</v>
      </c>
      <c r="D108" s="956">
        <f>Interface_Treatment!AJ32</f>
        <v>0</v>
      </c>
      <c r="E108" s="956">
        <f>Interface_Treatment!AK32</f>
        <v>0</v>
      </c>
      <c r="F108" s="956">
        <f>Interface_Treatment!AL32</f>
        <v>0</v>
      </c>
      <c r="G108" s="956">
        <f>Interface_Treatment!AM32</f>
        <v>0</v>
      </c>
      <c r="H108" s="1468">
        <f>SUM(D108:G108)</f>
        <v>0</v>
      </c>
      <c r="I108" s="957" t="str">
        <f>IF(AND(B108=0,H108=0),"OK",IF(AND(B108&gt;0,H108=1),"OK","Not OK"))</f>
        <v>OK</v>
      </c>
      <c r="J108" s="1522">
        <f>D108*$B108</f>
        <v>0</v>
      </c>
      <c r="K108" s="1522">
        <f>E108*$B108</f>
        <v>0</v>
      </c>
      <c r="L108" s="1522">
        <f>F108*$B108</f>
        <v>0</v>
      </c>
      <c r="M108" s="1522">
        <f>G108*$B108</f>
        <v>0</v>
      </c>
      <c r="N108" s="1518">
        <f>SUM(J108:M108)</f>
        <v>0</v>
      </c>
      <c r="O108" s="958"/>
      <c r="P108" s="956">
        <f>Interface_Treatment!AR32</f>
        <v>0</v>
      </c>
      <c r="Q108" s="956">
        <f>Interface_Treatment!AS32</f>
        <v>0</v>
      </c>
      <c r="R108" s="956">
        <f>Interface_Treatment!AT32</f>
        <v>0</v>
      </c>
      <c r="S108" s="956">
        <f>Interface_Treatment!AU32</f>
        <v>0</v>
      </c>
      <c r="T108" s="1468">
        <f>SUM(P108:S108)</f>
        <v>0</v>
      </c>
      <c r="U108" s="957" t="str">
        <f>IF(AND(C108=0,T108=0),"OK",IF(AND(C108&gt;0,T108=1),"OK","Not OK"))</f>
        <v>OK</v>
      </c>
      <c r="V108" s="1522">
        <f>P108*$C108</f>
        <v>0</v>
      </c>
      <c r="W108" s="1522">
        <f>Q108*$C108</f>
        <v>0</v>
      </c>
      <c r="X108" s="1522">
        <f>R108*$C108</f>
        <v>0</v>
      </c>
      <c r="Y108" s="1522">
        <f>S108*$C108</f>
        <v>0</v>
      </c>
      <c r="Z108" s="1522">
        <f>SUM(V108:Y108)</f>
        <v>0</v>
      </c>
      <c r="AA108" s="10"/>
      <c r="AB108" s="1522">
        <f>J108-V108</f>
        <v>0</v>
      </c>
      <c r="AC108" s="1522">
        <f>K108-W108</f>
        <v>0</v>
      </c>
      <c r="AD108" s="1522">
        <f>L108-X108</f>
        <v>0</v>
      </c>
      <c r="AE108" s="1522">
        <f>M108-Y108</f>
        <v>0</v>
      </c>
      <c r="AF108" s="1518">
        <f>SUM(AB108:AE108)</f>
        <v>0</v>
      </c>
    </row>
    <row r="109" spans="1:36" s="955" customFormat="1" ht="17.149999999999999" customHeight="1" x14ac:dyDescent="0.35">
      <c r="A109" s="953" t="str">
        <f>'Treatment volumes'!A46</f>
        <v>Plant 2</v>
      </c>
      <c r="B109" s="1522">
        <f>'Treatment volumes'!H46</f>
        <v>0</v>
      </c>
      <c r="C109" s="1522">
        <f>'Treatment volumes'!N46</f>
        <v>0</v>
      </c>
      <c r="D109" s="956">
        <f>Interface_Treatment!AJ33</f>
        <v>0</v>
      </c>
      <c r="E109" s="956">
        <f>Interface_Treatment!AK33</f>
        <v>0</v>
      </c>
      <c r="F109" s="956">
        <f>Interface_Treatment!AL33</f>
        <v>0</v>
      </c>
      <c r="G109" s="956">
        <f>Interface_Treatment!AM33</f>
        <v>0</v>
      </c>
      <c r="H109" s="1468">
        <f t="shared" ref="H109:H117" si="78">SUM(D109:G109)</f>
        <v>0</v>
      </c>
      <c r="I109" s="957" t="str">
        <f t="shared" ref="I109:I117" si="79">IF(AND(B109=0,H109=0),"OK",IF(AND(B109&gt;0,H109=1),"OK","Not OK"))</f>
        <v>OK</v>
      </c>
      <c r="J109" s="1522">
        <f t="shared" ref="J109:J117" si="80">D109*$B109</f>
        <v>0</v>
      </c>
      <c r="K109" s="1522">
        <f t="shared" ref="K109:K117" si="81">E109*$B109</f>
        <v>0</v>
      </c>
      <c r="L109" s="1522">
        <f t="shared" ref="L109:L117" si="82">F109*$B109</f>
        <v>0</v>
      </c>
      <c r="M109" s="1522">
        <f t="shared" ref="M109:M117" si="83">G109*$B109</f>
        <v>0</v>
      </c>
      <c r="N109" s="1518">
        <f t="shared" ref="N109:N117" si="84">SUM(J109:M109)</f>
        <v>0</v>
      </c>
      <c r="O109" s="958"/>
      <c r="P109" s="956">
        <f>Interface_Treatment!AR33</f>
        <v>0</v>
      </c>
      <c r="Q109" s="956">
        <f>Interface_Treatment!AS33</f>
        <v>0</v>
      </c>
      <c r="R109" s="956">
        <f>Interface_Treatment!AT33</f>
        <v>0</v>
      </c>
      <c r="S109" s="956">
        <f>Interface_Treatment!AU33</f>
        <v>0</v>
      </c>
      <c r="T109" s="1468">
        <f t="shared" ref="T109:T117" si="85">SUM(P109:S109)</f>
        <v>0</v>
      </c>
      <c r="U109" s="957" t="str">
        <f t="shared" ref="U109:U117" si="86">IF(AND(C109=0,T109=0),"OK",IF(AND(C109&gt;0,T109=1),"OK","Not OK"))</f>
        <v>OK</v>
      </c>
      <c r="V109" s="1522">
        <f t="shared" ref="V109:V117" si="87">P109*$C109</f>
        <v>0</v>
      </c>
      <c r="W109" s="1522">
        <f t="shared" ref="W109:W117" si="88">Q109*$C109</f>
        <v>0</v>
      </c>
      <c r="X109" s="1522">
        <f t="shared" ref="X109:X117" si="89">R109*$C109</f>
        <v>0</v>
      </c>
      <c r="Y109" s="1522">
        <f t="shared" ref="Y109:Y117" si="90">S109*$C109</f>
        <v>0</v>
      </c>
      <c r="Z109" s="1522">
        <f t="shared" ref="Z109:Z117" si="91">SUM(V109:Y109)</f>
        <v>0</v>
      </c>
      <c r="AA109" s="10"/>
      <c r="AB109" s="1522">
        <f t="shared" ref="AB109:AB117" si="92">J109-V109</f>
        <v>0</v>
      </c>
      <c r="AC109" s="1522">
        <f t="shared" ref="AC109:AC117" si="93">K109-W109</f>
        <v>0</v>
      </c>
      <c r="AD109" s="1522">
        <f t="shared" ref="AD109:AD117" si="94">L109-X109</f>
        <v>0</v>
      </c>
      <c r="AE109" s="1522">
        <f t="shared" ref="AE109:AE117" si="95">M109-Y109</f>
        <v>0</v>
      </c>
      <c r="AF109" s="1518">
        <f t="shared" ref="AF109:AF117" si="96">SUM(AB109:AE109)</f>
        <v>0</v>
      </c>
    </row>
    <row r="110" spans="1:36" s="955" customFormat="1" ht="17.149999999999999" customHeight="1" x14ac:dyDescent="0.35">
      <c r="A110" s="953" t="str">
        <f>'Treatment volumes'!A47</f>
        <v>Plant 3</v>
      </c>
      <c r="B110" s="1522">
        <f>'Treatment volumes'!H47</f>
        <v>0</v>
      </c>
      <c r="C110" s="1522">
        <f>'Treatment volumes'!N47</f>
        <v>0</v>
      </c>
      <c r="D110" s="956">
        <f>Interface_Treatment!AJ34</f>
        <v>0</v>
      </c>
      <c r="E110" s="956">
        <f>Interface_Treatment!AK34</f>
        <v>0</v>
      </c>
      <c r="F110" s="956">
        <f>Interface_Treatment!AL34</f>
        <v>0</v>
      </c>
      <c r="G110" s="956">
        <f>Interface_Treatment!AM34</f>
        <v>0</v>
      </c>
      <c r="H110" s="1468">
        <f t="shared" si="78"/>
        <v>0</v>
      </c>
      <c r="I110" s="957" t="str">
        <f t="shared" si="79"/>
        <v>OK</v>
      </c>
      <c r="J110" s="1522">
        <f t="shared" si="80"/>
        <v>0</v>
      </c>
      <c r="K110" s="1522">
        <f t="shared" si="81"/>
        <v>0</v>
      </c>
      <c r="L110" s="1522">
        <f t="shared" si="82"/>
        <v>0</v>
      </c>
      <c r="M110" s="1522">
        <f t="shared" si="83"/>
        <v>0</v>
      </c>
      <c r="N110" s="1518">
        <f t="shared" si="84"/>
        <v>0</v>
      </c>
      <c r="O110" s="958"/>
      <c r="P110" s="956">
        <f>Interface_Treatment!AR34</f>
        <v>0</v>
      </c>
      <c r="Q110" s="956">
        <f>Interface_Treatment!AS34</f>
        <v>0</v>
      </c>
      <c r="R110" s="956">
        <f>Interface_Treatment!AT34</f>
        <v>0</v>
      </c>
      <c r="S110" s="956">
        <f>Interface_Treatment!AU34</f>
        <v>0</v>
      </c>
      <c r="T110" s="1468">
        <f t="shared" si="85"/>
        <v>0</v>
      </c>
      <c r="U110" s="957" t="str">
        <f t="shared" si="86"/>
        <v>OK</v>
      </c>
      <c r="V110" s="1522">
        <f t="shared" si="87"/>
        <v>0</v>
      </c>
      <c r="W110" s="1522">
        <f t="shared" si="88"/>
        <v>0</v>
      </c>
      <c r="X110" s="1522">
        <f t="shared" si="89"/>
        <v>0</v>
      </c>
      <c r="Y110" s="1522">
        <f t="shared" si="90"/>
        <v>0</v>
      </c>
      <c r="Z110" s="1522">
        <f t="shared" si="91"/>
        <v>0</v>
      </c>
      <c r="AA110" s="10"/>
      <c r="AB110" s="1522">
        <f t="shared" si="92"/>
        <v>0</v>
      </c>
      <c r="AC110" s="1522">
        <f t="shared" si="93"/>
        <v>0</v>
      </c>
      <c r="AD110" s="1522">
        <f t="shared" si="94"/>
        <v>0</v>
      </c>
      <c r="AE110" s="1522">
        <f t="shared" si="95"/>
        <v>0</v>
      </c>
      <c r="AF110" s="1518">
        <f t="shared" si="96"/>
        <v>0</v>
      </c>
    </row>
    <row r="111" spans="1:36" s="955" customFormat="1" ht="17.149999999999999" customHeight="1" x14ac:dyDescent="0.35">
      <c r="A111" s="953" t="str">
        <f>'Treatment volumes'!A48</f>
        <v>Plant 4</v>
      </c>
      <c r="B111" s="1522">
        <f>'Treatment volumes'!H48</f>
        <v>0</v>
      </c>
      <c r="C111" s="1522">
        <f>'Treatment volumes'!N48</f>
        <v>0</v>
      </c>
      <c r="D111" s="956">
        <f>Interface_Treatment!AJ35</f>
        <v>0</v>
      </c>
      <c r="E111" s="956">
        <f>Interface_Treatment!AK35</f>
        <v>0</v>
      </c>
      <c r="F111" s="956">
        <f>Interface_Treatment!AL35</f>
        <v>0</v>
      </c>
      <c r="G111" s="956">
        <f>Interface_Treatment!AM35</f>
        <v>0</v>
      </c>
      <c r="H111" s="1468">
        <f t="shared" si="78"/>
        <v>0</v>
      </c>
      <c r="I111" s="957" t="str">
        <f t="shared" si="79"/>
        <v>OK</v>
      </c>
      <c r="J111" s="1522">
        <f t="shared" si="80"/>
        <v>0</v>
      </c>
      <c r="K111" s="1522">
        <f t="shared" si="81"/>
        <v>0</v>
      </c>
      <c r="L111" s="1522">
        <f t="shared" si="82"/>
        <v>0</v>
      </c>
      <c r="M111" s="1522">
        <f t="shared" si="83"/>
        <v>0</v>
      </c>
      <c r="N111" s="1518">
        <f t="shared" si="84"/>
        <v>0</v>
      </c>
      <c r="P111" s="956">
        <f>Interface_Treatment!AR35</f>
        <v>0</v>
      </c>
      <c r="Q111" s="956">
        <f>Interface_Treatment!AS35</f>
        <v>0</v>
      </c>
      <c r="R111" s="956">
        <f>Interface_Treatment!AT35</f>
        <v>0</v>
      </c>
      <c r="S111" s="956">
        <f>Interface_Treatment!AU35</f>
        <v>0</v>
      </c>
      <c r="T111" s="1468">
        <f t="shared" si="85"/>
        <v>0</v>
      </c>
      <c r="U111" s="957" t="str">
        <f t="shared" si="86"/>
        <v>OK</v>
      </c>
      <c r="V111" s="1522">
        <f t="shared" si="87"/>
        <v>0</v>
      </c>
      <c r="W111" s="1522">
        <f t="shared" si="88"/>
        <v>0</v>
      </c>
      <c r="X111" s="1522">
        <f t="shared" si="89"/>
        <v>0</v>
      </c>
      <c r="Y111" s="1522">
        <f t="shared" si="90"/>
        <v>0</v>
      </c>
      <c r="Z111" s="1522">
        <f t="shared" si="91"/>
        <v>0</v>
      </c>
      <c r="AA111" s="10"/>
      <c r="AB111" s="1522">
        <f t="shared" si="92"/>
        <v>0</v>
      </c>
      <c r="AC111" s="1522">
        <f t="shared" si="93"/>
        <v>0</v>
      </c>
      <c r="AD111" s="1522">
        <f t="shared" si="94"/>
        <v>0</v>
      </c>
      <c r="AE111" s="1522">
        <f t="shared" si="95"/>
        <v>0</v>
      </c>
      <c r="AF111" s="1518">
        <f t="shared" si="96"/>
        <v>0</v>
      </c>
    </row>
    <row r="112" spans="1:36" s="955" customFormat="1" ht="17.149999999999999" customHeight="1" x14ac:dyDescent="0.35">
      <c r="A112" s="953" t="str">
        <f>'Treatment volumes'!A49</f>
        <v>Plant 5 [insert name]</v>
      </c>
      <c r="B112" s="1522">
        <f>'Treatment volumes'!H49</f>
        <v>0</v>
      </c>
      <c r="C112" s="1522">
        <f>'Treatment volumes'!N49</f>
        <v>0</v>
      </c>
      <c r="D112" s="956">
        <f>Interface_Treatment!AJ36</f>
        <v>0</v>
      </c>
      <c r="E112" s="956">
        <f>Interface_Treatment!AK36</f>
        <v>0</v>
      </c>
      <c r="F112" s="956">
        <f>Interface_Treatment!AL36</f>
        <v>0</v>
      </c>
      <c r="G112" s="956">
        <f>Interface_Treatment!AM36</f>
        <v>0</v>
      </c>
      <c r="H112" s="1468">
        <f t="shared" si="78"/>
        <v>0</v>
      </c>
      <c r="I112" s="957" t="str">
        <f t="shared" si="79"/>
        <v>OK</v>
      </c>
      <c r="J112" s="1522">
        <f t="shared" si="80"/>
        <v>0</v>
      </c>
      <c r="K112" s="1522">
        <f t="shared" si="81"/>
        <v>0</v>
      </c>
      <c r="L112" s="1522">
        <f t="shared" si="82"/>
        <v>0</v>
      </c>
      <c r="M112" s="1522">
        <f t="shared" si="83"/>
        <v>0</v>
      </c>
      <c r="N112" s="1518">
        <f t="shared" si="84"/>
        <v>0</v>
      </c>
      <c r="P112" s="956">
        <f>Interface_Treatment!AR36</f>
        <v>0</v>
      </c>
      <c r="Q112" s="956">
        <f>Interface_Treatment!AS36</f>
        <v>0</v>
      </c>
      <c r="R112" s="956">
        <f>Interface_Treatment!AT36</f>
        <v>0</v>
      </c>
      <c r="S112" s="956">
        <f>Interface_Treatment!AU36</f>
        <v>0</v>
      </c>
      <c r="T112" s="1468">
        <f t="shared" si="85"/>
        <v>0</v>
      </c>
      <c r="U112" s="957" t="str">
        <f t="shared" si="86"/>
        <v>OK</v>
      </c>
      <c r="V112" s="1522">
        <f t="shared" si="87"/>
        <v>0</v>
      </c>
      <c r="W112" s="1522">
        <f t="shared" si="88"/>
        <v>0</v>
      </c>
      <c r="X112" s="1522">
        <f t="shared" si="89"/>
        <v>0</v>
      </c>
      <c r="Y112" s="1522">
        <f t="shared" si="90"/>
        <v>0</v>
      </c>
      <c r="Z112" s="1522">
        <f t="shared" si="91"/>
        <v>0</v>
      </c>
      <c r="AA112" s="10"/>
      <c r="AB112" s="1522">
        <f t="shared" si="92"/>
        <v>0</v>
      </c>
      <c r="AC112" s="1522">
        <f t="shared" si="93"/>
        <v>0</v>
      </c>
      <c r="AD112" s="1522">
        <f t="shared" si="94"/>
        <v>0</v>
      </c>
      <c r="AE112" s="1522">
        <f t="shared" si="95"/>
        <v>0</v>
      </c>
      <c r="AF112" s="1518">
        <f t="shared" si="96"/>
        <v>0</v>
      </c>
    </row>
    <row r="113" spans="1:36" s="955" customFormat="1" ht="17.149999999999999" customHeight="1" x14ac:dyDescent="0.35">
      <c r="A113" s="953" t="str">
        <f>'Treatment volumes'!A50</f>
        <v>Plant 6 [insert name]</v>
      </c>
      <c r="B113" s="1522">
        <f>'Treatment volumes'!H50</f>
        <v>0</v>
      </c>
      <c r="C113" s="1522">
        <f>'Treatment volumes'!N50</f>
        <v>0</v>
      </c>
      <c r="D113" s="956">
        <f>Interface_Treatment!AJ37</f>
        <v>0</v>
      </c>
      <c r="E113" s="956">
        <f>Interface_Treatment!AK37</f>
        <v>0</v>
      </c>
      <c r="F113" s="956">
        <f>Interface_Treatment!AL37</f>
        <v>0</v>
      </c>
      <c r="G113" s="956">
        <f>Interface_Treatment!AM37</f>
        <v>0</v>
      </c>
      <c r="H113" s="1468">
        <f t="shared" si="78"/>
        <v>0</v>
      </c>
      <c r="I113" s="957" t="str">
        <f t="shared" si="79"/>
        <v>OK</v>
      </c>
      <c r="J113" s="1522">
        <f t="shared" si="80"/>
        <v>0</v>
      </c>
      <c r="K113" s="1522">
        <f t="shared" si="81"/>
        <v>0</v>
      </c>
      <c r="L113" s="1522">
        <f t="shared" si="82"/>
        <v>0</v>
      </c>
      <c r="M113" s="1522">
        <f t="shared" si="83"/>
        <v>0</v>
      </c>
      <c r="N113" s="1518">
        <f t="shared" si="84"/>
        <v>0</v>
      </c>
      <c r="P113" s="956">
        <f>Interface_Treatment!AR37</f>
        <v>0</v>
      </c>
      <c r="Q113" s="956">
        <f>Interface_Treatment!AS37</f>
        <v>0</v>
      </c>
      <c r="R113" s="956">
        <f>Interface_Treatment!AT37</f>
        <v>0</v>
      </c>
      <c r="S113" s="956">
        <f>Interface_Treatment!AU37</f>
        <v>0</v>
      </c>
      <c r="T113" s="1468">
        <f t="shared" si="85"/>
        <v>0</v>
      </c>
      <c r="U113" s="957" t="str">
        <f t="shared" si="86"/>
        <v>OK</v>
      </c>
      <c r="V113" s="1522">
        <f t="shared" si="87"/>
        <v>0</v>
      </c>
      <c r="W113" s="1522">
        <f t="shared" si="88"/>
        <v>0</v>
      </c>
      <c r="X113" s="1522">
        <f t="shared" si="89"/>
        <v>0</v>
      </c>
      <c r="Y113" s="1522">
        <f t="shared" si="90"/>
        <v>0</v>
      </c>
      <c r="Z113" s="1522">
        <f t="shared" si="91"/>
        <v>0</v>
      </c>
      <c r="AA113" s="10"/>
      <c r="AB113" s="1522">
        <f t="shared" si="92"/>
        <v>0</v>
      </c>
      <c r="AC113" s="1522">
        <f t="shared" si="93"/>
        <v>0</v>
      </c>
      <c r="AD113" s="1522">
        <f t="shared" si="94"/>
        <v>0</v>
      </c>
      <c r="AE113" s="1522">
        <f t="shared" si="95"/>
        <v>0</v>
      </c>
      <c r="AF113" s="1518">
        <f t="shared" si="96"/>
        <v>0</v>
      </c>
    </row>
    <row r="114" spans="1:36" s="955" customFormat="1" ht="17.149999999999999" customHeight="1" x14ac:dyDescent="0.35">
      <c r="A114" s="953" t="str">
        <f>'Treatment volumes'!A51</f>
        <v>Plant 7 [insert name]</v>
      </c>
      <c r="B114" s="1522">
        <f>'Treatment volumes'!H51</f>
        <v>0</v>
      </c>
      <c r="C114" s="1522">
        <f>'Treatment volumes'!N51</f>
        <v>0</v>
      </c>
      <c r="D114" s="956">
        <f>Interface_Treatment!AJ38</f>
        <v>0</v>
      </c>
      <c r="E114" s="956">
        <f>Interface_Treatment!AK38</f>
        <v>0</v>
      </c>
      <c r="F114" s="956">
        <f>Interface_Treatment!AL38</f>
        <v>0</v>
      </c>
      <c r="G114" s="956">
        <f>Interface_Treatment!AM38</f>
        <v>0</v>
      </c>
      <c r="H114" s="1468">
        <f t="shared" si="78"/>
        <v>0</v>
      </c>
      <c r="I114" s="957" t="str">
        <f t="shared" si="79"/>
        <v>OK</v>
      </c>
      <c r="J114" s="1522">
        <f t="shared" si="80"/>
        <v>0</v>
      </c>
      <c r="K114" s="1522">
        <f t="shared" si="81"/>
        <v>0</v>
      </c>
      <c r="L114" s="1522">
        <f t="shared" si="82"/>
        <v>0</v>
      </c>
      <c r="M114" s="1522">
        <f t="shared" si="83"/>
        <v>0</v>
      </c>
      <c r="N114" s="1518">
        <f t="shared" si="84"/>
        <v>0</v>
      </c>
      <c r="P114" s="956">
        <f>Interface_Treatment!AR38</f>
        <v>0</v>
      </c>
      <c r="Q114" s="956">
        <f>Interface_Treatment!AS38</f>
        <v>0</v>
      </c>
      <c r="R114" s="956">
        <f>Interface_Treatment!AT38</f>
        <v>0</v>
      </c>
      <c r="S114" s="956">
        <f>Interface_Treatment!AU38</f>
        <v>0</v>
      </c>
      <c r="T114" s="1468">
        <f t="shared" si="85"/>
        <v>0</v>
      </c>
      <c r="U114" s="957" t="str">
        <f t="shared" si="86"/>
        <v>OK</v>
      </c>
      <c r="V114" s="1522">
        <f t="shared" si="87"/>
        <v>0</v>
      </c>
      <c r="W114" s="1522">
        <f t="shared" si="88"/>
        <v>0</v>
      </c>
      <c r="X114" s="1522">
        <f t="shared" si="89"/>
        <v>0</v>
      </c>
      <c r="Y114" s="1522">
        <f t="shared" si="90"/>
        <v>0</v>
      </c>
      <c r="Z114" s="1522">
        <f t="shared" si="91"/>
        <v>0</v>
      </c>
      <c r="AA114" s="10"/>
      <c r="AB114" s="1522">
        <f t="shared" si="92"/>
        <v>0</v>
      </c>
      <c r="AC114" s="1522">
        <f t="shared" si="93"/>
        <v>0</v>
      </c>
      <c r="AD114" s="1522">
        <f t="shared" si="94"/>
        <v>0</v>
      </c>
      <c r="AE114" s="1522">
        <f t="shared" si="95"/>
        <v>0</v>
      </c>
      <c r="AF114" s="1518">
        <f t="shared" si="96"/>
        <v>0</v>
      </c>
    </row>
    <row r="115" spans="1:36" s="955" customFormat="1" ht="17.149999999999999" customHeight="1" x14ac:dyDescent="0.35">
      <c r="A115" s="953" t="str">
        <f>'Treatment volumes'!A52</f>
        <v>Plant 8 [insert name]</v>
      </c>
      <c r="B115" s="1522">
        <f>'Treatment volumes'!H52</f>
        <v>0</v>
      </c>
      <c r="C115" s="1522">
        <f>'Treatment volumes'!N52</f>
        <v>0</v>
      </c>
      <c r="D115" s="956">
        <f>Interface_Treatment!AJ39</f>
        <v>0</v>
      </c>
      <c r="E115" s="956">
        <f>Interface_Treatment!AK39</f>
        <v>0</v>
      </c>
      <c r="F115" s="956">
        <f>Interface_Treatment!AL39</f>
        <v>0</v>
      </c>
      <c r="G115" s="956">
        <f>Interface_Treatment!AM39</f>
        <v>0</v>
      </c>
      <c r="H115" s="1468">
        <f t="shared" si="78"/>
        <v>0</v>
      </c>
      <c r="I115" s="957" t="str">
        <f t="shared" si="79"/>
        <v>OK</v>
      </c>
      <c r="J115" s="1522">
        <f t="shared" si="80"/>
        <v>0</v>
      </c>
      <c r="K115" s="1522">
        <f t="shared" si="81"/>
        <v>0</v>
      </c>
      <c r="L115" s="1522">
        <f t="shared" si="82"/>
        <v>0</v>
      </c>
      <c r="M115" s="1522">
        <f t="shared" si="83"/>
        <v>0</v>
      </c>
      <c r="N115" s="1518">
        <f t="shared" si="84"/>
        <v>0</v>
      </c>
      <c r="P115" s="956">
        <f>Interface_Treatment!AR39</f>
        <v>0</v>
      </c>
      <c r="Q115" s="956">
        <f>Interface_Treatment!AS39</f>
        <v>0</v>
      </c>
      <c r="R115" s="956">
        <f>Interface_Treatment!AT39</f>
        <v>0</v>
      </c>
      <c r="S115" s="956">
        <f>Interface_Treatment!AU39</f>
        <v>0</v>
      </c>
      <c r="T115" s="1468">
        <f t="shared" si="85"/>
        <v>0</v>
      </c>
      <c r="U115" s="957" t="str">
        <f t="shared" si="86"/>
        <v>OK</v>
      </c>
      <c r="V115" s="1522">
        <f t="shared" si="87"/>
        <v>0</v>
      </c>
      <c r="W115" s="1522">
        <f t="shared" si="88"/>
        <v>0</v>
      </c>
      <c r="X115" s="1522">
        <f t="shared" si="89"/>
        <v>0</v>
      </c>
      <c r="Y115" s="1522">
        <f t="shared" si="90"/>
        <v>0</v>
      </c>
      <c r="Z115" s="1522">
        <f t="shared" si="91"/>
        <v>0</v>
      </c>
      <c r="AA115" s="10"/>
      <c r="AB115" s="1522">
        <f t="shared" si="92"/>
        <v>0</v>
      </c>
      <c r="AC115" s="1522">
        <f t="shared" si="93"/>
        <v>0</v>
      </c>
      <c r="AD115" s="1522">
        <f t="shared" si="94"/>
        <v>0</v>
      </c>
      <c r="AE115" s="1522">
        <f t="shared" si="95"/>
        <v>0</v>
      </c>
      <c r="AF115" s="1518">
        <f t="shared" si="96"/>
        <v>0</v>
      </c>
    </row>
    <row r="116" spans="1:36" s="955" customFormat="1" ht="17.149999999999999" customHeight="1" x14ac:dyDescent="0.35">
      <c r="A116" s="953" t="str">
        <f>'Treatment volumes'!A53</f>
        <v>Plant 9 [insert name]</v>
      </c>
      <c r="B116" s="1522">
        <f>'Treatment volumes'!H53</f>
        <v>0</v>
      </c>
      <c r="C116" s="1522">
        <f>'Treatment volumes'!N53</f>
        <v>0</v>
      </c>
      <c r="D116" s="956">
        <f>Interface_Treatment!AJ40</f>
        <v>0</v>
      </c>
      <c r="E116" s="956">
        <f>Interface_Treatment!AK40</f>
        <v>0</v>
      </c>
      <c r="F116" s="956">
        <f>Interface_Treatment!AL40</f>
        <v>0</v>
      </c>
      <c r="G116" s="956">
        <f>Interface_Treatment!AM40</f>
        <v>0</v>
      </c>
      <c r="H116" s="1468">
        <f t="shared" si="78"/>
        <v>0</v>
      </c>
      <c r="I116" s="957" t="str">
        <f t="shared" si="79"/>
        <v>OK</v>
      </c>
      <c r="J116" s="1522">
        <f t="shared" si="80"/>
        <v>0</v>
      </c>
      <c r="K116" s="1522">
        <f t="shared" si="81"/>
        <v>0</v>
      </c>
      <c r="L116" s="1522">
        <f t="shared" si="82"/>
        <v>0</v>
      </c>
      <c r="M116" s="1522">
        <f t="shared" si="83"/>
        <v>0</v>
      </c>
      <c r="N116" s="1518">
        <f t="shared" si="84"/>
        <v>0</v>
      </c>
      <c r="P116" s="956">
        <f>Interface_Treatment!AR40</f>
        <v>0</v>
      </c>
      <c r="Q116" s="956">
        <f>Interface_Treatment!AS40</f>
        <v>0</v>
      </c>
      <c r="R116" s="956">
        <f>Interface_Treatment!AT40</f>
        <v>0</v>
      </c>
      <c r="S116" s="956">
        <f>Interface_Treatment!AU40</f>
        <v>0</v>
      </c>
      <c r="T116" s="1468">
        <f t="shared" si="85"/>
        <v>0</v>
      </c>
      <c r="U116" s="957" t="str">
        <f t="shared" si="86"/>
        <v>OK</v>
      </c>
      <c r="V116" s="1522">
        <f t="shared" si="87"/>
        <v>0</v>
      </c>
      <c r="W116" s="1522">
        <f t="shared" si="88"/>
        <v>0</v>
      </c>
      <c r="X116" s="1522">
        <f t="shared" si="89"/>
        <v>0</v>
      </c>
      <c r="Y116" s="1522">
        <f t="shared" si="90"/>
        <v>0</v>
      </c>
      <c r="Z116" s="1522">
        <f t="shared" si="91"/>
        <v>0</v>
      </c>
      <c r="AA116" s="10"/>
      <c r="AB116" s="1522">
        <f t="shared" si="92"/>
        <v>0</v>
      </c>
      <c r="AC116" s="1522">
        <f t="shared" si="93"/>
        <v>0</v>
      </c>
      <c r="AD116" s="1522">
        <f t="shared" si="94"/>
        <v>0</v>
      </c>
      <c r="AE116" s="1522">
        <f t="shared" si="95"/>
        <v>0</v>
      </c>
      <c r="AF116" s="1518">
        <f t="shared" si="96"/>
        <v>0</v>
      </c>
    </row>
    <row r="117" spans="1:36" s="955" customFormat="1" ht="17.149999999999999" customHeight="1" x14ac:dyDescent="0.35">
      <c r="A117" s="953" t="str">
        <f>'Treatment volumes'!A54</f>
        <v>Plant 10 [insert name]</v>
      </c>
      <c r="B117" s="1522">
        <f>'Treatment volumes'!H54</f>
        <v>0</v>
      </c>
      <c r="C117" s="1522">
        <f>'Treatment volumes'!N54</f>
        <v>0</v>
      </c>
      <c r="D117" s="956">
        <f>Interface_Treatment!AJ41</f>
        <v>0</v>
      </c>
      <c r="E117" s="956">
        <f>Interface_Treatment!AK41</f>
        <v>0</v>
      </c>
      <c r="F117" s="956">
        <f>Interface_Treatment!AL41</f>
        <v>0</v>
      </c>
      <c r="G117" s="956">
        <f>Interface_Treatment!AM41</f>
        <v>0</v>
      </c>
      <c r="H117" s="1468">
        <f t="shared" si="78"/>
        <v>0</v>
      </c>
      <c r="I117" s="957" t="str">
        <f t="shared" si="79"/>
        <v>OK</v>
      </c>
      <c r="J117" s="1522">
        <f t="shared" si="80"/>
        <v>0</v>
      </c>
      <c r="K117" s="1522">
        <f t="shared" si="81"/>
        <v>0</v>
      </c>
      <c r="L117" s="1522">
        <f t="shared" si="82"/>
        <v>0</v>
      </c>
      <c r="M117" s="1522">
        <f t="shared" si="83"/>
        <v>0</v>
      </c>
      <c r="N117" s="1518">
        <f t="shared" si="84"/>
        <v>0</v>
      </c>
      <c r="O117" s="103"/>
      <c r="P117" s="956">
        <f>Interface_Treatment!AR41</f>
        <v>0</v>
      </c>
      <c r="Q117" s="956">
        <f>Interface_Treatment!AS41</f>
        <v>0</v>
      </c>
      <c r="R117" s="956">
        <f>Interface_Treatment!AT41</f>
        <v>0</v>
      </c>
      <c r="S117" s="956">
        <f>Interface_Treatment!AU41</f>
        <v>0</v>
      </c>
      <c r="T117" s="1468">
        <f t="shared" si="85"/>
        <v>0</v>
      </c>
      <c r="U117" s="957" t="str">
        <f t="shared" si="86"/>
        <v>OK</v>
      </c>
      <c r="V117" s="1522">
        <f t="shared" si="87"/>
        <v>0</v>
      </c>
      <c r="W117" s="1522">
        <f t="shared" si="88"/>
        <v>0</v>
      </c>
      <c r="X117" s="1522">
        <f t="shared" si="89"/>
        <v>0</v>
      </c>
      <c r="Y117" s="1522">
        <f t="shared" si="90"/>
        <v>0</v>
      </c>
      <c r="Z117" s="1522">
        <f t="shared" si="91"/>
        <v>0</v>
      </c>
      <c r="AA117" s="10"/>
      <c r="AB117" s="1522">
        <f t="shared" si="92"/>
        <v>0</v>
      </c>
      <c r="AC117" s="1522">
        <f t="shared" si="93"/>
        <v>0</v>
      </c>
      <c r="AD117" s="1522">
        <f t="shared" si="94"/>
        <v>0</v>
      </c>
      <c r="AE117" s="1522">
        <f t="shared" si="95"/>
        <v>0</v>
      </c>
      <c r="AF117" s="1518">
        <f t="shared" si="96"/>
        <v>0</v>
      </c>
    </row>
    <row r="118" spans="1:36" s="12" customFormat="1" ht="17.149999999999999" customHeight="1" x14ac:dyDescent="0.35">
      <c r="A118" s="950" t="s">
        <v>208</v>
      </c>
      <c r="B118" s="948">
        <f>SUM(B108:B117)</f>
        <v>0</v>
      </c>
      <c r="C118" s="948">
        <f>SUM(C108:C117)</f>
        <v>0</v>
      </c>
      <c r="D118" s="952"/>
      <c r="E118" s="952"/>
      <c r="F118" s="952"/>
      <c r="G118" s="952"/>
      <c r="H118" s="952"/>
      <c r="I118" s="952"/>
      <c r="J118" s="948">
        <f>SUM(J108:J117)</f>
        <v>0</v>
      </c>
      <c r="K118" s="948">
        <f>SUM(K108:K117)</f>
        <v>0</v>
      </c>
      <c r="L118" s="948">
        <f>SUM(L108:L117)</f>
        <v>0</v>
      </c>
      <c r="M118" s="948">
        <f>SUM(M108:M117)</f>
        <v>0</v>
      </c>
      <c r="N118" s="948">
        <f>SUM(N108:N117)</f>
        <v>0</v>
      </c>
      <c r="O118" s="213"/>
      <c r="P118" s="952"/>
      <c r="Q118" s="952"/>
      <c r="R118" s="952"/>
      <c r="S118" s="952"/>
      <c r="T118" s="952"/>
      <c r="U118" s="952"/>
      <c r="V118" s="948">
        <f>SUM(V108:V117)</f>
        <v>0</v>
      </c>
      <c r="W118" s="948">
        <f>SUM(W108:W117)</f>
        <v>0</v>
      </c>
      <c r="X118" s="948">
        <f>SUM(X108:X117)</f>
        <v>0</v>
      </c>
      <c r="Y118" s="948">
        <f>SUM(Y108:Y117)</f>
        <v>0</v>
      </c>
      <c r="Z118" s="948">
        <f>SUM(Z108:Z117)</f>
        <v>0</v>
      </c>
      <c r="AA118" s="32"/>
      <c r="AB118" s="948">
        <f>SUM(AB108:AB117)</f>
        <v>0</v>
      </c>
      <c r="AC118" s="948">
        <f>SUM(AC108:AC117)</f>
        <v>0</v>
      </c>
      <c r="AD118" s="948">
        <f>SUM(AD108:AD117)</f>
        <v>0</v>
      </c>
      <c r="AE118" s="948">
        <f>SUM(AE108:AE117)</f>
        <v>0</v>
      </c>
      <c r="AF118" s="948">
        <f>SUM(AF108:AF117)</f>
        <v>0</v>
      </c>
    </row>
    <row r="119" spans="1:36" ht="17.149999999999999" customHeight="1" x14ac:dyDescent="0.35">
      <c r="A119" s="3"/>
      <c r="B119" s="3"/>
      <c r="C119" s="68"/>
      <c r="D119" s="3"/>
      <c r="E119" s="3"/>
      <c r="F119" s="3"/>
      <c r="G119" s="3"/>
      <c r="H119" s="3"/>
      <c r="I119" s="3"/>
      <c r="J119" s="1468">
        <f>IF($N$118=0,0,J118/$N$118)</f>
        <v>0</v>
      </c>
      <c r="K119" s="1468">
        <f>IF($N$118=0,0,K118/$N$118)</f>
        <v>0</v>
      </c>
      <c r="L119" s="1468">
        <f>IF($N$118=0,0,L118/$N$118)</f>
        <v>0</v>
      </c>
      <c r="M119" s="1468">
        <f>IF($N$118=0,0,M118/$N$118)</f>
        <v>0</v>
      </c>
      <c r="N119" s="1468">
        <f>IF($N$118=0,0,N118/$N$118)</f>
        <v>0</v>
      </c>
      <c r="O119" s="3"/>
      <c r="P119" s="3"/>
      <c r="Q119" s="3"/>
      <c r="R119" s="3"/>
      <c r="S119" s="3"/>
      <c r="T119" s="3"/>
      <c r="U119" s="3"/>
      <c r="V119" s="3"/>
      <c r="W119" s="3"/>
      <c r="X119" s="3"/>
      <c r="Y119" s="3"/>
      <c r="Z119" s="3"/>
    </row>
    <row r="120" spans="1:36" ht="17.149999999999999" customHeight="1" x14ac:dyDescent="0.35">
      <c r="A120" s="3"/>
      <c r="B120" s="3"/>
      <c r="C120" s="68"/>
      <c r="D120" s="3"/>
      <c r="E120" s="3"/>
      <c r="F120" s="3"/>
      <c r="G120" s="3"/>
      <c r="H120" s="3"/>
      <c r="I120" s="3"/>
      <c r="J120" s="3"/>
      <c r="K120" s="3"/>
      <c r="L120" s="3"/>
      <c r="M120" s="3"/>
      <c r="N120" s="3"/>
      <c r="O120" s="3"/>
      <c r="P120" s="3"/>
      <c r="Q120" s="3"/>
      <c r="R120" s="3"/>
      <c r="S120" s="3"/>
      <c r="T120" s="3"/>
      <c r="U120" s="3"/>
      <c r="V120" s="3"/>
      <c r="W120" s="3"/>
      <c r="X120" s="3"/>
      <c r="Y120" s="3"/>
      <c r="Z120" s="3"/>
    </row>
    <row r="121" spans="1:36" ht="17.149999999999999" customHeight="1" x14ac:dyDescent="0.35">
      <c r="A121" s="3"/>
      <c r="B121" s="3"/>
      <c r="C121" s="68"/>
      <c r="D121" s="3"/>
      <c r="E121" s="3"/>
      <c r="F121" s="3"/>
      <c r="G121" s="3"/>
      <c r="H121" s="3"/>
      <c r="I121" s="3"/>
      <c r="J121" s="3"/>
      <c r="K121" s="3"/>
      <c r="L121" s="3"/>
      <c r="M121" s="3"/>
      <c r="N121" s="3"/>
      <c r="O121" s="3"/>
      <c r="P121" s="3"/>
      <c r="Q121" s="3"/>
      <c r="R121" s="3"/>
      <c r="S121" s="3"/>
      <c r="T121" s="3"/>
      <c r="U121" s="3"/>
      <c r="V121" s="3"/>
      <c r="W121" s="3"/>
      <c r="X121" s="3"/>
      <c r="Y121" s="3"/>
      <c r="Z121" s="3"/>
    </row>
    <row r="122" spans="1:36" ht="17.149999999999999" customHeight="1" x14ac:dyDescent="0.35">
      <c r="A122" s="949" t="s">
        <v>1155</v>
      </c>
      <c r="B122" s="1777" t="s">
        <v>9</v>
      </c>
      <c r="C122" s="1777"/>
      <c r="D122" s="3"/>
      <c r="E122" s="3"/>
      <c r="F122" s="3"/>
      <c r="G122" s="3"/>
      <c r="H122" s="3"/>
      <c r="I122" s="84"/>
      <c r="J122" s="84"/>
      <c r="K122" s="84"/>
      <c r="L122" s="84"/>
      <c r="M122" s="84"/>
      <c r="N122" s="84"/>
      <c r="O122" s="3"/>
      <c r="P122" s="3"/>
      <c r="Q122" s="3"/>
      <c r="R122" s="3"/>
      <c r="S122" s="3"/>
      <c r="T122" s="3"/>
      <c r="U122" s="3"/>
      <c r="V122" s="3"/>
      <c r="W122" s="3"/>
      <c r="X122" s="3"/>
      <c r="Y122" s="3"/>
      <c r="Z122" s="3"/>
      <c r="AA122" s="3"/>
      <c r="AB122" s="3"/>
    </row>
    <row r="123" spans="1:36" ht="17.149999999999999" customHeight="1" x14ac:dyDescent="0.35">
      <c r="A123" s="3"/>
      <c r="B123" s="117"/>
      <c r="C123" s="3"/>
      <c r="D123" s="1797" t="s">
        <v>511</v>
      </c>
      <c r="E123" s="1805"/>
      <c r="F123" s="1805"/>
      <c r="G123" s="1805"/>
      <c r="H123" s="1805"/>
      <c r="I123" s="1805"/>
      <c r="J123" s="1805"/>
      <c r="K123" s="1805"/>
      <c r="L123" s="1805"/>
      <c r="M123" s="1805"/>
      <c r="N123" s="1798"/>
      <c r="O123" s="3"/>
      <c r="P123" s="1784" t="s">
        <v>512</v>
      </c>
      <c r="Q123" s="1784"/>
      <c r="R123" s="1784"/>
      <c r="S123" s="1784"/>
      <c r="T123" s="1784"/>
      <c r="U123" s="1784"/>
      <c r="V123" s="1784"/>
      <c r="W123" s="1784"/>
      <c r="X123" s="1784"/>
      <c r="Y123" s="1784"/>
      <c r="Z123" s="1784"/>
      <c r="AA123" s="3"/>
      <c r="AB123" s="1784" t="s">
        <v>1108</v>
      </c>
      <c r="AC123" s="1784"/>
      <c r="AD123" s="1784"/>
      <c r="AE123" s="1784"/>
      <c r="AF123" s="1784"/>
      <c r="AG123" s="329"/>
      <c r="AH123" s="78"/>
      <c r="AI123" s="78"/>
      <c r="AJ123" s="78"/>
    </row>
    <row r="124" spans="1:36" s="11" customFormat="1" ht="17.149999999999999" customHeight="1" x14ac:dyDescent="0.35">
      <c r="A124" s="1808" t="s">
        <v>1149</v>
      </c>
      <c r="B124" s="1764" t="s">
        <v>1153</v>
      </c>
      <c r="C124" s="1764" t="s">
        <v>1144</v>
      </c>
      <c r="D124" s="1784" t="s">
        <v>522</v>
      </c>
      <c r="E124" s="1784"/>
      <c r="F124" s="1784"/>
      <c r="G124" s="1784"/>
      <c r="H124" s="1784"/>
      <c r="I124" s="1784"/>
      <c r="J124" s="1784" t="s">
        <v>1145</v>
      </c>
      <c r="K124" s="1784"/>
      <c r="L124" s="1784"/>
      <c r="M124" s="1784"/>
      <c r="N124" s="1784"/>
      <c r="P124" s="1784" t="s">
        <v>522</v>
      </c>
      <c r="Q124" s="1784"/>
      <c r="R124" s="1784"/>
      <c r="S124" s="1784"/>
      <c r="T124" s="1784"/>
      <c r="U124" s="1784"/>
      <c r="V124" s="1784" t="s">
        <v>1145</v>
      </c>
      <c r="W124" s="1784"/>
      <c r="X124" s="1784"/>
      <c r="Y124" s="1784"/>
      <c r="Z124" s="1784"/>
      <c r="AA124" s="3"/>
      <c r="AB124" s="1784" t="s">
        <v>1145</v>
      </c>
      <c r="AC124" s="1784"/>
      <c r="AD124" s="1784"/>
      <c r="AE124" s="1784"/>
      <c r="AF124" s="1784"/>
    </row>
    <row r="125" spans="1:36" s="11" customFormat="1" ht="17.149999999999999" customHeight="1" x14ac:dyDescent="0.35">
      <c r="A125" s="1808"/>
      <c r="B125" s="1766"/>
      <c r="C125" s="1766"/>
      <c r="D125" s="1511" t="s">
        <v>538</v>
      </c>
      <c r="E125" s="1511" t="s">
        <v>539</v>
      </c>
      <c r="F125" s="1511" t="s">
        <v>540</v>
      </c>
      <c r="G125" s="1511" t="s">
        <v>333</v>
      </c>
      <c r="H125" s="1511" t="s">
        <v>208</v>
      </c>
      <c r="I125" s="1511" t="s">
        <v>535</v>
      </c>
      <c r="J125" s="1511" t="s">
        <v>538</v>
      </c>
      <c r="K125" s="1511" t="s">
        <v>539</v>
      </c>
      <c r="L125" s="1511" t="s">
        <v>540</v>
      </c>
      <c r="M125" s="1511" t="s">
        <v>333</v>
      </c>
      <c r="N125" s="1511" t="s">
        <v>208</v>
      </c>
      <c r="O125" s="198"/>
      <c r="P125" s="1511" t="s">
        <v>538</v>
      </c>
      <c r="Q125" s="1511" t="s">
        <v>539</v>
      </c>
      <c r="R125" s="1511" t="s">
        <v>540</v>
      </c>
      <c r="S125" s="1511" t="s">
        <v>537</v>
      </c>
      <c r="T125" s="1511" t="s">
        <v>208</v>
      </c>
      <c r="U125" s="1511" t="s">
        <v>535</v>
      </c>
      <c r="V125" s="1511" t="s">
        <v>538</v>
      </c>
      <c r="W125" s="1511" t="s">
        <v>539</v>
      </c>
      <c r="X125" s="1511" t="s">
        <v>540</v>
      </c>
      <c r="Y125" s="1511" t="s">
        <v>333</v>
      </c>
      <c r="Z125" s="1511" t="s">
        <v>208</v>
      </c>
      <c r="AA125" s="3"/>
      <c r="AB125" s="1511" t="s">
        <v>538</v>
      </c>
      <c r="AC125" s="1511" t="s">
        <v>539</v>
      </c>
      <c r="AD125" s="1511" t="s">
        <v>540</v>
      </c>
      <c r="AE125" s="1511" t="s">
        <v>333</v>
      </c>
      <c r="AF125" s="1511" t="s">
        <v>208</v>
      </c>
    </row>
    <row r="126" spans="1:36" s="60" customFormat="1" ht="13" x14ac:dyDescent="0.35">
      <c r="A126" s="356"/>
      <c r="B126" s="1522"/>
      <c r="C126" s="1522"/>
      <c r="D126" s="153"/>
      <c r="E126" s="153"/>
      <c r="F126" s="153"/>
      <c r="G126" s="153"/>
      <c r="H126" s="153"/>
      <c r="I126" s="1522"/>
      <c r="J126" s="153"/>
      <c r="K126" s="153"/>
      <c r="L126" s="153"/>
      <c r="M126" s="153"/>
      <c r="N126" s="153"/>
      <c r="O126" s="327"/>
      <c r="P126" s="153"/>
      <c r="Q126" s="153"/>
      <c r="R126" s="153"/>
      <c r="S126" s="153"/>
      <c r="T126" s="153"/>
      <c r="U126" s="1522"/>
      <c r="V126" s="153"/>
      <c r="W126" s="153"/>
      <c r="X126" s="153"/>
      <c r="Y126" s="153"/>
      <c r="Z126" s="153"/>
      <c r="AA126" s="165"/>
      <c r="AB126" s="153"/>
      <c r="AC126" s="153"/>
      <c r="AD126" s="153"/>
      <c r="AE126" s="153"/>
      <c r="AF126" s="153"/>
    </row>
    <row r="127" spans="1:36" s="955" customFormat="1" ht="17.149999999999999" customHeight="1" x14ac:dyDescent="0.35">
      <c r="A127" s="953" t="str">
        <f>'Treatment volumes'!A67</f>
        <v>Location 1 [insert name]</v>
      </c>
      <c r="B127" s="1522">
        <f>'Treatment volumes'!H67</f>
        <v>0</v>
      </c>
      <c r="C127" s="1522">
        <f>'Treatment volumes'!N67</f>
        <v>0</v>
      </c>
      <c r="D127" s="956">
        <f>Interface_Treatment!AJ53</f>
        <v>0</v>
      </c>
      <c r="E127" s="956">
        <f>Interface_Treatment!AK53</f>
        <v>0</v>
      </c>
      <c r="F127" s="956">
        <f>Interface_Treatment!AL53</f>
        <v>0</v>
      </c>
      <c r="G127" s="956">
        <f>Interface_Treatment!AM53</f>
        <v>0</v>
      </c>
      <c r="H127" s="1468">
        <f t="shared" ref="H127:H132" si="97">SUM(D127:G127)</f>
        <v>0</v>
      </c>
      <c r="I127" s="957" t="str">
        <f t="shared" ref="I127:I132" si="98">IF(AND(B127=0,H127=0),"OK",IF(AND(B127&gt;0,H127=1),"OK","Not OK"))</f>
        <v>OK</v>
      </c>
      <c r="J127" s="1522">
        <f t="shared" ref="J127:J132" si="99">D127*$B127</f>
        <v>0</v>
      </c>
      <c r="K127" s="1522">
        <f t="shared" ref="K127:K132" si="100">E127*$B127</f>
        <v>0</v>
      </c>
      <c r="L127" s="1522">
        <f t="shared" ref="L127:L132" si="101">F127*$B127</f>
        <v>0</v>
      </c>
      <c r="M127" s="1522">
        <f t="shared" ref="M127:M132" si="102">G127*$B127</f>
        <v>0</v>
      </c>
      <c r="N127" s="1518">
        <f t="shared" ref="N127:N132" si="103">SUM(J127:M127)</f>
        <v>0</v>
      </c>
      <c r="O127" s="958"/>
      <c r="P127" s="956">
        <f>Interface_Treatment!AR53</f>
        <v>0</v>
      </c>
      <c r="Q127" s="956">
        <f>Interface_Treatment!AS53</f>
        <v>0</v>
      </c>
      <c r="R127" s="956">
        <f>Interface_Treatment!AT53</f>
        <v>0</v>
      </c>
      <c r="S127" s="956">
        <f>Interface_Treatment!AU53</f>
        <v>0</v>
      </c>
      <c r="T127" s="1468">
        <f>SUM(P127:S127)</f>
        <v>0</v>
      </c>
      <c r="U127" s="957" t="str">
        <f t="shared" ref="U127:U132" si="104">IF(AND(C127=0,T127=0),"OK",IF(AND(C127&gt;0,T127=1),"OK","Not OK"))</f>
        <v>OK</v>
      </c>
      <c r="V127" s="1522">
        <f t="shared" ref="V127:V132" si="105">P127*$C127</f>
        <v>0</v>
      </c>
      <c r="W127" s="1522">
        <f t="shared" ref="W127:W132" si="106">Q127*$C127</f>
        <v>0</v>
      </c>
      <c r="X127" s="1522">
        <f t="shared" ref="X127:X132" si="107">R127*$C127</f>
        <v>0</v>
      </c>
      <c r="Y127" s="1522">
        <f t="shared" ref="Y127:Y132" si="108">S127*$C127</f>
        <v>0</v>
      </c>
      <c r="Z127" s="1518">
        <f t="shared" ref="Z127:Z132" si="109">SUM(V127:Y127)</f>
        <v>0</v>
      </c>
      <c r="AA127" s="10"/>
      <c r="AB127" s="1522">
        <f t="shared" ref="AB127:AB132" si="110">J127-V127</f>
        <v>0</v>
      </c>
      <c r="AC127" s="1522">
        <f t="shared" ref="AC127:AC132" si="111">K127-W127</f>
        <v>0</v>
      </c>
      <c r="AD127" s="1522">
        <f t="shared" ref="AD127:AD132" si="112">L127-X127</f>
        <v>0</v>
      </c>
      <c r="AE127" s="1522">
        <f t="shared" ref="AE127:AE132" si="113">M127-Y127</f>
        <v>0</v>
      </c>
      <c r="AF127" s="1518">
        <f t="shared" ref="AF127:AF132" si="114">SUM(AB127:AE127)</f>
        <v>0</v>
      </c>
    </row>
    <row r="128" spans="1:36" s="955" customFormat="1" ht="17.149999999999999" customHeight="1" x14ac:dyDescent="0.35">
      <c r="A128" s="953" t="str">
        <f>'Treatment volumes'!A68</f>
        <v>Location 2 [insert name]</v>
      </c>
      <c r="B128" s="1522">
        <f>'Treatment volumes'!H68</f>
        <v>0</v>
      </c>
      <c r="C128" s="1522">
        <f>'Treatment volumes'!N68</f>
        <v>0</v>
      </c>
      <c r="D128" s="956">
        <f>Interface_Treatment!AJ54</f>
        <v>0</v>
      </c>
      <c r="E128" s="956">
        <f>Interface_Treatment!AK54</f>
        <v>0</v>
      </c>
      <c r="F128" s="956">
        <f>Interface_Treatment!AL54</f>
        <v>0</v>
      </c>
      <c r="G128" s="956">
        <f>Interface_Treatment!AM54</f>
        <v>0</v>
      </c>
      <c r="H128" s="1468">
        <f t="shared" si="97"/>
        <v>0</v>
      </c>
      <c r="I128" s="957" t="str">
        <f t="shared" si="98"/>
        <v>OK</v>
      </c>
      <c r="J128" s="1522">
        <f t="shared" si="99"/>
        <v>0</v>
      </c>
      <c r="K128" s="1522">
        <f t="shared" si="100"/>
        <v>0</v>
      </c>
      <c r="L128" s="1522">
        <f t="shared" si="101"/>
        <v>0</v>
      </c>
      <c r="M128" s="1522">
        <f t="shared" si="102"/>
        <v>0</v>
      </c>
      <c r="N128" s="1518">
        <f t="shared" si="103"/>
        <v>0</v>
      </c>
      <c r="O128" s="958"/>
      <c r="P128" s="956">
        <f>Interface_Treatment!AR54</f>
        <v>0</v>
      </c>
      <c r="Q128" s="956">
        <f>Interface_Treatment!AS54</f>
        <v>0</v>
      </c>
      <c r="R128" s="956">
        <f>Interface_Treatment!AT54</f>
        <v>0</v>
      </c>
      <c r="S128" s="956">
        <f>Interface_Treatment!AU54</f>
        <v>0</v>
      </c>
      <c r="T128" s="1468">
        <f>SUM(O128:S128)</f>
        <v>0</v>
      </c>
      <c r="U128" s="957" t="str">
        <f t="shared" si="104"/>
        <v>OK</v>
      </c>
      <c r="V128" s="1522">
        <f t="shared" si="105"/>
        <v>0</v>
      </c>
      <c r="W128" s="1522">
        <f t="shared" si="106"/>
        <v>0</v>
      </c>
      <c r="X128" s="1522">
        <f t="shared" si="107"/>
        <v>0</v>
      </c>
      <c r="Y128" s="1522">
        <f t="shared" si="108"/>
        <v>0</v>
      </c>
      <c r="Z128" s="1518">
        <f t="shared" si="109"/>
        <v>0</v>
      </c>
      <c r="AA128" s="10"/>
      <c r="AB128" s="1522">
        <f t="shared" si="110"/>
        <v>0</v>
      </c>
      <c r="AC128" s="1522">
        <f t="shared" si="111"/>
        <v>0</v>
      </c>
      <c r="AD128" s="1522">
        <f t="shared" si="112"/>
        <v>0</v>
      </c>
      <c r="AE128" s="1522">
        <f t="shared" si="113"/>
        <v>0</v>
      </c>
      <c r="AF128" s="1518">
        <f t="shared" si="114"/>
        <v>0</v>
      </c>
    </row>
    <row r="129" spans="1:36" s="955" customFormat="1" ht="17.149999999999999" customHeight="1" x14ac:dyDescent="0.35">
      <c r="A129" s="953" t="str">
        <f>'Treatment volumes'!A69</f>
        <v>Location 3 [insert name]</v>
      </c>
      <c r="B129" s="1522">
        <f>'Treatment volumes'!H69</f>
        <v>0</v>
      </c>
      <c r="C129" s="1522">
        <f>'Treatment volumes'!N69</f>
        <v>0</v>
      </c>
      <c r="D129" s="956">
        <f>Interface_Treatment!AJ55</f>
        <v>0</v>
      </c>
      <c r="E129" s="956">
        <f>Interface_Treatment!AK55</f>
        <v>0</v>
      </c>
      <c r="F129" s="956">
        <f>Interface_Treatment!AL55</f>
        <v>0</v>
      </c>
      <c r="G129" s="956">
        <f>Interface_Treatment!AM55</f>
        <v>0</v>
      </c>
      <c r="H129" s="1468">
        <f t="shared" si="97"/>
        <v>0</v>
      </c>
      <c r="I129" s="957" t="str">
        <f t="shared" si="98"/>
        <v>OK</v>
      </c>
      <c r="J129" s="1522">
        <f t="shared" si="99"/>
        <v>0</v>
      </c>
      <c r="K129" s="1522">
        <f t="shared" si="100"/>
        <v>0</v>
      </c>
      <c r="L129" s="1522">
        <f t="shared" si="101"/>
        <v>0</v>
      </c>
      <c r="M129" s="1522">
        <f t="shared" si="102"/>
        <v>0</v>
      </c>
      <c r="N129" s="1518">
        <f t="shared" si="103"/>
        <v>0</v>
      </c>
      <c r="O129" s="958"/>
      <c r="P129" s="956">
        <f>Interface_Treatment!AR55</f>
        <v>0</v>
      </c>
      <c r="Q129" s="956">
        <f>Interface_Treatment!AS55</f>
        <v>0</v>
      </c>
      <c r="R129" s="956">
        <f>Interface_Treatment!AT55</f>
        <v>0</v>
      </c>
      <c r="S129" s="956">
        <f>Interface_Treatment!AU55</f>
        <v>0</v>
      </c>
      <c r="T129" s="1468">
        <f>SUM(O129:S129)</f>
        <v>0</v>
      </c>
      <c r="U129" s="957" t="str">
        <f t="shared" si="104"/>
        <v>OK</v>
      </c>
      <c r="V129" s="1522">
        <f t="shared" si="105"/>
        <v>0</v>
      </c>
      <c r="W129" s="1522">
        <f t="shared" si="106"/>
        <v>0</v>
      </c>
      <c r="X129" s="1522">
        <f t="shared" si="107"/>
        <v>0</v>
      </c>
      <c r="Y129" s="1522">
        <f t="shared" si="108"/>
        <v>0</v>
      </c>
      <c r="Z129" s="1518">
        <f t="shared" si="109"/>
        <v>0</v>
      </c>
      <c r="AA129" s="10"/>
      <c r="AB129" s="1522">
        <f t="shared" si="110"/>
        <v>0</v>
      </c>
      <c r="AC129" s="1522">
        <f t="shared" si="111"/>
        <v>0</v>
      </c>
      <c r="AD129" s="1522">
        <f t="shared" si="112"/>
        <v>0</v>
      </c>
      <c r="AE129" s="1522">
        <f t="shared" si="113"/>
        <v>0</v>
      </c>
      <c r="AF129" s="1518">
        <f t="shared" si="114"/>
        <v>0</v>
      </c>
    </row>
    <row r="130" spans="1:36" s="955" customFormat="1" ht="17.149999999999999" customHeight="1" x14ac:dyDescent="0.35">
      <c r="A130" s="953" t="str">
        <f>'Treatment volumes'!A70</f>
        <v>Location 4 [insert name]</v>
      </c>
      <c r="B130" s="1522">
        <f>'Treatment volumes'!H70</f>
        <v>0</v>
      </c>
      <c r="C130" s="1522">
        <f>'Treatment volumes'!N70</f>
        <v>0</v>
      </c>
      <c r="D130" s="956">
        <f>Interface_Treatment!AJ56</f>
        <v>0</v>
      </c>
      <c r="E130" s="956">
        <f>Interface_Treatment!AK56</f>
        <v>0</v>
      </c>
      <c r="F130" s="956">
        <f>Interface_Treatment!AL56</f>
        <v>0</v>
      </c>
      <c r="G130" s="956">
        <f>Interface_Treatment!AM56</f>
        <v>0</v>
      </c>
      <c r="H130" s="1468">
        <f t="shared" si="97"/>
        <v>0</v>
      </c>
      <c r="I130" s="957" t="str">
        <f t="shared" si="98"/>
        <v>OK</v>
      </c>
      <c r="J130" s="1522">
        <f t="shared" si="99"/>
        <v>0</v>
      </c>
      <c r="K130" s="1522">
        <f t="shared" si="100"/>
        <v>0</v>
      </c>
      <c r="L130" s="1522">
        <f t="shared" si="101"/>
        <v>0</v>
      </c>
      <c r="M130" s="1522">
        <f t="shared" si="102"/>
        <v>0</v>
      </c>
      <c r="N130" s="1518">
        <f t="shared" si="103"/>
        <v>0</v>
      </c>
      <c r="P130" s="956">
        <f>Interface_Treatment!AR56</f>
        <v>0</v>
      </c>
      <c r="Q130" s="956">
        <f>Interface_Treatment!AS56</f>
        <v>0</v>
      </c>
      <c r="R130" s="956">
        <f>Interface_Treatment!AT56</f>
        <v>0</v>
      </c>
      <c r="S130" s="956">
        <f>Interface_Treatment!AU56</f>
        <v>0</v>
      </c>
      <c r="T130" s="1468">
        <f>SUM(O130:S130)</f>
        <v>0</v>
      </c>
      <c r="U130" s="957" t="str">
        <f t="shared" si="104"/>
        <v>OK</v>
      </c>
      <c r="V130" s="1522">
        <f t="shared" si="105"/>
        <v>0</v>
      </c>
      <c r="W130" s="1522">
        <f t="shared" si="106"/>
        <v>0</v>
      </c>
      <c r="X130" s="1522">
        <f t="shared" si="107"/>
        <v>0</v>
      </c>
      <c r="Y130" s="1522">
        <f t="shared" si="108"/>
        <v>0</v>
      </c>
      <c r="Z130" s="1518">
        <f t="shared" si="109"/>
        <v>0</v>
      </c>
      <c r="AA130" s="10"/>
      <c r="AB130" s="1522">
        <f t="shared" si="110"/>
        <v>0</v>
      </c>
      <c r="AC130" s="1522">
        <f t="shared" si="111"/>
        <v>0</v>
      </c>
      <c r="AD130" s="1522">
        <f t="shared" si="112"/>
        <v>0</v>
      </c>
      <c r="AE130" s="1522">
        <f t="shared" si="113"/>
        <v>0</v>
      </c>
      <c r="AF130" s="1518">
        <f t="shared" si="114"/>
        <v>0</v>
      </c>
    </row>
    <row r="131" spans="1:36" s="955" customFormat="1" ht="17.149999999999999" customHeight="1" x14ac:dyDescent="0.35">
      <c r="A131" s="953" t="str">
        <f>'Treatment volumes'!A71</f>
        <v>Location 5 [insert name]</v>
      </c>
      <c r="B131" s="1522">
        <f>'Treatment volumes'!H71</f>
        <v>0</v>
      </c>
      <c r="C131" s="1522">
        <f>'Treatment volumes'!N71</f>
        <v>0</v>
      </c>
      <c r="D131" s="956">
        <f>Interface_Treatment!AJ57</f>
        <v>0</v>
      </c>
      <c r="E131" s="956">
        <f>Interface_Treatment!AK57</f>
        <v>0</v>
      </c>
      <c r="F131" s="956">
        <f>Interface_Treatment!AL57</f>
        <v>0</v>
      </c>
      <c r="G131" s="956">
        <f>Interface_Treatment!AM57</f>
        <v>0</v>
      </c>
      <c r="H131" s="1468">
        <f t="shared" si="97"/>
        <v>0</v>
      </c>
      <c r="I131" s="957" t="str">
        <f t="shared" si="98"/>
        <v>OK</v>
      </c>
      <c r="J131" s="1522">
        <f t="shared" si="99"/>
        <v>0</v>
      </c>
      <c r="K131" s="1522">
        <f t="shared" si="100"/>
        <v>0</v>
      </c>
      <c r="L131" s="1522">
        <f t="shared" si="101"/>
        <v>0</v>
      </c>
      <c r="M131" s="1522">
        <f t="shared" si="102"/>
        <v>0</v>
      </c>
      <c r="N131" s="1518">
        <f t="shared" si="103"/>
        <v>0</v>
      </c>
      <c r="P131" s="956">
        <f>Interface_Treatment!AR57</f>
        <v>0</v>
      </c>
      <c r="Q131" s="956">
        <f>Interface_Treatment!AS57</f>
        <v>0</v>
      </c>
      <c r="R131" s="956">
        <f>Interface_Treatment!AT57</f>
        <v>0</v>
      </c>
      <c r="S131" s="956">
        <f>Interface_Treatment!AU57</f>
        <v>0</v>
      </c>
      <c r="T131" s="1468">
        <f>SUM(O131:S131)</f>
        <v>0</v>
      </c>
      <c r="U131" s="957" t="str">
        <f t="shared" si="104"/>
        <v>OK</v>
      </c>
      <c r="V131" s="1522">
        <f t="shared" si="105"/>
        <v>0</v>
      </c>
      <c r="W131" s="1522">
        <f t="shared" si="106"/>
        <v>0</v>
      </c>
      <c r="X131" s="1522">
        <f t="shared" si="107"/>
        <v>0</v>
      </c>
      <c r="Y131" s="1522">
        <f t="shared" si="108"/>
        <v>0</v>
      </c>
      <c r="Z131" s="1518">
        <f t="shared" si="109"/>
        <v>0</v>
      </c>
      <c r="AA131" s="10"/>
      <c r="AB131" s="1522">
        <f t="shared" si="110"/>
        <v>0</v>
      </c>
      <c r="AC131" s="1522">
        <f t="shared" si="111"/>
        <v>0</v>
      </c>
      <c r="AD131" s="1522">
        <f t="shared" si="112"/>
        <v>0</v>
      </c>
      <c r="AE131" s="1522">
        <f t="shared" si="113"/>
        <v>0</v>
      </c>
      <c r="AF131" s="1518">
        <f t="shared" si="114"/>
        <v>0</v>
      </c>
    </row>
    <row r="132" spans="1:36" s="955" customFormat="1" ht="17.149999999999999" customHeight="1" x14ac:dyDescent="0.35">
      <c r="A132" s="953" t="str">
        <f>'Treatment volumes'!A72</f>
        <v>Location 6 [insert name]</v>
      </c>
      <c r="B132" s="1522">
        <f>'Treatment volumes'!H72</f>
        <v>0</v>
      </c>
      <c r="C132" s="1522">
        <f>'Treatment volumes'!N72</f>
        <v>0</v>
      </c>
      <c r="D132" s="956">
        <f>Interface_Treatment!AJ58</f>
        <v>0</v>
      </c>
      <c r="E132" s="956">
        <f>Interface_Treatment!AK58</f>
        <v>0</v>
      </c>
      <c r="F132" s="956">
        <f>Interface_Treatment!AL58</f>
        <v>0</v>
      </c>
      <c r="G132" s="956">
        <f>Interface_Treatment!AM58</f>
        <v>0</v>
      </c>
      <c r="H132" s="1468">
        <f t="shared" si="97"/>
        <v>0</v>
      </c>
      <c r="I132" s="957" t="str">
        <f t="shared" si="98"/>
        <v>OK</v>
      </c>
      <c r="J132" s="1522">
        <f t="shared" si="99"/>
        <v>0</v>
      </c>
      <c r="K132" s="1522">
        <f t="shared" si="100"/>
        <v>0</v>
      </c>
      <c r="L132" s="1522">
        <f t="shared" si="101"/>
        <v>0</v>
      </c>
      <c r="M132" s="1522">
        <f t="shared" si="102"/>
        <v>0</v>
      </c>
      <c r="N132" s="1518">
        <f t="shared" si="103"/>
        <v>0</v>
      </c>
      <c r="O132" s="103"/>
      <c r="P132" s="956">
        <f>Interface_Treatment!AR58</f>
        <v>0</v>
      </c>
      <c r="Q132" s="956">
        <f>Interface_Treatment!AS58</f>
        <v>0</v>
      </c>
      <c r="R132" s="956">
        <f>Interface_Treatment!AT58</f>
        <v>0</v>
      </c>
      <c r="S132" s="956">
        <f>Interface_Treatment!AU58</f>
        <v>0</v>
      </c>
      <c r="T132" s="1468">
        <f>SUM(O132:S132)</f>
        <v>0</v>
      </c>
      <c r="U132" s="957" t="str">
        <f t="shared" si="104"/>
        <v>OK</v>
      </c>
      <c r="V132" s="1522">
        <f t="shared" si="105"/>
        <v>0</v>
      </c>
      <c r="W132" s="1522">
        <f t="shared" si="106"/>
        <v>0</v>
      </c>
      <c r="X132" s="1522">
        <f t="shared" si="107"/>
        <v>0</v>
      </c>
      <c r="Y132" s="1522">
        <f t="shared" si="108"/>
        <v>0</v>
      </c>
      <c r="Z132" s="1518">
        <f t="shared" si="109"/>
        <v>0</v>
      </c>
      <c r="AA132" s="10"/>
      <c r="AB132" s="1522">
        <f t="shared" si="110"/>
        <v>0</v>
      </c>
      <c r="AC132" s="1522">
        <f t="shared" si="111"/>
        <v>0</v>
      </c>
      <c r="AD132" s="1522">
        <f t="shared" si="112"/>
        <v>0</v>
      </c>
      <c r="AE132" s="1522">
        <f t="shared" si="113"/>
        <v>0</v>
      </c>
      <c r="AF132" s="1518">
        <f t="shared" si="114"/>
        <v>0</v>
      </c>
    </row>
    <row r="133" spans="1:36" s="12" customFormat="1" ht="17.149999999999999" customHeight="1" x14ac:dyDescent="0.35">
      <c r="A133" s="950" t="s">
        <v>208</v>
      </c>
      <c r="B133" s="948">
        <f>SUM(B127:B132)</f>
        <v>0</v>
      </c>
      <c r="C133" s="948">
        <f>SUM(C127:C132)</f>
        <v>0</v>
      </c>
      <c r="D133" s="952"/>
      <c r="E133" s="952"/>
      <c r="F133" s="952"/>
      <c r="G133" s="952"/>
      <c r="H133" s="952"/>
      <c r="I133" s="952"/>
      <c r="J133" s="948">
        <f>SUM(J127:J132)</f>
        <v>0</v>
      </c>
      <c r="K133" s="948">
        <f>SUM(K127:K132)</f>
        <v>0</v>
      </c>
      <c r="L133" s="948">
        <f>SUM(L127:L132)</f>
        <v>0</v>
      </c>
      <c r="M133" s="948">
        <f>SUM(M127:M132)</f>
        <v>0</v>
      </c>
      <c r="N133" s="948">
        <f>SUM(N127:N132)</f>
        <v>0</v>
      </c>
      <c r="O133" s="213"/>
      <c r="P133" s="952"/>
      <c r="Q133" s="952"/>
      <c r="R133" s="952"/>
      <c r="S133" s="952"/>
      <c r="T133" s="952"/>
      <c r="U133" s="952"/>
      <c r="V133" s="948">
        <f>SUM(V127:V132)</f>
        <v>0</v>
      </c>
      <c r="W133" s="948">
        <f>SUM(W127:W132)</f>
        <v>0</v>
      </c>
      <c r="X133" s="948">
        <f>SUM(X127:X132)</f>
        <v>0</v>
      </c>
      <c r="Y133" s="948">
        <f>SUM(Y127:Y132)</f>
        <v>0</v>
      </c>
      <c r="Z133" s="948">
        <f>SUM(Z127:Z132)</f>
        <v>0</v>
      </c>
      <c r="AA133" s="32"/>
      <c r="AB133" s="948">
        <f>SUM(AB127:AB132)</f>
        <v>0</v>
      </c>
      <c r="AC133" s="948">
        <f>SUM(AC127:AC132)</f>
        <v>0</v>
      </c>
      <c r="AD133" s="948">
        <f>SUM(AD127:AD132)</f>
        <v>0</v>
      </c>
      <c r="AE133" s="948">
        <f>SUM(AE127:AE132)</f>
        <v>0</v>
      </c>
      <c r="AF133" s="948">
        <f>SUM(AF127:AF132)</f>
        <v>0</v>
      </c>
    </row>
    <row r="134" spans="1:36" ht="17.149999999999999" customHeight="1" x14ac:dyDescent="0.35">
      <c r="A134" s="3"/>
      <c r="B134" s="3"/>
      <c r="C134" s="68"/>
      <c r="D134" s="3"/>
      <c r="E134" s="3"/>
      <c r="F134" s="3"/>
      <c r="G134" s="3"/>
      <c r="H134" s="3"/>
      <c r="I134" s="3"/>
      <c r="J134" s="1468">
        <f>IF($N$133=0,0,J133/$N$133)</f>
        <v>0</v>
      </c>
      <c r="K134" s="1468">
        <f>IF($N$133=0,0,K133/$N$133)</f>
        <v>0</v>
      </c>
      <c r="L134" s="1468">
        <f>IF($N$133=0,0,L133/$N$133)</f>
        <v>0</v>
      </c>
      <c r="M134" s="1468">
        <f>IF($N$133=0,0,M133/$N$133)</f>
        <v>0</v>
      </c>
      <c r="N134" s="1468">
        <f>IF($N$133=0,0,N133/$N$133)</f>
        <v>0</v>
      </c>
      <c r="O134" s="3"/>
      <c r="P134" s="3"/>
      <c r="Q134" s="3"/>
      <c r="R134" s="3"/>
      <c r="S134" s="3"/>
      <c r="T134" s="3"/>
      <c r="U134" s="3"/>
      <c r="V134" s="3"/>
      <c r="W134" s="3"/>
      <c r="X134" s="3"/>
      <c r="Y134" s="3"/>
      <c r="Z134" s="3"/>
    </row>
    <row r="135" spans="1:36" ht="17.149999999999999" customHeight="1" x14ac:dyDescent="0.35">
      <c r="A135" s="3"/>
      <c r="B135" s="3"/>
      <c r="C135" s="68"/>
      <c r="D135" s="3"/>
      <c r="E135" s="3"/>
      <c r="F135" s="3"/>
      <c r="G135" s="3"/>
      <c r="H135" s="3"/>
      <c r="I135" s="3"/>
      <c r="J135" s="3"/>
      <c r="K135" s="3"/>
      <c r="L135" s="3"/>
      <c r="M135" s="3"/>
      <c r="N135" s="3"/>
      <c r="O135" s="3"/>
      <c r="P135" s="3"/>
      <c r="Q135" s="3"/>
      <c r="R135" s="3"/>
      <c r="S135" s="3"/>
      <c r="T135" s="3"/>
      <c r="U135" s="3"/>
      <c r="V135" s="3"/>
      <c r="W135" s="3"/>
      <c r="X135" s="3"/>
      <c r="Y135" s="3"/>
      <c r="Z135" s="3"/>
    </row>
    <row r="136" spans="1:36" ht="17.149999999999999" customHeight="1" x14ac:dyDescent="0.35">
      <c r="A136" s="3"/>
      <c r="B136" s="3"/>
      <c r="C136" s="68"/>
      <c r="D136" s="3"/>
      <c r="E136" s="3"/>
      <c r="F136" s="3"/>
      <c r="G136" s="3"/>
      <c r="H136" s="3"/>
      <c r="I136" s="3"/>
      <c r="J136" s="3"/>
      <c r="K136" s="3"/>
      <c r="L136" s="3"/>
      <c r="M136" s="3"/>
      <c r="N136" s="3"/>
      <c r="O136" s="3"/>
      <c r="P136" s="3"/>
      <c r="Q136" s="3"/>
      <c r="R136" s="3"/>
      <c r="S136" s="3"/>
      <c r="T136" s="3"/>
      <c r="U136" s="3"/>
      <c r="V136" s="3"/>
      <c r="W136" s="3"/>
      <c r="X136" s="3"/>
      <c r="Y136" s="3"/>
      <c r="Z136" s="3"/>
    </row>
    <row r="137" spans="1:36" ht="17.149999999999999" customHeight="1" x14ac:dyDescent="0.35">
      <c r="A137" s="949" t="s">
        <v>1156</v>
      </c>
      <c r="B137" s="1777" t="s">
        <v>9</v>
      </c>
      <c r="C137" s="1777"/>
      <c r="D137" s="3"/>
      <c r="E137" s="3"/>
      <c r="F137" s="3"/>
      <c r="G137" s="3"/>
      <c r="H137" s="3"/>
      <c r="I137" s="84"/>
      <c r="J137" s="84"/>
      <c r="K137" s="84"/>
      <c r="L137" s="84"/>
      <c r="M137" s="84"/>
      <c r="N137" s="84"/>
      <c r="O137" s="3"/>
      <c r="P137" s="3"/>
      <c r="Q137" s="3"/>
      <c r="R137" s="3"/>
      <c r="S137" s="3"/>
      <c r="T137" s="3"/>
      <c r="U137" s="3"/>
      <c r="V137" s="3"/>
      <c r="W137" s="3"/>
      <c r="X137" s="3"/>
      <c r="Y137" s="3"/>
      <c r="Z137" s="3"/>
      <c r="AA137" s="3"/>
      <c r="AB137" s="3"/>
    </row>
    <row r="138" spans="1:36" ht="17.149999999999999" customHeight="1" x14ac:dyDescent="0.35">
      <c r="A138" s="3"/>
      <c r="B138" s="117"/>
      <c r="C138" s="3"/>
      <c r="D138" s="1797" t="s">
        <v>511</v>
      </c>
      <c r="E138" s="1805"/>
      <c r="F138" s="1805"/>
      <c r="G138" s="1805"/>
      <c r="H138" s="1805"/>
      <c r="I138" s="1805"/>
      <c r="J138" s="1805"/>
      <c r="K138" s="1805"/>
      <c r="L138" s="1805"/>
      <c r="M138" s="1805"/>
      <c r="N138" s="1798"/>
      <c r="O138" s="3"/>
      <c r="P138" s="1784" t="s">
        <v>512</v>
      </c>
      <c r="Q138" s="1784"/>
      <c r="R138" s="1784"/>
      <c r="S138" s="1784"/>
      <c r="T138" s="1784"/>
      <c r="U138" s="1784"/>
      <c r="V138" s="1784"/>
      <c r="W138" s="1784"/>
      <c r="X138" s="1784"/>
      <c r="Y138" s="1784"/>
      <c r="Z138" s="1784"/>
      <c r="AA138" s="3"/>
      <c r="AB138" s="1784" t="s">
        <v>1108</v>
      </c>
      <c r="AC138" s="1784"/>
      <c r="AD138" s="1784"/>
      <c r="AE138" s="1784"/>
      <c r="AF138" s="1784"/>
      <c r="AG138" s="329"/>
      <c r="AH138" s="78"/>
      <c r="AI138" s="78"/>
      <c r="AJ138" s="78"/>
    </row>
    <row r="139" spans="1:36" s="11" customFormat="1" ht="17.149999999999999" customHeight="1" x14ac:dyDescent="0.35">
      <c r="A139" s="1808" t="s">
        <v>579</v>
      </c>
      <c r="B139" s="1764" t="s">
        <v>1153</v>
      </c>
      <c r="C139" s="1764" t="s">
        <v>1144</v>
      </c>
      <c r="D139" s="1784" t="s">
        <v>522</v>
      </c>
      <c r="E139" s="1784"/>
      <c r="F139" s="1784"/>
      <c r="G139" s="1784"/>
      <c r="H139" s="1784"/>
      <c r="I139" s="1784"/>
      <c r="J139" s="1784" t="s">
        <v>1145</v>
      </c>
      <c r="K139" s="1784"/>
      <c r="L139" s="1784"/>
      <c r="M139" s="1784"/>
      <c r="N139" s="1784"/>
      <c r="P139" s="1784" t="s">
        <v>522</v>
      </c>
      <c r="Q139" s="1784"/>
      <c r="R139" s="1784"/>
      <c r="S139" s="1784"/>
      <c r="T139" s="1784"/>
      <c r="U139" s="1784"/>
      <c r="V139" s="1784" t="s">
        <v>1145</v>
      </c>
      <c r="W139" s="1784"/>
      <c r="X139" s="1784"/>
      <c r="Y139" s="1784"/>
      <c r="Z139" s="1784"/>
      <c r="AA139" s="3"/>
      <c r="AB139" s="1784" t="s">
        <v>1145</v>
      </c>
      <c r="AC139" s="1784"/>
      <c r="AD139" s="1784"/>
      <c r="AE139" s="1784"/>
      <c r="AF139" s="1784"/>
    </row>
    <row r="140" spans="1:36" s="11" customFormat="1" ht="17.149999999999999" customHeight="1" x14ac:dyDescent="0.35">
      <c r="A140" s="1808"/>
      <c r="B140" s="1766"/>
      <c r="C140" s="1766"/>
      <c r="D140" s="1511" t="s">
        <v>538</v>
      </c>
      <c r="E140" s="1511" t="s">
        <v>539</v>
      </c>
      <c r="F140" s="1511" t="s">
        <v>540</v>
      </c>
      <c r="G140" s="1511" t="s">
        <v>333</v>
      </c>
      <c r="H140" s="1511" t="s">
        <v>208</v>
      </c>
      <c r="I140" s="1511" t="s">
        <v>535</v>
      </c>
      <c r="J140" s="1511" t="s">
        <v>538</v>
      </c>
      <c r="K140" s="1511" t="s">
        <v>539</v>
      </c>
      <c r="L140" s="1511" t="s">
        <v>540</v>
      </c>
      <c r="M140" s="1511" t="s">
        <v>333</v>
      </c>
      <c r="N140" s="1511" t="s">
        <v>208</v>
      </c>
      <c r="O140" s="198"/>
      <c r="P140" s="1511" t="s">
        <v>538</v>
      </c>
      <c r="Q140" s="1511" t="s">
        <v>539</v>
      </c>
      <c r="R140" s="1511" t="s">
        <v>540</v>
      </c>
      <c r="S140" s="1511" t="s">
        <v>537</v>
      </c>
      <c r="T140" s="1511" t="s">
        <v>208</v>
      </c>
      <c r="U140" s="1511" t="s">
        <v>535</v>
      </c>
      <c r="V140" s="1511" t="s">
        <v>538</v>
      </c>
      <c r="W140" s="1511" t="s">
        <v>539</v>
      </c>
      <c r="X140" s="1511" t="s">
        <v>540</v>
      </c>
      <c r="Y140" s="1511" t="s">
        <v>333</v>
      </c>
      <c r="Z140" s="1511" t="s">
        <v>208</v>
      </c>
      <c r="AA140" s="3"/>
      <c r="AB140" s="1511" t="s">
        <v>538</v>
      </c>
      <c r="AC140" s="1511" t="s">
        <v>539</v>
      </c>
      <c r="AD140" s="1511" t="s">
        <v>540</v>
      </c>
      <c r="AE140" s="1511" t="s">
        <v>333</v>
      </c>
      <c r="AF140" s="1511" t="s">
        <v>208</v>
      </c>
    </row>
    <row r="141" spans="1:36" s="60" customFormat="1" ht="13" x14ac:dyDescent="0.35">
      <c r="A141" s="356"/>
      <c r="B141" s="1522"/>
      <c r="C141" s="1522"/>
      <c r="D141" s="153"/>
      <c r="E141" s="153"/>
      <c r="F141" s="153"/>
      <c r="G141" s="153"/>
      <c r="H141" s="153"/>
      <c r="I141" s="1522"/>
      <c r="J141" s="153"/>
      <c r="K141" s="153"/>
      <c r="L141" s="153"/>
      <c r="M141" s="153"/>
      <c r="N141" s="153"/>
      <c r="O141" s="327"/>
      <c r="P141" s="153"/>
      <c r="Q141" s="153"/>
      <c r="R141" s="153"/>
      <c r="S141" s="153"/>
      <c r="T141" s="153"/>
      <c r="U141" s="1522"/>
      <c r="V141" s="153"/>
      <c r="W141" s="153"/>
      <c r="X141" s="153"/>
      <c r="Y141" s="153"/>
      <c r="Z141" s="153"/>
      <c r="AA141" s="165"/>
      <c r="AB141" s="153"/>
      <c r="AC141" s="153"/>
      <c r="AD141" s="153"/>
      <c r="AE141" s="153"/>
      <c r="AF141" s="153"/>
    </row>
    <row r="142" spans="1:36" s="955" customFormat="1" ht="17.149999999999999" customHeight="1" x14ac:dyDescent="0.35">
      <c r="A142" s="953" t="str">
        <f>'Treatment volumes'!A85</f>
        <v>Low income residential areas (not treated)</v>
      </c>
      <c r="B142" s="1522">
        <f>'Treatment volumes'!H85</f>
        <v>0</v>
      </c>
      <c r="C142" s="1522">
        <f>'Treatment volumes'!N85</f>
        <v>0</v>
      </c>
      <c r="D142" s="956">
        <f>Interface_Treatment!AJ70</f>
        <v>0</v>
      </c>
      <c r="E142" s="956">
        <f>Interface_Treatment!AK70</f>
        <v>0</v>
      </c>
      <c r="F142" s="956">
        <f>Interface_Treatment!AL70</f>
        <v>0</v>
      </c>
      <c r="G142" s="956">
        <f>Interface_Treatment!AM70</f>
        <v>0</v>
      </c>
      <c r="H142" s="1468">
        <f t="shared" ref="H142:H147" si="115">SUM(D142:G142)</f>
        <v>0</v>
      </c>
      <c r="I142" s="957" t="str">
        <f t="shared" ref="I142:I147" si="116">IF(AND(B142=0,H142=0),"OK",IF(AND(B142&gt;0,H142=1),"OK","Not OK"))</f>
        <v>OK</v>
      </c>
      <c r="J142" s="1522">
        <f t="shared" ref="J142:J147" si="117">D142*$B142</f>
        <v>0</v>
      </c>
      <c r="K142" s="1522">
        <f t="shared" ref="K142:K147" si="118">E142*$B142</f>
        <v>0</v>
      </c>
      <c r="L142" s="1522">
        <f t="shared" ref="L142:L147" si="119">F142*$B142</f>
        <v>0</v>
      </c>
      <c r="M142" s="1522">
        <f t="shared" ref="M142:M147" si="120">G142*$B142</f>
        <v>0</v>
      </c>
      <c r="N142" s="1518">
        <f t="shared" ref="N142:N147" si="121">SUM(J142:M142)</f>
        <v>0</v>
      </c>
      <c r="O142" s="958"/>
      <c r="P142" s="956">
        <f>Interface_Treatment!AR70</f>
        <v>0</v>
      </c>
      <c r="Q142" s="956">
        <f>Interface_Treatment!AS70</f>
        <v>0</v>
      </c>
      <c r="R142" s="956">
        <f>Interface_Treatment!AT70</f>
        <v>0</v>
      </c>
      <c r="S142" s="956">
        <f>Interface_Treatment!AU70</f>
        <v>0</v>
      </c>
      <c r="T142" s="1468">
        <f>SUM(P142:S142)</f>
        <v>0</v>
      </c>
      <c r="U142" s="957" t="str">
        <f t="shared" ref="U142:U147" si="122">IF(AND(C142=0,T142=0),"OK",IF(AND(C142&gt;0,T142=1),"OK","Not OK"))</f>
        <v>OK</v>
      </c>
      <c r="V142" s="1522">
        <f t="shared" ref="V142:V147" si="123">P142*$C142</f>
        <v>0</v>
      </c>
      <c r="W142" s="1522">
        <f t="shared" ref="W142:W147" si="124">Q142*$C142</f>
        <v>0</v>
      </c>
      <c r="X142" s="1522">
        <f t="shared" ref="X142:X147" si="125">R142*$C142</f>
        <v>0</v>
      </c>
      <c r="Y142" s="1522">
        <f t="shared" ref="Y142:Y147" si="126">S142*$C142</f>
        <v>0</v>
      </c>
      <c r="Z142" s="1518">
        <f t="shared" ref="Z142:Z147" si="127">SUM(V142:Y142)</f>
        <v>0</v>
      </c>
      <c r="AA142" s="10"/>
      <c r="AB142" s="1522">
        <f t="shared" ref="AB142:AB147" si="128">J142-V142</f>
        <v>0</v>
      </c>
      <c r="AC142" s="1522">
        <f t="shared" ref="AC142:AC147" si="129">K142-W142</f>
        <v>0</v>
      </c>
      <c r="AD142" s="1522">
        <f t="shared" ref="AD142:AD147" si="130">L142-X142</f>
        <v>0</v>
      </c>
      <c r="AE142" s="1522">
        <f t="shared" ref="AE142:AE147" si="131">M142-Y142</f>
        <v>0</v>
      </c>
      <c r="AF142" s="1518">
        <f t="shared" ref="AF142:AF147" si="132">SUM(AB142:AE142)</f>
        <v>0</v>
      </c>
    </row>
    <row r="143" spans="1:36" s="955" customFormat="1" ht="17.149999999999999" customHeight="1" x14ac:dyDescent="0.35">
      <c r="A143" s="953" t="str">
        <f>'Treatment volumes'!A86</f>
        <v>High income residential areas (treated)</v>
      </c>
      <c r="B143" s="1522">
        <f>'Treatment volumes'!H86</f>
        <v>0</v>
      </c>
      <c r="C143" s="1522">
        <f>'Treatment volumes'!N86</f>
        <v>0</v>
      </c>
      <c r="D143" s="956">
        <f>Interface_Treatment!AJ71</f>
        <v>0</v>
      </c>
      <c r="E143" s="956">
        <f>Interface_Treatment!AK71</f>
        <v>0</v>
      </c>
      <c r="F143" s="956">
        <f>Interface_Treatment!AL71</f>
        <v>0</v>
      </c>
      <c r="G143" s="956">
        <f>Interface_Treatment!AM71</f>
        <v>0</v>
      </c>
      <c r="H143" s="1468">
        <f t="shared" si="115"/>
        <v>0</v>
      </c>
      <c r="I143" s="957" t="str">
        <f t="shared" si="116"/>
        <v>OK</v>
      </c>
      <c r="J143" s="1522">
        <f t="shared" si="117"/>
        <v>0</v>
      </c>
      <c r="K143" s="1522">
        <f t="shared" si="118"/>
        <v>0</v>
      </c>
      <c r="L143" s="1522">
        <f t="shared" si="119"/>
        <v>0</v>
      </c>
      <c r="M143" s="1522">
        <f t="shared" si="120"/>
        <v>0</v>
      </c>
      <c r="N143" s="1518">
        <f t="shared" si="121"/>
        <v>0</v>
      </c>
      <c r="O143" s="958"/>
      <c r="P143" s="956">
        <f>Interface_Treatment!AR71</f>
        <v>0</v>
      </c>
      <c r="Q143" s="956">
        <f>Interface_Treatment!AS71</f>
        <v>0</v>
      </c>
      <c r="R143" s="956">
        <f>Interface_Treatment!AT71</f>
        <v>0</v>
      </c>
      <c r="S143" s="956">
        <f>Interface_Treatment!AU71</f>
        <v>0</v>
      </c>
      <c r="T143" s="1468">
        <f>SUM(O143:S143)</f>
        <v>0</v>
      </c>
      <c r="U143" s="957" t="str">
        <f t="shared" si="122"/>
        <v>OK</v>
      </c>
      <c r="V143" s="1522">
        <f t="shared" si="123"/>
        <v>0</v>
      </c>
      <c r="W143" s="1522">
        <f t="shared" si="124"/>
        <v>0</v>
      </c>
      <c r="X143" s="1522">
        <f t="shared" si="125"/>
        <v>0</v>
      </c>
      <c r="Y143" s="1522">
        <f t="shared" si="126"/>
        <v>0</v>
      </c>
      <c r="Z143" s="1518">
        <f t="shared" si="127"/>
        <v>0</v>
      </c>
      <c r="AA143" s="10"/>
      <c r="AB143" s="1522">
        <f t="shared" si="128"/>
        <v>0</v>
      </c>
      <c r="AC143" s="1522">
        <f t="shared" si="129"/>
        <v>0</v>
      </c>
      <c r="AD143" s="1522">
        <f t="shared" si="130"/>
        <v>0</v>
      </c>
      <c r="AE143" s="1522">
        <f t="shared" si="131"/>
        <v>0</v>
      </c>
      <c r="AF143" s="1518">
        <f t="shared" si="132"/>
        <v>0</v>
      </c>
    </row>
    <row r="144" spans="1:36" s="955" customFormat="1" ht="17.149999999999999" customHeight="1" x14ac:dyDescent="0.35">
      <c r="A144" s="953" t="str">
        <f>'Treatment volumes'!A87</f>
        <v>Onsite septic tanks | [Insert location]</v>
      </c>
      <c r="B144" s="1522">
        <f>'Treatment volumes'!H87</f>
        <v>0</v>
      </c>
      <c r="C144" s="1522">
        <f>'Treatment volumes'!N87</f>
        <v>0</v>
      </c>
      <c r="D144" s="956">
        <f>Interface_Treatment!AJ72</f>
        <v>0</v>
      </c>
      <c r="E144" s="956">
        <f>Interface_Treatment!AK72</f>
        <v>0</v>
      </c>
      <c r="F144" s="956">
        <f>Interface_Treatment!AL72</f>
        <v>0</v>
      </c>
      <c r="G144" s="956">
        <f>Interface_Treatment!AM72</f>
        <v>0</v>
      </c>
      <c r="H144" s="1468">
        <f t="shared" si="115"/>
        <v>0</v>
      </c>
      <c r="I144" s="957" t="str">
        <f t="shared" si="116"/>
        <v>OK</v>
      </c>
      <c r="J144" s="1522">
        <f t="shared" si="117"/>
        <v>0</v>
      </c>
      <c r="K144" s="1522">
        <f t="shared" si="118"/>
        <v>0</v>
      </c>
      <c r="L144" s="1522">
        <f t="shared" si="119"/>
        <v>0</v>
      </c>
      <c r="M144" s="1522">
        <f t="shared" si="120"/>
        <v>0</v>
      </c>
      <c r="N144" s="1518">
        <f t="shared" si="121"/>
        <v>0</v>
      </c>
      <c r="O144" s="958"/>
      <c r="P144" s="956">
        <f>Interface_Treatment!AR72</f>
        <v>0</v>
      </c>
      <c r="Q144" s="956">
        <f>Interface_Treatment!AS72</f>
        <v>0</v>
      </c>
      <c r="R144" s="956">
        <f>Interface_Treatment!AT72</f>
        <v>0</v>
      </c>
      <c r="S144" s="956">
        <f>Interface_Treatment!AU72</f>
        <v>0</v>
      </c>
      <c r="T144" s="1468">
        <f>SUM(O144:S144)</f>
        <v>0</v>
      </c>
      <c r="U144" s="957" t="str">
        <f t="shared" si="122"/>
        <v>OK</v>
      </c>
      <c r="V144" s="1522">
        <f t="shared" si="123"/>
        <v>0</v>
      </c>
      <c r="W144" s="1522">
        <f t="shared" si="124"/>
        <v>0</v>
      </c>
      <c r="X144" s="1522">
        <f t="shared" si="125"/>
        <v>0</v>
      </c>
      <c r="Y144" s="1522">
        <f t="shared" si="126"/>
        <v>0</v>
      </c>
      <c r="Z144" s="1518">
        <f t="shared" si="127"/>
        <v>0</v>
      </c>
      <c r="AA144" s="10"/>
      <c r="AB144" s="1522">
        <f t="shared" si="128"/>
        <v>0</v>
      </c>
      <c r="AC144" s="1522">
        <f t="shared" si="129"/>
        <v>0</v>
      </c>
      <c r="AD144" s="1522">
        <f t="shared" si="130"/>
        <v>0</v>
      </c>
      <c r="AE144" s="1522">
        <f t="shared" si="131"/>
        <v>0</v>
      </c>
      <c r="AF144" s="1518">
        <f t="shared" si="132"/>
        <v>0</v>
      </c>
    </row>
    <row r="145" spans="1:32" s="955" customFormat="1" ht="17.149999999999999" customHeight="1" x14ac:dyDescent="0.35">
      <c r="A145" s="953" t="str">
        <f>'Treatment volumes'!A88</f>
        <v>Onsite septic tanks | [Insert location]</v>
      </c>
      <c r="B145" s="1522">
        <f>'Treatment volumes'!H88</f>
        <v>0</v>
      </c>
      <c r="C145" s="1522">
        <f>'Treatment volumes'!N88</f>
        <v>0</v>
      </c>
      <c r="D145" s="956">
        <f>Interface_Treatment!AJ73</f>
        <v>0</v>
      </c>
      <c r="E145" s="956">
        <f>Interface_Treatment!AK73</f>
        <v>0</v>
      </c>
      <c r="F145" s="956">
        <f>Interface_Treatment!AL73</f>
        <v>0</v>
      </c>
      <c r="G145" s="956">
        <f>Interface_Treatment!AM73</f>
        <v>0</v>
      </c>
      <c r="H145" s="1468">
        <f t="shared" si="115"/>
        <v>0</v>
      </c>
      <c r="I145" s="957" t="str">
        <f t="shared" si="116"/>
        <v>OK</v>
      </c>
      <c r="J145" s="1522">
        <f t="shared" si="117"/>
        <v>0</v>
      </c>
      <c r="K145" s="1522">
        <f t="shared" si="118"/>
        <v>0</v>
      </c>
      <c r="L145" s="1522">
        <f t="shared" si="119"/>
        <v>0</v>
      </c>
      <c r="M145" s="1522">
        <f t="shared" si="120"/>
        <v>0</v>
      </c>
      <c r="N145" s="1518">
        <f t="shared" si="121"/>
        <v>0</v>
      </c>
      <c r="P145" s="956">
        <f>Interface_Treatment!AR73</f>
        <v>0</v>
      </c>
      <c r="Q145" s="956">
        <f>Interface_Treatment!AS73</f>
        <v>0</v>
      </c>
      <c r="R145" s="956">
        <f>Interface_Treatment!AT73</f>
        <v>0</v>
      </c>
      <c r="S145" s="956">
        <f>Interface_Treatment!AU73</f>
        <v>0</v>
      </c>
      <c r="T145" s="1468">
        <f>SUM(O145:S145)</f>
        <v>0</v>
      </c>
      <c r="U145" s="957" t="str">
        <f t="shared" si="122"/>
        <v>OK</v>
      </c>
      <c r="V145" s="1522">
        <f t="shared" si="123"/>
        <v>0</v>
      </c>
      <c r="W145" s="1522">
        <f t="shared" si="124"/>
        <v>0</v>
      </c>
      <c r="X145" s="1522">
        <f t="shared" si="125"/>
        <v>0</v>
      </c>
      <c r="Y145" s="1522">
        <f t="shared" si="126"/>
        <v>0</v>
      </c>
      <c r="Z145" s="1518">
        <f t="shared" si="127"/>
        <v>0</v>
      </c>
      <c r="AA145" s="10"/>
      <c r="AB145" s="1522">
        <f t="shared" si="128"/>
        <v>0</v>
      </c>
      <c r="AC145" s="1522">
        <f t="shared" si="129"/>
        <v>0</v>
      </c>
      <c r="AD145" s="1522">
        <f t="shared" si="130"/>
        <v>0</v>
      </c>
      <c r="AE145" s="1522">
        <f t="shared" si="131"/>
        <v>0</v>
      </c>
      <c r="AF145" s="1518">
        <f t="shared" si="132"/>
        <v>0</v>
      </c>
    </row>
    <row r="146" spans="1:32" s="955" customFormat="1" ht="17.149999999999999" customHeight="1" x14ac:dyDescent="0.35">
      <c r="A146" s="953">
        <f>'Treatment volumes'!A89</f>
        <v>0</v>
      </c>
      <c r="B146" s="1522">
        <f>'Treatment volumes'!H89</f>
        <v>0</v>
      </c>
      <c r="C146" s="1522">
        <f>'Treatment volumes'!N89</f>
        <v>0</v>
      </c>
      <c r="D146" s="956">
        <f>Interface_Treatment!AJ74</f>
        <v>0</v>
      </c>
      <c r="E146" s="956">
        <f>Interface_Treatment!AK74</f>
        <v>0</v>
      </c>
      <c r="F146" s="956">
        <f>Interface_Treatment!AL74</f>
        <v>0</v>
      </c>
      <c r="G146" s="956">
        <f>Interface_Treatment!AM74</f>
        <v>0</v>
      </c>
      <c r="H146" s="1468">
        <f t="shared" si="115"/>
        <v>0</v>
      </c>
      <c r="I146" s="957" t="str">
        <f t="shared" si="116"/>
        <v>OK</v>
      </c>
      <c r="J146" s="1522">
        <f t="shared" si="117"/>
        <v>0</v>
      </c>
      <c r="K146" s="1522">
        <f t="shared" si="118"/>
        <v>0</v>
      </c>
      <c r="L146" s="1522">
        <f t="shared" si="119"/>
        <v>0</v>
      </c>
      <c r="M146" s="1522">
        <f t="shared" si="120"/>
        <v>0</v>
      </c>
      <c r="N146" s="1518">
        <f t="shared" si="121"/>
        <v>0</v>
      </c>
      <c r="P146" s="956">
        <f>Interface_Treatment!AR74</f>
        <v>0</v>
      </c>
      <c r="Q146" s="956">
        <f>Interface_Treatment!AS74</f>
        <v>0</v>
      </c>
      <c r="R146" s="956">
        <f>Interface_Treatment!AT74</f>
        <v>0</v>
      </c>
      <c r="S146" s="956">
        <f>Interface_Treatment!AU74</f>
        <v>0</v>
      </c>
      <c r="T146" s="1468">
        <f>SUM(O146:S146)</f>
        <v>0</v>
      </c>
      <c r="U146" s="957" t="str">
        <f t="shared" si="122"/>
        <v>OK</v>
      </c>
      <c r="V146" s="1522">
        <f t="shared" si="123"/>
        <v>0</v>
      </c>
      <c r="W146" s="1522">
        <f t="shared" si="124"/>
        <v>0</v>
      </c>
      <c r="X146" s="1522">
        <f t="shared" si="125"/>
        <v>0</v>
      </c>
      <c r="Y146" s="1522">
        <f t="shared" si="126"/>
        <v>0</v>
      </c>
      <c r="Z146" s="1518">
        <f t="shared" si="127"/>
        <v>0</v>
      </c>
      <c r="AA146" s="10"/>
      <c r="AB146" s="1522">
        <f t="shared" si="128"/>
        <v>0</v>
      </c>
      <c r="AC146" s="1522">
        <f t="shared" si="129"/>
        <v>0</v>
      </c>
      <c r="AD146" s="1522">
        <f t="shared" si="130"/>
        <v>0</v>
      </c>
      <c r="AE146" s="1522">
        <f t="shared" si="131"/>
        <v>0</v>
      </c>
      <c r="AF146" s="1518">
        <f t="shared" si="132"/>
        <v>0</v>
      </c>
    </row>
    <row r="147" spans="1:32" s="955" customFormat="1" ht="17.149999999999999" customHeight="1" x14ac:dyDescent="0.35">
      <c r="A147" s="953">
        <f>'Treatment volumes'!A90</f>
        <v>0</v>
      </c>
      <c r="B147" s="1522">
        <f>'Treatment volumes'!H90</f>
        <v>0</v>
      </c>
      <c r="C147" s="1522">
        <f>'Treatment volumes'!N90</f>
        <v>0</v>
      </c>
      <c r="D147" s="956">
        <f>Interface_Treatment!AJ75</f>
        <v>0</v>
      </c>
      <c r="E147" s="956">
        <f>Interface_Treatment!AK75</f>
        <v>0</v>
      </c>
      <c r="F147" s="956">
        <f>Interface_Treatment!AL75</f>
        <v>0</v>
      </c>
      <c r="G147" s="956">
        <f>Interface_Treatment!AM75</f>
        <v>0</v>
      </c>
      <c r="H147" s="1468">
        <f t="shared" si="115"/>
        <v>0</v>
      </c>
      <c r="I147" s="957" t="str">
        <f t="shared" si="116"/>
        <v>OK</v>
      </c>
      <c r="J147" s="1522">
        <f t="shared" si="117"/>
        <v>0</v>
      </c>
      <c r="K147" s="1522">
        <f t="shared" si="118"/>
        <v>0</v>
      </c>
      <c r="L147" s="1522">
        <f t="shared" si="119"/>
        <v>0</v>
      </c>
      <c r="M147" s="1522">
        <f t="shared" si="120"/>
        <v>0</v>
      </c>
      <c r="N147" s="1518">
        <f t="shared" si="121"/>
        <v>0</v>
      </c>
      <c r="O147" s="103"/>
      <c r="P147" s="956">
        <f>Interface_Treatment!AR75</f>
        <v>0</v>
      </c>
      <c r="Q147" s="956">
        <f>Interface_Treatment!AS75</f>
        <v>0</v>
      </c>
      <c r="R147" s="956">
        <f>Interface_Treatment!AT75</f>
        <v>0</v>
      </c>
      <c r="S147" s="956">
        <f>Interface_Treatment!AU75</f>
        <v>0</v>
      </c>
      <c r="T147" s="1468">
        <f>SUM(O147:S147)</f>
        <v>0</v>
      </c>
      <c r="U147" s="957" t="str">
        <f t="shared" si="122"/>
        <v>OK</v>
      </c>
      <c r="V147" s="1522">
        <f t="shared" si="123"/>
        <v>0</v>
      </c>
      <c r="W147" s="1522">
        <f t="shared" si="124"/>
        <v>0</v>
      </c>
      <c r="X147" s="1522">
        <f t="shared" si="125"/>
        <v>0</v>
      </c>
      <c r="Y147" s="1522">
        <f t="shared" si="126"/>
        <v>0</v>
      </c>
      <c r="Z147" s="1518">
        <f t="shared" si="127"/>
        <v>0</v>
      </c>
      <c r="AA147" s="10"/>
      <c r="AB147" s="1522">
        <f t="shared" si="128"/>
        <v>0</v>
      </c>
      <c r="AC147" s="1522">
        <f t="shared" si="129"/>
        <v>0</v>
      </c>
      <c r="AD147" s="1522">
        <f t="shared" si="130"/>
        <v>0</v>
      </c>
      <c r="AE147" s="1522">
        <f t="shared" si="131"/>
        <v>0</v>
      </c>
      <c r="AF147" s="1518">
        <f t="shared" si="132"/>
        <v>0</v>
      </c>
    </row>
    <row r="148" spans="1:32" s="12" customFormat="1" ht="17.149999999999999" customHeight="1" x14ac:dyDescent="0.35">
      <c r="A148" s="950" t="s">
        <v>208</v>
      </c>
      <c r="B148" s="948">
        <f>SUM(B142:B147)</f>
        <v>0</v>
      </c>
      <c r="C148" s="948">
        <f>SUM(C142:C147)</f>
        <v>0</v>
      </c>
      <c r="D148" s="952"/>
      <c r="E148" s="952"/>
      <c r="F148" s="952"/>
      <c r="G148" s="952"/>
      <c r="H148" s="952"/>
      <c r="I148" s="952"/>
      <c r="J148" s="948">
        <f>SUM(J142:J147)</f>
        <v>0</v>
      </c>
      <c r="K148" s="948">
        <f>SUM(K142:K147)</f>
        <v>0</v>
      </c>
      <c r="L148" s="948">
        <f>SUM(L142:L147)</f>
        <v>0</v>
      </c>
      <c r="M148" s="948">
        <f>SUM(M142:M147)</f>
        <v>0</v>
      </c>
      <c r="N148" s="948">
        <f>SUM(N142:N147)</f>
        <v>0</v>
      </c>
      <c r="O148" s="213"/>
      <c r="P148" s="952"/>
      <c r="Q148" s="952"/>
      <c r="R148" s="952"/>
      <c r="S148" s="952"/>
      <c r="T148" s="952"/>
      <c r="U148" s="952"/>
      <c r="V148" s="948">
        <f>SUM(V142:V147)</f>
        <v>0</v>
      </c>
      <c r="W148" s="948">
        <f>SUM(W142:W147)</f>
        <v>0</v>
      </c>
      <c r="X148" s="948">
        <f>SUM(X142:X147)</f>
        <v>0</v>
      </c>
      <c r="Y148" s="948">
        <f>SUM(Y142:Y147)</f>
        <v>0</v>
      </c>
      <c r="Z148" s="948">
        <f>SUM(Z142:Z147)</f>
        <v>0</v>
      </c>
      <c r="AA148" s="32"/>
      <c r="AB148" s="948">
        <f>SUM(AB142:AB147)</f>
        <v>0</v>
      </c>
      <c r="AC148" s="948">
        <f>SUM(AC142:AC147)</f>
        <v>0</v>
      </c>
      <c r="AD148" s="948">
        <f>SUM(AD142:AD147)</f>
        <v>0</v>
      </c>
      <c r="AE148" s="948">
        <f>SUM(AE142:AE147)</f>
        <v>0</v>
      </c>
      <c r="AF148" s="948">
        <f>SUM(AF142:AF147)</f>
        <v>0</v>
      </c>
    </row>
    <row r="149" spans="1:32" ht="17.149999999999999" customHeight="1" x14ac:dyDescent="0.35">
      <c r="A149" s="3"/>
      <c r="B149" s="3"/>
      <c r="C149" s="68"/>
      <c r="D149" s="3"/>
      <c r="E149" s="3"/>
      <c r="F149" s="3"/>
      <c r="G149" s="3"/>
      <c r="H149" s="3"/>
      <c r="I149" s="3"/>
      <c r="J149" s="1468">
        <f>IF($N$148=0,0,J148/$N$148)</f>
        <v>0</v>
      </c>
      <c r="K149" s="1468">
        <f>IF($N$148=0,0,K148/$N$148)</f>
        <v>0</v>
      </c>
      <c r="L149" s="1468">
        <f>IF($N$148=0,0,L148/$N$148)</f>
        <v>0</v>
      </c>
      <c r="M149" s="1468">
        <f>IF($N$148=0,0,M148/$N$148)</f>
        <v>0</v>
      </c>
      <c r="N149" s="1468">
        <f>IF($N$148=0,0,N148/$N$148)</f>
        <v>0</v>
      </c>
      <c r="O149" s="3"/>
      <c r="P149" s="3"/>
      <c r="Q149" s="3"/>
      <c r="R149" s="3"/>
      <c r="S149" s="3"/>
      <c r="T149" s="3"/>
      <c r="U149" s="3"/>
      <c r="V149" s="3"/>
      <c r="W149" s="3"/>
      <c r="X149" s="3"/>
      <c r="Y149" s="3"/>
      <c r="Z149" s="3"/>
    </row>
    <row r="150" spans="1:32" ht="17.149999999999999" customHeight="1" x14ac:dyDescent="0.35">
      <c r="A150" s="3"/>
      <c r="B150" s="3"/>
      <c r="C150" s="68"/>
      <c r="D150" s="3"/>
      <c r="E150" s="3"/>
      <c r="F150" s="3"/>
      <c r="G150" s="3"/>
      <c r="H150" s="3"/>
      <c r="I150" s="3"/>
      <c r="J150" s="3"/>
      <c r="K150" s="3"/>
      <c r="L150" s="3"/>
      <c r="M150" s="3"/>
      <c r="N150" s="3"/>
      <c r="O150" s="3"/>
      <c r="P150" s="3"/>
      <c r="Q150" s="3"/>
      <c r="R150" s="3"/>
      <c r="S150" s="3"/>
      <c r="T150" s="3"/>
      <c r="U150" s="3"/>
      <c r="V150" s="3"/>
      <c r="W150" s="3"/>
      <c r="X150" s="3"/>
      <c r="Y150" s="3"/>
      <c r="Z150" s="3"/>
    </row>
    <row r="151" spans="1:32" ht="17.149999999999999" customHeight="1" x14ac:dyDescent="0.35">
      <c r="A151" s="3"/>
      <c r="B151" s="3"/>
      <c r="C151" s="68"/>
      <c r="D151" s="3"/>
      <c r="E151" s="3"/>
      <c r="F151" s="3"/>
      <c r="G151" s="3"/>
      <c r="H151" s="3"/>
      <c r="I151" s="3"/>
      <c r="J151" s="3"/>
      <c r="K151" s="3"/>
      <c r="L151" s="3"/>
      <c r="M151" s="3"/>
      <c r="N151" s="3"/>
      <c r="O151" s="3"/>
      <c r="P151" s="3"/>
      <c r="Q151" s="3"/>
      <c r="R151" s="3"/>
      <c r="S151" s="3"/>
      <c r="T151" s="3"/>
      <c r="U151" s="3"/>
      <c r="V151" s="3"/>
      <c r="W151" s="3"/>
      <c r="X151" s="3"/>
      <c r="Y151" s="3"/>
      <c r="Z151" s="3"/>
    </row>
    <row r="152" spans="1:32" ht="17.149999999999999" customHeight="1" x14ac:dyDescent="0.35">
      <c r="A152" s="949" t="s">
        <v>1157</v>
      </c>
      <c r="B152" s="1780" t="s">
        <v>9</v>
      </c>
      <c r="C152" s="1780"/>
      <c r="D152" s="1780"/>
      <c r="E152" s="1780"/>
      <c r="F152" s="1780"/>
      <c r="G152" s="1780"/>
      <c r="H152" s="1780"/>
      <c r="I152" s="1780"/>
      <c r="J152" s="1780"/>
      <c r="K152" s="1780"/>
      <c r="L152" s="3"/>
      <c r="M152" s="3"/>
      <c r="N152" s="3"/>
      <c r="O152" s="3"/>
      <c r="P152" s="3"/>
      <c r="Q152" s="3"/>
      <c r="R152" s="3"/>
      <c r="S152" s="3"/>
      <c r="T152" s="3"/>
      <c r="U152" s="3"/>
      <c r="V152" s="3"/>
      <c r="W152" s="3"/>
      <c r="X152" s="3"/>
      <c r="Y152" s="3"/>
      <c r="Z152" s="3"/>
    </row>
    <row r="153" spans="1:32" ht="17.149999999999999" customHeight="1" x14ac:dyDescent="0.35">
      <c r="A153" s="3"/>
      <c r="B153" s="3"/>
      <c r="C153" s="68"/>
      <c r="D153" s="3"/>
      <c r="E153" s="3"/>
      <c r="F153" s="3"/>
      <c r="G153" s="3"/>
      <c r="H153" s="3"/>
      <c r="I153" s="3"/>
      <c r="J153" s="3"/>
      <c r="K153" s="3"/>
      <c r="L153" s="3"/>
      <c r="M153" s="3"/>
      <c r="N153" s="3"/>
      <c r="O153" s="3"/>
      <c r="P153" s="3"/>
      <c r="Q153" s="3"/>
      <c r="R153" s="3"/>
      <c r="S153" s="3"/>
      <c r="T153" s="3"/>
      <c r="U153" s="3"/>
      <c r="V153" s="3"/>
      <c r="W153" s="3"/>
      <c r="X153" s="3"/>
      <c r="Y153" s="3"/>
      <c r="Z153" s="3"/>
    </row>
    <row r="154" spans="1:32" ht="17.149999999999999" customHeight="1" x14ac:dyDescent="0.35">
      <c r="A154" s="330"/>
      <c r="B154" s="1784" t="s">
        <v>1158</v>
      </c>
      <c r="C154" s="1784"/>
      <c r="D154" s="1784"/>
      <c r="E154" s="1784"/>
      <c r="F154" s="1784"/>
      <c r="G154" s="1784"/>
      <c r="H154" s="1784"/>
      <c r="I154" s="1784"/>
      <c r="J154" s="1784"/>
      <c r="K154" s="1784"/>
      <c r="L154" s="3"/>
      <c r="M154" s="3"/>
      <c r="N154" s="3"/>
      <c r="O154" s="3"/>
      <c r="P154" s="3"/>
      <c r="Q154" s="3"/>
      <c r="R154" s="3"/>
      <c r="S154" s="3"/>
      <c r="T154" s="3"/>
      <c r="U154" s="3"/>
      <c r="V154" s="3"/>
      <c r="W154" s="3"/>
      <c r="X154" s="3"/>
      <c r="Y154" s="3"/>
      <c r="Z154" s="3"/>
    </row>
    <row r="155" spans="1:32" ht="17.149999999999999" customHeight="1" x14ac:dyDescent="0.35">
      <c r="A155" s="1784" t="s">
        <v>1125</v>
      </c>
      <c r="B155" s="1797" t="s">
        <v>28</v>
      </c>
      <c r="C155" s="1805"/>
      <c r="D155" s="1805"/>
      <c r="E155" s="1805"/>
      <c r="F155" s="1798"/>
      <c r="G155" s="1784" t="s">
        <v>1126</v>
      </c>
      <c r="H155" s="1784"/>
      <c r="I155" s="1784"/>
      <c r="J155" s="1784"/>
      <c r="K155" s="1784"/>
      <c r="L155" s="3"/>
      <c r="M155" s="3"/>
      <c r="N155" s="3"/>
      <c r="O155" s="3"/>
      <c r="P155" s="3"/>
      <c r="Q155" s="68"/>
      <c r="R155" s="68"/>
      <c r="S155" s="68"/>
      <c r="T155" s="3"/>
      <c r="U155" s="3"/>
      <c r="V155" s="3"/>
      <c r="W155" s="3"/>
      <c r="X155" s="3"/>
      <c r="Y155" s="3"/>
      <c r="Z155" s="3"/>
    </row>
    <row r="156" spans="1:32" ht="17.149999999999999" customHeight="1" x14ac:dyDescent="0.35">
      <c r="A156" s="1784"/>
      <c r="B156" s="1511" t="s">
        <v>531</v>
      </c>
      <c r="C156" s="1511" t="s">
        <v>532</v>
      </c>
      <c r="D156" s="1511" t="s">
        <v>533</v>
      </c>
      <c r="E156" s="1511" t="s">
        <v>333</v>
      </c>
      <c r="F156" s="1511" t="s">
        <v>361</v>
      </c>
      <c r="G156" s="1511" t="s">
        <v>531</v>
      </c>
      <c r="H156" s="1511" t="s">
        <v>532</v>
      </c>
      <c r="I156" s="1511" t="s">
        <v>533</v>
      </c>
      <c r="J156" s="1511" t="s">
        <v>333</v>
      </c>
      <c r="K156" s="1511" t="s">
        <v>361</v>
      </c>
      <c r="L156" s="3"/>
      <c r="M156" s="3"/>
      <c r="N156" s="3"/>
      <c r="O156" s="3"/>
      <c r="P156" s="3"/>
      <c r="Q156" s="68"/>
      <c r="R156" s="68"/>
      <c r="S156" s="68"/>
      <c r="T156" s="3"/>
      <c r="U156" s="3"/>
      <c r="V156" s="3"/>
      <c r="W156" s="3"/>
      <c r="X156" s="3"/>
      <c r="Y156" s="3"/>
      <c r="Z156" s="3"/>
    </row>
    <row r="157" spans="1:32" s="60" customFormat="1" ht="13" x14ac:dyDescent="0.35">
      <c r="A157" s="1510"/>
      <c r="B157" s="333"/>
      <c r="C157" s="333"/>
      <c r="D157" s="333"/>
      <c r="E157" s="333"/>
      <c r="F157" s="333"/>
      <c r="G157" s="334"/>
      <c r="H157" s="334"/>
      <c r="I157" s="334"/>
      <c r="J157" s="334"/>
      <c r="K157" s="334"/>
      <c r="Q157" s="327"/>
      <c r="R157" s="327"/>
      <c r="S157" s="327"/>
    </row>
    <row r="158" spans="1:32" s="47" customFormat="1" ht="17.149999999999999" customHeight="1" x14ac:dyDescent="0.35">
      <c r="A158" s="176" t="s">
        <v>1159</v>
      </c>
      <c r="B158" s="53">
        <f>V35</f>
        <v>0</v>
      </c>
      <c r="C158" s="53">
        <f>W35</f>
        <v>0</v>
      </c>
      <c r="D158" s="53">
        <f>X35</f>
        <v>0</v>
      </c>
      <c r="E158" s="53">
        <f>Y35</f>
        <v>0</v>
      </c>
      <c r="F158" s="53">
        <f>SUM(B158:E158)</f>
        <v>0</v>
      </c>
      <c r="G158" s="53">
        <f>AB35</f>
        <v>0</v>
      </c>
      <c r="H158" s="53">
        <f>AC35</f>
        <v>0</v>
      </c>
      <c r="I158" s="53">
        <f>AD35</f>
        <v>0</v>
      </c>
      <c r="J158" s="53">
        <f>AE35</f>
        <v>0</v>
      </c>
      <c r="K158" s="53">
        <f>SUM(G158:J158)</f>
        <v>0</v>
      </c>
      <c r="Q158" s="331"/>
      <c r="R158" s="331"/>
      <c r="S158" s="331"/>
    </row>
    <row r="159" spans="1:32" s="47" customFormat="1" ht="17.149999999999999" customHeight="1" x14ac:dyDescent="0.35">
      <c r="A159" s="176" t="s">
        <v>1128</v>
      </c>
      <c r="B159" s="53">
        <f>V54</f>
        <v>8042536.25</v>
      </c>
      <c r="C159" s="53">
        <f>W54</f>
        <v>0</v>
      </c>
      <c r="D159" s="53">
        <f>X54</f>
        <v>0</v>
      </c>
      <c r="E159" s="53">
        <f>Y54</f>
        <v>0</v>
      </c>
      <c r="F159" s="53">
        <f>SUM(B159:E159)</f>
        <v>8042536.25</v>
      </c>
      <c r="G159" s="53">
        <f>AB54</f>
        <v>14936138.75</v>
      </c>
      <c r="H159" s="53">
        <f>AC54</f>
        <v>0</v>
      </c>
      <c r="I159" s="53">
        <f>AD54</f>
        <v>0</v>
      </c>
      <c r="J159" s="53">
        <f>AE54</f>
        <v>0</v>
      </c>
      <c r="K159" s="53">
        <f>SUM(G159:J159)</f>
        <v>14936138.75</v>
      </c>
      <c r="Q159" s="331"/>
      <c r="R159" s="331"/>
      <c r="S159" s="331"/>
    </row>
    <row r="160" spans="1:32" s="47" customFormat="1" ht="17.149999999999999" customHeight="1" x14ac:dyDescent="0.35">
      <c r="A160" s="176" t="s">
        <v>1085</v>
      </c>
      <c r="B160" s="53">
        <f>V69</f>
        <v>0</v>
      </c>
      <c r="C160" s="53">
        <f>W69</f>
        <v>0</v>
      </c>
      <c r="D160" s="53">
        <f>X69</f>
        <v>0</v>
      </c>
      <c r="E160" s="53">
        <f>Y69</f>
        <v>0</v>
      </c>
      <c r="F160" s="53">
        <f>SUM(B160:E160)</f>
        <v>0</v>
      </c>
      <c r="G160" s="53">
        <f>AB69</f>
        <v>0</v>
      </c>
      <c r="H160" s="53">
        <f>AC69</f>
        <v>0</v>
      </c>
      <c r="I160" s="53">
        <f>AD69</f>
        <v>0</v>
      </c>
      <c r="J160" s="53">
        <f>AE69</f>
        <v>0</v>
      </c>
      <c r="K160" s="53">
        <f>SUM(G160:J160)</f>
        <v>0</v>
      </c>
      <c r="Q160" s="331"/>
      <c r="R160" s="331"/>
      <c r="S160" s="331"/>
    </row>
    <row r="161" spans="1:26" s="47" customFormat="1" ht="17.149999999999999" customHeight="1" x14ac:dyDescent="0.35">
      <c r="A161" s="176" t="s">
        <v>1086</v>
      </c>
      <c r="B161" s="53">
        <f>V84</f>
        <v>0</v>
      </c>
      <c r="C161" s="53">
        <f>W84</f>
        <v>0</v>
      </c>
      <c r="D161" s="53">
        <f>X84</f>
        <v>0</v>
      </c>
      <c r="E161" s="53">
        <f>Y84</f>
        <v>1231600</v>
      </c>
      <c r="F161" s="53">
        <f>SUM(B161:E161)</f>
        <v>1231600</v>
      </c>
      <c r="G161" s="53">
        <f>AB84</f>
        <v>0</v>
      </c>
      <c r="H161" s="53">
        <f>AC84</f>
        <v>0</v>
      </c>
      <c r="I161" s="53">
        <f>AD84</f>
        <v>0</v>
      </c>
      <c r="J161" s="53">
        <f>AE84</f>
        <v>4926400</v>
      </c>
      <c r="K161" s="53">
        <f>SUM(G161:J161)</f>
        <v>4926400</v>
      </c>
      <c r="Q161" s="331"/>
      <c r="R161" s="331"/>
      <c r="S161" s="331"/>
    </row>
    <row r="162" spans="1:26" s="11" customFormat="1" ht="17.149999999999999" customHeight="1" x14ac:dyDescent="0.35">
      <c r="A162" s="950" t="s">
        <v>208</v>
      </c>
      <c r="B162" s="948">
        <f>SUM(B158:B161)</f>
        <v>8042536.25</v>
      </c>
      <c r="C162" s="948">
        <f t="shared" ref="C162:K162" si="133">SUM(C158:C161)</f>
        <v>0</v>
      </c>
      <c r="D162" s="948">
        <f>SUM(D158:D161)</f>
        <v>0</v>
      </c>
      <c r="E162" s="948">
        <f>SUM(E158:E161)</f>
        <v>1231600</v>
      </c>
      <c r="F162" s="948">
        <f t="shared" si="133"/>
        <v>9274136.25</v>
      </c>
      <c r="G162" s="948">
        <f t="shared" si="133"/>
        <v>14936138.75</v>
      </c>
      <c r="H162" s="948">
        <f t="shared" si="133"/>
        <v>0</v>
      </c>
      <c r="I162" s="948">
        <f t="shared" si="133"/>
        <v>0</v>
      </c>
      <c r="J162" s="948">
        <f t="shared" si="133"/>
        <v>4926400</v>
      </c>
      <c r="K162" s="948">
        <f t="shared" si="133"/>
        <v>19862538.75</v>
      </c>
      <c r="Q162" s="332"/>
      <c r="R162" s="332"/>
      <c r="S162" s="332"/>
    </row>
    <row r="163" spans="1:26" ht="17.149999999999999" customHeight="1" x14ac:dyDescent="0.35">
      <c r="A163" s="3"/>
      <c r="B163" s="454">
        <f>IF($F$162=0,0,B162/$F$162)</f>
        <v>0.86720057083483115</v>
      </c>
      <c r="C163" s="454">
        <f>IF($F$162=0,0,C162/$F$162)</f>
        <v>0</v>
      </c>
      <c r="D163" s="454">
        <f>IF($F$162=0,0,D162/$F$162)</f>
        <v>0</v>
      </c>
      <c r="E163" s="454">
        <f>IF($F$162=0,0,E162/$F$162)</f>
        <v>0.13279942916516888</v>
      </c>
      <c r="F163" s="454">
        <f>IF($F$162=0,0,F162/$F$162)</f>
        <v>1</v>
      </c>
      <c r="G163" s="454">
        <f>IF($K$162=0,0,G162/$K$162)</f>
        <v>0.75197531080965163</v>
      </c>
      <c r="H163" s="454">
        <f>IF($K$162=0,0,H162/$K$162)</f>
        <v>0</v>
      </c>
      <c r="I163" s="454">
        <f>IF($K$162=0,0,I162/$K$162)</f>
        <v>0</v>
      </c>
      <c r="J163" s="454">
        <f>IF($K$162=0,0,J162/$K$162)</f>
        <v>0.24802468919034834</v>
      </c>
      <c r="K163" s="454">
        <f>IF($K$162=0,0,K162/$K$162)</f>
        <v>1</v>
      </c>
      <c r="L163" s="3"/>
      <c r="M163" s="3"/>
      <c r="N163" s="3"/>
      <c r="O163" s="3"/>
      <c r="P163" s="3"/>
      <c r="Q163" s="68"/>
      <c r="R163" s="68"/>
      <c r="S163" s="68"/>
      <c r="T163" s="3"/>
      <c r="U163" s="3"/>
      <c r="V163" s="3"/>
      <c r="W163" s="3"/>
      <c r="X163" s="3"/>
      <c r="Y163" s="3"/>
      <c r="Z163" s="3"/>
    </row>
    <row r="164" spans="1:26" ht="17.149999999999999" customHeight="1" x14ac:dyDescent="0.35">
      <c r="A164" s="3"/>
      <c r="B164" s="3"/>
      <c r="C164" s="3"/>
      <c r="D164" s="3"/>
      <c r="E164" s="3"/>
      <c r="F164" s="3"/>
      <c r="G164" s="3"/>
      <c r="H164" s="3"/>
      <c r="I164" s="3"/>
      <c r="J164" s="3"/>
      <c r="K164" s="3"/>
      <c r="L164" s="3"/>
      <c r="M164" s="3"/>
      <c r="N164" s="3"/>
      <c r="O164" s="3"/>
      <c r="P164" s="3"/>
      <c r="Q164" s="68"/>
      <c r="R164" s="68"/>
      <c r="S164" s="68"/>
      <c r="T164" s="3"/>
      <c r="U164" s="3"/>
      <c r="V164" s="3"/>
      <c r="W164" s="3"/>
      <c r="X164" s="3"/>
      <c r="Y164" s="3"/>
      <c r="Z164" s="3"/>
    </row>
    <row r="165" spans="1:26" ht="17.149999999999999" customHeight="1" x14ac:dyDescent="0.35">
      <c r="A165" s="3"/>
      <c r="B165" s="1853">
        <f>F162+K162</f>
        <v>29136675</v>
      </c>
      <c r="C165" s="1854"/>
      <c r="D165" s="1854"/>
      <c r="E165" s="1854"/>
      <c r="F165" s="1854"/>
      <c r="G165" s="1854"/>
      <c r="H165" s="1854"/>
      <c r="I165" s="1854"/>
      <c r="J165" s="1854"/>
      <c r="K165" s="1854"/>
      <c r="L165" s="3"/>
      <c r="M165" s="3"/>
      <c r="N165" s="3"/>
      <c r="O165" s="3"/>
      <c r="P165" s="3"/>
      <c r="Q165" s="68"/>
      <c r="R165" s="68"/>
      <c r="S165" s="68"/>
      <c r="T165" s="3"/>
      <c r="U165" s="3"/>
      <c r="V165" s="3"/>
      <c r="W165" s="3"/>
      <c r="X165" s="3"/>
      <c r="Y165" s="3"/>
      <c r="Z165" s="3"/>
    </row>
    <row r="166" spans="1:26" ht="17.149999999999999" customHeight="1" x14ac:dyDescent="0.35">
      <c r="A166" s="3"/>
      <c r="B166" s="3"/>
      <c r="C166" s="3"/>
      <c r="D166" s="3"/>
      <c r="E166" s="3"/>
      <c r="F166" s="3"/>
      <c r="G166" s="3"/>
      <c r="H166" s="3"/>
      <c r="I166" s="3"/>
      <c r="J166" s="3"/>
      <c r="K166" s="3"/>
      <c r="L166" s="3"/>
      <c r="M166" s="3"/>
      <c r="N166" s="3"/>
      <c r="O166" s="3"/>
      <c r="P166" s="3"/>
      <c r="Q166" s="68"/>
      <c r="R166" s="68"/>
      <c r="S166" s="68"/>
      <c r="T166" s="3"/>
      <c r="U166" s="3"/>
      <c r="V166" s="3"/>
      <c r="W166" s="3"/>
      <c r="X166" s="3"/>
      <c r="Y166" s="3"/>
      <c r="Z166" s="3"/>
    </row>
    <row r="167" spans="1:26" ht="17.149999999999999" customHeight="1" x14ac:dyDescent="0.35">
      <c r="A167" s="3"/>
      <c r="B167" s="3"/>
      <c r="C167" s="3"/>
      <c r="D167" s="3"/>
      <c r="E167" s="3"/>
      <c r="F167" s="3"/>
      <c r="G167" s="3"/>
      <c r="H167" s="3"/>
      <c r="I167" s="3"/>
      <c r="J167" s="3"/>
      <c r="K167" s="3"/>
      <c r="L167" s="3"/>
      <c r="M167" s="3"/>
      <c r="N167" s="3"/>
      <c r="O167" s="3"/>
      <c r="P167" s="3"/>
      <c r="Q167" s="68"/>
      <c r="R167" s="68"/>
      <c r="S167" s="68"/>
      <c r="T167" s="3"/>
      <c r="U167" s="3"/>
      <c r="V167" s="3"/>
      <c r="W167" s="3"/>
      <c r="X167" s="3"/>
      <c r="Y167" s="3"/>
      <c r="Z167" s="3"/>
    </row>
    <row r="168" spans="1:26" ht="17.149999999999999" customHeight="1" x14ac:dyDescent="0.35">
      <c r="A168" s="949" t="s">
        <v>1160</v>
      </c>
      <c r="B168" s="1780" t="s">
        <v>9</v>
      </c>
      <c r="C168" s="1780"/>
      <c r="D168" s="1780"/>
      <c r="E168" s="1780"/>
      <c r="F168" s="1780"/>
      <c r="G168" s="1780"/>
      <c r="H168" s="1780"/>
      <c r="I168" s="1780"/>
      <c r="J168" s="1780"/>
      <c r="K168" s="1780"/>
      <c r="L168" s="3"/>
      <c r="M168" s="3"/>
      <c r="N168" s="3"/>
      <c r="O168" s="3"/>
      <c r="P168" s="3"/>
      <c r="Q168" s="68"/>
      <c r="R168" s="68"/>
      <c r="S168" s="68"/>
      <c r="T168" s="3"/>
      <c r="U168" s="3"/>
      <c r="V168" s="3"/>
      <c r="W168" s="3"/>
      <c r="X168" s="3"/>
      <c r="Y168" s="3"/>
      <c r="Z168" s="3"/>
    </row>
    <row r="169" spans="1:26" ht="17.149999999999999" customHeight="1" x14ac:dyDescent="0.35">
      <c r="A169" s="3"/>
      <c r="B169" s="3"/>
      <c r="C169" s="68"/>
      <c r="D169" s="3"/>
      <c r="E169" s="3"/>
      <c r="F169" s="3"/>
      <c r="G169" s="3"/>
      <c r="H169" s="3"/>
      <c r="I169" s="3"/>
      <c r="J169" s="3"/>
      <c r="K169" s="3"/>
      <c r="L169" s="3"/>
      <c r="M169" s="3"/>
      <c r="N169" s="3"/>
      <c r="O169" s="3"/>
      <c r="P169" s="3"/>
      <c r="Q169" s="68"/>
      <c r="R169" s="68"/>
      <c r="S169" s="68"/>
      <c r="T169" s="3"/>
      <c r="U169" s="3"/>
      <c r="V169" s="3"/>
      <c r="W169" s="3"/>
      <c r="X169" s="3"/>
      <c r="Y169" s="3"/>
      <c r="Z169" s="3"/>
    </row>
    <row r="170" spans="1:26" ht="17.149999999999999" customHeight="1" x14ac:dyDescent="0.35">
      <c r="A170" s="330"/>
      <c r="B170" s="1784" t="s">
        <v>1161</v>
      </c>
      <c r="C170" s="1784"/>
      <c r="D170" s="1784"/>
      <c r="E170" s="1784"/>
      <c r="F170" s="1784"/>
      <c r="G170" s="1784"/>
      <c r="H170" s="1784"/>
      <c r="I170" s="1784"/>
      <c r="J170" s="1784"/>
      <c r="K170" s="1784"/>
      <c r="L170" s="3"/>
      <c r="M170" s="3"/>
      <c r="N170" s="3"/>
      <c r="O170" s="3"/>
      <c r="P170" s="3"/>
      <c r="Q170" s="68"/>
      <c r="R170" s="68"/>
      <c r="S170" s="68"/>
      <c r="T170" s="3"/>
      <c r="U170" s="3"/>
      <c r="V170" s="3"/>
      <c r="W170" s="3"/>
      <c r="X170" s="3"/>
      <c r="Y170" s="3"/>
      <c r="Z170" s="3"/>
    </row>
    <row r="171" spans="1:26" ht="17.149999999999999" customHeight="1" x14ac:dyDescent="0.35">
      <c r="A171" s="1784" t="s">
        <v>1125</v>
      </c>
      <c r="B171" s="1797" t="s">
        <v>28</v>
      </c>
      <c r="C171" s="1805"/>
      <c r="D171" s="1805"/>
      <c r="E171" s="1805"/>
      <c r="F171" s="1798"/>
      <c r="G171" s="1784" t="s">
        <v>1126</v>
      </c>
      <c r="H171" s="1784"/>
      <c r="I171" s="1784"/>
      <c r="J171" s="1784"/>
      <c r="K171" s="1784"/>
      <c r="L171" s="3"/>
      <c r="M171" s="3"/>
      <c r="N171" s="3"/>
      <c r="O171" s="3"/>
      <c r="P171" s="3"/>
      <c r="Q171" s="68"/>
      <c r="R171" s="68"/>
      <c r="S171" s="68"/>
      <c r="T171" s="3"/>
      <c r="U171" s="3"/>
      <c r="V171" s="3"/>
      <c r="W171" s="3"/>
      <c r="X171" s="3"/>
      <c r="Y171" s="3"/>
      <c r="Z171" s="3"/>
    </row>
    <row r="172" spans="1:26" ht="17.149999999999999" customHeight="1" x14ac:dyDescent="0.35">
      <c r="A172" s="1784"/>
      <c r="B172" s="1511" t="s">
        <v>538</v>
      </c>
      <c r="C172" s="1511" t="s">
        <v>539</v>
      </c>
      <c r="D172" s="1511" t="s">
        <v>540</v>
      </c>
      <c r="E172" s="1511" t="s">
        <v>333</v>
      </c>
      <c r="F172" s="1511" t="s">
        <v>361</v>
      </c>
      <c r="G172" s="1511" t="s">
        <v>538</v>
      </c>
      <c r="H172" s="1511" t="s">
        <v>539</v>
      </c>
      <c r="I172" s="1511" t="s">
        <v>540</v>
      </c>
      <c r="J172" s="1511" t="s">
        <v>333</v>
      </c>
      <c r="K172" s="1511" t="s">
        <v>361</v>
      </c>
      <c r="L172" s="3"/>
      <c r="M172" s="3"/>
      <c r="N172" s="3"/>
      <c r="O172" s="3"/>
      <c r="P172" s="3"/>
      <c r="Q172" s="68"/>
      <c r="R172" s="68"/>
      <c r="S172" s="68"/>
      <c r="T172" s="3"/>
      <c r="U172" s="3"/>
      <c r="V172" s="3"/>
      <c r="W172" s="3"/>
      <c r="X172" s="3"/>
      <c r="Y172" s="3"/>
      <c r="Z172" s="3"/>
    </row>
    <row r="173" spans="1:26" ht="17.149999999999999" customHeight="1" x14ac:dyDescent="0.35">
      <c r="A173" s="1510"/>
      <c r="B173" s="333"/>
      <c r="C173" s="333"/>
      <c r="D173" s="333"/>
      <c r="E173" s="333"/>
      <c r="F173" s="333"/>
      <c r="G173" s="334"/>
      <c r="H173" s="334"/>
      <c r="I173" s="334"/>
      <c r="J173" s="334"/>
      <c r="K173" s="334"/>
      <c r="L173" s="3"/>
      <c r="M173" s="3"/>
      <c r="N173" s="3"/>
      <c r="O173" s="3"/>
      <c r="P173" s="3"/>
      <c r="Q173" s="68"/>
      <c r="R173" s="68"/>
      <c r="S173" s="68"/>
      <c r="T173" s="3"/>
      <c r="U173" s="3"/>
      <c r="V173" s="3"/>
      <c r="W173" s="3"/>
      <c r="X173" s="3"/>
      <c r="Y173" s="3"/>
      <c r="Z173" s="3"/>
    </row>
    <row r="174" spans="1:26" s="955" customFormat="1" ht="17.149999999999999" customHeight="1" x14ac:dyDescent="0.35">
      <c r="A174" s="168" t="s">
        <v>1159</v>
      </c>
      <c r="B174" s="1518">
        <f>V100</f>
        <v>0</v>
      </c>
      <c r="C174" s="1518">
        <f>W100</f>
        <v>0</v>
      </c>
      <c r="D174" s="1518">
        <f>X100</f>
        <v>0</v>
      </c>
      <c r="E174" s="1518">
        <f>Y100</f>
        <v>0</v>
      </c>
      <c r="F174" s="1518">
        <f>SUM(B174:E174)</f>
        <v>0</v>
      </c>
      <c r="G174" s="1518">
        <f>AB100</f>
        <v>0</v>
      </c>
      <c r="H174" s="1518">
        <f>AC100</f>
        <v>0</v>
      </c>
      <c r="I174" s="1518">
        <f>AD100</f>
        <v>0</v>
      </c>
      <c r="J174" s="1518">
        <f>AE100</f>
        <v>0</v>
      </c>
      <c r="K174" s="1518">
        <f>SUM(G174:J174)</f>
        <v>0</v>
      </c>
      <c r="L174" s="60"/>
      <c r="M174" s="60"/>
      <c r="N174" s="60"/>
      <c r="O174" s="60"/>
      <c r="P174" s="60"/>
      <c r="Q174" s="327"/>
      <c r="R174" s="327"/>
      <c r="S174" s="327"/>
      <c r="T174" s="60"/>
      <c r="U174" s="60"/>
      <c r="V174" s="60"/>
      <c r="W174" s="60"/>
      <c r="X174" s="60"/>
      <c r="Y174" s="60"/>
      <c r="Z174" s="60"/>
    </row>
    <row r="175" spans="1:26" s="955" customFormat="1" ht="17.149999999999999" customHeight="1" x14ac:dyDescent="0.35">
      <c r="A175" s="168" t="s">
        <v>1128</v>
      </c>
      <c r="B175" s="1518">
        <f>V118</f>
        <v>0</v>
      </c>
      <c r="C175" s="1518">
        <f>W118</f>
        <v>0</v>
      </c>
      <c r="D175" s="1518">
        <f>X118</f>
        <v>0</v>
      </c>
      <c r="E175" s="1518">
        <f>Y118</f>
        <v>0</v>
      </c>
      <c r="F175" s="1518">
        <f>SUM(B175:E175)</f>
        <v>0</v>
      </c>
      <c r="G175" s="1518">
        <f>AB118</f>
        <v>0</v>
      </c>
      <c r="H175" s="1518">
        <f>AC118</f>
        <v>0</v>
      </c>
      <c r="I175" s="1518">
        <f>AD118</f>
        <v>0</v>
      </c>
      <c r="J175" s="1518">
        <f>AE118</f>
        <v>0</v>
      </c>
      <c r="K175" s="1518">
        <f>SUM(G175:J175)</f>
        <v>0</v>
      </c>
      <c r="L175" s="60"/>
      <c r="M175" s="60"/>
      <c r="N175" s="60"/>
      <c r="O175" s="60"/>
      <c r="P175" s="60"/>
      <c r="Q175" s="327"/>
      <c r="R175" s="327"/>
      <c r="S175" s="327"/>
      <c r="T175" s="60"/>
      <c r="U175" s="60"/>
      <c r="V175" s="60"/>
      <c r="W175" s="60"/>
      <c r="X175" s="60"/>
      <c r="Y175" s="60"/>
      <c r="Z175" s="60"/>
    </row>
    <row r="176" spans="1:26" s="955" customFormat="1" ht="17.149999999999999" customHeight="1" x14ac:dyDescent="0.35">
      <c r="A176" s="168" t="s">
        <v>1085</v>
      </c>
      <c r="B176" s="1518">
        <f>V133</f>
        <v>0</v>
      </c>
      <c r="C176" s="1518">
        <f>W133</f>
        <v>0</v>
      </c>
      <c r="D176" s="1518">
        <f>X133</f>
        <v>0</v>
      </c>
      <c r="E176" s="1518">
        <f>Y133</f>
        <v>0</v>
      </c>
      <c r="F176" s="1518">
        <f>SUM(B176:E176)</f>
        <v>0</v>
      </c>
      <c r="G176" s="1518">
        <f>AB133</f>
        <v>0</v>
      </c>
      <c r="H176" s="1518">
        <f>AC133</f>
        <v>0</v>
      </c>
      <c r="I176" s="1518">
        <f>AD133</f>
        <v>0</v>
      </c>
      <c r="J176" s="1518">
        <f>AE133</f>
        <v>0</v>
      </c>
      <c r="K176" s="1518">
        <f>SUM(G176:J176)</f>
        <v>0</v>
      </c>
      <c r="L176" s="60"/>
      <c r="M176" s="60"/>
      <c r="N176" s="60"/>
      <c r="O176" s="60"/>
      <c r="P176" s="60"/>
      <c r="Q176" s="327"/>
      <c r="R176" s="327"/>
      <c r="S176" s="327"/>
      <c r="T176" s="60"/>
      <c r="U176" s="60"/>
      <c r="V176" s="60"/>
      <c r="W176" s="60"/>
      <c r="X176" s="60"/>
      <c r="Y176" s="60"/>
      <c r="Z176" s="60"/>
    </row>
    <row r="177" spans="1:28" s="955" customFormat="1" ht="17.149999999999999" customHeight="1" x14ac:dyDescent="0.35">
      <c r="A177" s="168" t="s">
        <v>1086</v>
      </c>
      <c r="B177" s="1518">
        <f>V148</f>
        <v>0</v>
      </c>
      <c r="C177" s="1518">
        <f>W148</f>
        <v>0</v>
      </c>
      <c r="D177" s="1518">
        <f>X148</f>
        <v>0</v>
      </c>
      <c r="E177" s="1518">
        <f>Y148</f>
        <v>0</v>
      </c>
      <c r="F177" s="1518">
        <f>SUM(B177:E177)</f>
        <v>0</v>
      </c>
      <c r="G177" s="1518">
        <f>AB148</f>
        <v>0</v>
      </c>
      <c r="H177" s="1518">
        <f>AC148</f>
        <v>0</v>
      </c>
      <c r="I177" s="1518">
        <f>AD148</f>
        <v>0</v>
      </c>
      <c r="J177" s="1518">
        <f>AE148</f>
        <v>0</v>
      </c>
      <c r="K177" s="1518">
        <f>SUM(G177:J177)</f>
        <v>0</v>
      </c>
      <c r="L177" s="60"/>
      <c r="M177" s="60"/>
      <c r="N177" s="60"/>
      <c r="O177" s="60"/>
      <c r="P177" s="60"/>
      <c r="Q177" s="327"/>
      <c r="R177" s="327"/>
      <c r="S177" s="327"/>
      <c r="T177" s="60"/>
      <c r="U177" s="60"/>
      <c r="V177" s="60"/>
      <c r="W177" s="60"/>
      <c r="X177" s="60"/>
      <c r="Y177" s="60"/>
      <c r="Z177" s="60"/>
    </row>
    <row r="178" spans="1:28" ht="17.149999999999999" customHeight="1" x14ac:dyDescent="0.35">
      <c r="A178" s="950" t="s">
        <v>208</v>
      </c>
      <c r="B178" s="948">
        <f t="shared" ref="B178:K178" si="134">SUM(B174:B177)</f>
        <v>0</v>
      </c>
      <c r="C178" s="948">
        <f t="shared" si="134"/>
        <v>0</v>
      </c>
      <c r="D178" s="948">
        <f t="shared" si="134"/>
        <v>0</v>
      </c>
      <c r="E178" s="948">
        <f t="shared" si="134"/>
        <v>0</v>
      </c>
      <c r="F178" s="948">
        <f t="shared" si="134"/>
        <v>0</v>
      </c>
      <c r="G178" s="948">
        <f t="shared" si="134"/>
        <v>0</v>
      </c>
      <c r="H178" s="948">
        <f t="shared" si="134"/>
        <v>0</v>
      </c>
      <c r="I178" s="948">
        <f t="shared" si="134"/>
        <v>0</v>
      </c>
      <c r="J178" s="948">
        <f t="shared" si="134"/>
        <v>0</v>
      </c>
      <c r="K178" s="948">
        <f t="shared" si="134"/>
        <v>0</v>
      </c>
      <c r="L178" s="3"/>
      <c r="M178" s="3"/>
      <c r="N178" s="3"/>
      <c r="O178" s="3"/>
      <c r="P178" s="3"/>
      <c r="Q178" s="68"/>
      <c r="R178" s="68"/>
      <c r="S178" s="68"/>
      <c r="T178" s="3"/>
      <c r="U178" s="3"/>
      <c r="V178" s="3"/>
      <c r="W178" s="3"/>
      <c r="X178" s="3"/>
      <c r="Y178" s="3"/>
      <c r="Z178" s="3"/>
    </row>
    <row r="179" spans="1:28" ht="17.149999999999999" customHeight="1" x14ac:dyDescent="0.35">
      <c r="A179" s="3"/>
      <c r="B179" s="454">
        <f>IF($F$178=0,0,B178/$F$178)</f>
        <v>0</v>
      </c>
      <c r="C179" s="454">
        <f>IF($F$178=0,0,C178/$F$178)</f>
        <v>0</v>
      </c>
      <c r="D179" s="454">
        <f>IF($F$178=0,0,D178/$F$178)</f>
        <v>0</v>
      </c>
      <c r="E179" s="454">
        <f>IF($F$178=0,0,E178/$F$178)</f>
        <v>0</v>
      </c>
      <c r="F179" s="454">
        <f>IF($F$178=0,0,F178/$F$178)</f>
        <v>0</v>
      </c>
      <c r="G179" s="454">
        <f>IF($K$178=0,0,G178/$K$178)</f>
        <v>0</v>
      </c>
      <c r="H179" s="454">
        <f>IF($K$178=0,0,H178/$K$178)</f>
        <v>0</v>
      </c>
      <c r="I179" s="454">
        <f>IF($K$178=0,0,I178/$K$178)</f>
        <v>0</v>
      </c>
      <c r="J179" s="454">
        <f>IF($K$178=0,0,J178/$K$178)</f>
        <v>0</v>
      </c>
      <c r="K179" s="454">
        <f>IF($K$178=0,0,K178/$K$178)</f>
        <v>0</v>
      </c>
      <c r="L179" s="3"/>
      <c r="M179" s="3"/>
      <c r="N179" s="3"/>
      <c r="O179" s="3"/>
      <c r="P179" s="3"/>
      <c r="Q179" s="68"/>
      <c r="R179" s="68"/>
      <c r="S179" s="68"/>
      <c r="T179" s="3"/>
      <c r="U179" s="3"/>
      <c r="V179" s="3"/>
      <c r="W179" s="3"/>
      <c r="X179" s="3"/>
      <c r="Y179" s="3"/>
      <c r="Z179" s="3"/>
    </row>
    <row r="180" spans="1:28" ht="17.149999999999999" customHeight="1" x14ac:dyDescent="0.35">
      <c r="A180" s="3"/>
      <c r="B180" s="3"/>
      <c r="C180" s="3"/>
      <c r="D180" s="3"/>
      <c r="E180" s="3"/>
      <c r="F180" s="3"/>
      <c r="G180" s="3"/>
      <c r="H180" s="3"/>
      <c r="I180" s="3"/>
      <c r="J180" s="3"/>
      <c r="K180" s="3"/>
      <c r="L180" s="3"/>
      <c r="M180" s="3"/>
      <c r="N180" s="3"/>
      <c r="O180" s="3"/>
      <c r="P180" s="3"/>
      <c r="Q180" s="68"/>
      <c r="R180" s="68"/>
      <c r="S180" s="68"/>
      <c r="T180" s="3"/>
      <c r="U180" s="3"/>
      <c r="V180" s="3"/>
      <c r="W180" s="3"/>
      <c r="X180" s="3"/>
      <c r="Y180" s="3"/>
      <c r="Z180" s="3"/>
    </row>
    <row r="181" spans="1:28" ht="17.149999999999999" customHeight="1" x14ac:dyDescent="0.35">
      <c r="A181" s="3"/>
      <c r="B181" s="1853">
        <f>F178+K178</f>
        <v>0</v>
      </c>
      <c r="C181" s="1854"/>
      <c r="D181" s="1854"/>
      <c r="E181" s="1854"/>
      <c r="F181" s="1854"/>
      <c r="G181" s="1854"/>
      <c r="H181" s="1854"/>
      <c r="I181" s="1854"/>
      <c r="J181" s="1854"/>
      <c r="K181" s="1854"/>
      <c r="L181" s="3"/>
      <c r="M181" s="3"/>
      <c r="N181" s="3"/>
      <c r="O181" s="3"/>
      <c r="P181" s="3"/>
      <c r="Q181" s="68"/>
      <c r="R181" s="68"/>
      <c r="S181" s="68"/>
      <c r="T181" s="3"/>
      <c r="U181" s="3"/>
      <c r="V181" s="3"/>
      <c r="W181" s="3"/>
      <c r="X181" s="3"/>
      <c r="Y181" s="3"/>
      <c r="Z181" s="3"/>
    </row>
    <row r="182" spans="1:28" ht="17.149999999999999" customHeight="1" x14ac:dyDescent="0.35">
      <c r="A182" s="3"/>
      <c r="B182" s="3"/>
      <c r="C182" s="3"/>
      <c r="D182" s="3"/>
      <c r="E182" s="3"/>
      <c r="F182" s="3"/>
      <c r="G182" s="3"/>
      <c r="H182" s="3"/>
      <c r="I182" s="3"/>
      <c r="J182" s="3"/>
      <c r="K182" s="3"/>
      <c r="L182" s="3"/>
      <c r="M182" s="3"/>
      <c r="N182" s="3"/>
      <c r="O182" s="3"/>
      <c r="P182" s="3"/>
      <c r="Q182" s="68"/>
      <c r="R182" s="68"/>
      <c r="S182" s="68"/>
      <c r="T182" s="3"/>
      <c r="U182" s="3"/>
      <c r="V182" s="3"/>
      <c r="W182" s="3"/>
      <c r="X182" s="3"/>
      <c r="Y182" s="3"/>
      <c r="Z182" s="3"/>
    </row>
    <row r="183" spans="1:28" ht="17.149999999999999" customHeight="1" x14ac:dyDescent="0.35">
      <c r="A183" s="3"/>
      <c r="B183" s="3"/>
      <c r="C183" s="3"/>
      <c r="D183" s="3"/>
      <c r="E183" s="3"/>
      <c r="F183" s="3"/>
      <c r="G183" s="3"/>
      <c r="H183" s="3"/>
      <c r="I183" s="3"/>
      <c r="J183" s="3"/>
      <c r="K183" s="3"/>
      <c r="L183" s="3"/>
      <c r="M183" s="3"/>
      <c r="N183" s="3"/>
      <c r="O183" s="3"/>
      <c r="P183" s="3"/>
      <c r="Q183" s="68"/>
      <c r="R183" s="68"/>
      <c r="S183" s="68"/>
      <c r="T183" s="3"/>
      <c r="U183" s="3"/>
      <c r="V183" s="3"/>
      <c r="W183" s="3"/>
      <c r="X183" s="3"/>
      <c r="Y183" s="3"/>
      <c r="Z183" s="3"/>
    </row>
    <row r="184" spans="1:28" ht="17.149999999999999" customHeight="1" x14ac:dyDescent="0.35">
      <c r="A184" s="330"/>
      <c r="B184" s="1797" t="s">
        <v>1162</v>
      </c>
      <c r="C184" s="1805"/>
      <c r="D184" s="1798"/>
      <c r="E184" s="1784" t="s">
        <v>1163</v>
      </c>
      <c r="F184" s="1784"/>
      <c r="G184" s="1784"/>
      <c r="H184" s="3"/>
      <c r="I184" s="1784" t="s">
        <v>1164</v>
      </c>
      <c r="J184" s="1784"/>
      <c r="K184" s="1784"/>
      <c r="L184" s="3"/>
      <c r="M184" s="3"/>
      <c r="N184" s="3"/>
      <c r="O184" s="3"/>
      <c r="P184" s="3"/>
      <c r="Q184" s="3"/>
      <c r="R184" s="3"/>
      <c r="S184" s="68"/>
      <c r="T184" s="68"/>
      <c r="U184" s="68"/>
      <c r="V184" s="3"/>
      <c r="W184" s="3"/>
      <c r="X184" s="3"/>
      <c r="Y184" s="3"/>
      <c r="Z184" s="3"/>
      <c r="AA184" s="3"/>
      <c r="AB184" s="3"/>
    </row>
    <row r="185" spans="1:28" ht="17.149999999999999" customHeight="1" x14ac:dyDescent="0.35">
      <c r="A185" s="1503" t="s">
        <v>1125</v>
      </c>
      <c r="B185" s="1503" t="s">
        <v>54</v>
      </c>
      <c r="C185" s="1503" t="s">
        <v>1165</v>
      </c>
      <c r="D185" s="1503" t="s">
        <v>12</v>
      </c>
      <c r="E185" s="1503" t="s">
        <v>54</v>
      </c>
      <c r="F185" s="1503" t="s">
        <v>1165</v>
      </c>
      <c r="G185" s="1503" t="s">
        <v>12</v>
      </c>
      <c r="H185" s="3"/>
      <c r="I185" s="1503" t="s">
        <v>54</v>
      </c>
      <c r="J185" s="1503" t="s">
        <v>1165</v>
      </c>
      <c r="K185" s="1503" t="s">
        <v>12</v>
      </c>
      <c r="L185" s="3"/>
      <c r="M185" s="3"/>
      <c r="N185" s="3"/>
      <c r="O185" s="3"/>
      <c r="P185" s="3"/>
      <c r="Q185" s="3"/>
      <c r="R185" s="3"/>
      <c r="S185" s="68"/>
      <c r="T185" s="68"/>
      <c r="U185" s="68"/>
      <c r="V185" s="3"/>
      <c r="W185" s="3"/>
      <c r="X185" s="3"/>
      <c r="Y185" s="3"/>
      <c r="Z185" s="3"/>
      <c r="AA185" s="3"/>
      <c r="AB185" s="3"/>
    </row>
    <row r="186" spans="1:28" s="60" customFormat="1" ht="13" x14ac:dyDescent="0.35">
      <c r="A186" s="335"/>
      <c r="B186" s="321"/>
      <c r="C186" s="292"/>
      <c r="D186" s="155"/>
      <c r="E186" s="321"/>
      <c r="F186" s="292"/>
      <c r="G186" s="155"/>
      <c r="I186" s="321"/>
      <c r="J186" s="292"/>
      <c r="K186" s="155"/>
      <c r="S186" s="327"/>
      <c r="T186" s="327"/>
      <c r="U186" s="327"/>
    </row>
    <row r="187" spans="1:28" s="955" customFormat="1" ht="17.149999999999999" customHeight="1" x14ac:dyDescent="0.35">
      <c r="A187" s="168" t="s">
        <v>1159</v>
      </c>
      <c r="B187" s="1518">
        <f>F158</f>
        <v>0</v>
      </c>
      <c r="C187" s="1518">
        <f>K158</f>
        <v>0</v>
      </c>
      <c r="D187" s="1518">
        <f>B187+C187</f>
        <v>0</v>
      </c>
      <c r="E187" s="1518">
        <f>F174</f>
        <v>0</v>
      </c>
      <c r="F187" s="1518">
        <f>K174</f>
        <v>0</v>
      </c>
      <c r="G187" s="1518">
        <f>E187+F187</f>
        <v>0</v>
      </c>
      <c r="H187" s="60"/>
      <c r="I187" s="1518">
        <f t="shared" ref="I187:J190" si="135">B187+E187</f>
        <v>0</v>
      </c>
      <c r="J187" s="1518">
        <f t="shared" si="135"/>
        <v>0</v>
      </c>
      <c r="K187" s="1518">
        <f>I187+J187</f>
        <v>0</v>
      </c>
      <c r="L187" s="60"/>
      <c r="M187" s="60"/>
      <c r="N187" s="60"/>
      <c r="O187" s="60"/>
      <c r="P187" s="60"/>
      <c r="Q187" s="60"/>
      <c r="R187" s="60"/>
      <c r="S187" s="327"/>
      <c r="T187" s="327"/>
      <c r="U187" s="327"/>
      <c r="V187" s="60"/>
      <c r="W187" s="60"/>
      <c r="X187" s="60"/>
      <c r="Y187" s="60"/>
      <c r="Z187" s="60"/>
      <c r="AA187" s="60"/>
      <c r="AB187" s="60"/>
    </row>
    <row r="188" spans="1:28" s="955" customFormat="1" ht="17.149999999999999" customHeight="1" x14ac:dyDescent="0.35">
      <c r="A188" s="168" t="s">
        <v>1128</v>
      </c>
      <c r="B188" s="1518">
        <f>F159</f>
        <v>8042536.25</v>
      </c>
      <c r="C188" s="1518">
        <f>K159</f>
        <v>14936138.75</v>
      </c>
      <c r="D188" s="1518">
        <f>B188+C188</f>
        <v>22978675</v>
      </c>
      <c r="E188" s="1518">
        <f>F175</f>
        <v>0</v>
      </c>
      <c r="F188" s="1518">
        <f>K175</f>
        <v>0</v>
      </c>
      <c r="G188" s="1518">
        <f>E188+F188</f>
        <v>0</v>
      </c>
      <c r="H188" s="60"/>
      <c r="I188" s="1518">
        <f t="shared" si="135"/>
        <v>8042536.25</v>
      </c>
      <c r="J188" s="1518">
        <f t="shared" si="135"/>
        <v>14936138.75</v>
      </c>
      <c r="K188" s="1518">
        <f>I188+J188</f>
        <v>22978675</v>
      </c>
      <c r="L188" s="60"/>
      <c r="M188" s="60"/>
      <c r="N188" s="60"/>
      <c r="O188" s="60"/>
      <c r="P188" s="60"/>
      <c r="Q188" s="60"/>
      <c r="R188" s="60"/>
      <c r="S188" s="327"/>
      <c r="T188" s="327"/>
      <c r="U188" s="327"/>
      <c r="V188" s="60"/>
      <c r="W188" s="60"/>
      <c r="X188" s="60"/>
      <c r="Y188" s="60"/>
      <c r="Z188" s="60"/>
      <c r="AA188" s="60"/>
      <c r="AB188" s="60"/>
    </row>
    <row r="189" spans="1:28" s="955" customFormat="1" ht="17.149999999999999" customHeight="1" x14ac:dyDescent="0.35">
      <c r="A189" s="168" t="s">
        <v>1085</v>
      </c>
      <c r="B189" s="1518">
        <f>F160</f>
        <v>0</v>
      </c>
      <c r="C189" s="1518">
        <f>K160</f>
        <v>0</v>
      </c>
      <c r="D189" s="1518">
        <f>B189+C189</f>
        <v>0</v>
      </c>
      <c r="E189" s="1518">
        <f>F176</f>
        <v>0</v>
      </c>
      <c r="F189" s="1518">
        <f>K176</f>
        <v>0</v>
      </c>
      <c r="G189" s="1518">
        <f>E189+F189</f>
        <v>0</v>
      </c>
      <c r="H189" s="60"/>
      <c r="I189" s="1518">
        <f t="shared" si="135"/>
        <v>0</v>
      </c>
      <c r="J189" s="1518">
        <f t="shared" si="135"/>
        <v>0</v>
      </c>
      <c r="K189" s="1518">
        <f>I189+J189</f>
        <v>0</v>
      </c>
      <c r="L189" s="60"/>
      <c r="M189" s="60"/>
      <c r="N189" s="60"/>
      <c r="O189" s="60"/>
      <c r="P189" s="60"/>
      <c r="Q189" s="60"/>
      <c r="R189" s="60"/>
      <c r="S189" s="327"/>
      <c r="T189" s="327"/>
      <c r="U189" s="327"/>
      <c r="V189" s="60"/>
      <c r="W189" s="60"/>
      <c r="X189" s="60"/>
      <c r="Y189" s="60"/>
      <c r="Z189" s="60"/>
      <c r="AA189" s="60"/>
      <c r="AB189" s="60"/>
    </row>
    <row r="190" spans="1:28" s="955" customFormat="1" ht="17.149999999999999" customHeight="1" x14ac:dyDescent="0.35">
      <c r="A190" s="168" t="s">
        <v>1086</v>
      </c>
      <c r="B190" s="1518">
        <f>F161</f>
        <v>1231600</v>
      </c>
      <c r="C190" s="1518">
        <f>K161</f>
        <v>4926400</v>
      </c>
      <c r="D190" s="1518">
        <f>B190+C190</f>
        <v>6158000</v>
      </c>
      <c r="E190" s="1518">
        <f>F177</f>
        <v>0</v>
      </c>
      <c r="F190" s="1518">
        <f>K177</f>
        <v>0</v>
      </c>
      <c r="G190" s="1518">
        <f>E190+F190</f>
        <v>0</v>
      </c>
      <c r="H190" s="60"/>
      <c r="I190" s="1518">
        <f t="shared" si="135"/>
        <v>1231600</v>
      </c>
      <c r="J190" s="1518">
        <f t="shared" si="135"/>
        <v>4926400</v>
      </c>
      <c r="K190" s="1518">
        <f>I190+J190</f>
        <v>6158000</v>
      </c>
      <c r="L190" s="60"/>
      <c r="M190" s="60"/>
      <c r="N190" s="60"/>
      <c r="O190" s="60"/>
      <c r="P190" s="60"/>
      <c r="Q190" s="60"/>
      <c r="R190" s="60"/>
      <c r="S190" s="327"/>
      <c r="T190" s="327"/>
      <c r="U190" s="327"/>
      <c r="V190" s="60"/>
      <c r="W190" s="60"/>
      <c r="X190" s="60"/>
      <c r="Y190" s="60"/>
      <c r="Z190" s="60"/>
      <c r="AA190" s="60"/>
      <c r="AB190" s="60"/>
    </row>
    <row r="191" spans="1:28" ht="17.149999999999999" customHeight="1" x14ac:dyDescent="0.35">
      <c r="A191" s="950" t="s">
        <v>208</v>
      </c>
      <c r="B191" s="948">
        <f t="shared" ref="B191:G191" si="136">SUM(B187:B190)</f>
        <v>9274136.25</v>
      </c>
      <c r="C191" s="948">
        <f t="shared" si="136"/>
        <v>19862538.75</v>
      </c>
      <c r="D191" s="948">
        <f t="shared" si="136"/>
        <v>29136675</v>
      </c>
      <c r="E191" s="948">
        <f t="shared" si="136"/>
        <v>0</v>
      </c>
      <c r="F191" s="948">
        <f t="shared" si="136"/>
        <v>0</v>
      </c>
      <c r="G191" s="948">
        <f t="shared" si="136"/>
        <v>0</v>
      </c>
      <c r="H191" s="3"/>
      <c r="I191" s="948">
        <f>SUM(I187:I190)</f>
        <v>9274136.25</v>
      </c>
      <c r="J191" s="948">
        <f>SUM(J187:J190)</f>
        <v>19862538.75</v>
      </c>
      <c r="K191" s="948">
        <f>SUM(K187:K190)</f>
        <v>29136675</v>
      </c>
      <c r="L191" s="3"/>
      <c r="M191" s="3"/>
      <c r="N191" s="3"/>
      <c r="O191" s="3"/>
      <c r="P191" s="3"/>
      <c r="Q191" s="3"/>
      <c r="R191" s="3"/>
      <c r="S191" s="3"/>
      <c r="T191" s="3"/>
      <c r="U191" s="3"/>
      <c r="V191" s="3"/>
      <c r="W191" s="3"/>
      <c r="X191" s="3"/>
      <c r="Y191" s="3"/>
      <c r="Z191" s="3"/>
      <c r="AA191" s="3"/>
      <c r="AB191" s="3"/>
    </row>
    <row r="192" spans="1:28" s="107" customFormat="1" ht="17.149999999999999" customHeight="1" x14ac:dyDescent="0.35">
      <c r="A192" s="33"/>
      <c r="B192" s="1468">
        <f>IF($D$191=0,0,B191/$D$191)</f>
        <v>0.31829768667838731</v>
      </c>
      <c r="C192" s="1468">
        <f>IF($D$191=0,0,C191/$D$191)</f>
        <v>0.68170231332161269</v>
      </c>
      <c r="D192" s="1468">
        <f>IF($D$191=0,0,D191/$D$191)</f>
        <v>1</v>
      </c>
      <c r="E192" s="1468">
        <f>IF($G$191=0,0,E191/$G$191)</f>
        <v>0</v>
      </c>
      <c r="F192" s="1468">
        <f>IF($G$191=0,0,F191/$G$191)</f>
        <v>0</v>
      </c>
      <c r="G192" s="1468">
        <f>IF($G$191=0,0,G191/$G$191)</f>
        <v>0</v>
      </c>
      <c r="H192" s="43"/>
      <c r="I192" s="1468">
        <f>IF($K$191=0,0,I191/$K$191)</f>
        <v>0.31829768667838731</v>
      </c>
      <c r="J192" s="1468">
        <f>IF($K$191=0,0,J191/$K$191)</f>
        <v>0.68170231332161269</v>
      </c>
      <c r="K192" s="1468">
        <f>IF($K$191=0,0,K191/$K$191)</f>
        <v>1</v>
      </c>
      <c r="L192" s="43"/>
      <c r="M192" s="43"/>
      <c r="N192" s="43"/>
      <c r="O192" s="43"/>
      <c r="P192" s="43"/>
      <c r="Q192" s="43"/>
      <c r="R192" s="43"/>
      <c r="S192" s="43"/>
      <c r="T192" s="43"/>
      <c r="U192" s="43"/>
      <c r="V192" s="43"/>
      <c r="W192" s="43"/>
      <c r="X192" s="43"/>
      <c r="Y192" s="43"/>
      <c r="Z192" s="43"/>
      <c r="AA192" s="43"/>
      <c r="AB192" s="43"/>
    </row>
    <row r="193" spans="1:26" s="107" customFormat="1" ht="17.149999999999999" customHeight="1" x14ac:dyDescent="0.35">
      <c r="A193" s="78"/>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s="107" customFormat="1" ht="17.149999999999999" customHeight="1" x14ac:dyDescent="0.35">
      <c r="A194" s="78"/>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s="107" customFormat="1" ht="17.149999999999999" customHeight="1" x14ac:dyDescent="0.35">
      <c r="A195" s="78"/>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s="107" customFormat="1" ht="16.5" customHeight="1" x14ac:dyDescent="0.35">
      <c r="A196" s="949" t="s">
        <v>1134</v>
      </c>
      <c r="B196" s="1504" t="s">
        <v>9</v>
      </c>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s="285" customFormat="1" ht="10.5" x14ac:dyDescent="0.35">
      <c r="A197" s="237"/>
      <c r="B197" s="222"/>
    </row>
    <row r="198" spans="1:26" s="107" customFormat="1" ht="16.5" customHeight="1" x14ac:dyDescent="0.35">
      <c r="A198" s="80"/>
      <c r="B198" s="1513" t="s">
        <v>841</v>
      </c>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s="285" customFormat="1" ht="10.5" x14ac:dyDescent="0.35">
      <c r="A199" s="237"/>
      <c r="B199" s="222"/>
    </row>
    <row r="200" spans="1:26" s="107" customFormat="1" ht="17.149999999999999" customHeight="1" x14ac:dyDescent="0.35">
      <c r="A200" s="206" t="s">
        <v>1136</v>
      </c>
      <c r="B200" s="207">
        <f>B191</f>
        <v>9274136.25</v>
      </c>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row>
    <row r="201" spans="1:26" s="107" customFormat="1" ht="17.149999999999999" customHeight="1" x14ac:dyDescent="0.35">
      <c r="A201" s="145"/>
      <c r="B201" s="156"/>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row>
    <row r="202" spans="1:26" s="107" customFormat="1" ht="17.149999999999999" customHeight="1" x14ac:dyDescent="0.35">
      <c r="A202" s="206" t="s">
        <v>1137</v>
      </c>
      <c r="B202" s="207">
        <f>E191</f>
        <v>0</v>
      </c>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row>
    <row r="203" spans="1:26" s="107" customFormat="1" ht="17.149999999999999" customHeight="1" x14ac:dyDescent="0.35">
      <c r="A203" s="145"/>
      <c r="B203" s="156"/>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row>
    <row r="204" spans="1:26" s="107" customFormat="1" ht="17.149999999999999" customHeight="1" x14ac:dyDescent="0.35">
      <c r="A204" s="208" t="s">
        <v>1139</v>
      </c>
      <c r="B204" s="209">
        <f>C191</f>
        <v>19862538.75</v>
      </c>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row>
    <row r="205" spans="1:26" s="107" customFormat="1" ht="17.149999999999999" customHeight="1" x14ac:dyDescent="0.35">
      <c r="A205" s="336"/>
      <c r="B205" s="337"/>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row>
    <row r="206" spans="1:26" s="107" customFormat="1" ht="17.149999999999999" customHeight="1" x14ac:dyDescent="0.35">
      <c r="A206" s="208" t="s">
        <v>1139</v>
      </c>
      <c r="B206" s="209">
        <f>F191</f>
        <v>0</v>
      </c>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row>
    <row r="207" spans="1:26" s="107" customFormat="1" ht="17.149999999999999" customHeight="1" x14ac:dyDescent="0.35">
      <c r="B207" s="196"/>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row>
    <row r="208" spans="1:26" s="107" customFormat="1" ht="17.149999999999999" customHeight="1" x14ac:dyDescent="0.35">
      <c r="A208" s="212" t="s">
        <v>1166</v>
      </c>
      <c r="B208" s="28">
        <f>B200+B202+B204+B206</f>
        <v>29136675</v>
      </c>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row>
    <row r="209" spans="1:26" s="107" customFormat="1" ht="17.149999999999999" customHeight="1" x14ac:dyDescent="0.35">
      <c r="A209" s="194"/>
      <c r="B209" s="205">
        <f>'Treatment volumes'!B123</f>
        <v>29136675</v>
      </c>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row>
    <row r="210" spans="1:26" s="107" customFormat="1" ht="17.149999999999999" customHeight="1" x14ac:dyDescent="0.35">
      <c r="A210" s="11"/>
      <c r="B210" s="1519" t="str">
        <f>IF(B208=B209,"OK","Not OK")</f>
        <v>OK</v>
      </c>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row>
    <row r="211" spans="1:26" s="107" customFormat="1" ht="17.149999999999999" customHeight="1" x14ac:dyDescent="0.35">
      <c r="A211" s="78"/>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row>
    <row r="212" spans="1:26" s="107" customFormat="1" ht="17.149999999999999" customHeight="1" x14ac:dyDescent="0.35">
      <c r="A212" s="78"/>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row>
    <row r="213" spans="1:26" s="107" customFormat="1" ht="17.149999999999999" customHeight="1" x14ac:dyDescent="0.35">
      <c r="A213" s="78"/>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row>
    <row r="214" spans="1:26" s="107" customFormat="1" ht="17.149999999999999" customHeight="1" x14ac:dyDescent="0.35">
      <c r="A214" s="17"/>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row>
    <row r="215" spans="1:26" s="107" customFormat="1" ht="17.149999999999999" customHeight="1" x14ac:dyDescent="0.35">
      <c r="A215" s="17"/>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row>
  </sheetData>
  <sheetProtection password="C8C1" sheet="1" objects="1" scenarios="1" selectLockedCells="1"/>
  <mergeCells count="111">
    <mergeCell ref="B184:D184"/>
    <mergeCell ref="E184:G184"/>
    <mergeCell ref="I184:K184"/>
    <mergeCell ref="B137:C137"/>
    <mergeCell ref="A139:A140"/>
    <mergeCell ref="B139:B140"/>
    <mergeCell ref="C139:C140"/>
    <mergeCell ref="D139:I139"/>
    <mergeCell ref="J139:N139"/>
    <mergeCell ref="B152:K152"/>
    <mergeCell ref="B168:K168"/>
    <mergeCell ref="B170:K170"/>
    <mergeCell ref="A171:A172"/>
    <mergeCell ref="B171:F171"/>
    <mergeCell ref="G171:K171"/>
    <mergeCell ref="B181:K181"/>
    <mergeCell ref="B165:K165"/>
    <mergeCell ref="A155:A156"/>
    <mergeCell ref="G155:K155"/>
    <mergeCell ref="B155:F155"/>
    <mergeCell ref="B154:K154"/>
    <mergeCell ref="P139:U139"/>
    <mergeCell ref="V139:Z139"/>
    <mergeCell ref="AB139:AF139"/>
    <mergeCell ref="D138:N138"/>
    <mergeCell ref="P138:Z138"/>
    <mergeCell ref="AB138:AF138"/>
    <mergeCell ref="AB105:AF105"/>
    <mergeCell ref="P123:Z123"/>
    <mergeCell ref="AB123:AF123"/>
    <mergeCell ref="A124:A125"/>
    <mergeCell ref="B124:B125"/>
    <mergeCell ref="C124:C125"/>
    <mergeCell ref="D124:I124"/>
    <mergeCell ref="J124:N124"/>
    <mergeCell ref="P124:U124"/>
    <mergeCell ref="V124:Z124"/>
    <mergeCell ref="AB124:AF124"/>
    <mergeCell ref="D123:N123"/>
    <mergeCell ref="B122:C122"/>
    <mergeCell ref="P91:U91"/>
    <mergeCell ref="V91:Z91"/>
    <mergeCell ref="A105:A106"/>
    <mergeCell ref="B105:B106"/>
    <mergeCell ref="C105:C106"/>
    <mergeCell ref="D105:I105"/>
    <mergeCell ref="J105:N105"/>
    <mergeCell ref="P105:U105"/>
    <mergeCell ref="V105:Z105"/>
    <mergeCell ref="B103:C103"/>
    <mergeCell ref="D104:N104"/>
    <mergeCell ref="A91:A92"/>
    <mergeCell ref="B91:B92"/>
    <mergeCell ref="B24:C24"/>
    <mergeCell ref="B39:C39"/>
    <mergeCell ref="D25:N25"/>
    <mergeCell ref="P25:Z25"/>
    <mergeCell ref="P26:U26"/>
    <mergeCell ref="V26:Z26"/>
    <mergeCell ref="P40:Z40"/>
    <mergeCell ref="D26:I26"/>
    <mergeCell ref="D40:N40"/>
    <mergeCell ref="J26:N26"/>
    <mergeCell ref="AB25:AF25"/>
    <mergeCell ref="AB74:AF74"/>
    <mergeCell ref="P104:Z104"/>
    <mergeCell ref="AB104:AF104"/>
    <mergeCell ref="AB40:AF40"/>
    <mergeCell ref="J41:N41"/>
    <mergeCell ref="AB41:AF41"/>
    <mergeCell ref="AB59:AF59"/>
    <mergeCell ref="B60:B61"/>
    <mergeCell ref="C60:C61"/>
    <mergeCell ref="AB60:AF60"/>
    <mergeCell ref="C91:C92"/>
    <mergeCell ref="D91:I91"/>
    <mergeCell ref="J91:N91"/>
    <mergeCell ref="AB91:AF91"/>
    <mergeCell ref="P90:Z90"/>
    <mergeCell ref="V75:Z75"/>
    <mergeCell ref="B26:B27"/>
    <mergeCell ref="C26:C27"/>
    <mergeCell ref="P41:U41"/>
    <mergeCell ref="B75:B76"/>
    <mergeCell ref="C75:C76"/>
    <mergeCell ref="D75:I75"/>
    <mergeCell ref="J75:N75"/>
    <mergeCell ref="AB26:AF26"/>
    <mergeCell ref="A26:A27"/>
    <mergeCell ref="AB75:AF75"/>
    <mergeCell ref="AB90:AF90"/>
    <mergeCell ref="B58:C58"/>
    <mergeCell ref="D59:N59"/>
    <mergeCell ref="B73:C73"/>
    <mergeCell ref="D74:N74"/>
    <mergeCell ref="V41:Z41"/>
    <mergeCell ref="P59:Z59"/>
    <mergeCell ref="P60:U60"/>
    <mergeCell ref="V60:Z60"/>
    <mergeCell ref="P74:Z74"/>
    <mergeCell ref="P75:U75"/>
    <mergeCell ref="B41:B42"/>
    <mergeCell ref="C41:C42"/>
    <mergeCell ref="D41:I41"/>
    <mergeCell ref="D90:N90"/>
    <mergeCell ref="A41:A42"/>
    <mergeCell ref="A60:A61"/>
    <mergeCell ref="D60:I60"/>
    <mergeCell ref="J60:N60"/>
    <mergeCell ref="B89:C89"/>
    <mergeCell ref="A75:A76"/>
  </mergeCells>
  <conditionalFormatting sqref="I29:I34">
    <cfRule type="expression" dxfId="189" priority="61">
      <formula>AND(B29&gt;0,H29=1)</formula>
    </cfRule>
    <cfRule type="expression" dxfId="188" priority="62">
      <formula>AND(B29=0,H29=0)</formula>
    </cfRule>
  </conditionalFormatting>
  <conditionalFormatting sqref="I44:I53">
    <cfRule type="expression" dxfId="187" priority="57">
      <formula>AND(B44&gt;0,H44=1)</formula>
    </cfRule>
    <cfRule type="expression" dxfId="186" priority="58">
      <formula>AND(B44=0,H44=0)</formula>
    </cfRule>
  </conditionalFormatting>
  <conditionalFormatting sqref="U44:U53">
    <cfRule type="expression" dxfId="185" priority="55">
      <formula>AND(C44&gt;0,S44=1)</formula>
    </cfRule>
    <cfRule type="expression" dxfId="184" priority="56">
      <formula>AND(C44=0,S44=0)</formula>
    </cfRule>
  </conditionalFormatting>
  <conditionalFormatting sqref="I63:I68">
    <cfRule type="expression" dxfId="183" priority="53">
      <formula>AND(B63&gt;0,H63=1)</formula>
    </cfRule>
    <cfRule type="expression" dxfId="182" priority="54">
      <formula>AND(B63=0,H63=0)</formula>
    </cfRule>
  </conditionalFormatting>
  <conditionalFormatting sqref="U63:U68">
    <cfRule type="expression" dxfId="181" priority="51">
      <formula>AND(C63&gt;0,S63=1)</formula>
    </cfRule>
    <cfRule type="expression" dxfId="180" priority="52">
      <formula>AND(C63=0,S63=0)</formula>
    </cfRule>
  </conditionalFormatting>
  <conditionalFormatting sqref="I94:I99">
    <cfRule type="expression" dxfId="179" priority="22">
      <formula>AND(B94&gt;0,H94=1)</formula>
    </cfRule>
    <cfRule type="expression" dxfId="178" priority="23">
      <formula>AND(B94=0,H94=0)</formula>
    </cfRule>
  </conditionalFormatting>
  <conditionalFormatting sqref="U94:U99">
    <cfRule type="expression" dxfId="177" priority="20">
      <formula>AND(C94&gt;0,S94=1)</formula>
    </cfRule>
    <cfRule type="expression" dxfId="176" priority="21">
      <formula>AND(C94=0,S94=0)</formula>
    </cfRule>
  </conditionalFormatting>
  <conditionalFormatting sqref="U29:U34">
    <cfRule type="expression" dxfId="175" priority="262">
      <formula>AND(C29&gt;0,T29=1)</formula>
    </cfRule>
    <cfRule type="expression" dxfId="174" priority="263">
      <formula>AND(C29=0,T29=0)</formula>
    </cfRule>
  </conditionalFormatting>
  <conditionalFormatting sqref="B210">
    <cfRule type="expression" dxfId="173" priority="28">
      <formula>B209&lt;B208</formula>
    </cfRule>
    <cfRule type="expression" dxfId="172" priority="29">
      <formula>B209&gt;B208</formula>
    </cfRule>
    <cfRule type="expression" dxfId="171" priority="30">
      <formula>B209=B208</formula>
    </cfRule>
  </conditionalFormatting>
  <conditionalFormatting sqref="I78:I83">
    <cfRule type="expression" dxfId="170" priority="26">
      <formula>AND(B78&gt;0,H78=1)</formula>
    </cfRule>
    <cfRule type="expression" dxfId="169" priority="27">
      <formula>AND(B78=0,H78=0)</formula>
    </cfRule>
  </conditionalFormatting>
  <conditionalFormatting sqref="U78:U83">
    <cfRule type="expression" dxfId="168" priority="24">
      <formula>AND(C78&gt;0,S78=1)</formula>
    </cfRule>
    <cfRule type="expression" dxfId="167" priority="25">
      <formula>AND(C78=0,S78=0)</formula>
    </cfRule>
  </conditionalFormatting>
  <conditionalFormatting sqref="I108:I117">
    <cfRule type="expression" dxfId="166" priority="18">
      <formula>AND(B108&gt;0,H108=1)</formula>
    </cfRule>
    <cfRule type="expression" dxfId="165" priority="19">
      <formula>AND(B108=0,H108=0)</formula>
    </cfRule>
  </conditionalFormatting>
  <conditionalFormatting sqref="U108:U117">
    <cfRule type="expression" dxfId="164" priority="16">
      <formula>AND(C108&gt;0,S108=1)</formula>
    </cfRule>
    <cfRule type="expression" dxfId="163" priority="17">
      <formula>AND(C108=0,S108=0)</formula>
    </cfRule>
  </conditionalFormatting>
  <conditionalFormatting sqref="I127:I132">
    <cfRule type="expression" dxfId="162" priority="14">
      <formula>AND(B127&gt;0,H127=1)</formula>
    </cfRule>
    <cfRule type="expression" dxfId="161" priority="15">
      <formula>AND(B127=0,H127=0)</formula>
    </cfRule>
  </conditionalFormatting>
  <conditionalFormatting sqref="U127:U132">
    <cfRule type="expression" dxfId="160" priority="12">
      <formula>AND(C127&gt;0,S127=1)</formula>
    </cfRule>
    <cfRule type="expression" dxfId="159" priority="13">
      <formula>AND(C127=0,S127=0)</formula>
    </cfRule>
  </conditionalFormatting>
  <conditionalFormatting sqref="I142:I147">
    <cfRule type="expression" dxfId="158" priority="6">
      <formula>AND(B142&gt;0,H142=1)</formula>
    </cfRule>
    <cfRule type="expression" dxfId="157" priority="7">
      <formula>AND(B142=0,H142=0)</formula>
    </cfRule>
  </conditionalFormatting>
  <conditionalFormatting sqref="U142:U147">
    <cfRule type="expression" dxfId="156" priority="4">
      <formula>AND(C142&gt;0,S142=1)</formula>
    </cfRule>
    <cfRule type="expression" dxfId="155" priority="5">
      <formula>AND(C142=0,S142=0)</formula>
    </cfRule>
  </conditionalFormatting>
  <conditionalFormatting sqref="H12">
    <cfRule type="expression" dxfId="154" priority="1">
      <formula>H11&lt;0</formula>
    </cfRule>
    <cfRule type="expression" dxfId="153" priority="2">
      <formula>H11&gt;0</formula>
    </cfRule>
    <cfRule type="expression" dxfId="152" priority="3">
      <formula>H11=0</formula>
    </cfRule>
  </conditionalFormatting>
  <dataValidations count="2">
    <dataValidation type="list" allowBlank="1" showInputMessage="1" showErrorMessage="1" sqref="B204">
      <formula1>Transportoptions</formula1>
    </dataValidation>
    <dataValidation allowBlank="1" showInputMessage="1" showErrorMessage="1" sqref="B206 B17:B19"/>
  </dataValidations>
  <pageMargins left="0.7" right="0.7" top="0.75" bottom="0.75" header="0.3" footer="0.3"/>
  <pageSetup paperSize="9" orientation="portrait" horizontalDpi="4294967294"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theme="5"/>
  </sheetPr>
  <dimension ref="A1:AK353"/>
  <sheetViews>
    <sheetView zoomScale="90" zoomScaleNormal="90" workbookViewId="0">
      <selection activeCell="A3" sqref="A3"/>
    </sheetView>
  </sheetViews>
  <sheetFormatPr defaultColWidth="9.1796875" defaultRowHeight="17.149999999999999" customHeight="1" x14ac:dyDescent="0.35"/>
  <cols>
    <col min="1" max="1" width="60.7265625" style="12" customWidth="1"/>
    <col min="2" max="2" width="16.7265625" style="27" customWidth="1"/>
    <col min="3" max="3" width="18" style="27" customWidth="1"/>
    <col min="4" max="9" width="16.7265625" style="12" customWidth="1"/>
    <col min="10" max="33" width="15.7265625" style="12" customWidth="1"/>
    <col min="34" max="16384" width="9.1796875" style="12"/>
  </cols>
  <sheetData>
    <row r="1" spans="1:36" s="63" customFormat="1" ht="18.5" x14ac:dyDescent="0.35">
      <c r="A1" s="13" t="str">
        <f>'User interface_RES'!AJ11</f>
        <v>Any city in , the world</v>
      </c>
      <c r="B1" s="1310"/>
      <c r="C1" s="1310"/>
      <c r="E1" s="1311"/>
    </row>
    <row r="2" spans="1:36" s="185" customFormat="1" ht="11.25" customHeight="1" x14ac:dyDescent="0.35">
      <c r="B2" s="186"/>
      <c r="C2" s="186"/>
      <c r="E2" s="187"/>
    </row>
    <row r="3" spans="1:36" ht="26" x14ac:dyDescent="0.35">
      <c r="A3" s="182" t="s">
        <v>1167</v>
      </c>
      <c r="AA3" s="17"/>
      <c r="AB3" s="17"/>
      <c r="AC3" s="17"/>
      <c r="AD3" s="17"/>
      <c r="AE3" s="17"/>
      <c r="AF3" s="17"/>
      <c r="AG3" s="17"/>
      <c r="AH3" s="17"/>
      <c r="AI3" s="17"/>
      <c r="AJ3" s="17"/>
    </row>
    <row r="4" spans="1:36" s="3" customFormat="1" ht="17.149999999999999" customHeight="1" x14ac:dyDescent="0.35">
      <c r="B4" s="1320"/>
      <c r="C4" s="1307"/>
      <c r="E4" s="1309"/>
    </row>
    <row r="5" spans="1:36" s="3" customFormat="1" ht="17.149999999999999" customHeight="1" x14ac:dyDescent="0.35">
      <c r="B5" s="1317"/>
      <c r="C5" s="1307"/>
    </row>
    <row r="6" spans="1:36" ht="18" customHeight="1" x14ac:dyDescent="0.35">
      <c r="A6" s="47"/>
      <c r="B6" s="1505" t="s">
        <v>9</v>
      </c>
      <c r="C6" s="1502" t="s">
        <v>253</v>
      </c>
      <c r="D6" s="184"/>
      <c r="E6" s="184"/>
      <c r="AA6" s="17"/>
      <c r="AB6" s="17"/>
      <c r="AC6" s="17"/>
      <c r="AD6" s="17"/>
      <c r="AE6" s="17"/>
      <c r="AF6" s="17"/>
      <c r="AG6" s="17"/>
      <c r="AH6" s="17"/>
      <c r="AI6" s="17"/>
      <c r="AJ6" s="17"/>
    </row>
    <row r="7" spans="1:36" s="185" customFormat="1" ht="10.5" x14ac:dyDescent="0.35">
      <c r="A7" s="237"/>
      <c r="B7" s="238"/>
      <c r="C7" s="238"/>
      <c r="D7" s="186"/>
      <c r="E7" s="186"/>
      <c r="I7" s="241"/>
    </row>
    <row r="8" spans="1:36" ht="18" customHeight="1" x14ac:dyDescent="0.35">
      <c r="A8" s="230" t="s">
        <v>792</v>
      </c>
      <c r="B8" s="232">
        <f>B10+B16</f>
        <v>206200</v>
      </c>
      <c r="C8" s="232">
        <f>C10+C16</f>
        <v>392350</v>
      </c>
      <c r="D8" s="231" t="s">
        <v>793</v>
      </c>
      <c r="AA8" s="17"/>
      <c r="AB8" s="17"/>
      <c r="AC8" s="17"/>
      <c r="AD8" s="17"/>
      <c r="AE8" s="17"/>
      <c r="AF8" s="17"/>
      <c r="AG8" s="17"/>
      <c r="AH8" s="17"/>
      <c r="AI8" s="17"/>
      <c r="AJ8" s="17"/>
    </row>
    <row r="9" spans="1:36" ht="18" customHeight="1" x14ac:dyDescent="0.35">
      <c r="A9" s="217"/>
      <c r="B9" s="218"/>
      <c r="C9" s="219"/>
      <c r="D9" s="27"/>
      <c r="E9" s="27"/>
      <c r="I9" s="164"/>
      <c r="AA9" s="17"/>
      <c r="AB9" s="17"/>
      <c r="AC9" s="17"/>
      <c r="AD9" s="17"/>
      <c r="AE9" s="17"/>
      <c r="AF9" s="17"/>
      <c r="AG9" s="17"/>
      <c r="AH9" s="17"/>
      <c r="AI9" s="17"/>
      <c r="AJ9" s="17"/>
    </row>
    <row r="10" spans="1:36" ht="18" customHeight="1" x14ac:dyDescent="0.35">
      <c r="A10" s="206" t="s">
        <v>794</v>
      </c>
      <c r="B10" s="207">
        <f>SUM(B11:B14)</f>
        <v>186175</v>
      </c>
      <c r="C10" s="207">
        <f>SUM(C11:C14)</f>
        <v>392350</v>
      </c>
      <c r="D10" s="140"/>
      <c r="E10" s="115"/>
      <c r="AA10" s="17"/>
      <c r="AB10" s="17"/>
      <c r="AC10" s="17"/>
      <c r="AD10" s="17"/>
      <c r="AE10" s="17"/>
      <c r="AF10" s="17"/>
      <c r="AG10" s="17"/>
      <c r="AH10" s="17"/>
      <c r="AI10" s="17"/>
      <c r="AJ10" s="17"/>
    </row>
    <row r="11" spans="1:36" ht="18" customHeight="1" x14ac:dyDescent="0.35">
      <c r="A11" s="212" t="s">
        <v>796</v>
      </c>
      <c r="B11" s="118">
        <f t="shared" ref="B11:C14" si="0">E135+E263</f>
        <v>36225</v>
      </c>
      <c r="C11" s="118">
        <f t="shared" si="0"/>
        <v>240750</v>
      </c>
      <c r="D11" s="140"/>
      <c r="E11" s="140"/>
      <c r="AA11" s="17"/>
      <c r="AB11" s="17"/>
      <c r="AC11" s="17"/>
      <c r="AD11" s="17"/>
      <c r="AE11" s="17"/>
      <c r="AF11" s="17"/>
      <c r="AG11" s="17"/>
      <c r="AH11" s="17"/>
      <c r="AI11" s="17"/>
      <c r="AJ11" s="17"/>
    </row>
    <row r="12" spans="1:36" ht="18" customHeight="1" x14ac:dyDescent="0.35">
      <c r="A12" s="212" t="s">
        <v>797</v>
      </c>
      <c r="B12" s="118">
        <f t="shared" si="0"/>
        <v>0</v>
      </c>
      <c r="C12" s="118">
        <f t="shared" si="0"/>
        <v>0</v>
      </c>
      <c r="D12" s="140"/>
      <c r="E12" s="140"/>
      <c r="T12" s="92"/>
      <c r="AA12" s="17"/>
      <c r="AB12" s="17"/>
      <c r="AC12" s="17"/>
      <c r="AD12" s="17"/>
      <c r="AE12" s="17"/>
      <c r="AF12" s="17"/>
      <c r="AG12" s="17"/>
      <c r="AH12" s="17"/>
      <c r="AI12" s="17"/>
      <c r="AJ12" s="17"/>
    </row>
    <row r="13" spans="1:36" ht="18" customHeight="1" x14ac:dyDescent="0.35">
      <c r="A13" s="212" t="s">
        <v>798</v>
      </c>
      <c r="B13" s="118">
        <f t="shared" si="0"/>
        <v>98575</v>
      </c>
      <c r="C13" s="118">
        <f t="shared" si="0"/>
        <v>98250</v>
      </c>
      <c r="D13" s="140"/>
      <c r="E13" s="140"/>
      <c r="L13" s="106"/>
      <c r="T13" s="93"/>
      <c r="AA13" s="17"/>
      <c r="AB13" s="17"/>
      <c r="AC13" s="17"/>
      <c r="AD13" s="17"/>
      <c r="AE13" s="17"/>
      <c r="AF13" s="17"/>
      <c r="AG13" s="17"/>
      <c r="AH13" s="17"/>
      <c r="AI13" s="17"/>
      <c r="AJ13" s="17"/>
    </row>
    <row r="14" spans="1:36" ht="18" customHeight="1" x14ac:dyDescent="0.35">
      <c r="A14" s="212" t="s">
        <v>799</v>
      </c>
      <c r="B14" s="118">
        <f t="shared" si="0"/>
        <v>51375</v>
      </c>
      <c r="C14" s="118">
        <f t="shared" si="0"/>
        <v>53350</v>
      </c>
      <c r="D14" s="140"/>
      <c r="E14" s="140"/>
      <c r="L14" s="106"/>
      <c r="T14" s="93"/>
      <c r="AA14" s="17"/>
      <c r="AB14" s="17"/>
      <c r="AC14" s="17"/>
      <c r="AD14" s="17"/>
      <c r="AE14" s="17"/>
      <c r="AF14" s="17"/>
      <c r="AG14" s="17"/>
      <c r="AH14" s="17"/>
      <c r="AI14" s="17"/>
      <c r="AJ14" s="17"/>
    </row>
    <row r="15" spans="1:36" ht="18" customHeight="1" x14ac:dyDescent="0.35">
      <c r="A15" s="2"/>
      <c r="B15" s="236"/>
      <c r="C15" s="236"/>
      <c r="D15" s="140"/>
      <c r="E15" s="140"/>
      <c r="L15" s="106"/>
      <c r="T15" s="93"/>
      <c r="AA15" s="17"/>
      <c r="AB15" s="17"/>
      <c r="AC15" s="17"/>
      <c r="AD15" s="17"/>
      <c r="AE15" s="17"/>
      <c r="AF15" s="17"/>
      <c r="AG15" s="17"/>
      <c r="AH15" s="17"/>
      <c r="AI15" s="17"/>
      <c r="AJ15" s="17"/>
    </row>
    <row r="16" spans="1:36" ht="18" customHeight="1" x14ac:dyDescent="0.35">
      <c r="A16" s="208" t="s">
        <v>800</v>
      </c>
      <c r="B16" s="209">
        <f>SUM(B17:B17)</f>
        <v>20025</v>
      </c>
      <c r="C16" s="209">
        <f>SUM(C17:C17)</f>
        <v>0</v>
      </c>
      <c r="D16" s="140"/>
      <c r="E16" s="140"/>
      <c r="L16" s="106"/>
      <c r="T16" s="93"/>
      <c r="AA16" s="17"/>
      <c r="AB16" s="17"/>
      <c r="AC16" s="17"/>
      <c r="AD16" s="17"/>
      <c r="AE16" s="17"/>
      <c r="AF16" s="17"/>
      <c r="AG16" s="17"/>
      <c r="AH16" s="17"/>
      <c r="AI16" s="17"/>
      <c r="AJ16" s="17"/>
    </row>
    <row r="17" spans="1:36" ht="18" customHeight="1" x14ac:dyDescent="0.35">
      <c r="A17" s="240" t="s">
        <v>801</v>
      </c>
      <c r="B17" s="118">
        <f>E141+E269</f>
        <v>20025</v>
      </c>
      <c r="C17" s="118">
        <f>F141+F269</f>
        <v>0</v>
      </c>
      <c r="D17" s="140"/>
      <c r="E17" s="1335">
        <f>B17/B8</f>
        <v>9.7114451988360814E-2</v>
      </c>
      <c r="L17" s="106"/>
      <c r="T17" s="93"/>
      <c r="AA17" s="17"/>
      <c r="AB17" s="17"/>
      <c r="AC17" s="17"/>
      <c r="AD17" s="17"/>
      <c r="AE17" s="17"/>
      <c r="AF17" s="17"/>
      <c r="AG17" s="17"/>
      <c r="AH17" s="17"/>
      <c r="AI17" s="17"/>
      <c r="AJ17" s="17"/>
    </row>
    <row r="18" spans="1:36" ht="18" customHeight="1" x14ac:dyDescent="0.35">
      <c r="A18" s="11"/>
      <c r="L18" s="106"/>
      <c r="T18" s="93"/>
      <c r="AA18" s="17"/>
      <c r="AB18" s="17"/>
      <c r="AC18" s="17"/>
      <c r="AD18" s="17"/>
      <c r="AE18" s="17"/>
      <c r="AF18" s="17"/>
      <c r="AG18" s="17"/>
      <c r="AH18" s="17"/>
      <c r="AI18" s="17"/>
      <c r="AJ18" s="17"/>
    </row>
    <row r="19" spans="1:36" ht="18" customHeight="1" x14ac:dyDescent="0.35">
      <c r="A19" s="11"/>
      <c r="L19" s="106"/>
      <c r="T19" s="93"/>
      <c r="AA19" s="17"/>
      <c r="AB19" s="17"/>
      <c r="AC19" s="17"/>
      <c r="AD19" s="17"/>
      <c r="AE19" s="17"/>
      <c r="AF19" s="17"/>
      <c r="AG19" s="17"/>
      <c r="AH19" s="17"/>
      <c r="AI19" s="17"/>
      <c r="AJ19" s="17"/>
    </row>
    <row r="20" spans="1:36" ht="17.149999999999999" customHeight="1" x14ac:dyDescent="0.35">
      <c r="A20" s="11"/>
      <c r="L20" s="106"/>
      <c r="T20" s="93"/>
      <c r="AA20" s="17"/>
      <c r="AB20" s="17"/>
      <c r="AC20" s="17"/>
      <c r="AD20" s="17"/>
      <c r="AE20" s="17"/>
      <c r="AF20" s="17"/>
      <c r="AG20" s="17"/>
      <c r="AH20" s="17"/>
      <c r="AI20" s="17"/>
      <c r="AJ20" s="17"/>
    </row>
    <row r="21" spans="1:36" ht="17.149999999999999" customHeight="1" x14ac:dyDescent="0.35">
      <c r="A21" s="11"/>
      <c r="L21" s="106"/>
      <c r="T21" s="93"/>
      <c r="AA21" s="17"/>
      <c r="AB21" s="17"/>
      <c r="AC21" s="17"/>
      <c r="AD21" s="17"/>
      <c r="AE21" s="17"/>
      <c r="AF21" s="17"/>
      <c r="AG21" s="17"/>
      <c r="AH21" s="17"/>
      <c r="AI21" s="17"/>
      <c r="AJ21" s="17"/>
    </row>
    <row r="22" spans="1:36" ht="17.149999999999999" customHeight="1" x14ac:dyDescent="0.35">
      <c r="A22" s="11"/>
      <c r="L22" s="106"/>
      <c r="T22" s="93"/>
      <c r="AA22" s="17"/>
      <c r="AB22" s="17"/>
      <c r="AC22" s="17"/>
      <c r="AD22" s="17"/>
      <c r="AE22" s="17"/>
      <c r="AF22" s="17"/>
      <c r="AG22" s="17"/>
      <c r="AH22" s="17"/>
      <c r="AI22" s="17"/>
      <c r="AJ22" s="17"/>
    </row>
    <row r="23" spans="1:36" ht="17.149999999999999" customHeight="1" x14ac:dyDescent="0.35">
      <c r="A23" s="183" t="s">
        <v>803</v>
      </c>
      <c r="L23" s="106"/>
      <c r="AA23" s="17"/>
      <c r="AB23" s="17"/>
      <c r="AC23" s="17"/>
      <c r="AD23" s="17"/>
      <c r="AE23" s="17"/>
      <c r="AF23" s="17"/>
      <c r="AG23" s="17"/>
      <c r="AH23" s="17"/>
      <c r="AI23" s="17"/>
      <c r="AJ23" s="17"/>
    </row>
    <row r="24" spans="1:36" ht="17.149999999999999" customHeight="1" x14ac:dyDescent="0.35">
      <c r="A24" s="11"/>
      <c r="L24" s="106"/>
      <c r="AA24" s="17"/>
      <c r="AB24" s="17"/>
      <c r="AC24" s="17"/>
      <c r="AD24" s="17"/>
      <c r="AE24" s="17"/>
      <c r="AF24" s="17"/>
      <c r="AG24" s="17"/>
      <c r="AH24" s="17"/>
      <c r="AI24" s="17"/>
      <c r="AJ24" s="17"/>
    </row>
    <row r="25" spans="1:36" ht="17.149999999999999" customHeight="1" x14ac:dyDescent="0.35">
      <c r="A25" s="949" t="s">
        <v>804</v>
      </c>
      <c r="B25" s="1505" t="s">
        <v>9</v>
      </c>
      <c r="C25" s="1502" t="s">
        <v>253</v>
      </c>
      <c r="L25" s="106"/>
      <c r="AA25" s="17"/>
      <c r="AB25" s="17"/>
      <c r="AC25" s="17"/>
      <c r="AD25" s="17"/>
      <c r="AE25" s="17"/>
      <c r="AF25" s="17"/>
      <c r="AG25" s="17"/>
      <c r="AH25" s="17"/>
      <c r="AI25" s="17"/>
      <c r="AJ25" s="17"/>
    </row>
    <row r="26" spans="1:36" ht="17.149999999999999" customHeight="1" x14ac:dyDescent="0.35">
      <c r="A26" s="120"/>
      <c r="J26" s="94"/>
      <c r="K26" s="94"/>
      <c r="AA26" s="17"/>
      <c r="AB26" s="17"/>
      <c r="AC26" s="17"/>
      <c r="AD26" s="17"/>
      <c r="AE26" s="17"/>
      <c r="AF26" s="17"/>
      <c r="AG26" s="17"/>
      <c r="AH26" s="17"/>
      <c r="AI26" s="17"/>
      <c r="AJ26" s="17"/>
    </row>
    <row r="27" spans="1:36" s="3" customFormat="1" ht="17.149999999999999" customHeight="1" x14ac:dyDescent="0.35">
      <c r="A27" s="242" t="s">
        <v>805</v>
      </c>
      <c r="B27" s="243">
        <f>'User interface_RES'!C8</f>
        <v>42978</v>
      </c>
      <c r="C27" s="227"/>
      <c r="E27" s="1770" t="s">
        <v>806</v>
      </c>
      <c r="J27" s="68"/>
      <c r="K27" s="68"/>
    </row>
    <row r="28" spans="1:36" s="3" customFormat="1" ht="17.149999999999999" customHeight="1" x14ac:dyDescent="0.35">
      <c r="A28" s="242" t="s">
        <v>411</v>
      </c>
      <c r="B28" s="243">
        <f>'User interface_RES'!D16</f>
        <v>40908</v>
      </c>
      <c r="C28" s="227"/>
      <c r="E28" s="1771"/>
      <c r="J28" s="68"/>
      <c r="K28" s="68"/>
    </row>
    <row r="29" spans="1:36" s="3" customFormat="1" ht="17.149999999999999" customHeight="1" x14ac:dyDescent="0.35">
      <c r="A29" s="242" t="s">
        <v>807</v>
      </c>
      <c r="B29" s="243">
        <f>B27-B28</f>
        <v>2070</v>
      </c>
      <c r="C29" s="227"/>
      <c r="E29" s="1056">
        <f>'User interface_RES'!C16</f>
        <v>1414050</v>
      </c>
      <c r="J29" s="68"/>
      <c r="K29" s="68"/>
    </row>
    <row r="30" spans="1:36" s="3" customFormat="1" ht="17.149999999999999" customHeight="1" x14ac:dyDescent="0.35">
      <c r="A30" s="242" t="s">
        <v>808</v>
      </c>
      <c r="B30" s="245">
        <f>ROUND((B29/365)/0.1,0)*0.1</f>
        <v>5.7</v>
      </c>
      <c r="C30" s="227"/>
      <c r="E30" s="1095" t="s">
        <v>808</v>
      </c>
      <c r="F30" s="1095" t="s">
        <v>809</v>
      </c>
      <c r="J30" s="68"/>
      <c r="K30" s="68"/>
    </row>
    <row r="31" spans="1:36" ht="17.149999999999999" customHeight="1" x14ac:dyDescent="0.35">
      <c r="A31" s="950" t="s">
        <v>810</v>
      </c>
      <c r="B31" s="1021">
        <f>ROUND((E29*(1+F31)^E31)/1000,0)*1000</f>
        <v>1692000</v>
      </c>
      <c r="C31" s="1150"/>
      <c r="E31" s="1338">
        <f>B30</f>
        <v>5.7</v>
      </c>
      <c r="F31" s="1339">
        <f>'User interface_RES'!E16</f>
        <v>3.2000000000000001E-2</v>
      </c>
      <c r="J31" s="94"/>
      <c r="K31" s="94"/>
      <c r="AA31" s="17"/>
      <c r="AB31" s="17"/>
      <c r="AC31" s="17"/>
      <c r="AD31" s="17"/>
      <c r="AE31" s="17"/>
      <c r="AF31" s="17"/>
      <c r="AG31" s="17"/>
      <c r="AH31" s="17"/>
      <c r="AI31" s="17"/>
      <c r="AJ31" s="17"/>
    </row>
    <row r="32" spans="1:36" ht="17.149999999999999" customHeight="1" x14ac:dyDescent="0.35">
      <c r="A32" s="299"/>
      <c r="B32" s="149"/>
      <c r="C32" s="1150"/>
      <c r="E32" s="1342"/>
      <c r="F32" s="1343"/>
      <c r="AA32" s="17"/>
      <c r="AB32" s="17"/>
      <c r="AC32" s="17"/>
      <c r="AD32" s="17"/>
      <c r="AE32" s="17"/>
      <c r="AF32" s="17"/>
      <c r="AG32" s="17"/>
      <c r="AH32" s="17"/>
      <c r="AI32" s="17"/>
      <c r="AJ32" s="17"/>
    </row>
    <row r="33" spans="1:36" ht="17.149999999999999" customHeight="1" x14ac:dyDescent="0.35">
      <c r="A33" s="299"/>
      <c r="B33" s="149"/>
      <c r="C33" s="1150"/>
      <c r="E33" s="1855" t="s">
        <v>413</v>
      </c>
      <c r="F33" s="1856" t="s">
        <v>811</v>
      </c>
      <c r="AA33" s="17"/>
      <c r="AB33" s="17"/>
      <c r="AC33" s="17"/>
      <c r="AD33" s="17"/>
      <c r="AE33" s="17"/>
      <c r="AF33" s="17"/>
      <c r="AG33" s="17"/>
      <c r="AH33" s="17"/>
      <c r="AI33" s="17"/>
      <c r="AJ33" s="17"/>
    </row>
    <row r="34" spans="1:36" ht="17.149999999999999" customHeight="1" x14ac:dyDescent="0.35">
      <c r="A34" s="299"/>
      <c r="B34" s="149"/>
      <c r="C34" s="1150"/>
      <c r="E34" s="1855"/>
      <c r="F34" s="1856"/>
      <c r="AA34" s="17"/>
      <c r="AB34" s="17"/>
      <c r="AC34" s="17"/>
      <c r="AD34" s="17"/>
      <c r="AE34" s="17"/>
      <c r="AF34" s="17"/>
      <c r="AG34" s="17"/>
      <c r="AH34" s="17"/>
      <c r="AI34" s="17"/>
      <c r="AJ34" s="17"/>
    </row>
    <row r="35" spans="1:36" ht="17.149999999999999" customHeight="1" x14ac:dyDescent="0.35">
      <c r="A35" s="976" t="s">
        <v>812</v>
      </c>
      <c r="B35" s="1337"/>
      <c r="C35" s="1022">
        <f>ROUND((B31*(1+F35)^E35)/1000,0)*1000</f>
        <v>3737000</v>
      </c>
      <c r="E35" s="400">
        <f>'User interface_RES'!G16</f>
        <v>25</v>
      </c>
      <c r="F35" s="170">
        <f>'User interface_RES'!H16</f>
        <v>3.2199999999999999E-2</v>
      </c>
      <c r="I35" s="37"/>
      <c r="AA35" s="17"/>
      <c r="AB35" s="17"/>
      <c r="AC35" s="17"/>
      <c r="AD35" s="17"/>
      <c r="AE35" s="17"/>
      <c r="AF35" s="17"/>
      <c r="AG35" s="17"/>
      <c r="AH35" s="17"/>
      <c r="AI35" s="17"/>
      <c r="AJ35" s="17"/>
    </row>
    <row r="36" spans="1:36" ht="17.149999999999999" customHeight="1" x14ac:dyDescent="0.35">
      <c r="AA36" s="17"/>
      <c r="AB36" s="17"/>
      <c r="AC36" s="17"/>
      <c r="AD36" s="17"/>
      <c r="AE36" s="17"/>
      <c r="AF36" s="17"/>
      <c r="AG36" s="17"/>
      <c r="AH36" s="17"/>
      <c r="AI36" s="17"/>
      <c r="AJ36" s="17"/>
    </row>
    <row r="37" spans="1:36" ht="17.149999999999999" customHeight="1" x14ac:dyDescent="0.35">
      <c r="H37" s="12">
        <v>10</v>
      </c>
      <c r="I37" s="12">
        <v>7.5</v>
      </c>
      <c r="J37" s="12">
        <f>H37/I37</f>
        <v>1.3333333333333333</v>
      </c>
      <c r="AA37" s="17"/>
      <c r="AB37" s="17"/>
      <c r="AC37" s="17"/>
      <c r="AD37" s="17"/>
      <c r="AE37" s="17"/>
      <c r="AF37" s="17"/>
      <c r="AG37" s="17"/>
      <c r="AH37" s="17"/>
      <c r="AI37" s="17"/>
      <c r="AJ37" s="17"/>
    </row>
    <row r="38" spans="1:36" ht="17.149999999999999" customHeight="1" x14ac:dyDescent="0.35">
      <c r="A38" s="949" t="s">
        <v>813</v>
      </c>
      <c r="B38" s="1505" t="s">
        <v>9</v>
      </c>
      <c r="C38" s="1502" t="s">
        <v>253</v>
      </c>
      <c r="H38" s="430">
        <v>8.1999999999999993</v>
      </c>
      <c r="I38" s="12">
        <f>H38/J37</f>
        <v>6.1499999999999995</v>
      </c>
      <c r="AA38" s="17"/>
      <c r="AB38" s="17"/>
      <c r="AC38" s="17"/>
      <c r="AD38" s="17"/>
      <c r="AE38" s="17"/>
      <c r="AF38" s="17"/>
      <c r="AG38" s="17"/>
      <c r="AH38" s="17"/>
      <c r="AI38" s="17"/>
      <c r="AJ38" s="17"/>
    </row>
    <row r="39" spans="1:36" ht="17.149999999999999" customHeight="1" x14ac:dyDescent="0.35">
      <c r="AA39" s="17"/>
      <c r="AB39" s="17"/>
      <c r="AC39" s="17"/>
      <c r="AD39" s="17"/>
      <c r="AE39" s="17"/>
      <c r="AF39" s="17"/>
      <c r="AG39" s="17"/>
      <c r="AH39" s="17"/>
      <c r="AI39" s="17"/>
      <c r="AJ39" s="17"/>
    </row>
    <row r="40" spans="1:36" ht="17.149999999999999" customHeight="1" x14ac:dyDescent="0.35">
      <c r="A40" s="142"/>
      <c r="B40" s="1504" t="s">
        <v>201</v>
      </c>
      <c r="C40" s="1508" t="s">
        <v>201</v>
      </c>
      <c r="AA40" s="17"/>
      <c r="AB40" s="17"/>
      <c r="AC40" s="17"/>
      <c r="AD40" s="17"/>
      <c r="AE40" s="17"/>
      <c r="AF40" s="17"/>
      <c r="AG40" s="17"/>
      <c r="AH40" s="17"/>
      <c r="AI40" s="17"/>
      <c r="AJ40" s="17"/>
    </row>
    <row r="41" spans="1:36" ht="17.149999999999999" customHeight="1" x14ac:dyDescent="0.35">
      <c r="A41" s="1038" t="s">
        <v>433</v>
      </c>
      <c r="B41" s="1060">
        <f>SUM(B42:B43)</f>
        <v>0.44900000000000001</v>
      </c>
      <c r="C41" s="1061">
        <f>SUM(C42:C43)</f>
        <v>0.85000000000000009</v>
      </c>
      <c r="E41" s="423"/>
      <c r="AA41" s="17"/>
      <c r="AB41" s="17"/>
      <c r="AC41" s="17"/>
      <c r="AD41" s="17"/>
      <c r="AE41" s="17"/>
      <c r="AF41" s="17"/>
      <c r="AG41" s="17"/>
      <c r="AH41" s="17"/>
      <c r="AI41" s="17"/>
      <c r="AJ41" s="17"/>
    </row>
    <row r="42" spans="1:36" ht="17.149999999999999" customHeight="1" x14ac:dyDescent="0.35">
      <c r="A42" s="155" t="s">
        <v>814</v>
      </c>
      <c r="B42" s="964">
        <f>'User interface_RES'!C33*'User interface_RES'!E33</f>
        <v>0.22450000000000001</v>
      </c>
      <c r="C42" s="964">
        <f>'User interface_RES'!C55*'User interface_RES'!E55</f>
        <v>0.51</v>
      </c>
      <c r="AA42" s="17"/>
      <c r="AB42" s="17"/>
      <c r="AC42" s="17"/>
      <c r="AD42" s="17"/>
      <c r="AE42" s="17"/>
      <c r="AF42" s="17"/>
      <c r="AG42" s="17"/>
      <c r="AH42" s="17"/>
      <c r="AI42" s="17"/>
      <c r="AJ42" s="17"/>
    </row>
    <row r="43" spans="1:36" ht="17.149999999999999" customHeight="1" x14ac:dyDescent="0.35">
      <c r="A43" s="155" t="s">
        <v>815</v>
      </c>
      <c r="B43" s="964">
        <f>'User interface_RES'!C33*'User interface_RES'!F33</f>
        <v>0.22450000000000001</v>
      </c>
      <c r="C43" s="964">
        <f>'User interface_RES'!C55*'User interface_RES'!F55</f>
        <v>0.34</v>
      </c>
      <c r="AA43" s="17"/>
      <c r="AB43" s="17"/>
      <c r="AC43" s="17"/>
      <c r="AD43" s="17"/>
      <c r="AE43" s="17"/>
      <c r="AF43" s="17"/>
      <c r="AG43" s="17"/>
      <c r="AH43" s="17"/>
      <c r="AI43" s="17"/>
      <c r="AJ43" s="17"/>
    </row>
    <row r="44" spans="1:36" ht="17.149999999999999" customHeight="1" x14ac:dyDescent="0.35">
      <c r="A44" s="1038" t="s">
        <v>816</v>
      </c>
      <c r="B44" s="1060">
        <f>SUM(B45:B46)</f>
        <v>0</v>
      </c>
      <c r="C44" s="1061">
        <f>SUM(C45:C46)</f>
        <v>0</v>
      </c>
      <c r="E44" s="423"/>
      <c r="AA44" s="17"/>
      <c r="AB44" s="17"/>
      <c r="AC44" s="17"/>
      <c r="AD44" s="17"/>
      <c r="AE44" s="17"/>
      <c r="AF44" s="17"/>
      <c r="AG44" s="17"/>
      <c r="AH44" s="17"/>
      <c r="AI44" s="17"/>
      <c r="AJ44" s="17"/>
    </row>
    <row r="45" spans="1:36" ht="17.149999999999999" customHeight="1" x14ac:dyDescent="0.35">
      <c r="A45" s="155" t="s">
        <v>817</v>
      </c>
      <c r="B45" s="964">
        <f>'User interface_RES'!C34*'User interface_RES'!E34</f>
        <v>0</v>
      </c>
      <c r="C45" s="964">
        <f>'User interface_RES'!C56*'User interface_RES'!E56</f>
        <v>0</v>
      </c>
      <c r="E45" s="1767" t="s">
        <v>818</v>
      </c>
      <c r="F45" s="1079" t="s">
        <v>819</v>
      </c>
      <c r="G45" s="1075"/>
      <c r="AA45" s="17"/>
      <c r="AB45" s="17"/>
      <c r="AC45" s="17"/>
      <c r="AD45" s="17"/>
      <c r="AE45" s="17"/>
      <c r="AF45" s="17"/>
      <c r="AG45" s="17"/>
      <c r="AH45" s="17"/>
      <c r="AI45" s="17"/>
      <c r="AJ45" s="17"/>
    </row>
    <row r="46" spans="1:36" ht="17.149999999999999" customHeight="1" x14ac:dyDescent="0.35">
      <c r="A46" s="155" t="s">
        <v>820</v>
      </c>
      <c r="B46" s="964">
        <f>'User interface_RES'!C34*'User interface_RES'!F34</f>
        <v>0</v>
      </c>
      <c r="C46" s="964">
        <f>'User interface_RES'!C56*'User interface_RES'!F56</f>
        <v>0</v>
      </c>
      <c r="E46" s="1768"/>
      <c r="F46" s="1075"/>
      <c r="G46" s="1075"/>
      <c r="AA46" s="17"/>
      <c r="AB46" s="17"/>
      <c r="AC46" s="17"/>
      <c r="AD46" s="17"/>
      <c r="AE46" s="17"/>
      <c r="AF46" s="17"/>
      <c r="AG46" s="17"/>
      <c r="AH46" s="17"/>
      <c r="AI46" s="17"/>
      <c r="AJ46" s="17"/>
    </row>
    <row r="47" spans="1:36" ht="17.149999999999999" customHeight="1" x14ac:dyDescent="0.35">
      <c r="A47" s="1038" t="s">
        <v>821</v>
      </c>
      <c r="B47" s="1060">
        <f>SUM(B48:B49)</f>
        <v>0.25229999999999997</v>
      </c>
      <c r="C47" s="1061">
        <f>SUM(C48:C49)</f>
        <v>7.4999999999999997E-2</v>
      </c>
      <c r="E47" s="1076">
        <f>B47-'User interface_RES'!C47</f>
        <v>0.25229999999999997</v>
      </c>
      <c r="F47" s="1077">
        <f>B47-E47</f>
        <v>0</v>
      </c>
      <c r="G47" s="1078">
        <f>ROUND(((F47*$B$31*'User interface_RES'!$G$81)*365/1000)/25,0)*25</f>
        <v>0</v>
      </c>
      <c r="I47" s="423"/>
      <c r="AA47" s="17"/>
      <c r="AB47" s="17"/>
      <c r="AC47" s="17"/>
      <c r="AD47" s="17"/>
      <c r="AE47" s="17"/>
      <c r="AF47" s="17"/>
      <c r="AG47" s="17"/>
      <c r="AH47" s="17"/>
      <c r="AI47" s="17"/>
      <c r="AJ47" s="17"/>
    </row>
    <row r="48" spans="1:36" ht="17.149999999999999" customHeight="1" x14ac:dyDescent="0.35">
      <c r="A48" s="155" t="s">
        <v>822</v>
      </c>
      <c r="B48" s="964">
        <f>'User interface_RES'!C35*'User interface_RES'!D36*'User interface_RES'!E36</f>
        <v>0.12614999999999998</v>
      </c>
      <c r="C48" s="964">
        <f>'User interface_RES'!C57*'User interface_RES'!D58*'User interface_RES'!E58</f>
        <v>4.4999999999999998E-2</v>
      </c>
      <c r="E48" s="1075"/>
      <c r="F48" s="1075"/>
      <c r="G48" s="1075"/>
      <c r="AA48" s="17"/>
      <c r="AB48" s="17"/>
      <c r="AC48" s="17"/>
      <c r="AD48" s="17"/>
      <c r="AE48" s="17"/>
      <c r="AF48" s="17"/>
      <c r="AG48" s="17"/>
      <c r="AH48" s="17"/>
      <c r="AI48" s="17"/>
      <c r="AJ48" s="17"/>
    </row>
    <row r="49" spans="1:36" ht="17.149999999999999" customHeight="1" x14ac:dyDescent="0.35">
      <c r="A49" s="155" t="s">
        <v>823</v>
      </c>
      <c r="B49" s="964">
        <f>'User interface_RES'!C35*'User interface_RES'!D36*'User interface_RES'!F36</f>
        <v>0.12614999999999998</v>
      </c>
      <c r="C49" s="964">
        <f>'User interface_RES'!C57*'User interface_RES'!D58*'User interface_RES'!F58</f>
        <v>0.03</v>
      </c>
      <c r="E49" s="1075"/>
      <c r="F49" s="1075"/>
      <c r="G49" s="1075"/>
      <c r="AA49" s="17"/>
      <c r="AB49" s="17"/>
      <c r="AC49" s="17"/>
      <c r="AD49" s="17"/>
      <c r="AE49" s="17"/>
      <c r="AF49" s="17"/>
      <c r="AG49" s="17"/>
      <c r="AH49" s="17"/>
      <c r="AI49" s="17"/>
      <c r="AJ49" s="17"/>
    </row>
    <row r="50" spans="1:36" ht="17.149999999999999" customHeight="1" x14ac:dyDescent="0.35">
      <c r="A50" s="1038" t="s">
        <v>824</v>
      </c>
      <c r="B50" s="1060">
        <f>SUM(B51:B53)</f>
        <v>0.20097000000000001</v>
      </c>
      <c r="C50" s="1061">
        <f>SUM(C51:C53)</f>
        <v>7.4999999999999997E-2</v>
      </c>
      <c r="E50" s="1076">
        <f>B50-'User interface_RES'!C48</f>
        <v>0.20097000000000001</v>
      </c>
      <c r="F50" s="1077">
        <f>B50-E50</f>
        <v>0</v>
      </c>
      <c r="G50" s="1078">
        <f>ROUND(((F50*$B$31*'User interface_RES'!$G$81)*365/1000)/25,0)*25</f>
        <v>0</v>
      </c>
      <c r="AA50" s="17"/>
      <c r="AB50" s="17"/>
      <c r="AC50" s="17"/>
      <c r="AD50" s="17"/>
      <c r="AE50" s="17"/>
      <c r="AF50" s="17"/>
      <c r="AG50" s="17"/>
      <c r="AH50" s="17"/>
      <c r="AI50" s="17"/>
      <c r="AJ50" s="17"/>
    </row>
    <row r="51" spans="1:36" ht="17.149999999999999" customHeight="1" x14ac:dyDescent="0.35">
      <c r="A51" s="155" t="s">
        <v>822</v>
      </c>
      <c r="B51" s="964">
        <f>'User interface_RES'!C35*'User interface_RES'!D37*'User interface_RES'!E37</f>
        <v>0</v>
      </c>
      <c r="C51" s="964">
        <f>'User interface_RES'!C57*'User interface_RES'!D59*'User interface_RES'!E59</f>
        <v>0</v>
      </c>
      <c r="E51" s="1075"/>
      <c r="F51" s="1075"/>
      <c r="G51" s="1075"/>
      <c r="AA51" s="17"/>
      <c r="AB51" s="17"/>
      <c r="AC51" s="17"/>
      <c r="AD51" s="17"/>
      <c r="AE51" s="17"/>
      <c r="AF51" s="17"/>
      <c r="AG51" s="17"/>
      <c r="AH51" s="17"/>
      <c r="AI51" s="17"/>
      <c r="AJ51" s="17"/>
    </row>
    <row r="52" spans="1:36" ht="17.149999999999999" customHeight="1" x14ac:dyDescent="0.35">
      <c r="A52" s="155" t="s">
        <v>823</v>
      </c>
      <c r="B52" s="964">
        <f>'User interface_RES'!C35*'User interface_RES'!D37*'User interface_RES'!F37</f>
        <v>0.1827</v>
      </c>
      <c r="C52" s="964">
        <f>'User interface_RES'!C57*'User interface_RES'!D59*'User interface_RES'!F59</f>
        <v>7.4999999999999997E-2</v>
      </c>
      <c r="E52" s="1075"/>
      <c r="F52" s="1077">
        <f>F47+F50</f>
        <v>0</v>
      </c>
      <c r="G52" s="1078">
        <f>G47+G50</f>
        <v>0</v>
      </c>
      <c r="AA52" s="17"/>
      <c r="AB52" s="17"/>
      <c r="AC52" s="17"/>
      <c r="AD52" s="17"/>
      <c r="AE52" s="17"/>
      <c r="AF52" s="17"/>
      <c r="AG52" s="17"/>
      <c r="AH52" s="17"/>
      <c r="AI52" s="17"/>
      <c r="AJ52" s="17"/>
    </row>
    <row r="53" spans="1:36" ht="17.149999999999999" customHeight="1" x14ac:dyDescent="0.35">
      <c r="A53" s="155" t="s">
        <v>825</v>
      </c>
      <c r="B53" s="964">
        <f>'User interface_RES'!C35*'User interface_RES'!D37*'User interface_RES'!G37</f>
        <v>1.8270000000000002E-2</v>
      </c>
      <c r="C53" s="964">
        <f>'User interface_RES'!C57*'User interface_RES'!D59*'User interface_RES'!G59</f>
        <v>0</v>
      </c>
      <c r="AA53" s="17"/>
      <c r="AB53" s="17"/>
      <c r="AC53" s="17"/>
      <c r="AD53" s="17"/>
      <c r="AE53" s="17"/>
      <c r="AF53" s="17"/>
      <c r="AG53" s="17"/>
      <c r="AH53" s="17"/>
      <c r="AI53" s="17"/>
      <c r="AJ53" s="17"/>
    </row>
    <row r="54" spans="1:36" ht="17.149999999999999" customHeight="1" x14ac:dyDescent="0.35">
      <c r="A54" s="1038" t="s">
        <v>826</v>
      </c>
      <c r="B54" s="1060">
        <f>SUM(B55:B56)</f>
        <v>0.02</v>
      </c>
      <c r="C54" s="1061">
        <f>SUM(C55:C56)</f>
        <v>0</v>
      </c>
      <c r="AA54" s="17"/>
      <c r="AB54" s="17"/>
      <c r="AC54" s="17"/>
      <c r="AD54" s="17"/>
      <c r="AE54" s="17"/>
      <c r="AF54" s="17"/>
      <c r="AG54" s="17"/>
      <c r="AH54" s="17"/>
      <c r="AI54" s="17"/>
      <c r="AJ54" s="17"/>
    </row>
    <row r="55" spans="1:36" ht="17.149999999999999" customHeight="1" x14ac:dyDescent="0.35">
      <c r="A55" s="155" t="s">
        <v>827</v>
      </c>
      <c r="B55" s="964">
        <f>'User interface_RES'!C38*'User interface_RES'!D39*'User interface_RES'!E39</f>
        <v>0</v>
      </c>
      <c r="C55" s="964">
        <f>'User interface_RES'!C60*'User interface_RES'!D61*'User interface_RES'!E61</f>
        <v>0</v>
      </c>
      <c r="AA55" s="17"/>
      <c r="AB55" s="17"/>
      <c r="AC55" s="17"/>
      <c r="AD55" s="17"/>
      <c r="AE55" s="17"/>
      <c r="AF55" s="17"/>
      <c r="AG55" s="17"/>
      <c r="AH55" s="17"/>
      <c r="AI55" s="17"/>
      <c r="AJ55" s="17"/>
    </row>
    <row r="56" spans="1:36" ht="17.149999999999999" customHeight="1" x14ac:dyDescent="0.35">
      <c r="A56" s="155" t="s">
        <v>828</v>
      </c>
      <c r="B56" s="964">
        <f>'User interface_RES'!C38*'User interface_RES'!D39*'User interface_RES'!F39</f>
        <v>0.02</v>
      </c>
      <c r="C56" s="964">
        <f>'User interface_RES'!C60*'User interface_RES'!D61*'User interface_RES'!F61</f>
        <v>0</v>
      </c>
      <c r="AA56" s="17"/>
      <c r="AB56" s="17"/>
      <c r="AC56" s="17"/>
      <c r="AD56" s="17"/>
      <c r="AE56" s="17"/>
      <c r="AF56" s="17"/>
      <c r="AG56" s="17"/>
      <c r="AH56" s="17"/>
      <c r="AI56" s="17"/>
      <c r="AJ56" s="17"/>
    </row>
    <row r="57" spans="1:36" ht="17.149999999999999" customHeight="1" x14ac:dyDescent="0.35">
      <c r="A57" s="1038" t="s">
        <v>829</v>
      </c>
      <c r="B57" s="1060">
        <f>SUM(B58:B59)</f>
        <v>0.02</v>
      </c>
      <c r="C57" s="1061">
        <f>SUM(C58:C59)</f>
        <v>0</v>
      </c>
      <c r="E57" s="423"/>
      <c r="AA57" s="17"/>
      <c r="AB57" s="17"/>
      <c r="AC57" s="17"/>
      <c r="AD57" s="17"/>
      <c r="AE57" s="17"/>
      <c r="AF57" s="17"/>
      <c r="AG57" s="17"/>
      <c r="AH57" s="17"/>
      <c r="AI57" s="17"/>
      <c r="AJ57" s="17"/>
    </row>
    <row r="58" spans="1:36" ht="17.149999999999999" customHeight="1" x14ac:dyDescent="0.35">
      <c r="A58" s="155" t="s">
        <v>827</v>
      </c>
      <c r="B58" s="964">
        <f>'User interface_RES'!C38*'User interface_RES'!D40*'User interface_RES'!E40</f>
        <v>0</v>
      </c>
      <c r="C58" s="964">
        <f>'User interface_RES'!C60*'User interface_RES'!D62*'User interface_RES'!E62</f>
        <v>0</v>
      </c>
      <c r="AA58" s="17"/>
      <c r="AB58" s="17"/>
      <c r="AC58" s="17"/>
      <c r="AD58" s="17"/>
      <c r="AE58" s="17"/>
      <c r="AF58" s="17"/>
      <c r="AG58" s="17"/>
      <c r="AH58" s="17"/>
      <c r="AI58" s="17"/>
      <c r="AJ58" s="17"/>
    </row>
    <row r="59" spans="1:36" ht="17.149999999999999" customHeight="1" x14ac:dyDescent="0.35">
      <c r="A59" s="155" t="s">
        <v>828</v>
      </c>
      <c r="B59" s="964">
        <f>'User interface_RES'!C38*'User interface_RES'!D40*'User interface_RES'!F40</f>
        <v>0.02</v>
      </c>
      <c r="C59" s="964">
        <f>'User interface_RES'!C60*'User interface_RES'!D62*'User interface_RES'!F62</f>
        <v>0</v>
      </c>
      <c r="AA59" s="17"/>
      <c r="AB59" s="17"/>
      <c r="AC59" s="17"/>
      <c r="AD59" s="17"/>
      <c r="AE59" s="17"/>
      <c r="AF59" s="17"/>
      <c r="AG59" s="17"/>
      <c r="AH59" s="17"/>
      <c r="AI59" s="17"/>
      <c r="AJ59" s="17"/>
    </row>
    <row r="60" spans="1:36" ht="17.149999999999999" customHeight="1" x14ac:dyDescent="0.35">
      <c r="A60" s="1038" t="s">
        <v>830</v>
      </c>
      <c r="B60" s="1060">
        <f>SUM(B61:B63)</f>
        <v>0</v>
      </c>
      <c r="C60" s="1061">
        <f>SUM(C61:C63)</f>
        <v>0</v>
      </c>
      <c r="E60" s="423"/>
      <c r="AA60" s="17"/>
      <c r="AB60" s="17"/>
      <c r="AC60" s="17"/>
      <c r="AD60" s="17"/>
      <c r="AE60" s="17"/>
      <c r="AF60" s="17"/>
      <c r="AG60" s="17"/>
      <c r="AH60" s="17"/>
      <c r="AI60" s="17"/>
      <c r="AJ60" s="17"/>
    </row>
    <row r="61" spans="1:36" ht="17.149999999999999" customHeight="1" x14ac:dyDescent="0.35">
      <c r="A61" s="155" t="s">
        <v>827</v>
      </c>
      <c r="B61" s="964">
        <f>'User interface_RES'!C38*'User interface_RES'!D41*'User interface_RES'!E41</f>
        <v>0</v>
      </c>
      <c r="C61" s="964">
        <f>'User interface_RES'!C60*'User interface_RES'!D63*'User interface_RES'!E63</f>
        <v>0</v>
      </c>
      <c r="AA61" s="17"/>
      <c r="AB61" s="17"/>
      <c r="AC61" s="17"/>
      <c r="AD61" s="17"/>
      <c r="AE61" s="17"/>
      <c r="AF61" s="17"/>
      <c r="AG61" s="17"/>
      <c r="AH61" s="17"/>
      <c r="AI61" s="17"/>
      <c r="AJ61" s="17"/>
    </row>
    <row r="62" spans="1:36" ht="17.149999999999999" customHeight="1" x14ac:dyDescent="0.35">
      <c r="A62" s="155" t="s">
        <v>828</v>
      </c>
      <c r="B62" s="964">
        <f>'User interface_RES'!C38*'User interface_RES'!D41*'User interface_RES'!F41</f>
        <v>0</v>
      </c>
      <c r="C62" s="964">
        <f>'User interface_RES'!C60*'User interface_RES'!D63*'User interface_RES'!F63</f>
        <v>0</v>
      </c>
      <c r="AA62" s="17"/>
      <c r="AB62" s="17"/>
      <c r="AC62" s="17"/>
      <c r="AD62" s="17"/>
      <c r="AE62" s="17"/>
      <c r="AF62" s="17"/>
      <c r="AG62" s="17"/>
      <c r="AH62" s="17"/>
      <c r="AI62" s="17"/>
      <c r="AJ62" s="17"/>
    </row>
    <row r="63" spans="1:36" ht="17.149999999999999" customHeight="1" x14ac:dyDescent="0.35">
      <c r="A63" s="155" t="s">
        <v>831</v>
      </c>
      <c r="B63" s="964">
        <f>'User interface_RES'!C38*'User interface_RES'!D41*'User interface_RES'!G41</f>
        <v>0</v>
      </c>
      <c r="C63" s="964">
        <f>'User interface_RES'!C60*'User interface_RES'!D63*'User interface_RES'!G63</f>
        <v>0</v>
      </c>
      <c r="AA63" s="17"/>
      <c r="AB63" s="17"/>
      <c r="AC63" s="17"/>
      <c r="AD63" s="17"/>
      <c r="AE63" s="17"/>
      <c r="AF63" s="17"/>
      <c r="AG63" s="17"/>
      <c r="AH63" s="17"/>
      <c r="AI63" s="17"/>
      <c r="AJ63" s="17"/>
    </row>
    <row r="64" spans="1:36" ht="17.149999999999999" customHeight="1" x14ac:dyDescent="0.35">
      <c r="A64" s="1038" t="s">
        <v>443</v>
      </c>
      <c r="B64" s="1060">
        <f>'User interface_RES'!C42</f>
        <v>7.5999999999999998E-2</v>
      </c>
      <c r="C64" s="1061">
        <f>'User interface_RES'!C64</f>
        <v>0</v>
      </c>
      <c r="E64" s="423"/>
      <c r="AA64" s="17"/>
      <c r="AB64" s="17"/>
      <c r="AC64" s="17"/>
      <c r="AD64" s="17"/>
      <c r="AE64" s="17"/>
      <c r="AF64" s="17"/>
      <c r="AG64" s="17"/>
      <c r="AH64" s="17"/>
      <c r="AI64" s="17"/>
      <c r="AJ64" s="17"/>
    </row>
    <row r="65" spans="1:36" ht="17.149999999999999" customHeight="1" x14ac:dyDescent="0.35">
      <c r="A65" s="950" t="s">
        <v>208</v>
      </c>
      <c r="B65" s="1018">
        <f>B41+B44+B47+B50+B54+B57+B60+B64</f>
        <v>1.01827</v>
      </c>
      <c r="C65" s="1062">
        <f>C41+C44+C47+C50+C54+C57+C60+C64</f>
        <v>1</v>
      </c>
      <c r="E65" s="423"/>
      <c r="AA65" s="17"/>
      <c r="AB65" s="17"/>
      <c r="AC65" s="17"/>
      <c r="AD65" s="17"/>
      <c r="AE65" s="17"/>
      <c r="AF65" s="17"/>
      <c r="AG65" s="17"/>
      <c r="AH65" s="17"/>
      <c r="AI65" s="17"/>
      <c r="AJ65" s="17"/>
    </row>
    <row r="66" spans="1:36" ht="17.149999999999999" customHeight="1" x14ac:dyDescent="0.35">
      <c r="AA66" s="17"/>
      <c r="AB66" s="17"/>
      <c r="AC66" s="17"/>
      <c r="AD66" s="17"/>
      <c r="AE66" s="17"/>
      <c r="AF66" s="17"/>
      <c r="AG66" s="17"/>
      <c r="AH66" s="17"/>
      <c r="AI66" s="17"/>
      <c r="AJ66" s="17"/>
    </row>
    <row r="67" spans="1:36" ht="17.149999999999999" customHeight="1" x14ac:dyDescent="0.35">
      <c r="A67" s="949" t="s">
        <v>832</v>
      </c>
      <c r="B67" s="1505" t="s">
        <v>833</v>
      </c>
      <c r="C67" s="1502" t="s">
        <v>833</v>
      </c>
      <c r="E67" s="1505" t="s">
        <v>201</v>
      </c>
      <c r="F67" s="1502" t="s">
        <v>201</v>
      </c>
      <c r="AA67" s="17"/>
      <c r="AB67" s="17"/>
      <c r="AC67" s="17"/>
      <c r="AD67" s="17"/>
      <c r="AE67" s="17"/>
      <c r="AF67" s="17"/>
      <c r="AG67" s="17"/>
      <c r="AH67" s="17"/>
      <c r="AI67" s="17"/>
      <c r="AJ67" s="17"/>
    </row>
    <row r="68" spans="1:36" ht="17.149999999999999" customHeight="1" x14ac:dyDescent="0.35">
      <c r="A68" s="155" t="s">
        <v>834</v>
      </c>
      <c r="B68" s="368">
        <f>'Capture volumes'!B68</f>
        <v>593299.80000000005</v>
      </c>
      <c r="C68" s="368">
        <f>'Capture volumes'!C68</f>
        <v>2074035.0000000002</v>
      </c>
      <c r="D68" s="136"/>
      <c r="E68" s="1064">
        <f>B42+B45+B48+B51+B58+B61</f>
        <v>0.35065000000000002</v>
      </c>
      <c r="F68" s="391">
        <f>C42+C45+C48+C51+C58+C61</f>
        <v>0.55500000000000005</v>
      </c>
      <c r="AA68" s="17"/>
      <c r="AB68" s="17"/>
      <c r="AC68" s="17"/>
      <c r="AD68" s="17"/>
      <c r="AE68" s="17"/>
      <c r="AF68" s="17"/>
      <c r="AG68" s="17"/>
      <c r="AH68" s="17"/>
      <c r="AI68" s="17"/>
      <c r="AJ68" s="17"/>
    </row>
    <row r="69" spans="1:36" ht="17.149999999999999" customHeight="1" x14ac:dyDescent="0.35">
      <c r="A69" s="155" t="s">
        <v>835</v>
      </c>
      <c r="B69" s="368">
        <f>'Capture volumes'!B69</f>
        <v>970108.20000000007</v>
      </c>
      <c r="C69" s="368">
        <f>'Capture volumes'!C69</f>
        <v>1662965</v>
      </c>
      <c r="D69" s="136"/>
      <c r="E69" s="1064">
        <f>B43+B46+B49+B52+B59+B62</f>
        <v>0.55335000000000001</v>
      </c>
      <c r="F69" s="391">
        <f>C43+C46+C49+C52+C59+C62</f>
        <v>0.44500000000000001</v>
      </c>
      <c r="AA69" s="17"/>
      <c r="AB69" s="17"/>
      <c r="AC69" s="17"/>
      <c r="AD69" s="17"/>
      <c r="AE69" s="17"/>
      <c r="AF69" s="17"/>
      <c r="AG69" s="17"/>
      <c r="AH69" s="17"/>
      <c r="AI69" s="17"/>
      <c r="AJ69" s="17"/>
    </row>
    <row r="70" spans="1:36" ht="17.149999999999999" customHeight="1" x14ac:dyDescent="0.35">
      <c r="A70" s="155" t="s">
        <v>836</v>
      </c>
      <c r="B70" s="368">
        <f>'Capture volumes'!B70</f>
        <v>30912.840000000004</v>
      </c>
      <c r="C70" s="368">
        <f>'Capture volumes'!C70</f>
        <v>0</v>
      </c>
      <c r="D70" s="136"/>
      <c r="E70" s="1064">
        <f>B53+B63</f>
        <v>1.8270000000000002E-2</v>
      </c>
      <c r="F70" s="391">
        <f>C53+C63</f>
        <v>0</v>
      </c>
      <c r="AA70" s="17"/>
      <c r="AB70" s="17"/>
      <c r="AC70" s="17"/>
      <c r="AD70" s="17"/>
      <c r="AE70" s="17"/>
      <c r="AF70" s="17"/>
      <c r="AG70" s="17"/>
      <c r="AH70" s="17"/>
      <c r="AI70" s="17"/>
      <c r="AJ70" s="17"/>
    </row>
    <row r="71" spans="1:36" ht="17.149999999999999" customHeight="1" x14ac:dyDescent="0.35">
      <c r="A71" s="155" t="s">
        <v>443</v>
      </c>
      <c r="B71" s="368">
        <f>'Capture volumes'!B71</f>
        <v>128592</v>
      </c>
      <c r="C71" s="368">
        <f>'Capture volumes'!C71</f>
        <v>0</v>
      </c>
      <c r="D71" s="136"/>
      <c r="E71" s="1064">
        <f>B64</f>
        <v>7.5999999999999998E-2</v>
      </c>
      <c r="F71" s="391">
        <f>C64</f>
        <v>0</v>
      </c>
      <c r="AA71" s="17"/>
      <c r="AB71" s="17"/>
      <c r="AC71" s="17"/>
      <c r="AD71" s="17"/>
      <c r="AE71" s="17"/>
      <c r="AF71" s="17"/>
      <c r="AG71" s="17"/>
      <c r="AH71" s="17"/>
      <c r="AI71" s="17"/>
      <c r="AJ71" s="17"/>
    </row>
    <row r="72" spans="1:36" ht="17.149999999999999" customHeight="1" x14ac:dyDescent="0.35">
      <c r="A72" s="950" t="s">
        <v>208</v>
      </c>
      <c r="B72" s="1021">
        <f>SUM(B68:B71)</f>
        <v>1722912.84</v>
      </c>
      <c r="C72" s="1063">
        <f>SUM(C68:C71)</f>
        <v>3737000</v>
      </c>
      <c r="E72" s="1018">
        <f>SUM(E68:E71)</f>
        <v>0.99826999999999999</v>
      </c>
      <c r="F72" s="1062">
        <f>SUM(F68:F71)</f>
        <v>1</v>
      </c>
      <c r="AA72" s="17"/>
      <c r="AB72" s="17"/>
      <c r="AC72" s="17"/>
      <c r="AD72" s="17"/>
      <c r="AE72" s="17"/>
      <c r="AF72" s="17"/>
      <c r="AG72" s="17"/>
      <c r="AH72" s="17"/>
      <c r="AI72" s="17"/>
      <c r="AJ72" s="17"/>
    </row>
    <row r="73" spans="1:36" ht="17.149999999999999" customHeight="1" x14ac:dyDescent="0.35">
      <c r="A73" s="378"/>
      <c r="B73" s="29">
        <f>B31</f>
        <v>1692000</v>
      </c>
      <c r="C73" s="29">
        <f>C35</f>
        <v>3737000</v>
      </c>
      <c r="E73" s="376"/>
      <c r="F73" s="377"/>
      <c r="AA73" s="17"/>
      <c r="AB73" s="17"/>
      <c r="AC73" s="17"/>
      <c r="AD73" s="17"/>
      <c r="AE73" s="17"/>
      <c r="AF73" s="17"/>
      <c r="AG73" s="17"/>
      <c r="AH73" s="17"/>
      <c r="AI73" s="17"/>
      <c r="AJ73" s="17"/>
    </row>
    <row r="74" spans="1:36" ht="17.149999999999999" customHeight="1" x14ac:dyDescent="0.35">
      <c r="A74" s="379"/>
      <c r="B74" s="1519" t="str">
        <f>IF(B72=B73,"OK","Not OK")</f>
        <v>Not OK</v>
      </c>
      <c r="C74" s="1519" t="str">
        <f>IF(C72=C73,"OK","Not OK")</f>
        <v>OK</v>
      </c>
      <c r="E74" s="376"/>
      <c r="F74" s="377"/>
      <c r="AA74" s="17"/>
      <c r="AB74" s="17"/>
      <c r="AC74" s="17"/>
      <c r="AD74" s="17"/>
      <c r="AE74" s="17"/>
      <c r="AF74" s="17"/>
      <c r="AG74" s="17"/>
      <c r="AH74" s="17"/>
      <c r="AI74" s="17"/>
      <c r="AJ74" s="17"/>
    </row>
    <row r="75" spans="1:36" ht="17.149999999999999" customHeight="1" x14ac:dyDescent="0.35">
      <c r="AA75" s="17"/>
      <c r="AB75" s="17"/>
      <c r="AC75" s="17"/>
      <c r="AD75" s="17"/>
      <c r="AE75" s="17"/>
      <c r="AF75" s="17"/>
      <c r="AG75" s="17"/>
      <c r="AH75" s="17"/>
      <c r="AI75" s="17"/>
      <c r="AJ75" s="17"/>
    </row>
    <row r="76" spans="1:36" ht="17.149999999999999" customHeight="1" x14ac:dyDescent="0.35">
      <c r="A76" s="949" t="s">
        <v>837</v>
      </c>
      <c r="B76" s="1505" t="s">
        <v>833</v>
      </c>
      <c r="C76" s="1502" t="s">
        <v>833</v>
      </c>
      <c r="E76" s="1505" t="s">
        <v>201</v>
      </c>
      <c r="F76" s="1502" t="s">
        <v>201</v>
      </c>
      <c r="AA76" s="17"/>
      <c r="AB76" s="17"/>
      <c r="AC76" s="17"/>
      <c r="AD76" s="17"/>
      <c r="AE76" s="17"/>
      <c r="AF76" s="17"/>
      <c r="AG76" s="17"/>
      <c r="AH76" s="17"/>
      <c r="AI76" s="17"/>
      <c r="AJ76" s="17"/>
    </row>
    <row r="77" spans="1:36" ht="17.149999999999999" customHeight="1" x14ac:dyDescent="0.35">
      <c r="A77" s="168" t="s">
        <v>816</v>
      </c>
      <c r="B77" s="368">
        <f>B44*B31</f>
        <v>0</v>
      </c>
      <c r="C77" s="368">
        <f>C44*C35</f>
        <v>0</v>
      </c>
      <c r="D77" s="136"/>
      <c r="E77" s="1064">
        <f>IF($B$31=0,0,B77/$B$31)</f>
        <v>0</v>
      </c>
      <c r="F77" s="391">
        <f>IF(C35=0,0,C77/$C$35)</f>
        <v>0</v>
      </c>
      <c r="AA77" s="17"/>
      <c r="AB77" s="17"/>
      <c r="AC77" s="17"/>
      <c r="AD77" s="17"/>
      <c r="AE77" s="17"/>
      <c r="AF77" s="17"/>
      <c r="AG77" s="17"/>
      <c r="AH77" s="17"/>
      <c r="AI77" s="17"/>
      <c r="AJ77" s="17"/>
    </row>
    <row r="78" spans="1:36" ht="17.149999999999999" customHeight="1" x14ac:dyDescent="0.35">
      <c r="A78" s="168" t="s">
        <v>821</v>
      </c>
      <c r="B78" s="368">
        <f>B47*B31</f>
        <v>426891.59999999992</v>
      </c>
      <c r="C78" s="368">
        <f>C47*C35</f>
        <v>280275</v>
      </c>
      <c r="D78" s="136"/>
      <c r="E78" s="1064">
        <f>IF($B$31=0,0,B78/$B$31)</f>
        <v>0.25229999999999997</v>
      </c>
      <c r="F78" s="391">
        <f>IF(C36=0,0,C78/$C$35)</f>
        <v>0</v>
      </c>
      <c r="AA78" s="17"/>
      <c r="AB78" s="17"/>
      <c r="AC78" s="17"/>
      <c r="AD78" s="17"/>
      <c r="AE78" s="17"/>
      <c r="AF78" s="17"/>
      <c r="AG78" s="17"/>
      <c r="AH78" s="17"/>
      <c r="AI78" s="17"/>
      <c r="AJ78" s="17"/>
    </row>
    <row r="79" spans="1:36" ht="17.149999999999999" customHeight="1" x14ac:dyDescent="0.35">
      <c r="A79" s="168" t="s">
        <v>829</v>
      </c>
      <c r="B79" s="368">
        <f>B57*B31</f>
        <v>33840</v>
      </c>
      <c r="C79" s="368">
        <f>C57*C35</f>
        <v>0</v>
      </c>
      <c r="D79" s="136"/>
      <c r="E79" s="1064">
        <f>IF($B$31=0,0,B79/$B$31)</f>
        <v>0.02</v>
      </c>
      <c r="F79" s="391">
        <f>IF(C37=0,0,C79/$C$35)</f>
        <v>0</v>
      </c>
      <c r="AA79" s="17"/>
      <c r="AB79" s="17"/>
      <c r="AC79" s="17"/>
      <c r="AD79" s="17"/>
      <c r="AE79" s="17"/>
      <c r="AF79" s="17"/>
      <c r="AG79" s="17"/>
      <c r="AH79" s="17"/>
      <c r="AI79" s="17"/>
      <c r="AJ79" s="17"/>
    </row>
    <row r="80" spans="1:36" ht="17.149999999999999" customHeight="1" x14ac:dyDescent="0.35">
      <c r="A80" s="950" t="s">
        <v>208</v>
      </c>
      <c r="B80" s="1021">
        <f>SUM(B77:B79)</f>
        <v>460731.59999999992</v>
      </c>
      <c r="C80" s="1063">
        <f>SUM(C77:C79)</f>
        <v>280275</v>
      </c>
      <c r="E80" s="1018">
        <f>SUM(E77:E79)</f>
        <v>0.27229999999999999</v>
      </c>
      <c r="F80" s="1062">
        <f>SUM(F77:F79)</f>
        <v>0</v>
      </c>
      <c r="AA80" s="17"/>
      <c r="AB80" s="17"/>
      <c r="AC80" s="17"/>
      <c r="AD80" s="17"/>
      <c r="AE80" s="17"/>
      <c r="AF80" s="17"/>
      <c r="AG80" s="17"/>
      <c r="AH80" s="17"/>
      <c r="AI80" s="17"/>
      <c r="AJ80" s="17"/>
    </row>
    <row r="81" spans="1:36" ht="17.149999999999999" customHeight="1" x14ac:dyDescent="0.35">
      <c r="AA81" s="17"/>
      <c r="AB81" s="17"/>
      <c r="AC81" s="17"/>
      <c r="AD81" s="17"/>
      <c r="AE81" s="17"/>
      <c r="AF81" s="17"/>
      <c r="AG81" s="17"/>
      <c r="AH81" s="17"/>
      <c r="AI81" s="17"/>
      <c r="AJ81" s="17"/>
    </row>
    <row r="82" spans="1:36" ht="17.149999999999999" customHeight="1" x14ac:dyDescent="0.35">
      <c r="A82" s="949" t="s">
        <v>838</v>
      </c>
      <c r="B82" s="1505" t="s">
        <v>833</v>
      </c>
      <c r="C82" s="1502" t="s">
        <v>833</v>
      </c>
      <c r="E82" s="1505" t="s">
        <v>201</v>
      </c>
      <c r="F82" s="1502" t="s">
        <v>201</v>
      </c>
      <c r="AA82" s="17"/>
      <c r="AB82" s="17"/>
      <c r="AC82" s="17"/>
      <c r="AD82" s="17"/>
      <c r="AE82" s="17"/>
      <c r="AF82" s="17"/>
      <c r="AG82" s="17"/>
      <c r="AH82" s="17"/>
      <c r="AI82" s="17"/>
      <c r="AJ82" s="17"/>
    </row>
    <row r="83" spans="1:36" ht="17.149999999999999" customHeight="1" x14ac:dyDescent="0.35">
      <c r="A83" s="168" t="s">
        <v>824</v>
      </c>
      <c r="B83" s="368">
        <f>B50*B31</f>
        <v>340041.24</v>
      </c>
      <c r="C83" s="368">
        <f>C50*C35</f>
        <v>280275</v>
      </c>
      <c r="D83" s="136"/>
      <c r="E83" s="1064">
        <f>IF($B$31=0,0,B83/$B$31)</f>
        <v>0.20096999999999998</v>
      </c>
      <c r="F83" s="391">
        <f>IF(C41=0,0,C83/$C$35)</f>
        <v>7.4999999999999997E-2</v>
      </c>
      <c r="AA83" s="17"/>
      <c r="AB83" s="17"/>
      <c r="AC83" s="17"/>
      <c r="AD83" s="17"/>
      <c r="AE83" s="17"/>
      <c r="AF83" s="17"/>
      <c r="AG83" s="17"/>
      <c r="AH83" s="17"/>
      <c r="AI83" s="17"/>
      <c r="AJ83" s="17"/>
    </row>
    <row r="84" spans="1:36" ht="17.149999999999999" customHeight="1" x14ac:dyDescent="0.35">
      <c r="A84" s="168" t="s">
        <v>830</v>
      </c>
      <c r="B84" s="368">
        <f>B60*B31</f>
        <v>0</v>
      </c>
      <c r="C84" s="368">
        <f>C60*C35</f>
        <v>0</v>
      </c>
      <c r="D84" s="136"/>
      <c r="E84" s="1064">
        <f>IF($B$31=0,0,B84/$B$31)</f>
        <v>0</v>
      </c>
      <c r="F84" s="391">
        <f>IF(C42=0,0,C84/$C$35)</f>
        <v>0</v>
      </c>
      <c r="AA84" s="17"/>
      <c r="AB84" s="17"/>
      <c r="AC84" s="17"/>
      <c r="AD84" s="17"/>
      <c r="AE84" s="17"/>
      <c r="AF84" s="17"/>
      <c r="AG84" s="17"/>
      <c r="AH84" s="17"/>
      <c r="AI84" s="17"/>
      <c r="AJ84" s="17"/>
    </row>
    <row r="85" spans="1:36" ht="17.149999999999999" customHeight="1" x14ac:dyDescent="0.35">
      <c r="A85" s="950" t="s">
        <v>208</v>
      </c>
      <c r="B85" s="1021">
        <f>SUM(B83:B84)</f>
        <v>340041.24</v>
      </c>
      <c r="C85" s="1063">
        <f>SUM(C83:C84)</f>
        <v>280275</v>
      </c>
      <c r="E85" s="1018">
        <f>SUM(E83:E84)</f>
        <v>0.20096999999999998</v>
      </c>
      <c r="F85" s="1062">
        <f>SUM(F83:F84)</f>
        <v>7.4999999999999997E-2</v>
      </c>
      <c r="AA85" s="17"/>
      <c r="AB85" s="17"/>
      <c r="AC85" s="17"/>
      <c r="AD85" s="17"/>
      <c r="AE85" s="17"/>
      <c r="AF85" s="17"/>
      <c r="AG85" s="17"/>
      <c r="AH85" s="17"/>
      <c r="AI85" s="17"/>
      <c r="AJ85" s="17"/>
    </row>
    <row r="86" spans="1:36" ht="17.149999999999999" customHeight="1" x14ac:dyDescent="0.35">
      <c r="AA86" s="17"/>
      <c r="AB86" s="17"/>
      <c r="AC86" s="17"/>
      <c r="AD86" s="17"/>
      <c r="AE86" s="17"/>
      <c r="AF86" s="17"/>
      <c r="AG86" s="17"/>
      <c r="AH86" s="17"/>
      <c r="AI86" s="17"/>
      <c r="AJ86" s="17"/>
    </row>
    <row r="87" spans="1:36" ht="17.149999999999999" customHeight="1" x14ac:dyDescent="0.35">
      <c r="AA87" s="17"/>
      <c r="AB87" s="17"/>
      <c r="AC87" s="17"/>
      <c r="AD87" s="17"/>
      <c r="AE87" s="17"/>
      <c r="AF87" s="17"/>
      <c r="AG87" s="17"/>
      <c r="AH87" s="17"/>
      <c r="AI87" s="17"/>
      <c r="AJ87" s="17"/>
    </row>
    <row r="88" spans="1:36" ht="17.149999999999999" customHeight="1" x14ac:dyDescent="0.35">
      <c r="A88" s="949" t="s">
        <v>839</v>
      </c>
      <c r="B88" s="1505" t="s">
        <v>9</v>
      </c>
      <c r="C88" s="1502" t="s">
        <v>253</v>
      </c>
      <c r="E88" s="1505" t="s">
        <v>9</v>
      </c>
      <c r="F88" s="1502" t="s">
        <v>253</v>
      </c>
      <c r="AA88" s="17"/>
      <c r="AB88" s="17"/>
      <c r="AC88" s="17"/>
      <c r="AD88" s="17"/>
      <c r="AE88" s="17"/>
      <c r="AF88" s="17"/>
      <c r="AG88" s="17"/>
      <c r="AH88" s="17"/>
      <c r="AI88" s="17"/>
      <c r="AJ88" s="17"/>
    </row>
    <row r="89" spans="1:36" ht="17.149999999999999" customHeight="1" x14ac:dyDescent="0.35">
      <c r="AA89" s="17"/>
      <c r="AB89" s="17"/>
      <c r="AC89" s="17"/>
      <c r="AD89" s="17"/>
      <c r="AE89" s="17"/>
      <c r="AF89" s="17"/>
      <c r="AG89" s="17"/>
      <c r="AH89" s="17"/>
      <c r="AI89" s="17"/>
      <c r="AJ89" s="17"/>
    </row>
    <row r="90" spans="1:36" ht="17.149999999999999" customHeight="1" x14ac:dyDescent="0.35">
      <c r="A90" s="142"/>
      <c r="B90" s="1504" t="s">
        <v>840</v>
      </c>
      <c r="C90" s="1508" t="s">
        <v>840</v>
      </c>
      <c r="E90" s="1504" t="s">
        <v>841</v>
      </c>
      <c r="F90" s="1508" t="s">
        <v>841</v>
      </c>
      <c r="AA90" s="17"/>
      <c r="AB90" s="17"/>
      <c r="AC90" s="17"/>
      <c r="AD90" s="17"/>
      <c r="AE90" s="17"/>
      <c r="AF90" s="17"/>
      <c r="AG90" s="17"/>
      <c r="AH90" s="17"/>
      <c r="AI90" s="17"/>
      <c r="AJ90" s="17"/>
    </row>
    <row r="91" spans="1:36" ht="17.149999999999999" customHeight="1" x14ac:dyDescent="0.35">
      <c r="A91" s="1038" t="s">
        <v>433</v>
      </c>
      <c r="B91" s="1066">
        <f>SUM(B92:B93)</f>
        <v>0</v>
      </c>
      <c r="C91" s="1065">
        <f>SUM(C92:C93)</f>
        <v>508232</v>
      </c>
      <c r="E91" s="1066">
        <f>SUM(E92:E93)</f>
        <v>0</v>
      </c>
      <c r="F91" s="1065">
        <f>SUM(F92:F93)</f>
        <v>185500</v>
      </c>
      <c r="J91" s="433"/>
      <c r="AA91" s="17"/>
      <c r="AB91" s="17"/>
      <c r="AC91" s="17"/>
      <c r="AD91" s="17"/>
      <c r="AE91" s="17"/>
      <c r="AF91" s="17"/>
      <c r="AG91" s="17"/>
      <c r="AH91" s="17"/>
      <c r="AI91" s="17"/>
      <c r="AJ91" s="17"/>
    </row>
    <row r="92" spans="1:36" ht="17.149999999999999" customHeight="1" x14ac:dyDescent="0.35">
      <c r="A92" s="155" t="s">
        <v>814</v>
      </c>
      <c r="B92" s="1044">
        <f>ROUND(($B$31*B42*'User interface_RES'!K33*'User interface_RES'!L74)/1,0)*1</f>
        <v>0</v>
      </c>
      <c r="C92" s="1044">
        <f>ROUND(($C$35*C42*'User interface_RES'!K55*'User interface_RES'!L74)/1,0)*1</f>
        <v>0</v>
      </c>
      <c r="D92" s="136"/>
      <c r="E92" s="1044">
        <f>ROUND((B92*365/1000)/25,0)*25</f>
        <v>0</v>
      </c>
      <c r="F92" s="1044">
        <f>ROUND((C92*365/1000)/25,0)*25</f>
        <v>0</v>
      </c>
      <c r="J92" s="434"/>
      <c r="AA92" s="17"/>
      <c r="AB92" s="17"/>
      <c r="AC92" s="17"/>
      <c r="AD92" s="17"/>
      <c r="AE92" s="17"/>
      <c r="AF92" s="17"/>
      <c r="AG92" s="17"/>
      <c r="AH92" s="17"/>
      <c r="AI92" s="17"/>
      <c r="AJ92" s="17"/>
    </row>
    <row r="93" spans="1:36" ht="17.149999999999999" customHeight="1" x14ac:dyDescent="0.35">
      <c r="A93" s="155" t="s">
        <v>815</v>
      </c>
      <c r="B93" s="1044">
        <f>ROUND(($B$31*B43*'User interface_RES'!K33*'User interface_RES'!L75)/1,0)*1</f>
        <v>0</v>
      </c>
      <c r="C93" s="1044">
        <f>ROUND(($C$35*C43*'User interface_RES'!L75)/1,0)*1</f>
        <v>508232</v>
      </c>
      <c r="D93" s="136"/>
      <c r="E93" s="1044">
        <f>ROUND((B93*365/1000)/25,0)*25</f>
        <v>0</v>
      </c>
      <c r="F93" s="1044">
        <f>ROUND((C93*365/1000)/25,0)*25</f>
        <v>185500</v>
      </c>
      <c r="J93" s="434"/>
      <c r="AA93" s="17"/>
      <c r="AB93" s="17"/>
      <c r="AC93" s="17"/>
      <c r="AD93" s="17"/>
      <c r="AE93" s="17"/>
      <c r="AF93" s="17"/>
      <c r="AG93" s="17"/>
      <c r="AH93" s="17"/>
      <c r="AI93" s="17"/>
      <c r="AJ93" s="17"/>
    </row>
    <row r="94" spans="1:36" ht="17.149999999999999" customHeight="1" x14ac:dyDescent="0.35">
      <c r="A94" s="1038" t="s">
        <v>474</v>
      </c>
      <c r="B94" s="1066">
        <f>SUM(B95:B96)</f>
        <v>0</v>
      </c>
      <c r="C94" s="1065">
        <f>SUM(C95:C96)</f>
        <v>0</v>
      </c>
      <c r="E94" s="1066">
        <f>SUM(E95:E96)</f>
        <v>0</v>
      </c>
      <c r="F94" s="1065">
        <f>SUM(F95:F96)</f>
        <v>0</v>
      </c>
      <c r="H94" s="94"/>
      <c r="I94" s="94"/>
      <c r="J94" s="433"/>
      <c r="AA94" s="17"/>
      <c r="AB94" s="17"/>
      <c r="AC94" s="17"/>
      <c r="AD94" s="17"/>
      <c r="AE94" s="17"/>
      <c r="AF94" s="17"/>
      <c r="AG94" s="17"/>
      <c r="AH94" s="17"/>
      <c r="AI94" s="17"/>
      <c r="AJ94" s="17"/>
    </row>
    <row r="95" spans="1:36" ht="17.149999999999999" customHeight="1" x14ac:dyDescent="0.35">
      <c r="A95" s="155" t="s">
        <v>817</v>
      </c>
      <c r="B95" s="1044">
        <f>ROUND(($B$31*B45*'User interface_RES'!L77)/1,0)*1</f>
        <v>0</v>
      </c>
      <c r="C95" s="1044">
        <f>ROUND(($C$35*C45*'User interface_RES'!L77)/1,0)*1</f>
        <v>0</v>
      </c>
      <c r="D95" s="136"/>
      <c r="E95" s="1044">
        <f>ROUND((B95*365/1000)/25,0)*25</f>
        <v>0</v>
      </c>
      <c r="F95" s="1044">
        <f>ROUND((C95*365/1000)/25,0)*25</f>
        <v>0</v>
      </c>
      <c r="H95" s="94"/>
      <c r="I95" s="94"/>
      <c r="J95" s="434"/>
      <c r="AA95" s="17"/>
      <c r="AB95" s="17"/>
      <c r="AC95" s="17"/>
      <c r="AD95" s="17"/>
      <c r="AE95" s="17"/>
      <c r="AF95" s="17"/>
      <c r="AG95" s="17"/>
      <c r="AH95" s="17"/>
      <c r="AI95" s="17"/>
      <c r="AJ95" s="17"/>
    </row>
    <row r="96" spans="1:36" ht="17.149999999999999" customHeight="1" x14ac:dyDescent="0.35">
      <c r="A96" s="155" t="s">
        <v>820</v>
      </c>
      <c r="B96" s="1044">
        <f>ROUND(($B$31*B46*'User interface_RES'!L78)/1,0)*1</f>
        <v>0</v>
      </c>
      <c r="C96" s="1044">
        <f>ROUND(($C$35*C46*'User interface_RES'!L78)/1,0)*1</f>
        <v>0</v>
      </c>
      <c r="D96" s="136"/>
      <c r="E96" s="1044">
        <f>ROUND((B96*365/1000)/25,0)*25</f>
        <v>0</v>
      </c>
      <c r="F96" s="1044">
        <f>ROUND((C96*365/1000)/25,0)*25</f>
        <v>0</v>
      </c>
      <c r="H96" s="94"/>
      <c r="I96" s="94"/>
      <c r="J96" s="434"/>
      <c r="AA96" s="17"/>
      <c r="AB96" s="17"/>
      <c r="AC96" s="17"/>
      <c r="AD96" s="17"/>
      <c r="AE96" s="17"/>
      <c r="AF96" s="17"/>
      <c r="AG96" s="17"/>
      <c r="AH96" s="17"/>
      <c r="AI96" s="17"/>
      <c r="AJ96" s="17"/>
    </row>
    <row r="97" spans="1:36" ht="17.149999999999999" customHeight="1" x14ac:dyDescent="0.35">
      <c r="A97" s="1038" t="s">
        <v>821</v>
      </c>
      <c r="B97" s="1066">
        <f>SUM(B98:B99)</f>
        <v>170756</v>
      </c>
      <c r="C97" s="1065">
        <f>SUM(C98:C99)</f>
        <v>112110</v>
      </c>
      <c r="E97" s="1066">
        <f>SUM(E98:E99)</f>
        <v>62350</v>
      </c>
      <c r="F97" s="1065">
        <f>SUM(F98:F99)</f>
        <v>40925</v>
      </c>
      <c r="H97" s="94"/>
      <c r="I97" s="94"/>
      <c r="J97" s="433"/>
      <c r="AA97" s="17"/>
      <c r="AB97" s="17"/>
      <c r="AC97" s="17"/>
      <c r="AD97" s="17"/>
      <c r="AE97" s="17"/>
      <c r="AF97" s="17"/>
      <c r="AG97" s="17"/>
      <c r="AH97" s="17"/>
      <c r="AI97" s="17"/>
      <c r="AJ97" s="17"/>
    </row>
    <row r="98" spans="1:36" ht="17.149999999999999" customHeight="1" x14ac:dyDescent="0.35">
      <c r="A98" s="155" t="s">
        <v>822</v>
      </c>
      <c r="B98" s="1044">
        <f>ROUND(($B$31*B48*'User interface_RES'!L80)/1,0)*1</f>
        <v>85378</v>
      </c>
      <c r="C98" s="1044">
        <f>ROUND(($C$35*C48*'User interface_RES'!L80)/1,0)*1</f>
        <v>67266</v>
      </c>
      <c r="D98" s="136"/>
      <c r="E98" s="1044">
        <f>ROUND((B98*365/1000)/25,0)*25</f>
        <v>31175</v>
      </c>
      <c r="F98" s="1044">
        <f>ROUND((C98*365/1000)/25,0)*25</f>
        <v>24550</v>
      </c>
      <c r="H98" s="94"/>
      <c r="I98" s="94"/>
      <c r="J98" s="434"/>
      <c r="AA98" s="17"/>
      <c r="AB98" s="17"/>
      <c r="AC98" s="17"/>
      <c r="AD98" s="17"/>
      <c r="AE98" s="17"/>
      <c r="AF98" s="17"/>
      <c r="AG98" s="17"/>
      <c r="AH98" s="17"/>
      <c r="AI98" s="17"/>
      <c r="AJ98" s="17"/>
    </row>
    <row r="99" spans="1:36" ht="17.149999999999999" customHeight="1" x14ac:dyDescent="0.35">
      <c r="A99" s="155" t="s">
        <v>823</v>
      </c>
      <c r="B99" s="1044">
        <f>ROUND(($B$31*B49*'User interface_RES'!L81)/1,0)*1</f>
        <v>85378</v>
      </c>
      <c r="C99" s="1044">
        <f>ROUND(($C$35*C49*'User interface_RES'!L81)/1,0)*1</f>
        <v>44844</v>
      </c>
      <c r="D99" s="136"/>
      <c r="E99" s="1044">
        <f>ROUND((B99*365/1000)/25,0)*25</f>
        <v>31175</v>
      </c>
      <c r="F99" s="1044">
        <f>ROUND((C99*365/1000)/25,0)*25</f>
        <v>16375</v>
      </c>
      <c r="H99" s="94"/>
      <c r="I99" s="94"/>
      <c r="J99" s="434"/>
      <c r="AA99" s="17"/>
      <c r="AB99" s="17"/>
      <c r="AC99" s="17"/>
      <c r="AD99" s="17"/>
      <c r="AE99" s="17"/>
      <c r="AF99" s="17"/>
      <c r="AG99" s="17"/>
      <c r="AH99" s="17"/>
      <c r="AI99" s="17"/>
      <c r="AJ99" s="17"/>
    </row>
    <row r="100" spans="1:36" ht="17.149999999999999" customHeight="1" x14ac:dyDescent="0.35">
      <c r="A100" s="1038" t="s">
        <v>824</v>
      </c>
      <c r="B100" s="1066">
        <f>SUM(B101:B103)</f>
        <v>123651</v>
      </c>
      <c r="C100" s="1065">
        <f>SUM(C101:C103)</f>
        <v>112110</v>
      </c>
      <c r="E100" s="1066">
        <f>SUM(E101:E103)</f>
        <v>45125</v>
      </c>
      <c r="F100" s="1065">
        <f>SUM(F101:F103)</f>
        <v>40925</v>
      </c>
      <c r="H100" s="94"/>
      <c r="I100" s="94"/>
      <c r="J100" s="433"/>
      <c r="AA100" s="17"/>
      <c r="AB100" s="17"/>
      <c r="AC100" s="17"/>
      <c r="AD100" s="17"/>
      <c r="AE100" s="17"/>
      <c r="AF100" s="17"/>
      <c r="AG100" s="17"/>
      <c r="AH100" s="17"/>
      <c r="AI100" s="17"/>
      <c r="AJ100" s="17"/>
    </row>
    <row r="101" spans="1:36" ht="17.149999999999999" customHeight="1" x14ac:dyDescent="0.35">
      <c r="A101" s="155" t="s">
        <v>822</v>
      </c>
      <c r="B101" s="1044">
        <f>ROUND(($B$31*B51*'User interface_RES'!L80)/1,0)*1</f>
        <v>0</v>
      </c>
      <c r="C101" s="1044">
        <f>ROUND(($C$35*C51*'User interface_RES'!L80)/1,0)*1</f>
        <v>0</v>
      </c>
      <c r="D101" s="136"/>
      <c r="E101" s="1044">
        <f t="shared" ref="E101:F103" si="1">ROUND((B101*365/1000)/25,0)*25</f>
        <v>0</v>
      </c>
      <c r="F101" s="1044">
        <f t="shared" si="1"/>
        <v>0</v>
      </c>
      <c r="H101" s="94"/>
      <c r="I101" s="94"/>
      <c r="J101" s="434"/>
      <c r="AA101" s="17"/>
      <c r="AB101" s="17"/>
      <c r="AC101" s="17"/>
      <c r="AD101" s="17"/>
      <c r="AE101" s="17"/>
      <c r="AF101" s="17"/>
      <c r="AG101" s="17"/>
      <c r="AH101" s="17"/>
      <c r="AI101" s="17"/>
      <c r="AJ101" s="17"/>
    </row>
    <row r="102" spans="1:36" ht="17.149999999999999" customHeight="1" x14ac:dyDescent="0.35">
      <c r="A102" s="155" t="s">
        <v>823</v>
      </c>
      <c r="B102" s="1044">
        <f>ROUND(($B$31*B52*'User interface_RES'!L81)/1,0)*1</f>
        <v>123651</v>
      </c>
      <c r="C102" s="1044">
        <f>ROUND(($C$35*C52*'User interface_RES'!L81)/1,0)*1</f>
        <v>112110</v>
      </c>
      <c r="D102" s="136"/>
      <c r="E102" s="1044">
        <f t="shared" si="1"/>
        <v>45125</v>
      </c>
      <c r="F102" s="1044">
        <f t="shared" si="1"/>
        <v>40925</v>
      </c>
      <c r="H102" s="94"/>
      <c r="I102" s="94"/>
      <c r="J102" s="434"/>
      <c r="AA102" s="17"/>
      <c r="AB102" s="17"/>
      <c r="AC102" s="17"/>
      <c r="AD102" s="17"/>
      <c r="AE102" s="17"/>
      <c r="AF102" s="17"/>
      <c r="AG102" s="17"/>
      <c r="AH102" s="17"/>
      <c r="AI102" s="17"/>
      <c r="AJ102" s="17"/>
    </row>
    <row r="103" spans="1:36" ht="17.149999999999999" customHeight="1" x14ac:dyDescent="0.35">
      <c r="A103" s="155" t="s">
        <v>825</v>
      </c>
      <c r="B103" s="1044">
        <f>ROUND(($B$31*B53*'User interface_RES'!L82)/1,0)*1</f>
        <v>0</v>
      </c>
      <c r="C103" s="1044">
        <f>ROUND(($C$35*C53*'User interface_RES'!L82)/1,0)*1</f>
        <v>0</v>
      </c>
      <c r="D103" s="136"/>
      <c r="E103" s="1044">
        <f t="shared" si="1"/>
        <v>0</v>
      </c>
      <c r="F103" s="1044">
        <f t="shared" si="1"/>
        <v>0</v>
      </c>
      <c r="H103" s="94"/>
      <c r="I103" s="94"/>
      <c r="J103" s="434"/>
      <c r="AA103" s="17"/>
      <c r="AB103" s="17"/>
      <c r="AC103" s="17"/>
      <c r="AD103" s="17"/>
      <c r="AE103" s="17"/>
      <c r="AF103" s="17"/>
      <c r="AG103" s="17"/>
      <c r="AH103" s="17"/>
      <c r="AI103" s="17"/>
      <c r="AJ103" s="17"/>
    </row>
    <row r="104" spans="1:36" ht="17.149999999999999" customHeight="1" x14ac:dyDescent="0.35">
      <c r="A104" s="1038" t="s">
        <v>826</v>
      </c>
      <c r="B104" s="1066">
        <f>SUM(B105:B106)</f>
        <v>13536</v>
      </c>
      <c r="C104" s="1065">
        <f>SUM(C105:C106)</f>
        <v>0</v>
      </c>
      <c r="E104" s="1066">
        <f>SUM(E105:E106)</f>
        <v>4950</v>
      </c>
      <c r="F104" s="1065">
        <f>SUM(F105:F106)</f>
        <v>0</v>
      </c>
      <c r="H104" s="94"/>
      <c r="I104" s="94"/>
      <c r="J104" s="434"/>
      <c r="AA104" s="17"/>
      <c r="AB104" s="17"/>
      <c r="AC104" s="17"/>
      <c r="AD104" s="17"/>
      <c r="AE104" s="17"/>
      <c r="AF104" s="17"/>
      <c r="AG104" s="17"/>
      <c r="AH104" s="17"/>
      <c r="AI104" s="17"/>
      <c r="AJ104" s="17"/>
    </row>
    <row r="105" spans="1:36" ht="17.149999999999999" customHeight="1" x14ac:dyDescent="0.35">
      <c r="A105" s="155" t="s">
        <v>827</v>
      </c>
      <c r="B105" s="1044">
        <f>ROUND(($B$31*B55*'User interface_RES'!L84)/1,0)*1</f>
        <v>0</v>
      </c>
      <c r="C105" s="1044">
        <f>ROUND(($B$31*C55*'User interface_RES'!M84)/1,0)*1</f>
        <v>0</v>
      </c>
      <c r="D105" s="136"/>
      <c r="E105" s="1044">
        <f>ROUND((B105*365/1000)/25,0)*25</f>
        <v>0</v>
      </c>
      <c r="F105" s="1044">
        <f>ROUND((C105*365/1000)/25,0)*25</f>
        <v>0</v>
      </c>
      <c r="H105" s="94"/>
      <c r="I105" s="94"/>
      <c r="J105" s="434"/>
      <c r="AA105" s="17"/>
      <c r="AB105" s="17"/>
      <c r="AC105" s="17"/>
      <c r="AD105" s="17"/>
      <c r="AE105" s="17"/>
      <c r="AF105" s="17"/>
      <c r="AG105" s="17"/>
      <c r="AH105" s="17"/>
      <c r="AI105" s="17"/>
      <c r="AJ105" s="17"/>
    </row>
    <row r="106" spans="1:36" ht="17.149999999999999" customHeight="1" x14ac:dyDescent="0.35">
      <c r="A106" s="155" t="s">
        <v>828</v>
      </c>
      <c r="B106" s="1044">
        <f>ROUND(($B$31*B56*'User interface_RES'!L85)/1,0)*1</f>
        <v>13536</v>
      </c>
      <c r="C106" s="1044">
        <f>ROUND(($B$31*C56*'User interface_RES'!M85)/1,0)*1</f>
        <v>0</v>
      </c>
      <c r="D106" s="136"/>
      <c r="E106" s="1044">
        <f>ROUND((B106*365/1000)/25,0)*25</f>
        <v>4950</v>
      </c>
      <c r="F106" s="1044">
        <f>ROUND((C106*365/1000)/25,0)*25</f>
        <v>0</v>
      </c>
      <c r="H106" s="94"/>
      <c r="I106" s="94"/>
      <c r="J106" s="434"/>
      <c r="AA106" s="17"/>
      <c r="AB106" s="17"/>
      <c r="AC106" s="17"/>
      <c r="AD106" s="17"/>
      <c r="AE106" s="17"/>
      <c r="AF106" s="17"/>
      <c r="AG106" s="17"/>
      <c r="AH106" s="17"/>
      <c r="AI106" s="17"/>
      <c r="AJ106" s="17"/>
    </row>
    <row r="107" spans="1:36" ht="17.149999999999999" customHeight="1" x14ac:dyDescent="0.35">
      <c r="A107" s="1038" t="s">
        <v>829</v>
      </c>
      <c r="B107" s="1066">
        <f>SUM(B108:B109)</f>
        <v>13536</v>
      </c>
      <c r="C107" s="1065">
        <f>SUM(C108:C109)</f>
        <v>0</v>
      </c>
      <c r="E107" s="1066">
        <f>SUM(E108:E109)</f>
        <v>4950</v>
      </c>
      <c r="F107" s="1065">
        <f>SUM(F108:F109)</f>
        <v>0</v>
      </c>
      <c r="H107" s="94"/>
      <c r="I107" s="94"/>
      <c r="J107" s="433"/>
      <c r="AA107" s="17"/>
      <c r="AB107" s="17"/>
      <c r="AC107" s="17"/>
      <c r="AD107" s="17"/>
      <c r="AE107" s="17"/>
      <c r="AF107" s="17"/>
      <c r="AG107" s="17"/>
      <c r="AH107" s="17"/>
      <c r="AI107" s="17"/>
      <c r="AJ107" s="17"/>
    </row>
    <row r="108" spans="1:36" ht="17.149999999999999" customHeight="1" x14ac:dyDescent="0.35">
      <c r="A108" s="155" t="s">
        <v>827</v>
      </c>
      <c r="B108" s="1044">
        <f>ROUND(($B$31*B58*'User interface_RES'!L84)/1,0)*1</f>
        <v>0</v>
      </c>
      <c r="C108" s="1044">
        <f>ROUND(($C$35*C58*'User interface_RES'!L84)/1,0)*1</f>
        <v>0</v>
      </c>
      <c r="D108" s="136"/>
      <c r="E108" s="1044">
        <f>ROUND((B108*365/1000)/25,0)*25</f>
        <v>0</v>
      </c>
      <c r="F108" s="1044">
        <f>ROUND((C108*365/1000)/25,0)*25</f>
        <v>0</v>
      </c>
      <c r="J108" s="434"/>
      <c r="AA108" s="17"/>
      <c r="AB108" s="17"/>
      <c r="AC108" s="17"/>
      <c r="AD108" s="17"/>
      <c r="AE108" s="17"/>
      <c r="AF108" s="17"/>
      <c r="AG108" s="17"/>
      <c r="AH108" s="17"/>
      <c r="AI108" s="17"/>
      <c r="AJ108" s="17"/>
    </row>
    <row r="109" spans="1:36" ht="17.149999999999999" customHeight="1" x14ac:dyDescent="0.35">
      <c r="A109" s="155" t="s">
        <v>828</v>
      </c>
      <c r="B109" s="1044">
        <f>ROUND(($B$31*B59*'User interface_RES'!L85)/1,0)*1</f>
        <v>13536</v>
      </c>
      <c r="C109" s="1044">
        <f>ROUND(($C$35*C59*'User interface_RES'!L85)/1,0)*1</f>
        <v>0</v>
      </c>
      <c r="D109" s="136"/>
      <c r="E109" s="1044">
        <f>ROUND((B109*365/1000)/25,0)*25</f>
        <v>4950</v>
      </c>
      <c r="F109" s="1044">
        <f>ROUND((C109*365/1000)/25,0)*25</f>
        <v>0</v>
      </c>
      <c r="J109" s="434"/>
      <c r="AA109" s="17"/>
      <c r="AB109" s="17"/>
      <c r="AC109" s="17"/>
      <c r="AD109" s="17"/>
      <c r="AE109" s="17"/>
      <c r="AF109" s="17"/>
      <c r="AG109" s="17"/>
      <c r="AH109" s="17"/>
      <c r="AI109" s="17"/>
      <c r="AJ109" s="17"/>
    </row>
    <row r="110" spans="1:36" ht="17.149999999999999" customHeight="1" x14ac:dyDescent="0.35">
      <c r="A110" s="1038" t="s">
        <v>830</v>
      </c>
      <c r="B110" s="1066">
        <f>SUM(B111:B113)</f>
        <v>0</v>
      </c>
      <c r="C110" s="1065">
        <f>SUM(C111:C113)</f>
        <v>0</v>
      </c>
      <c r="E110" s="1066">
        <f>SUM(E111:E113)</f>
        <v>0</v>
      </c>
      <c r="F110" s="1065">
        <f>SUM(F111:F113)</f>
        <v>0</v>
      </c>
      <c r="J110" s="434"/>
      <c r="AA110" s="17"/>
      <c r="AB110" s="17"/>
      <c r="AC110" s="17"/>
      <c r="AD110" s="17"/>
      <c r="AE110" s="17"/>
      <c r="AF110" s="17"/>
      <c r="AG110" s="17"/>
      <c r="AH110" s="17"/>
      <c r="AI110" s="17"/>
      <c r="AJ110" s="17"/>
    </row>
    <row r="111" spans="1:36" ht="17.149999999999999" customHeight="1" x14ac:dyDescent="0.35">
      <c r="A111" s="155" t="s">
        <v>827</v>
      </c>
      <c r="B111" s="1044">
        <f>ROUND(($B$31*B61*'User interface_RES'!L84)/1,0)*1</f>
        <v>0</v>
      </c>
      <c r="C111" s="1044">
        <f>ROUND(($C$35*C61*'User interface_RES'!L84)/1,0)*1</f>
        <v>0</v>
      </c>
      <c r="D111" s="136"/>
      <c r="E111" s="1044">
        <f t="shared" ref="E111:F114" si="2">ROUND((B111*365/1000)/25,0)*25</f>
        <v>0</v>
      </c>
      <c r="F111" s="1044">
        <f t="shared" si="2"/>
        <v>0</v>
      </c>
      <c r="J111" s="434"/>
      <c r="AA111" s="17"/>
      <c r="AB111" s="17"/>
      <c r="AC111" s="17"/>
      <c r="AD111" s="17"/>
      <c r="AE111" s="17"/>
      <c r="AF111" s="17"/>
      <c r="AG111" s="17"/>
      <c r="AH111" s="17"/>
      <c r="AI111" s="17"/>
      <c r="AJ111" s="17"/>
    </row>
    <row r="112" spans="1:36" ht="17.149999999999999" customHeight="1" x14ac:dyDescent="0.35">
      <c r="A112" s="155" t="s">
        <v>828</v>
      </c>
      <c r="B112" s="1044">
        <f>ROUND(($B$31*B62*'User interface_RES'!L85)/1,0)*1</f>
        <v>0</v>
      </c>
      <c r="C112" s="1044">
        <f>ROUND(($C$35*C62*'User interface_RES'!L85)/1,0)*1</f>
        <v>0</v>
      </c>
      <c r="D112" s="136"/>
      <c r="E112" s="1044">
        <f t="shared" si="2"/>
        <v>0</v>
      </c>
      <c r="F112" s="1044">
        <f t="shared" si="2"/>
        <v>0</v>
      </c>
      <c r="J112" s="434"/>
      <c r="AA112" s="17"/>
      <c r="AB112" s="17"/>
      <c r="AC112" s="17"/>
      <c r="AD112" s="17"/>
      <c r="AE112" s="17"/>
      <c r="AF112" s="17"/>
      <c r="AG112" s="17"/>
      <c r="AH112" s="17"/>
      <c r="AI112" s="17"/>
      <c r="AJ112" s="17"/>
    </row>
    <row r="113" spans="1:36" ht="17.149999999999999" customHeight="1" x14ac:dyDescent="0.35">
      <c r="A113" s="155" t="s">
        <v>831</v>
      </c>
      <c r="B113" s="1044">
        <f>ROUND(($B$31*B63*'User interface_RES'!L86)/1,0)*1</f>
        <v>0</v>
      </c>
      <c r="C113" s="1044">
        <f>ROUND(($C$35*C63*'User interface_RES'!L86)/1,0)*1</f>
        <v>0</v>
      </c>
      <c r="D113" s="136"/>
      <c r="E113" s="1044">
        <f t="shared" si="2"/>
        <v>0</v>
      </c>
      <c r="F113" s="1044">
        <f t="shared" si="2"/>
        <v>0</v>
      </c>
      <c r="J113" s="434"/>
      <c r="AA113" s="17"/>
      <c r="AB113" s="17"/>
      <c r="AC113" s="17"/>
      <c r="AD113" s="17"/>
      <c r="AE113" s="17"/>
      <c r="AF113" s="17"/>
      <c r="AG113" s="17"/>
      <c r="AH113" s="17"/>
      <c r="AI113" s="17"/>
      <c r="AJ113" s="17"/>
    </row>
    <row r="114" spans="1:36" ht="17.149999999999999" customHeight="1" x14ac:dyDescent="0.35">
      <c r="A114" s="1038" t="s">
        <v>443</v>
      </c>
      <c r="B114" s="1066">
        <f>ROUND(($B$31*B64*'User interface_RES'!L87)/1,0)*1</f>
        <v>51437</v>
      </c>
      <c r="C114" s="1065">
        <f>ROUND(($C$35*C64*'User interface_RES'!L87)/1,0)*1</f>
        <v>0</v>
      </c>
      <c r="E114" s="1066">
        <f t="shared" si="2"/>
        <v>18775</v>
      </c>
      <c r="F114" s="1065">
        <f t="shared" si="2"/>
        <v>0</v>
      </c>
      <c r="J114" s="434"/>
      <c r="AA114" s="17"/>
      <c r="AB114" s="17"/>
      <c r="AC114" s="17"/>
      <c r="AD114" s="17"/>
      <c r="AE114" s="17"/>
      <c r="AF114" s="17"/>
      <c r="AG114" s="17"/>
      <c r="AH114" s="17"/>
      <c r="AI114" s="17"/>
      <c r="AJ114" s="17"/>
    </row>
    <row r="115" spans="1:36" ht="17.149999999999999" customHeight="1" x14ac:dyDescent="0.35">
      <c r="A115" s="950" t="s">
        <v>208</v>
      </c>
      <c r="B115" s="1021">
        <f>B91+B94+B97+B100+B104+B107+B110+B114</f>
        <v>372916</v>
      </c>
      <c r="C115" s="1022">
        <f>C91+C94+C97+C100+C104+C107+C110+C114</f>
        <v>732452</v>
      </c>
      <c r="E115" s="1021">
        <f>E91+E94+E97+E100+E104+E107+E110+E114</f>
        <v>136150</v>
      </c>
      <c r="F115" s="1022">
        <f>F91+F94+F97+F100+F104+F107+F110+F114</f>
        <v>267350</v>
      </c>
      <c r="J115" s="433"/>
      <c r="AA115" s="17"/>
      <c r="AB115" s="17"/>
      <c r="AC115" s="17"/>
      <c r="AD115" s="17"/>
      <c r="AE115" s="17"/>
      <c r="AF115" s="17"/>
      <c r="AG115" s="17"/>
      <c r="AH115" s="17"/>
      <c r="AI115" s="17"/>
      <c r="AJ115" s="17"/>
    </row>
    <row r="116" spans="1:36" ht="17.149999999999999" customHeight="1" x14ac:dyDescent="0.35">
      <c r="AA116" s="17"/>
      <c r="AB116" s="17"/>
      <c r="AC116" s="17"/>
      <c r="AD116" s="17"/>
      <c r="AE116" s="17"/>
      <c r="AF116" s="17"/>
      <c r="AG116" s="17"/>
      <c r="AH116" s="17"/>
      <c r="AI116" s="17"/>
      <c r="AJ116" s="17"/>
    </row>
    <row r="117" spans="1:36" ht="17.149999999999999" customHeight="1" x14ac:dyDescent="0.35">
      <c r="AA117" s="17"/>
      <c r="AB117" s="17"/>
      <c r="AC117" s="17"/>
      <c r="AD117" s="17"/>
      <c r="AE117" s="17"/>
      <c r="AF117" s="17"/>
      <c r="AG117" s="17"/>
      <c r="AH117" s="17"/>
      <c r="AI117" s="17"/>
      <c r="AJ117" s="17"/>
    </row>
    <row r="118" spans="1:36" ht="17.149999999999999" customHeight="1" x14ac:dyDescent="0.35">
      <c r="A118" s="950" t="s">
        <v>842</v>
      </c>
      <c r="B118" s="1504" t="s">
        <v>843</v>
      </c>
      <c r="C118" s="1508" t="s">
        <v>843</v>
      </c>
      <c r="E118" s="1504" t="s">
        <v>841</v>
      </c>
      <c r="F118" s="1508" t="s">
        <v>841</v>
      </c>
      <c r="H118" s="94"/>
      <c r="I118" s="94"/>
      <c r="AA118" s="17"/>
      <c r="AB118" s="17"/>
      <c r="AC118" s="17"/>
      <c r="AD118" s="17"/>
      <c r="AE118" s="17"/>
      <c r="AF118" s="17"/>
      <c r="AG118" s="17"/>
      <c r="AH118" s="17"/>
      <c r="AI118" s="17"/>
      <c r="AJ118" s="17"/>
    </row>
    <row r="119" spans="1:36" ht="17.149999999999999" customHeight="1" x14ac:dyDescent="0.35">
      <c r="A119" s="1067" t="s">
        <v>433</v>
      </c>
      <c r="B119" s="368">
        <f>B91</f>
        <v>0</v>
      </c>
      <c r="C119" s="1026">
        <f>C91</f>
        <v>508232</v>
      </c>
      <c r="D119" s="136"/>
      <c r="E119" s="368">
        <f>E91</f>
        <v>0</v>
      </c>
      <c r="F119" s="1026">
        <f>F91</f>
        <v>185500</v>
      </c>
      <c r="H119" s="94"/>
      <c r="I119" s="94"/>
      <c r="AA119" s="17"/>
      <c r="AB119" s="17"/>
      <c r="AC119" s="17"/>
      <c r="AD119" s="17"/>
      <c r="AE119" s="17"/>
      <c r="AF119" s="17"/>
      <c r="AG119" s="17"/>
      <c r="AH119" s="17"/>
      <c r="AI119" s="17"/>
      <c r="AJ119" s="17"/>
    </row>
    <row r="120" spans="1:36" ht="17.149999999999999" customHeight="1" x14ac:dyDescent="0.35">
      <c r="A120" s="1067" t="s">
        <v>816</v>
      </c>
      <c r="B120" s="368">
        <f>B94</f>
        <v>0</v>
      </c>
      <c r="C120" s="1026">
        <f>C94</f>
        <v>0</v>
      </c>
      <c r="D120" s="136"/>
      <c r="E120" s="368">
        <f>E94</f>
        <v>0</v>
      </c>
      <c r="F120" s="1026">
        <f>F94</f>
        <v>0</v>
      </c>
      <c r="AA120" s="17"/>
      <c r="AB120" s="17"/>
      <c r="AC120" s="17"/>
      <c r="AD120" s="17"/>
      <c r="AE120" s="17"/>
      <c r="AF120" s="17"/>
      <c r="AG120" s="17"/>
      <c r="AH120" s="17"/>
      <c r="AI120" s="17"/>
      <c r="AJ120" s="17"/>
    </row>
    <row r="121" spans="1:36" ht="17.149999999999999" customHeight="1" x14ac:dyDescent="0.35">
      <c r="A121" s="1067" t="s">
        <v>821</v>
      </c>
      <c r="B121" s="368">
        <f>B97</f>
        <v>170756</v>
      </c>
      <c r="C121" s="1026">
        <f>C97</f>
        <v>112110</v>
      </c>
      <c r="D121" s="136"/>
      <c r="E121" s="368">
        <f>E97</f>
        <v>62350</v>
      </c>
      <c r="F121" s="1026">
        <f>F97</f>
        <v>40925</v>
      </c>
      <c r="AA121" s="17"/>
      <c r="AB121" s="17"/>
      <c r="AC121" s="17"/>
      <c r="AD121" s="17"/>
      <c r="AE121" s="17"/>
      <c r="AF121" s="17"/>
      <c r="AG121" s="17"/>
      <c r="AH121" s="17"/>
      <c r="AI121" s="17"/>
      <c r="AJ121" s="17"/>
    </row>
    <row r="122" spans="1:36" ht="17.149999999999999" customHeight="1" x14ac:dyDescent="0.35">
      <c r="A122" s="1067" t="s">
        <v>824</v>
      </c>
      <c r="B122" s="368">
        <f>B100</f>
        <v>123651</v>
      </c>
      <c r="C122" s="1026">
        <f>C100</f>
        <v>112110</v>
      </c>
      <c r="D122" s="136"/>
      <c r="E122" s="368">
        <f>E100</f>
        <v>45125</v>
      </c>
      <c r="F122" s="1026">
        <f>F100</f>
        <v>40925</v>
      </c>
      <c r="H122" s="12">
        <f>E121+E122</f>
        <v>107475</v>
      </c>
      <c r="AA122" s="17"/>
      <c r="AB122" s="17"/>
      <c r="AC122" s="17"/>
      <c r="AD122" s="17"/>
      <c r="AE122" s="17"/>
      <c r="AF122" s="17"/>
      <c r="AG122" s="17"/>
      <c r="AH122" s="17"/>
      <c r="AI122" s="17"/>
      <c r="AJ122" s="17"/>
    </row>
    <row r="123" spans="1:36" ht="17.149999999999999" customHeight="1" x14ac:dyDescent="0.35">
      <c r="A123" s="155" t="s">
        <v>826</v>
      </c>
      <c r="B123" s="368">
        <f>B104</f>
        <v>13536</v>
      </c>
      <c r="C123" s="1026">
        <f>C104</f>
        <v>0</v>
      </c>
      <c r="D123" s="136"/>
      <c r="E123" s="368">
        <f>E104</f>
        <v>4950</v>
      </c>
      <c r="F123" s="1026">
        <f>F104</f>
        <v>0</v>
      </c>
      <c r="AA123" s="17"/>
      <c r="AB123" s="17"/>
      <c r="AC123" s="17"/>
      <c r="AD123" s="17"/>
      <c r="AE123" s="17"/>
      <c r="AF123" s="17"/>
      <c r="AG123" s="17"/>
      <c r="AH123" s="17"/>
      <c r="AI123" s="17"/>
      <c r="AJ123" s="17"/>
    </row>
    <row r="124" spans="1:36" ht="17.149999999999999" customHeight="1" x14ac:dyDescent="0.35">
      <c r="A124" s="1067" t="s">
        <v>829</v>
      </c>
      <c r="B124" s="368">
        <f>B107</f>
        <v>13536</v>
      </c>
      <c r="C124" s="1026">
        <f>C107</f>
        <v>0</v>
      </c>
      <c r="D124" s="136"/>
      <c r="E124" s="368">
        <f>E107</f>
        <v>4950</v>
      </c>
      <c r="F124" s="1026">
        <f>F107</f>
        <v>0</v>
      </c>
      <c r="AA124" s="17"/>
      <c r="AB124" s="17"/>
      <c r="AC124" s="17"/>
      <c r="AD124" s="17"/>
      <c r="AE124" s="17"/>
      <c r="AF124" s="17"/>
      <c r="AG124" s="17"/>
      <c r="AH124" s="17"/>
      <c r="AI124" s="17"/>
      <c r="AJ124" s="17"/>
    </row>
    <row r="125" spans="1:36" ht="17.149999999999999" customHeight="1" x14ac:dyDescent="0.35">
      <c r="A125" s="1067" t="s">
        <v>830</v>
      </c>
      <c r="B125" s="368">
        <f>B110</f>
        <v>0</v>
      </c>
      <c r="C125" s="1026">
        <f>C110</f>
        <v>0</v>
      </c>
      <c r="D125" s="136"/>
      <c r="E125" s="368">
        <f>E110</f>
        <v>0</v>
      </c>
      <c r="F125" s="1026">
        <f>F110</f>
        <v>0</v>
      </c>
      <c r="AA125" s="17"/>
      <c r="AB125" s="17"/>
      <c r="AC125" s="17"/>
      <c r="AD125" s="17"/>
      <c r="AE125" s="17"/>
      <c r="AF125" s="17"/>
      <c r="AG125" s="17"/>
      <c r="AH125" s="17"/>
      <c r="AI125" s="17"/>
      <c r="AJ125" s="17"/>
    </row>
    <row r="126" spans="1:36" ht="17.149999999999999" customHeight="1" x14ac:dyDescent="0.35">
      <c r="A126" s="155" t="s">
        <v>443</v>
      </c>
      <c r="B126" s="368">
        <f>B114</f>
        <v>51437</v>
      </c>
      <c r="C126" s="1026">
        <f>C114</f>
        <v>0</v>
      </c>
      <c r="D126" s="136"/>
      <c r="E126" s="368">
        <f>E114</f>
        <v>18775</v>
      </c>
      <c r="F126" s="1026">
        <f>F114</f>
        <v>0</v>
      </c>
      <c r="AA126" s="17"/>
      <c r="AB126" s="17"/>
      <c r="AC126" s="17"/>
      <c r="AD126" s="17"/>
      <c r="AE126" s="17"/>
      <c r="AF126" s="17"/>
      <c r="AG126" s="17"/>
      <c r="AH126" s="17"/>
      <c r="AI126" s="17"/>
      <c r="AJ126" s="17"/>
    </row>
    <row r="127" spans="1:36" ht="17.149999999999999" customHeight="1" x14ac:dyDescent="0.35">
      <c r="A127" s="950" t="s">
        <v>844</v>
      </c>
      <c r="B127" s="1021">
        <f>SUM(B119:B126)</f>
        <v>372916</v>
      </c>
      <c r="C127" s="1022">
        <f>SUM(C119:C126)</f>
        <v>732452</v>
      </c>
      <c r="E127" s="1021">
        <f>SUM(E119:E126)</f>
        <v>136150</v>
      </c>
      <c r="F127" s="1022">
        <f>SUM(F119:F126)</f>
        <v>267350</v>
      </c>
      <c r="AA127" s="17"/>
      <c r="AB127" s="17"/>
      <c r="AC127" s="17"/>
      <c r="AD127" s="17"/>
      <c r="AE127" s="17"/>
      <c r="AF127" s="17"/>
      <c r="AG127" s="17"/>
      <c r="AH127" s="17"/>
      <c r="AI127" s="17"/>
      <c r="AJ127" s="17"/>
    </row>
    <row r="128" spans="1:36" ht="17.149999999999999" customHeight="1" x14ac:dyDescent="0.35">
      <c r="AA128" s="17"/>
      <c r="AB128" s="17"/>
      <c r="AC128" s="17"/>
      <c r="AD128" s="17"/>
      <c r="AE128" s="17"/>
      <c r="AF128" s="17"/>
      <c r="AG128" s="17"/>
      <c r="AH128" s="17"/>
      <c r="AI128" s="17"/>
      <c r="AJ128" s="17"/>
    </row>
    <row r="129" spans="1:36" ht="17.149999999999999" customHeight="1" x14ac:dyDescent="0.35">
      <c r="AA129" s="17"/>
      <c r="AB129" s="17"/>
      <c r="AC129" s="17"/>
      <c r="AD129" s="17"/>
      <c r="AE129" s="17"/>
      <c r="AF129" s="17"/>
      <c r="AG129" s="17"/>
      <c r="AH129" s="17"/>
      <c r="AI129" s="17"/>
      <c r="AJ129" s="17"/>
    </row>
    <row r="130" spans="1:36" ht="17.149999999999999" customHeight="1" x14ac:dyDescent="0.35">
      <c r="A130" s="949" t="s">
        <v>845</v>
      </c>
      <c r="B130" s="1504" t="s">
        <v>9</v>
      </c>
      <c r="C130" s="1508" t="s">
        <v>253</v>
      </c>
      <c r="D130" s="11"/>
      <c r="E130" s="1504" t="s">
        <v>9</v>
      </c>
      <c r="F130" s="1508" t="s">
        <v>253</v>
      </c>
      <c r="H130" s="1504" t="s">
        <v>9</v>
      </c>
      <c r="I130" s="1508" t="s">
        <v>253</v>
      </c>
      <c r="AA130" s="17"/>
      <c r="AB130" s="17"/>
      <c r="AC130" s="17"/>
      <c r="AD130" s="17"/>
      <c r="AE130" s="17"/>
      <c r="AF130" s="17"/>
      <c r="AG130" s="17"/>
      <c r="AH130" s="17"/>
      <c r="AI130" s="17"/>
      <c r="AJ130" s="17"/>
    </row>
    <row r="131" spans="1:36" ht="17.149999999999999" customHeight="1" x14ac:dyDescent="0.35">
      <c r="A131" s="1073"/>
      <c r="B131" s="1074"/>
      <c r="C131" s="1074"/>
      <c r="D131" s="1073"/>
      <c r="E131" s="1074"/>
      <c r="F131" s="1074"/>
      <c r="G131" s="169"/>
      <c r="H131" s="1074"/>
      <c r="I131" s="1074"/>
      <c r="AA131" s="17"/>
      <c r="AB131" s="17"/>
      <c r="AC131" s="17"/>
      <c r="AD131" s="17"/>
      <c r="AE131" s="17"/>
      <c r="AF131" s="17"/>
      <c r="AG131" s="17"/>
      <c r="AH131" s="17"/>
      <c r="AI131" s="17"/>
      <c r="AJ131" s="17"/>
    </row>
    <row r="132" spans="1:36" ht="17.149999999999999" customHeight="1" x14ac:dyDescent="0.35">
      <c r="A132" s="80"/>
      <c r="B132" s="1504" t="s">
        <v>843</v>
      </c>
      <c r="C132" s="1508" t="s">
        <v>843</v>
      </c>
      <c r="D132" s="11"/>
      <c r="E132" s="1504" t="s">
        <v>841</v>
      </c>
      <c r="F132" s="1508" t="s">
        <v>841</v>
      </c>
      <c r="H132" s="1504" t="s">
        <v>201</v>
      </c>
      <c r="I132" s="1508" t="s">
        <v>201</v>
      </c>
      <c r="AA132" s="17"/>
      <c r="AB132" s="17"/>
      <c r="AC132" s="17"/>
      <c r="AD132" s="17"/>
      <c r="AE132" s="17"/>
      <c r="AF132" s="17"/>
      <c r="AG132" s="17"/>
      <c r="AH132" s="17"/>
      <c r="AI132" s="17"/>
      <c r="AJ132" s="17"/>
    </row>
    <row r="133" spans="1:36" s="93" customFormat="1" ht="17.149999999999999" customHeight="1" x14ac:dyDescent="0.35">
      <c r="A133" s="220"/>
      <c r="B133" s="219"/>
      <c r="C133" s="219"/>
      <c r="D133" s="78"/>
      <c r="E133" s="218"/>
      <c r="F133" s="219"/>
      <c r="H133" s="218"/>
      <c r="I133" s="219"/>
      <c r="AA133" s="107"/>
      <c r="AB133" s="107"/>
      <c r="AC133" s="107"/>
      <c r="AD133" s="107"/>
      <c r="AE133" s="107"/>
      <c r="AF133" s="107"/>
      <c r="AG133" s="107"/>
      <c r="AH133" s="107"/>
      <c r="AI133" s="107"/>
      <c r="AJ133" s="107"/>
    </row>
    <row r="134" spans="1:36" s="115" customFormat="1" ht="17.149999999999999" customHeight="1" x14ac:dyDescent="0.35">
      <c r="A134" s="206" t="s">
        <v>794</v>
      </c>
      <c r="B134" s="207">
        <f>SUM(B135:B138)</f>
        <v>321479</v>
      </c>
      <c r="C134" s="207">
        <f>SUM(C135:C138)</f>
        <v>732452</v>
      </c>
      <c r="D134" s="2"/>
      <c r="E134" s="207">
        <f>SUM(E135:E138)</f>
        <v>117375</v>
      </c>
      <c r="F134" s="207">
        <f>SUM(F135:F138)</f>
        <v>267350</v>
      </c>
      <c r="H134" s="420">
        <f>IF($E$143=0,0,E134/$E$143)</f>
        <v>0.8621006243114212</v>
      </c>
      <c r="I134" s="420">
        <f>IF($F$143=0,0,F134/$F$143)</f>
        <v>1</v>
      </c>
    </row>
    <row r="135" spans="1:36" ht="17.149999999999999" customHeight="1" x14ac:dyDescent="0.35">
      <c r="A135" s="135" t="s">
        <v>846</v>
      </c>
      <c r="B135" s="1523">
        <f>B119+B123</f>
        <v>13536</v>
      </c>
      <c r="C135" s="1523">
        <f>C119+C123</f>
        <v>508232</v>
      </c>
      <c r="D135" s="11"/>
      <c r="E135" s="1523">
        <f>E119+E123</f>
        <v>4950</v>
      </c>
      <c r="F135" s="1523">
        <f>F119+F123</f>
        <v>185500</v>
      </c>
      <c r="H135" s="181">
        <f>IF($E$143=0,0,E135/$E$143)</f>
        <v>3.6356959236136611E-2</v>
      </c>
      <c r="I135" s="181">
        <f>IF($F$143=0,0,F135/$F$143)</f>
        <v>0.69384701701888907</v>
      </c>
    </row>
    <row r="136" spans="1:36" ht="17.149999999999999" customHeight="1" x14ac:dyDescent="0.35">
      <c r="A136" s="135" t="s">
        <v>847</v>
      </c>
      <c r="B136" s="1523">
        <f>B120</f>
        <v>0</v>
      </c>
      <c r="C136" s="1523">
        <f>C120</f>
        <v>0</v>
      </c>
      <c r="D136" s="11"/>
      <c r="E136" s="1523">
        <f>E120</f>
        <v>0</v>
      </c>
      <c r="F136" s="1523">
        <f>F120</f>
        <v>0</v>
      </c>
      <c r="H136" s="181">
        <f>IF($E$143=0,0,E136/$E$143)</f>
        <v>0</v>
      </c>
      <c r="I136" s="181">
        <f>IF($F$143=0,0,F136/$F$143)</f>
        <v>0</v>
      </c>
    </row>
    <row r="137" spans="1:36" ht="17.149999999999999" customHeight="1" x14ac:dyDescent="0.35">
      <c r="A137" s="135" t="s">
        <v>848</v>
      </c>
      <c r="B137" s="1523">
        <f>(B121+B124)</f>
        <v>184292</v>
      </c>
      <c r="C137" s="1523">
        <f>C121+C124</f>
        <v>112110</v>
      </c>
      <c r="D137" s="11"/>
      <c r="E137" s="1523">
        <f>(E121+E124)</f>
        <v>67300</v>
      </c>
      <c r="F137" s="1523">
        <f>F121+F124</f>
        <v>40925</v>
      </c>
      <c r="H137" s="181">
        <f>IF($E$143=0,0,E137/$E$143)</f>
        <v>0.49430774880646344</v>
      </c>
      <c r="I137" s="181">
        <f>IF($F$143=0,0,F137/$F$143)</f>
        <v>0.15307649149055544</v>
      </c>
    </row>
    <row r="138" spans="1:36" ht="17.149999999999999" customHeight="1" x14ac:dyDescent="0.35">
      <c r="A138" s="135" t="s">
        <v>849</v>
      </c>
      <c r="B138" s="1523">
        <f>SUM(B101:B103)+SUM(B111:B113)</f>
        <v>123651</v>
      </c>
      <c r="C138" s="1523">
        <f>SUM(C101:C103)+SUM(C111:C113)</f>
        <v>112110</v>
      </c>
      <c r="D138" s="11"/>
      <c r="E138" s="1523">
        <f>SUM(E101:E103)+SUM(E111:E113)</f>
        <v>45125</v>
      </c>
      <c r="F138" s="1523">
        <f>SUM(F101:F103)+SUM(F111:F113)</f>
        <v>40925</v>
      </c>
      <c r="H138" s="181">
        <f>IF($E$143=0,0,E138/$E$143)</f>
        <v>0.33143591626882113</v>
      </c>
      <c r="I138" s="181">
        <f>IF($F$143=0,0,F138/$F$143)</f>
        <v>0.15307649149055544</v>
      </c>
    </row>
    <row r="139" spans="1:36" ht="17.149999999999999" customHeight="1" x14ac:dyDescent="0.35">
      <c r="A139" s="11"/>
      <c r="B139" s="179"/>
      <c r="C139" s="179"/>
      <c r="D139" s="11"/>
      <c r="E139" s="179"/>
      <c r="F139" s="179"/>
      <c r="G139" s="179"/>
      <c r="H139" s="180"/>
      <c r="I139" s="180"/>
      <c r="AA139" s="17"/>
      <c r="AB139" s="17"/>
      <c r="AC139" s="17"/>
      <c r="AD139" s="17"/>
      <c r="AE139" s="17"/>
      <c r="AF139" s="17"/>
      <c r="AG139" s="17"/>
      <c r="AH139" s="17"/>
      <c r="AI139" s="17"/>
      <c r="AJ139" s="17"/>
    </row>
    <row r="140" spans="1:36" s="115" customFormat="1" ht="16.5" customHeight="1" x14ac:dyDescent="0.35">
      <c r="A140" s="208" t="s">
        <v>800</v>
      </c>
      <c r="B140" s="209">
        <f>SUM(B141:B141)</f>
        <v>51437</v>
      </c>
      <c r="C140" s="209">
        <f>SUM(C141:C141)</f>
        <v>0</v>
      </c>
      <c r="D140" s="2"/>
      <c r="E140" s="209">
        <f>SUM(E141:E141)</f>
        <v>18775</v>
      </c>
      <c r="F140" s="209">
        <f>SUM(F141:F141)</f>
        <v>0</v>
      </c>
      <c r="H140" s="421">
        <f>IF($E$143=0,0,E140/$E$143)</f>
        <v>0.13789937568857877</v>
      </c>
      <c r="I140" s="421">
        <f>IF($F$143=0,0,F140/$F$143)</f>
        <v>0</v>
      </c>
    </row>
    <row r="141" spans="1:36" ht="17.149999999999999" customHeight="1" x14ac:dyDescent="0.35">
      <c r="A141" s="210" t="s">
        <v>850</v>
      </c>
      <c r="B141" s="211">
        <f>B126</f>
        <v>51437</v>
      </c>
      <c r="C141" s="211">
        <f>C126</f>
        <v>0</v>
      </c>
      <c r="D141" s="11"/>
      <c r="E141" s="211">
        <f>E126</f>
        <v>18775</v>
      </c>
      <c r="F141" s="211">
        <f>F126</f>
        <v>0</v>
      </c>
      <c r="H141" s="181">
        <f>IF($E$143=0,0,E141/$E$143)</f>
        <v>0.13789937568857877</v>
      </c>
      <c r="I141" s="181">
        <f>IF($F$143=0,0,F141/$F$143)</f>
        <v>0</v>
      </c>
    </row>
    <row r="142" spans="1:36" ht="17.149999999999999" customHeight="1" x14ac:dyDescent="0.35">
      <c r="A142" s="11"/>
      <c r="B142" s="179"/>
      <c r="C142" s="179"/>
      <c r="D142" s="11"/>
      <c r="E142" s="179"/>
      <c r="F142" s="179"/>
      <c r="G142" s="179"/>
      <c r="H142" s="180"/>
      <c r="I142" s="180"/>
      <c r="AA142" s="17"/>
      <c r="AB142" s="17"/>
      <c r="AC142" s="17"/>
      <c r="AD142" s="17"/>
      <c r="AE142" s="17"/>
      <c r="AF142" s="17"/>
      <c r="AG142" s="17"/>
      <c r="AH142" s="17"/>
      <c r="AI142" s="17"/>
      <c r="AJ142" s="17"/>
    </row>
    <row r="143" spans="1:36" s="115" customFormat="1" ht="17.149999999999999" customHeight="1" x14ac:dyDescent="0.35">
      <c r="A143" s="212" t="s">
        <v>851</v>
      </c>
      <c r="B143" s="28">
        <f>B134+B140</f>
        <v>372916</v>
      </c>
      <c r="C143" s="28">
        <f>C134+C140</f>
        <v>732452</v>
      </c>
      <c r="D143" s="2"/>
      <c r="E143" s="28">
        <f>E134+E140</f>
        <v>136150</v>
      </c>
      <c r="F143" s="28">
        <f>F134+F140</f>
        <v>267350</v>
      </c>
      <c r="H143" s="181">
        <f>IF($E$143=0,0,E143/$E$143)</f>
        <v>1</v>
      </c>
      <c r="I143" s="181">
        <f>IF($F$143=0,0,F143/$F$143)</f>
        <v>1</v>
      </c>
    </row>
    <row r="144" spans="1:36" s="115" customFormat="1" ht="17.149999999999999" customHeight="1" x14ac:dyDescent="0.35">
      <c r="A144" s="194"/>
      <c r="B144" s="205">
        <f>B127</f>
        <v>372916</v>
      </c>
      <c r="C144" s="205">
        <f>C127</f>
        <v>732452</v>
      </c>
      <c r="D144" s="2"/>
      <c r="E144" s="205">
        <f>E127</f>
        <v>136150</v>
      </c>
      <c r="F144" s="205">
        <f>F127</f>
        <v>267350</v>
      </c>
      <c r="H144" s="221"/>
      <c r="I144" s="221"/>
    </row>
    <row r="145" spans="1:37" ht="17.149999999999999" customHeight="1" x14ac:dyDescent="0.35">
      <c r="A145" s="11"/>
      <c r="B145" s="1519" t="str">
        <f>IF(B143=B144,"OK","Not OK")</f>
        <v>OK</v>
      </c>
      <c r="C145" s="1519" t="str">
        <f>IF(C143=C144,"OK","Not OK")</f>
        <v>OK</v>
      </c>
      <c r="D145" s="11"/>
      <c r="E145" s="1519" t="str">
        <f>IF(E143=E144,"OK","Not OK")</f>
        <v>OK</v>
      </c>
      <c r="F145" s="1519" t="str">
        <f>IF(F143=F144,"OK","Not OK")</f>
        <v>OK</v>
      </c>
      <c r="AA145" s="17"/>
      <c r="AB145" s="17"/>
      <c r="AC145" s="17"/>
      <c r="AD145" s="17"/>
      <c r="AE145" s="17"/>
      <c r="AF145" s="17"/>
      <c r="AG145" s="17"/>
      <c r="AH145" s="17"/>
      <c r="AI145" s="17"/>
      <c r="AJ145" s="17"/>
    </row>
    <row r="146" spans="1:37" s="3" customFormat="1" ht="17.149999999999999" customHeight="1" x14ac:dyDescent="0.35">
      <c r="B146" s="184"/>
      <c r="C146" s="184"/>
    </row>
    <row r="147" spans="1:37" s="3" customFormat="1" ht="17.149999999999999" customHeight="1" x14ac:dyDescent="0.35">
      <c r="B147" s="184"/>
      <c r="C147" s="184"/>
    </row>
    <row r="148" spans="1:37" s="3" customFormat="1" ht="17.149999999999999" customHeight="1" x14ac:dyDescent="0.35">
      <c r="B148" s="184"/>
      <c r="C148" s="184"/>
    </row>
    <row r="149" spans="1:37" s="3" customFormat="1" ht="17.149999999999999" customHeight="1" x14ac:dyDescent="0.35">
      <c r="B149" s="184"/>
      <c r="C149" s="184"/>
    </row>
    <row r="150" spans="1:37" ht="21" customHeight="1" x14ac:dyDescent="0.35">
      <c r="A150" s="382" t="s">
        <v>852</v>
      </c>
      <c r="D150" s="3"/>
      <c r="E150" s="1764" t="s">
        <v>490</v>
      </c>
      <c r="F150" s="1764" t="s">
        <v>1168</v>
      </c>
      <c r="G150" s="1764" t="s">
        <v>1169</v>
      </c>
      <c r="H150" s="1761" t="s">
        <v>1170</v>
      </c>
      <c r="I150" s="3"/>
      <c r="J150" s="3"/>
      <c r="AB150" s="17"/>
      <c r="AC150" s="17"/>
      <c r="AD150" s="17"/>
      <c r="AE150" s="17"/>
      <c r="AF150" s="17"/>
      <c r="AG150" s="17"/>
      <c r="AH150" s="17"/>
      <c r="AI150" s="17"/>
      <c r="AJ150" s="17"/>
      <c r="AK150" s="17"/>
    </row>
    <row r="151" spans="1:37" s="3" customFormat="1" ht="17.149999999999999" customHeight="1" x14ac:dyDescent="0.35">
      <c r="B151" s="184"/>
      <c r="C151" s="184"/>
      <c r="E151" s="1765"/>
      <c r="F151" s="1765"/>
      <c r="G151" s="1765"/>
      <c r="H151" s="1762"/>
    </row>
    <row r="152" spans="1:37" ht="15" customHeight="1" x14ac:dyDescent="0.35">
      <c r="A152" s="950" t="s">
        <v>855</v>
      </c>
      <c r="B152" s="1504" t="s">
        <v>9</v>
      </c>
      <c r="C152" s="1508" t="s">
        <v>253</v>
      </c>
      <c r="E152" s="1766"/>
      <c r="F152" s="1766"/>
      <c r="G152" s="1766"/>
      <c r="H152" s="1763"/>
      <c r="I152" s="3"/>
      <c r="J152" s="3"/>
    </row>
    <row r="153" spans="1:37" s="3" customFormat="1" ht="17.149999999999999" customHeight="1" x14ac:dyDescent="0.35">
      <c r="A153" s="143"/>
      <c r="B153" s="143"/>
      <c r="C153" s="143"/>
      <c r="E153" s="143"/>
      <c r="F153" s="143"/>
      <c r="G153" s="143"/>
      <c r="H153" s="143"/>
    </row>
    <row r="154" spans="1:37" s="3" customFormat="1" ht="17.149999999999999" customHeight="1" x14ac:dyDescent="0.35">
      <c r="A154" s="950" t="s">
        <v>878</v>
      </c>
      <c r="B154" s="1021">
        <f>B157+B159</f>
        <v>84700</v>
      </c>
      <c r="C154" s="1022">
        <f>C157+C159</f>
        <v>187100</v>
      </c>
      <c r="E154" s="143"/>
      <c r="F154" s="143"/>
      <c r="G154" s="1021">
        <f>G158+G159</f>
        <v>85700</v>
      </c>
      <c r="H154" s="1022">
        <f>H158+H159</f>
        <v>189200</v>
      </c>
    </row>
    <row r="155" spans="1:37" s="3" customFormat="1" ht="17.149999999999999" customHeight="1" x14ac:dyDescent="0.35">
      <c r="A155" s="168"/>
      <c r="B155" s="368"/>
      <c r="C155" s="368"/>
      <c r="E155" s="143"/>
      <c r="F155" s="143"/>
      <c r="G155" s="143"/>
      <c r="H155" s="143"/>
    </row>
    <row r="156" spans="1:37" s="3" customFormat="1" ht="17.149999999999999" customHeight="1" x14ac:dyDescent="0.35">
      <c r="A156" s="1068" t="s">
        <v>856</v>
      </c>
      <c r="B156" s="1023"/>
      <c r="C156" s="1024"/>
      <c r="E156" s="1069"/>
      <c r="F156" s="1069"/>
      <c r="G156" s="1069"/>
      <c r="H156" s="1070"/>
      <c r="N156" s="242" t="s">
        <v>805</v>
      </c>
      <c r="O156" s="243">
        <f>'User interface_Non-RES'!C8</f>
        <v>42978</v>
      </c>
    </row>
    <row r="157" spans="1:37" s="3" customFormat="1" ht="17.149999999999999" customHeight="1" x14ac:dyDescent="0.35">
      <c r="A157" s="1001" t="s">
        <v>493</v>
      </c>
      <c r="B157" s="153">
        <f>ROUND(('User interface_Non-RES'!C21*(1+E157)^$O$159)/100,0)*100</f>
        <v>0</v>
      </c>
      <c r="C157" s="153">
        <f>ROUND((B157*(1+E157)^$E$35)/100,0)*100</f>
        <v>0</v>
      </c>
      <c r="D157" s="60"/>
      <c r="E157" s="1071">
        <f>IF('User interface_Non-RES'!D21&gt;0,'User interface_Non-RES'!D21,'User interface_Non-RES'!$G$12)</f>
        <v>3.2199999999999999E-2</v>
      </c>
      <c r="F157" s="965">
        <v>1</v>
      </c>
      <c r="G157" s="965"/>
      <c r="H157" s="965"/>
      <c r="I157" s="60"/>
      <c r="N157" s="242" t="s">
        <v>411</v>
      </c>
      <c r="O157" s="243">
        <f>'User interface_Non-RES'!D14</f>
        <v>42369</v>
      </c>
    </row>
    <row r="158" spans="1:37" s="3" customFormat="1" ht="17.149999999999999" customHeight="1" x14ac:dyDescent="0.35">
      <c r="A158" s="1001" t="s">
        <v>857</v>
      </c>
      <c r="B158" s="153">
        <f>ROUND(('User interface_Non-RES'!C22*(1+E158)^$O$159)/100,0)*100</f>
        <v>347200</v>
      </c>
      <c r="C158" s="153">
        <f>ROUND((B158*(1+E158)^$E$35)/100,0)*100</f>
        <v>766800</v>
      </c>
      <c r="D158" s="60"/>
      <c r="E158" s="1071">
        <f>IF('User interface_Non-RES'!D22&gt;0,'User interface_Non-RES'!D22,'User interface_Non-RES'!$G$12)</f>
        <v>3.2199999999999999E-2</v>
      </c>
      <c r="F158" s="965">
        <v>1</v>
      </c>
      <c r="G158" s="153">
        <f>ROUND(((B158*F158)/365)/100,0)*100</f>
        <v>1000</v>
      </c>
      <c r="H158" s="153">
        <f>ROUND(((C158*F158)/365)/100,0)*100</f>
        <v>2100</v>
      </c>
      <c r="I158" s="60"/>
      <c r="N158" s="242" t="s">
        <v>807</v>
      </c>
      <c r="O158" s="243">
        <f>O156-O157</f>
        <v>609</v>
      </c>
    </row>
    <row r="159" spans="1:37" s="3" customFormat="1" ht="17.149999999999999" customHeight="1" x14ac:dyDescent="0.35">
      <c r="A159" s="1068" t="s">
        <v>496</v>
      </c>
      <c r="B159" s="1023">
        <f>SUM(B160:B163)</f>
        <v>84700</v>
      </c>
      <c r="C159" s="1024">
        <f>SUM(C160:C163)</f>
        <v>187100</v>
      </c>
      <c r="E159" s="1069"/>
      <c r="F159" s="1069"/>
      <c r="G159" s="1023">
        <f>SUM(G160:G163)</f>
        <v>84700</v>
      </c>
      <c r="H159" s="1024">
        <f>SUM(H160:H163)</f>
        <v>187100</v>
      </c>
      <c r="N159" s="242" t="s">
        <v>808</v>
      </c>
      <c r="O159" s="245">
        <f>ROUND((O158/365)/0.25,0)*0.25</f>
        <v>1.75</v>
      </c>
    </row>
    <row r="160" spans="1:37" s="3" customFormat="1" ht="17.149999999999999" customHeight="1" x14ac:dyDescent="0.35">
      <c r="A160" s="110" t="s">
        <v>497</v>
      </c>
      <c r="B160" s="153">
        <f>ROUND(('User interface_Non-RES'!C24*(1+E160)^$O$159)/100,0)*100</f>
        <v>84700</v>
      </c>
      <c r="C160" s="153">
        <f>ROUND((B160*(1+E160)^$E$35)/100,0)*100</f>
        <v>187100</v>
      </c>
      <c r="D160" s="60"/>
      <c r="E160" s="1071">
        <f>IF('User interface_Non-RES'!D24&gt;0,'User interface_Non-RES'!D24,'User interface_Non-RES'!$G$12)</f>
        <v>3.2199999999999999E-2</v>
      </c>
      <c r="F160" s="965">
        <v>1</v>
      </c>
      <c r="G160" s="153">
        <f>ROUND((B160*F160)/100,0)*100</f>
        <v>84700</v>
      </c>
      <c r="H160" s="153">
        <f>ROUND((C160*F160)/100,0)*100</f>
        <v>187100</v>
      </c>
      <c r="I160" s="60"/>
    </row>
    <row r="161" spans="1:36" s="3" customFormat="1" ht="17.149999999999999" customHeight="1" x14ac:dyDescent="0.35">
      <c r="A161" s="110" t="s">
        <v>498</v>
      </c>
      <c r="B161" s="153">
        <f>ROUND(('User interface_Non-RES'!C25*(1+E161)^$O$159)/100,0)*100</f>
        <v>0</v>
      </c>
      <c r="C161" s="153">
        <f>ROUND((B161*(1+E161)^$E$35)/100,0)*100</f>
        <v>0</v>
      </c>
      <c r="D161" s="60"/>
      <c r="E161" s="1071">
        <f>IF('User interface_Non-RES'!D25&gt;0,'User interface_Non-RES'!D25,'User interface_Non-RES'!$G$12)</f>
        <v>3.2199999999999999E-2</v>
      </c>
      <c r="F161" s="965">
        <v>1</v>
      </c>
      <c r="G161" s="153">
        <f>ROUND((B161*F161)/100,0)*100</f>
        <v>0</v>
      </c>
      <c r="H161" s="153">
        <f>ROUND((C161*F161)/100,0)*100</f>
        <v>0</v>
      </c>
      <c r="I161" s="60"/>
    </row>
    <row r="162" spans="1:36" s="3" customFormat="1" ht="17.149999999999999" customHeight="1" x14ac:dyDescent="0.35">
      <c r="A162" s="110" t="s">
        <v>858</v>
      </c>
      <c r="B162" s="153">
        <f>ROUND(('User interface_Non-RES'!C26*(1+E162)^$O$159)/100,0)*100</f>
        <v>0</v>
      </c>
      <c r="C162" s="153">
        <f>ROUND((B162*(1+E162)^$E$35)/100,0)*100</f>
        <v>0</v>
      </c>
      <c r="D162" s="60"/>
      <c r="E162" s="1071">
        <f>IF('User interface_Non-RES'!D26&gt;0,'User interface_Non-RES'!D26,'User interface_Non-RES'!$G$12)</f>
        <v>3.2199999999999999E-2</v>
      </c>
      <c r="F162" s="965">
        <v>1</v>
      </c>
      <c r="G162" s="153">
        <f>ROUND((B162*F162)/100,0)*100</f>
        <v>0</v>
      </c>
      <c r="H162" s="153">
        <f>ROUND((C162*F162)/100,0)*100</f>
        <v>0</v>
      </c>
      <c r="I162" s="60"/>
    </row>
    <row r="163" spans="1:36" s="3" customFormat="1" ht="17.149999999999999" customHeight="1" x14ac:dyDescent="0.35">
      <c r="A163" s="110" t="s">
        <v>500</v>
      </c>
      <c r="B163" s="153">
        <f>ROUND(('User interface_Non-RES'!C27*(1+E163)^$O$159)/100,0)*100</f>
        <v>0</v>
      </c>
      <c r="C163" s="153">
        <f>ROUND((B163*(1+E163)^$E$35)/100,0)*100</f>
        <v>0</v>
      </c>
      <c r="D163" s="60"/>
      <c r="E163" s="1071">
        <f>IF('User interface_Non-RES'!D27&gt;0,'User interface_Non-RES'!D27,'User interface_Non-RES'!$G$12)</f>
        <v>3.2199999999999999E-2</v>
      </c>
      <c r="F163" s="965">
        <v>1</v>
      </c>
      <c r="G163" s="153">
        <f>ROUND((B163*F163)/100,0)*100</f>
        <v>0</v>
      </c>
      <c r="H163" s="153">
        <f>ROUND((C163*F163)/100,0)*100</f>
        <v>0</v>
      </c>
      <c r="I163" s="60"/>
    </row>
    <row r="164" spans="1:36" s="3" customFormat="1" ht="17.149999999999999" customHeight="1" x14ac:dyDescent="0.35">
      <c r="B164" s="184"/>
      <c r="C164" s="184"/>
    </row>
    <row r="165" spans="1:36" s="3" customFormat="1" ht="17.149999999999999" customHeight="1" x14ac:dyDescent="0.35">
      <c r="B165" s="184"/>
      <c r="C165" s="184"/>
    </row>
    <row r="166" spans="1:36" ht="17.149999999999999" customHeight="1" x14ac:dyDescent="0.35">
      <c r="A166" s="950" t="s">
        <v>859</v>
      </c>
      <c r="B166" s="1504" t="s">
        <v>9</v>
      </c>
      <c r="C166" s="1508" t="s">
        <v>253</v>
      </c>
      <c r="I166" s="3"/>
      <c r="AA166" s="17"/>
      <c r="AB166" s="17"/>
      <c r="AC166" s="17"/>
      <c r="AD166" s="17"/>
      <c r="AE166" s="17"/>
      <c r="AF166" s="17"/>
      <c r="AG166" s="17"/>
      <c r="AH166" s="17"/>
      <c r="AI166" s="17"/>
      <c r="AJ166" s="17"/>
    </row>
    <row r="167" spans="1:36" ht="17.149999999999999" customHeight="1" x14ac:dyDescent="0.35">
      <c r="I167" s="3"/>
      <c r="AA167" s="17"/>
      <c r="AB167" s="17"/>
      <c r="AC167" s="17"/>
      <c r="AD167" s="17"/>
      <c r="AE167" s="17"/>
      <c r="AF167" s="17"/>
      <c r="AG167" s="17"/>
      <c r="AH167" s="17"/>
      <c r="AI167" s="17"/>
      <c r="AJ167" s="17"/>
    </row>
    <row r="168" spans="1:36" ht="17.149999999999999" customHeight="1" x14ac:dyDescent="0.35">
      <c r="A168" s="142"/>
      <c r="B168" s="1504" t="s">
        <v>201</v>
      </c>
      <c r="C168" s="1508" t="s">
        <v>201</v>
      </c>
      <c r="I168" s="3"/>
      <c r="AA168" s="17"/>
      <c r="AB168" s="17"/>
      <c r="AC168" s="17"/>
      <c r="AD168" s="17"/>
      <c r="AE168" s="17"/>
      <c r="AF168" s="17"/>
      <c r="AG168" s="17"/>
      <c r="AH168" s="17"/>
      <c r="AI168" s="17"/>
      <c r="AJ168" s="17"/>
    </row>
    <row r="169" spans="1:36" ht="17.149999999999999" customHeight="1" x14ac:dyDescent="0.35">
      <c r="A169" s="1038" t="s">
        <v>433</v>
      </c>
      <c r="B169" s="1060">
        <f>SUM(B170:B171)</f>
        <v>0.05</v>
      </c>
      <c r="C169" s="1061">
        <f>SUM(C170:C171)</f>
        <v>0.2</v>
      </c>
      <c r="I169" s="3"/>
      <c r="AA169" s="17"/>
      <c r="AB169" s="17"/>
      <c r="AC169" s="17"/>
      <c r="AD169" s="17"/>
      <c r="AE169" s="17"/>
      <c r="AF169" s="17"/>
      <c r="AG169" s="17"/>
      <c r="AH169" s="17"/>
      <c r="AI169" s="17"/>
      <c r="AJ169" s="17"/>
    </row>
    <row r="170" spans="1:36" ht="17.149999999999999" customHeight="1" x14ac:dyDescent="0.35">
      <c r="A170" s="155" t="s">
        <v>814</v>
      </c>
      <c r="B170" s="964">
        <f>'User interface_Non-RES'!C33*'User interface_Non-RES'!E33</f>
        <v>0.05</v>
      </c>
      <c r="C170" s="964">
        <f>'User interface_Non-RES'!C50*'User interface_Non-RES'!E50</f>
        <v>0.2</v>
      </c>
      <c r="I170" s="3"/>
      <c r="AA170" s="17"/>
      <c r="AB170" s="17"/>
      <c r="AC170" s="17"/>
      <c r="AD170" s="17"/>
      <c r="AE170" s="17"/>
      <c r="AF170" s="17"/>
      <c r="AG170" s="17"/>
      <c r="AH170" s="17"/>
      <c r="AI170" s="17"/>
      <c r="AJ170" s="17"/>
    </row>
    <row r="171" spans="1:36" ht="17.149999999999999" customHeight="1" x14ac:dyDescent="0.35">
      <c r="A171" s="155" t="s">
        <v>815</v>
      </c>
      <c r="B171" s="964">
        <f>'User interface_Non-RES'!C33*'User interface_Non-RES'!F33</f>
        <v>0</v>
      </c>
      <c r="C171" s="964">
        <f>'User interface_Non-RES'!C50*'User interface_Non-RES'!F50</f>
        <v>0</v>
      </c>
      <c r="I171" s="3"/>
      <c r="AA171" s="17"/>
      <c r="AB171" s="17"/>
      <c r="AC171" s="17"/>
      <c r="AD171" s="17"/>
      <c r="AE171" s="17"/>
      <c r="AF171" s="17"/>
      <c r="AG171" s="17"/>
      <c r="AH171" s="17"/>
      <c r="AI171" s="17"/>
      <c r="AJ171" s="17"/>
    </row>
    <row r="172" spans="1:36" ht="17.149999999999999" customHeight="1" x14ac:dyDescent="0.35">
      <c r="A172" s="1038" t="s">
        <v>816</v>
      </c>
      <c r="B172" s="1060">
        <f>SUM(B173:B174)</f>
        <v>0</v>
      </c>
      <c r="C172" s="1061">
        <f>SUM(C173:C174)</f>
        <v>0</v>
      </c>
      <c r="I172" s="3"/>
      <c r="AA172" s="17"/>
      <c r="AB172" s="17"/>
      <c r="AC172" s="17"/>
      <c r="AD172" s="17"/>
      <c r="AE172" s="17"/>
      <c r="AF172" s="17"/>
      <c r="AG172" s="17"/>
      <c r="AH172" s="17"/>
      <c r="AI172" s="17"/>
      <c r="AJ172" s="17"/>
    </row>
    <row r="173" spans="1:36" ht="17.149999999999999" customHeight="1" x14ac:dyDescent="0.35">
      <c r="A173" s="155" t="s">
        <v>817</v>
      </c>
      <c r="B173" s="964">
        <f>'User interface_Non-RES'!C34*'User interface_Non-RES'!E34</f>
        <v>0</v>
      </c>
      <c r="C173" s="964">
        <f>'User interface_Non-RES'!C51*'User interface_Non-RES'!E51</f>
        <v>0</v>
      </c>
      <c r="I173" s="3"/>
      <c r="AA173" s="17"/>
      <c r="AB173" s="17"/>
      <c r="AC173" s="17"/>
      <c r="AD173" s="17"/>
      <c r="AE173" s="17"/>
      <c r="AF173" s="17"/>
      <c r="AG173" s="17"/>
      <c r="AH173" s="17"/>
      <c r="AI173" s="17"/>
      <c r="AJ173" s="17"/>
    </row>
    <row r="174" spans="1:36" ht="17.149999999999999" customHeight="1" x14ac:dyDescent="0.35">
      <c r="A174" s="155" t="s">
        <v>820</v>
      </c>
      <c r="B174" s="964">
        <f>'User interface_Non-RES'!C34*'User interface_Non-RES'!F34</f>
        <v>0</v>
      </c>
      <c r="C174" s="964">
        <f>'User interface_Non-RES'!C51*'User interface_Non-RES'!F51</f>
        <v>0</v>
      </c>
      <c r="I174" s="3"/>
      <c r="AA174" s="17"/>
      <c r="AB174" s="17"/>
      <c r="AC174" s="17"/>
      <c r="AD174" s="17"/>
      <c r="AE174" s="17"/>
      <c r="AF174" s="17"/>
      <c r="AG174" s="17"/>
      <c r="AH174" s="17"/>
      <c r="AI174" s="17"/>
      <c r="AJ174" s="17"/>
    </row>
    <row r="175" spans="1:36" ht="17.149999999999999" customHeight="1" x14ac:dyDescent="0.35">
      <c r="A175" s="1038" t="s">
        <v>821</v>
      </c>
      <c r="B175" s="1060">
        <f>SUM(B176:B177)</f>
        <v>0</v>
      </c>
      <c r="C175" s="1061">
        <f>SUM(C176:C177)</f>
        <v>0.15</v>
      </c>
      <c r="I175" s="3"/>
      <c r="AA175" s="17"/>
      <c r="AB175" s="17"/>
      <c r="AC175" s="17"/>
      <c r="AD175" s="17"/>
      <c r="AE175" s="17"/>
      <c r="AF175" s="17"/>
      <c r="AG175" s="17"/>
      <c r="AH175" s="17"/>
      <c r="AI175" s="17"/>
      <c r="AJ175" s="17"/>
    </row>
    <row r="176" spans="1:36" ht="17.149999999999999" customHeight="1" x14ac:dyDescent="0.35">
      <c r="A176" s="155" t="s">
        <v>822</v>
      </c>
      <c r="B176" s="964">
        <f>'User interface_Non-RES'!C35*'User interface_Non-RES'!D36*'User interface_Non-RES'!E36</f>
        <v>0</v>
      </c>
      <c r="C176" s="964">
        <f>'User interface_Non-RES'!C52*'User interface_Non-RES'!D53*'User interface_Non-RES'!E53</f>
        <v>7.4999999999999997E-2</v>
      </c>
      <c r="I176" s="3"/>
      <c r="AA176" s="17"/>
      <c r="AB176" s="17"/>
      <c r="AC176" s="17"/>
      <c r="AD176" s="17"/>
      <c r="AE176" s="17"/>
      <c r="AF176" s="17"/>
      <c r="AG176" s="17"/>
      <c r="AH176" s="17"/>
      <c r="AI176" s="17"/>
      <c r="AJ176" s="17"/>
    </row>
    <row r="177" spans="1:36" ht="17.149999999999999" customHeight="1" x14ac:dyDescent="0.35">
      <c r="A177" s="155" t="s">
        <v>823</v>
      </c>
      <c r="B177" s="964">
        <f>'User interface_Non-RES'!C35*'User interface_Non-RES'!D36*'User interface_Non-RES'!F36</f>
        <v>0</v>
      </c>
      <c r="C177" s="964">
        <f>'User interface_Non-RES'!C52*'User interface_Non-RES'!D53*'User interface_Non-RES'!F53</f>
        <v>7.4999999999999997E-2</v>
      </c>
      <c r="I177" s="3"/>
      <c r="AA177" s="17"/>
      <c r="AB177" s="17"/>
      <c r="AC177" s="17"/>
      <c r="AD177" s="17"/>
      <c r="AE177" s="17"/>
      <c r="AF177" s="17"/>
      <c r="AG177" s="17"/>
      <c r="AH177" s="17"/>
      <c r="AI177" s="17"/>
      <c r="AJ177" s="17"/>
    </row>
    <row r="178" spans="1:36" ht="17.149999999999999" customHeight="1" x14ac:dyDescent="0.35">
      <c r="A178" s="1038" t="s">
        <v>824</v>
      </c>
      <c r="B178" s="1060">
        <f>SUM(B179:B181)</f>
        <v>0.5</v>
      </c>
      <c r="C178" s="1061">
        <f>SUM(C179:C181)</f>
        <v>0.44999999999999996</v>
      </c>
      <c r="I178" s="3"/>
      <c r="AA178" s="17"/>
      <c r="AB178" s="17"/>
      <c r="AC178" s="17"/>
      <c r="AD178" s="17"/>
      <c r="AE178" s="17"/>
      <c r="AF178" s="17"/>
      <c r="AG178" s="17"/>
      <c r="AH178" s="17"/>
      <c r="AI178" s="17"/>
      <c r="AJ178" s="17"/>
    </row>
    <row r="179" spans="1:36" ht="17.149999999999999" customHeight="1" x14ac:dyDescent="0.35">
      <c r="A179" s="155" t="s">
        <v>822</v>
      </c>
      <c r="B179" s="964">
        <f>'User interface_Non-RES'!C35*'User interface_Non-RES'!D37*'User interface_Non-RES'!E37</f>
        <v>0</v>
      </c>
      <c r="C179" s="964">
        <f>'User interface_Non-RES'!C52*'User interface_Non-RES'!D54*'User interface_Non-RES'!E54</f>
        <v>0</v>
      </c>
      <c r="I179" s="3"/>
      <c r="AA179" s="17"/>
      <c r="AB179" s="17"/>
      <c r="AC179" s="17"/>
      <c r="AD179" s="17"/>
      <c r="AE179" s="17"/>
      <c r="AF179" s="17"/>
      <c r="AG179" s="17"/>
      <c r="AH179" s="17"/>
      <c r="AI179" s="17"/>
      <c r="AJ179" s="17"/>
    </row>
    <row r="180" spans="1:36" ht="17.149999999999999" customHeight="1" x14ac:dyDescent="0.35">
      <c r="A180" s="155" t="s">
        <v>823</v>
      </c>
      <c r="B180" s="964">
        <f>'User interface_Non-RES'!C35*'User interface_Non-RES'!D37*'User interface_Non-RES'!F37</f>
        <v>0.5</v>
      </c>
      <c r="C180" s="964">
        <f>'User interface_Non-RES'!C52*'User interface_Non-RES'!D54*'User interface_Non-RES'!F54</f>
        <v>0.44999999999999996</v>
      </c>
      <c r="I180" s="3"/>
      <c r="AA180" s="17"/>
      <c r="AB180" s="17"/>
      <c r="AC180" s="17"/>
      <c r="AD180" s="17"/>
      <c r="AE180" s="17"/>
      <c r="AF180" s="17"/>
      <c r="AG180" s="17"/>
      <c r="AH180" s="17"/>
      <c r="AI180" s="17"/>
      <c r="AJ180" s="17"/>
    </row>
    <row r="181" spans="1:36" ht="17.149999999999999" customHeight="1" x14ac:dyDescent="0.35">
      <c r="A181" s="155" t="s">
        <v>825</v>
      </c>
      <c r="B181" s="964">
        <f>'User interface_Non-RES'!C35*'User interface_Non-RES'!D37*'User interface_Non-RES'!G37</f>
        <v>0</v>
      </c>
      <c r="C181" s="964">
        <f>'User interface_Non-RES'!C52*'User interface_Non-RES'!D54*'User interface_Non-RES'!G54</f>
        <v>0</v>
      </c>
      <c r="I181" s="3"/>
      <c r="AA181" s="17"/>
      <c r="AB181" s="17"/>
      <c r="AC181" s="17"/>
      <c r="AD181" s="17"/>
      <c r="AE181" s="17"/>
      <c r="AF181" s="17"/>
      <c r="AG181" s="17"/>
      <c r="AH181" s="17"/>
      <c r="AI181" s="17"/>
      <c r="AJ181" s="17"/>
    </row>
    <row r="182" spans="1:36" ht="17.149999999999999" customHeight="1" x14ac:dyDescent="0.35">
      <c r="A182" s="1038" t="s">
        <v>860</v>
      </c>
      <c r="B182" s="1060">
        <f>SUM(B183:B184)</f>
        <v>0.125</v>
      </c>
      <c r="C182" s="1061">
        <f>SUM(C183:C184)</f>
        <v>0.1</v>
      </c>
      <c r="I182" s="3"/>
      <c r="AA182" s="17"/>
      <c r="AB182" s="17"/>
      <c r="AC182" s="17"/>
      <c r="AD182" s="17"/>
      <c r="AE182" s="17"/>
      <c r="AF182" s="17"/>
      <c r="AG182" s="17"/>
      <c r="AH182" s="17"/>
      <c r="AI182" s="17"/>
      <c r="AJ182" s="17"/>
    </row>
    <row r="183" spans="1:36" ht="17.149999999999999" customHeight="1" x14ac:dyDescent="0.35">
      <c r="A183" s="155" t="s">
        <v>827</v>
      </c>
      <c r="B183" s="964">
        <f>'User interface_Non-RES'!C38*'User interface_Non-RES'!D39*'User interface_Non-RES'!E39</f>
        <v>0</v>
      </c>
      <c r="C183" s="964">
        <f>'User interface_Non-RES'!C55*'User interface_Non-RES'!D56*'User interface_Non-RES'!E56</f>
        <v>0</v>
      </c>
      <c r="I183" s="3"/>
      <c r="AA183" s="17"/>
      <c r="AB183" s="17"/>
      <c r="AC183" s="17"/>
      <c r="AD183" s="17"/>
      <c r="AE183" s="17"/>
      <c r="AF183" s="17"/>
      <c r="AG183" s="17"/>
      <c r="AH183" s="17"/>
      <c r="AI183" s="17"/>
      <c r="AJ183" s="17"/>
    </row>
    <row r="184" spans="1:36" ht="17.149999999999999" customHeight="1" x14ac:dyDescent="0.35">
      <c r="A184" s="155" t="s">
        <v>828</v>
      </c>
      <c r="B184" s="964">
        <f>'User interface_Non-RES'!C38*'User interface_Non-RES'!D39*'User interface_Non-RES'!F39</f>
        <v>0.125</v>
      </c>
      <c r="C184" s="964">
        <f>'User interface_Non-RES'!C55*'User interface_Non-RES'!D56*'User interface_Non-RES'!F56</f>
        <v>0.1</v>
      </c>
      <c r="I184" s="3"/>
      <c r="AA184" s="17"/>
      <c r="AB184" s="17"/>
      <c r="AC184" s="17"/>
      <c r="AD184" s="17"/>
      <c r="AE184" s="17"/>
      <c r="AF184" s="17"/>
      <c r="AG184" s="17"/>
      <c r="AH184" s="17"/>
      <c r="AI184" s="17"/>
      <c r="AJ184" s="17"/>
    </row>
    <row r="185" spans="1:36" ht="17.149999999999999" customHeight="1" x14ac:dyDescent="0.35">
      <c r="A185" s="1038" t="s">
        <v>861</v>
      </c>
      <c r="B185" s="1060">
        <f>SUM(B186:B187)</f>
        <v>0.125</v>
      </c>
      <c r="C185" s="1061">
        <f>SUM(C186:C187)</f>
        <v>0.1</v>
      </c>
      <c r="I185" s="3"/>
      <c r="AA185" s="17"/>
      <c r="AB185" s="17"/>
      <c r="AC185" s="17"/>
      <c r="AD185" s="17"/>
      <c r="AE185" s="17"/>
      <c r="AF185" s="17"/>
      <c r="AG185" s="17"/>
      <c r="AH185" s="17"/>
      <c r="AI185" s="17"/>
      <c r="AJ185" s="17"/>
    </row>
    <row r="186" spans="1:36" ht="17.149999999999999" customHeight="1" x14ac:dyDescent="0.35">
      <c r="A186" s="155" t="s">
        <v>827</v>
      </c>
      <c r="B186" s="964">
        <f>'User interface_Non-RES'!C38*'User interface_Non-RES'!D40*'User interface_Non-RES'!E40</f>
        <v>0</v>
      </c>
      <c r="C186" s="964">
        <f>'User interface_Non-RES'!C55*'User interface_Non-RES'!D57*'User interface_Non-RES'!E57</f>
        <v>0</v>
      </c>
      <c r="I186" s="3"/>
      <c r="AA186" s="17"/>
      <c r="AB186" s="17"/>
      <c r="AC186" s="17"/>
      <c r="AD186" s="17"/>
      <c r="AE186" s="17"/>
      <c r="AF186" s="17"/>
      <c r="AG186" s="17"/>
      <c r="AH186" s="17"/>
      <c r="AI186" s="17"/>
      <c r="AJ186" s="17"/>
    </row>
    <row r="187" spans="1:36" ht="17.149999999999999" customHeight="1" x14ac:dyDescent="0.35">
      <c r="A187" s="155" t="s">
        <v>828</v>
      </c>
      <c r="B187" s="964">
        <f>'User interface_Non-RES'!C38*'User interface_Non-RES'!D40*'User interface_Non-RES'!F40</f>
        <v>0.125</v>
      </c>
      <c r="C187" s="964">
        <f>'User interface_Non-RES'!C55*'User interface_Non-RES'!D57*'User interface_Non-RES'!F57</f>
        <v>0.1</v>
      </c>
      <c r="I187" s="3"/>
      <c r="AA187" s="17"/>
      <c r="AB187" s="17"/>
      <c r="AC187" s="17"/>
      <c r="AD187" s="17"/>
      <c r="AE187" s="17"/>
      <c r="AF187" s="17"/>
      <c r="AG187" s="17"/>
      <c r="AH187" s="17"/>
      <c r="AI187" s="17"/>
      <c r="AJ187" s="17"/>
    </row>
    <row r="188" spans="1:36" ht="17.149999999999999" customHeight="1" x14ac:dyDescent="0.35">
      <c r="A188" s="1038" t="s">
        <v>862</v>
      </c>
      <c r="B188" s="1060">
        <f>SUM(B189:B191)</f>
        <v>0</v>
      </c>
      <c r="C188" s="1061">
        <f>SUM(C189:C191)</f>
        <v>0</v>
      </c>
      <c r="I188" s="3"/>
      <c r="AA188" s="17"/>
      <c r="AB188" s="17"/>
      <c r="AC188" s="17"/>
      <c r="AD188" s="17"/>
      <c r="AE188" s="17"/>
      <c r="AF188" s="17"/>
      <c r="AG188" s="17"/>
      <c r="AH188" s="17"/>
      <c r="AI188" s="17"/>
      <c r="AJ188" s="17"/>
    </row>
    <row r="189" spans="1:36" ht="17.149999999999999" customHeight="1" x14ac:dyDescent="0.35">
      <c r="A189" s="155" t="s">
        <v>827</v>
      </c>
      <c r="B189" s="964">
        <f>'User interface_Non-RES'!C38*'User interface_Non-RES'!D41*'User interface_Non-RES'!E41</f>
        <v>0</v>
      </c>
      <c r="C189" s="964">
        <f>'User interface_Non-RES'!C55*'User interface_Non-RES'!D58*'User interface_Non-RES'!E58</f>
        <v>0</v>
      </c>
      <c r="I189" s="3"/>
      <c r="AA189" s="17"/>
      <c r="AB189" s="17"/>
      <c r="AC189" s="17"/>
      <c r="AD189" s="17"/>
      <c r="AE189" s="17"/>
      <c r="AF189" s="17"/>
      <c r="AG189" s="17"/>
      <c r="AH189" s="17"/>
      <c r="AI189" s="17"/>
      <c r="AJ189" s="17"/>
    </row>
    <row r="190" spans="1:36" ht="17.149999999999999" customHeight="1" x14ac:dyDescent="0.35">
      <c r="A190" s="155" t="s">
        <v>828</v>
      </c>
      <c r="B190" s="964">
        <f>'User interface_Non-RES'!C38*'User interface_Non-RES'!D41*'User interface_Non-RES'!F41</f>
        <v>0</v>
      </c>
      <c r="C190" s="964">
        <f>'User interface_Non-RES'!C55*'User interface_Non-RES'!D58*'User interface_Non-RES'!F58</f>
        <v>0</v>
      </c>
      <c r="I190" s="3"/>
      <c r="AA190" s="17"/>
      <c r="AB190" s="17"/>
      <c r="AC190" s="17"/>
      <c r="AD190" s="17"/>
      <c r="AE190" s="17"/>
      <c r="AF190" s="17"/>
      <c r="AG190" s="17"/>
      <c r="AH190" s="17"/>
      <c r="AI190" s="17"/>
      <c r="AJ190" s="17"/>
    </row>
    <row r="191" spans="1:36" ht="17.149999999999999" customHeight="1" x14ac:dyDescent="0.35">
      <c r="A191" s="155" t="s">
        <v>831</v>
      </c>
      <c r="B191" s="964">
        <f>'User interface_Non-RES'!C38*'User interface_Non-RES'!D41*'User interface_Non-RES'!G41</f>
        <v>0</v>
      </c>
      <c r="C191" s="964">
        <f>'User interface_Non-RES'!C55*'User interface_Non-RES'!D58*'User interface_Non-RES'!G58</f>
        <v>0</v>
      </c>
      <c r="I191" s="3"/>
      <c r="AA191" s="17"/>
      <c r="AB191" s="17"/>
      <c r="AC191" s="17"/>
      <c r="AD191" s="17"/>
      <c r="AE191" s="17"/>
      <c r="AF191" s="17"/>
      <c r="AG191" s="17"/>
      <c r="AH191" s="17"/>
      <c r="AI191" s="17"/>
      <c r="AJ191" s="17"/>
    </row>
    <row r="192" spans="1:36" ht="17.149999999999999" customHeight="1" x14ac:dyDescent="0.35">
      <c r="A192" s="1038" t="s">
        <v>443</v>
      </c>
      <c r="B192" s="1060">
        <f>'User interface_Non-RES'!C42</f>
        <v>0.2</v>
      </c>
      <c r="C192" s="1061">
        <f>'User interface_Non-RES'!C59</f>
        <v>0</v>
      </c>
      <c r="I192" s="3"/>
      <c r="AA192" s="17"/>
      <c r="AB192" s="17"/>
      <c r="AC192" s="17"/>
      <c r="AD192" s="17"/>
      <c r="AE192" s="17"/>
      <c r="AF192" s="17"/>
      <c r="AG192" s="17"/>
      <c r="AH192" s="17"/>
      <c r="AI192" s="17"/>
      <c r="AJ192" s="17"/>
    </row>
    <row r="193" spans="1:36" ht="17.149999999999999" customHeight="1" x14ac:dyDescent="0.35">
      <c r="A193" s="950" t="s">
        <v>208</v>
      </c>
      <c r="B193" s="1018">
        <f>B169+B172+B175+B178+B182+B185+B188+B192</f>
        <v>1</v>
      </c>
      <c r="C193" s="1062">
        <f>C169+C172+C175+C178+C182+C185+C188+C192</f>
        <v>0.99999999999999989</v>
      </c>
      <c r="I193" s="3"/>
      <c r="AA193" s="17"/>
      <c r="AB193" s="17"/>
      <c r="AC193" s="17"/>
      <c r="AD193" s="17"/>
      <c r="AE193" s="17"/>
      <c r="AF193" s="17"/>
      <c r="AG193" s="17"/>
      <c r="AH193" s="17"/>
      <c r="AI193" s="17"/>
      <c r="AJ193" s="17"/>
    </row>
    <row r="194" spans="1:36" ht="17.149999999999999" customHeight="1" x14ac:dyDescent="0.35">
      <c r="I194" s="3"/>
      <c r="AA194" s="17"/>
      <c r="AB194" s="17"/>
      <c r="AC194" s="17"/>
      <c r="AD194" s="17"/>
      <c r="AE194" s="17"/>
      <c r="AF194" s="17"/>
      <c r="AG194" s="17"/>
      <c r="AH194" s="17"/>
      <c r="AI194" s="17"/>
      <c r="AJ194" s="17"/>
    </row>
    <row r="195" spans="1:36" ht="17.149999999999999" customHeight="1" x14ac:dyDescent="0.35">
      <c r="A195" s="950" t="s">
        <v>863</v>
      </c>
      <c r="B195" s="1504" t="s">
        <v>833</v>
      </c>
      <c r="C195" s="1508" t="s">
        <v>833</v>
      </c>
      <c r="E195" s="1018" t="s">
        <v>201</v>
      </c>
      <c r="F195" s="1062" t="s">
        <v>201</v>
      </c>
      <c r="I195" s="3"/>
      <c r="AA195" s="17"/>
      <c r="AB195" s="17"/>
      <c r="AC195" s="17"/>
      <c r="AD195" s="17"/>
      <c r="AE195" s="17"/>
      <c r="AF195" s="17"/>
      <c r="AG195" s="17"/>
      <c r="AH195" s="17"/>
      <c r="AI195" s="17"/>
      <c r="AJ195" s="17"/>
    </row>
    <row r="196" spans="1:36" ht="17.149999999999999" customHeight="1" x14ac:dyDescent="0.35">
      <c r="A196" s="155" t="s">
        <v>834</v>
      </c>
      <c r="B196" s="368">
        <f>(B170+B173+B176+B179+B183+B186+B189)*G154</f>
        <v>4285</v>
      </c>
      <c r="C196" s="368">
        <f>(C170+C173+C176+C179+C183+C186+C189)*H154</f>
        <v>52030.000000000007</v>
      </c>
      <c r="D196" s="136"/>
      <c r="E196" s="1064">
        <f>B170+B173+B176+B179+B186+B189</f>
        <v>0.05</v>
      </c>
      <c r="F196" s="391">
        <f>C170+C173+C176+C179+C186+C189</f>
        <v>0.27500000000000002</v>
      </c>
      <c r="I196" s="3"/>
      <c r="AA196" s="17"/>
      <c r="AB196" s="17"/>
      <c r="AC196" s="17"/>
      <c r="AD196" s="17"/>
      <c r="AE196" s="17"/>
      <c r="AF196" s="17"/>
      <c r="AG196" s="17"/>
      <c r="AH196" s="17"/>
      <c r="AI196" s="17"/>
      <c r="AJ196" s="17"/>
    </row>
    <row r="197" spans="1:36" ht="17.149999999999999" customHeight="1" x14ac:dyDescent="0.35">
      <c r="A197" s="155" t="s">
        <v>835</v>
      </c>
      <c r="B197" s="368">
        <f>(B171+B174+B177+B180+B184+B187+B190)*G154</f>
        <v>64275</v>
      </c>
      <c r="C197" s="368">
        <f>(C171+C174+C177+C180+C184+C187+C190)*H154</f>
        <v>137169.99999999997</v>
      </c>
      <c r="D197" s="136"/>
      <c r="E197" s="1064">
        <f>B171+B174+B177+B180+B187+B190</f>
        <v>0.625</v>
      </c>
      <c r="F197" s="391">
        <f>C171+C174+C177+C180+C187+C190</f>
        <v>0.62499999999999989</v>
      </c>
      <c r="I197" s="3"/>
      <c r="AA197" s="17"/>
      <c r="AB197" s="17"/>
      <c r="AC197" s="17"/>
      <c r="AD197" s="17"/>
      <c r="AE197" s="17"/>
      <c r="AF197" s="17"/>
      <c r="AG197" s="17"/>
      <c r="AH197" s="17"/>
      <c r="AI197" s="17"/>
      <c r="AJ197" s="17"/>
    </row>
    <row r="198" spans="1:36" ht="17.149999999999999" customHeight="1" x14ac:dyDescent="0.35">
      <c r="A198" s="155" t="s">
        <v>836</v>
      </c>
      <c r="B198" s="368">
        <f>(B181+B191)*G154</f>
        <v>0</v>
      </c>
      <c r="C198" s="368">
        <f>(C181+C191)*H154</f>
        <v>0</v>
      </c>
      <c r="D198" s="136"/>
      <c r="E198" s="1064">
        <f>B181+B191</f>
        <v>0</v>
      </c>
      <c r="F198" s="391">
        <f>C181+C191</f>
        <v>0</v>
      </c>
      <c r="I198" s="3"/>
      <c r="AA198" s="17"/>
      <c r="AB198" s="17"/>
      <c r="AC198" s="17"/>
      <c r="AD198" s="17"/>
      <c r="AE198" s="17"/>
      <c r="AF198" s="17"/>
      <c r="AG198" s="17"/>
      <c r="AH198" s="17"/>
      <c r="AI198" s="17"/>
      <c r="AJ198" s="17"/>
    </row>
    <row r="199" spans="1:36" ht="17.149999999999999" customHeight="1" x14ac:dyDescent="0.35">
      <c r="A199" s="155" t="s">
        <v>443</v>
      </c>
      <c r="B199" s="368">
        <f>B192*G154</f>
        <v>17140</v>
      </c>
      <c r="C199" s="368">
        <f>C192*H154</f>
        <v>0</v>
      </c>
      <c r="D199" s="136"/>
      <c r="E199" s="1064">
        <f>B192</f>
        <v>0.2</v>
      </c>
      <c r="F199" s="391">
        <f>C192</f>
        <v>0</v>
      </c>
      <c r="I199" s="3"/>
      <c r="AA199" s="17"/>
      <c r="AB199" s="17"/>
      <c r="AC199" s="17"/>
      <c r="AD199" s="17"/>
      <c r="AE199" s="17"/>
      <c r="AF199" s="17"/>
      <c r="AG199" s="17"/>
      <c r="AH199" s="17"/>
      <c r="AI199" s="17"/>
      <c r="AJ199" s="17"/>
    </row>
    <row r="200" spans="1:36" ht="17.149999999999999" customHeight="1" x14ac:dyDescent="0.35">
      <c r="A200" s="950" t="s">
        <v>208</v>
      </c>
      <c r="B200" s="1021">
        <f>SUM(B196:B199)</f>
        <v>85700</v>
      </c>
      <c r="C200" s="1022">
        <f>SUM(C196:C199)</f>
        <v>189199.99999999997</v>
      </c>
      <c r="E200" s="1018">
        <f>SUM(E196:E199)</f>
        <v>0.875</v>
      </c>
      <c r="F200" s="1062">
        <f>SUM(F196:F199)</f>
        <v>0.89999999999999991</v>
      </c>
      <c r="I200" s="3"/>
      <c r="AA200" s="17"/>
      <c r="AB200" s="17"/>
      <c r="AC200" s="17"/>
      <c r="AD200" s="17"/>
      <c r="AE200" s="17"/>
      <c r="AF200" s="17"/>
      <c r="AG200" s="17"/>
      <c r="AH200" s="17"/>
      <c r="AI200" s="17"/>
      <c r="AJ200" s="17"/>
    </row>
    <row r="201" spans="1:36" ht="17.149999999999999" customHeight="1" x14ac:dyDescent="0.35">
      <c r="A201" s="378"/>
      <c r="B201" s="29">
        <f>G154</f>
        <v>85700</v>
      </c>
      <c r="C201" s="29">
        <f>H154</f>
        <v>189200</v>
      </c>
      <c r="E201" s="376"/>
      <c r="F201" s="377"/>
      <c r="I201" s="3"/>
      <c r="AA201" s="17"/>
      <c r="AB201" s="17"/>
      <c r="AC201" s="17"/>
      <c r="AD201" s="17"/>
      <c r="AE201" s="17"/>
      <c r="AF201" s="17"/>
      <c r="AG201" s="17"/>
      <c r="AH201" s="17"/>
      <c r="AI201" s="17"/>
      <c r="AJ201" s="17"/>
    </row>
    <row r="202" spans="1:36" ht="17.149999999999999" customHeight="1" x14ac:dyDescent="0.35">
      <c r="A202" s="379"/>
      <c r="B202" s="1519" t="str">
        <f>IF(B200=B201,"OK","Not OK")</f>
        <v>OK</v>
      </c>
      <c r="C202" s="1519" t="str">
        <f>IF(C200=C201,"OK","Not OK")</f>
        <v>OK</v>
      </c>
      <c r="E202" s="376"/>
      <c r="F202" s="377"/>
      <c r="I202" s="3"/>
      <c r="AA202" s="17"/>
      <c r="AB202" s="17"/>
      <c r="AC202" s="17"/>
      <c r="AD202" s="17"/>
      <c r="AE202" s="17"/>
      <c r="AF202" s="17"/>
      <c r="AG202" s="17"/>
      <c r="AH202" s="17"/>
      <c r="AI202" s="17"/>
      <c r="AJ202" s="17"/>
    </row>
    <row r="203" spans="1:36" ht="17.149999999999999" customHeight="1" x14ac:dyDescent="0.35">
      <c r="I203" s="3"/>
      <c r="AA203" s="17"/>
      <c r="AB203" s="17"/>
      <c r="AC203" s="17"/>
      <c r="AD203" s="17"/>
      <c r="AE203" s="17"/>
      <c r="AF203" s="17"/>
      <c r="AG203" s="17"/>
      <c r="AH203" s="17"/>
      <c r="AI203" s="17"/>
      <c r="AJ203" s="17"/>
    </row>
    <row r="204" spans="1:36" ht="17.149999999999999" customHeight="1" x14ac:dyDescent="0.35">
      <c r="A204" s="950" t="s">
        <v>864</v>
      </c>
      <c r="B204" s="1504" t="s">
        <v>833</v>
      </c>
      <c r="C204" s="1508" t="s">
        <v>833</v>
      </c>
      <c r="E204" s="1018" t="s">
        <v>201</v>
      </c>
      <c r="F204" s="1062" t="s">
        <v>201</v>
      </c>
      <c r="I204" s="3"/>
      <c r="AA204" s="17"/>
      <c r="AB204" s="17"/>
      <c r="AC204" s="17"/>
      <c r="AD204" s="17"/>
      <c r="AE204" s="17"/>
      <c r="AF204" s="17"/>
      <c r="AG204" s="17"/>
      <c r="AH204" s="17"/>
      <c r="AI204" s="17"/>
      <c r="AJ204" s="17"/>
    </row>
    <row r="205" spans="1:36" ht="17.149999999999999" customHeight="1" x14ac:dyDescent="0.35">
      <c r="A205" s="168" t="s">
        <v>816</v>
      </c>
      <c r="B205" s="368">
        <f>B172*G154</f>
        <v>0</v>
      </c>
      <c r="C205" s="368">
        <f>C172*H154</f>
        <v>0</v>
      </c>
      <c r="D205" s="136"/>
      <c r="E205" s="1064">
        <f>IF($B$31=0,0,B205/$B$31)</f>
        <v>0</v>
      </c>
      <c r="F205" s="391">
        <f>IF($C$35=0,0,C205/$C$35)</f>
        <v>0</v>
      </c>
      <c r="I205" s="3"/>
      <c r="AA205" s="17"/>
      <c r="AB205" s="17"/>
      <c r="AC205" s="17"/>
      <c r="AD205" s="17"/>
      <c r="AE205" s="17"/>
      <c r="AF205" s="17"/>
      <c r="AG205" s="17"/>
      <c r="AH205" s="17"/>
      <c r="AI205" s="17"/>
      <c r="AJ205" s="17"/>
    </row>
    <row r="206" spans="1:36" ht="17.149999999999999" customHeight="1" x14ac:dyDescent="0.35">
      <c r="A206" s="168" t="s">
        <v>821</v>
      </c>
      <c r="B206" s="368">
        <f>B175*G154</f>
        <v>0</v>
      </c>
      <c r="C206" s="368">
        <f>C175*H154</f>
        <v>28380</v>
      </c>
      <c r="D206" s="136"/>
      <c r="E206" s="1064">
        <f>IF($B$31=0,0,B206/$B$31)</f>
        <v>0</v>
      </c>
      <c r="F206" s="391">
        <f>IF($C$35=0,0,C206/$C$35)</f>
        <v>7.5943270002675946E-3</v>
      </c>
      <c r="I206" s="3"/>
      <c r="AA206" s="17"/>
      <c r="AB206" s="17"/>
      <c r="AC206" s="17"/>
      <c r="AD206" s="17"/>
      <c r="AE206" s="17"/>
      <c r="AF206" s="17"/>
      <c r="AG206" s="17"/>
      <c r="AH206" s="17"/>
      <c r="AI206" s="17"/>
      <c r="AJ206" s="17"/>
    </row>
    <row r="207" spans="1:36" ht="17.149999999999999" customHeight="1" x14ac:dyDescent="0.35">
      <c r="A207" s="168" t="s">
        <v>861</v>
      </c>
      <c r="B207" s="368">
        <f>B185*G154</f>
        <v>10712.5</v>
      </c>
      <c r="C207" s="368">
        <f>C185*H154</f>
        <v>18920</v>
      </c>
      <c r="D207" s="136"/>
      <c r="E207" s="1064">
        <f>IF($B$31=0,0,B207/$B$31)</f>
        <v>6.3312647754137112E-3</v>
      </c>
      <c r="F207" s="391">
        <f>IF($C$35=0,0,C207/$C$35)</f>
        <v>5.0628846668450628E-3</v>
      </c>
      <c r="I207" s="3"/>
      <c r="AA207" s="17"/>
      <c r="AB207" s="17"/>
      <c r="AC207" s="17"/>
      <c r="AD207" s="17"/>
      <c r="AE207" s="17"/>
      <c r="AF207" s="17"/>
      <c r="AG207" s="17"/>
      <c r="AH207" s="17"/>
      <c r="AI207" s="17"/>
      <c r="AJ207" s="17"/>
    </row>
    <row r="208" spans="1:36" ht="17.149999999999999" customHeight="1" x14ac:dyDescent="0.35">
      <c r="A208" s="950" t="s">
        <v>208</v>
      </c>
      <c r="B208" s="1021">
        <f>SUM(B205:B207)</f>
        <v>10712.5</v>
      </c>
      <c r="C208" s="1022">
        <f>SUM(C205:C207)</f>
        <v>47300</v>
      </c>
      <c r="E208" s="1018">
        <f>SUM(E205:E207)</f>
        <v>6.3312647754137112E-3</v>
      </c>
      <c r="F208" s="1062">
        <f>SUM(F205:F207)</f>
        <v>1.2657211667112658E-2</v>
      </c>
      <c r="I208" s="3"/>
      <c r="AA208" s="17"/>
      <c r="AB208" s="17"/>
      <c r="AC208" s="17"/>
      <c r="AD208" s="17"/>
      <c r="AE208" s="17"/>
      <c r="AF208" s="17"/>
      <c r="AG208" s="17"/>
      <c r="AH208" s="17"/>
      <c r="AI208" s="17"/>
      <c r="AJ208" s="17"/>
    </row>
    <row r="209" spans="1:36" ht="17.149999999999999" customHeight="1" x14ac:dyDescent="0.35">
      <c r="I209" s="3"/>
      <c r="AA209" s="17"/>
      <c r="AB209" s="17"/>
      <c r="AC209" s="17"/>
      <c r="AD209" s="17"/>
      <c r="AE209" s="17"/>
      <c r="AF209" s="17"/>
      <c r="AG209" s="17"/>
      <c r="AH209" s="17"/>
      <c r="AI209" s="17"/>
      <c r="AJ209" s="17"/>
    </row>
    <row r="210" spans="1:36" ht="17.149999999999999" customHeight="1" x14ac:dyDescent="0.35">
      <c r="A210" s="950" t="s">
        <v>865</v>
      </c>
      <c r="B210" s="1504" t="s">
        <v>833</v>
      </c>
      <c r="C210" s="1508" t="s">
        <v>833</v>
      </c>
      <c r="E210" s="1018" t="s">
        <v>201</v>
      </c>
      <c r="F210" s="1062" t="s">
        <v>201</v>
      </c>
      <c r="I210" s="3"/>
      <c r="AA210" s="17"/>
      <c r="AB210" s="17"/>
      <c r="AC210" s="17"/>
      <c r="AD210" s="17"/>
      <c r="AE210" s="17"/>
      <c r="AF210" s="17"/>
      <c r="AG210" s="17"/>
      <c r="AH210" s="17"/>
      <c r="AI210" s="17"/>
      <c r="AJ210" s="17"/>
    </row>
    <row r="211" spans="1:36" ht="17.149999999999999" customHeight="1" x14ac:dyDescent="0.35">
      <c r="A211" s="168" t="s">
        <v>824</v>
      </c>
      <c r="B211" s="368">
        <f>B178*G154</f>
        <v>42850</v>
      </c>
      <c r="C211" s="368">
        <f>C178*H154</f>
        <v>85139.999999999985</v>
      </c>
      <c r="D211" s="136"/>
      <c r="E211" s="1064">
        <f>IF($B$31=0,0,B211/$B$31)</f>
        <v>2.5325059101654845E-2</v>
      </c>
      <c r="F211" s="391">
        <f>IF($C$35=0,0,C211/$C$35)</f>
        <v>2.2782981000802779E-2</v>
      </c>
      <c r="I211" s="3"/>
      <c r="AA211" s="17"/>
      <c r="AB211" s="17"/>
      <c r="AC211" s="17"/>
      <c r="AD211" s="17"/>
      <c r="AE211" s="17"/>
      <c r="AF211" s="17"/>
      <c r="AG211" s="17"/>
      <c r="AH211" s="17"/>
      <c r="AI211" s="17"/>
      <c r="AJ211" s="17"/>
    </row>
    <row r="212" spans="1:36" ht="17.149999999999999" customHeight="1" x14ac:dyDescent="0.35">
      <c r="A212" s="168" t="s">
        <v>862</v>
      </c>
      <c r="B212" s="368">
        <f>B188*G154</f>
        <v>0</v>
      </c>
      <c r="C212" s="368">
        <f>C188*H154</f>
        <v>0</v>
      </c>
      <c r="D212" s="136"/>
      <c r="E212" s="1064">
        <f>IF($B$31=0,0,B212/$B$31)</f>
        <v>0</v>
      </c>
      <c r="F212" s="391">
        <f>IF($C$35=0,0,C212/$C$35)</f>
        <v>0</v>
      </c>
      <c r="I212" s="3"/>
      <c r="AA212" s="17"/>
      <c r="AB212" s="17"/>
      <c r="AC212" s="17"/>
      <c r="AD212" s="17"/>
      <c r="AE212" s="17"/>
      <c r="AF212" s="17"/>
      <c r="AG212" s="17"/>
      <c r="AH212" s="17"/>
      <c r="AI212" s="17"/>
      <c r="AJ212" s="17"/>
    </row>
    <row r="213" spans="1:36" ht="17.149999999999999" customHeight="1" x14ac:dyDescent="0.35">
      <c r="A213" s="950" t="s">
        <v>208</v>
      </c>
      <c r="B213" s="1021">
        <f>SUM(B211:B212)</f>
        <v>42850</v>
      </c>
      <c r="C213" s="1022">
        <f>SUM(C211:C212)</f>
        <v>85139.999999999985</v>
      </c>
      <c r="E213" s="1018">
        <f>SUM(E211:E212)</f>
        <v>2.5325059101654845E-2</v>
      </c>
      <c r="F213" s="1062">
        <f>SUM(F211:F212)</f>
        <v>2.2782981000802779E-2</v>
      </c>
      <c r="I213" s="3"/>
      <c r="AA213" s="17"/>
      <c r="AB213" s="17"/>
      <c r="AC213" s="17"/>
      <c r="AD213" s="17"/>
      <c r="AE213" s="17"/>
      <c r="AF213" s="17"/>
      <c r="AG213" s="17"/>
      <c r="AH213" s="17"/>
      <c r="AI213" s="17"/>
      <c r="AJ213" s="17"/>
    </row>
    <row r="214" spans="1:36" ht="17.149999999999999" customHeight="1" x14ac:dyDescent="0.35">
      <c r="I214" s="3"/>
      <c r="AA214" s="17"/>
      <c r="AB214" s="17"/>
      <c r="AC214" s="17"/>
      <c r="AD214" s="17"/>
      <c r="AE214" s="17"/>
      <c r="AF214" s="17"/>
      <c r="AG214" s="17"/>
      <c r="AH214" s="17"/>
      <c r="AI214" s="17"/>
      <c r="AJ214" s="17"/>
    </row>
    <row r="215" spans="1:36" ht="17.149999999999999" customHeight="1" x14ac:dyDescent="0.35">
      <c r="I215" s="3"/>
      <c r="AA215" s="17"/>
      <c r="AB215" s="17"/>
      <c r="AC215" s="17"/>
      <c r="AD215" s="17"/>
      <c r="AE215" s="17"/>
      <c r="AF215" s="17"/>
      <c r="AG215" s="17"/>
      <c r="AH215" s="17"/>
      <c r="AI215" s="17"/>
      <c r="AJ215" s="17"/>
    </row>
    <row r="216" spans="1:36" ht="17.149999999999999" customHeight="1" x14ac:dyDescent="0.35">
      <c r="A216" s="949" t="s">
        <v>866</v>
      </c>
      <c r="B216" s="1504" t="s">
        <v>9</v>
      </c>
      <c r="C216" s="1508" t="s">
        <v>253</v>
      </c>
      <c r="E216" s="1504" t="s">
        <v>9</v>
      </c>
      <c r="F216" s="1508" t="s">
        <v>253</v>
      </c>
      <c r="I216" s="3"/>
      <c r="AA216" s="17"/>
      <c r="AB216" s="17"/>
      <c r="AC216" s="17"/>
      <c r="AD216" s="17"/>
      <c r="AE216" s="17"/>
      <c r="AF216" s="17"/>
      <c r="AG216" s="17"/>
      <c r="AH216" s="17"/>
      <c r="AI216" s="17"/>
      <c r="AJ216" s="17"/>
    </row>
    <row r="217" spans="1:36" ht="17.149999999999999" customHeight="1" x14ac:dyDescent="0.35">
      <c r="I217" s="3"/>
      <c r="AA217" s="17"/>
      <c r="AB217" s="17"/>
      <c r="AC217" s="17"/>
      <c r="AD217" s="17"/>
      <c r="AE217" s="17"/>
      <c r="AF217" s="17"/>
      <c r="AG217" s="17"/>
      <c r="AH217" s="17"/>
      <c r="AI217" s="17"/>
      <c r="AJ217" s="17"/>
    </row>
    <row r="218" spans="1:36" ht="17.149999999999999" customHeight="1" x14ac:dyDescent="0.35">
      <c r="A218" s="142"/>
      <c r="B218" s="1513" t="s">
        <v>840</v>
      </c>
      <c r="C218" s="1508" t="s">
        <v>840</v>
      </c>
      <c r="E218" s="1513" t="s">
        <v>841</v>
      </c>
      <c r="F218" s="1508" t="s">
        <v>841</v>
      </c>
      <c r="I218" s="3"/>
      <c r="AA218" s="17"/>
      <c r="AB218" s="17"/>
      <c r="AC218" s="17"/>
      <c r="AD218" s="17"/>
      <c r="AE218" s="17"/>
      <c r="AF218" s="17"/>
      <c r="AG218" s="17"/>
      <c r="AH218" s="17"/>
      <c r="AI218" s="17"/>
      <c r="AJ218" s="17"/>
    </row>
    <row r="219" spans="1:36" ht="17.149999999999999" customHeight="1" x14ac:dyDescent="0.35">
      <c r="A219" s="1038" t="s">
        <v>433</v>
      </c>
      <c r="B219" s="1066">
        <f>SUM(B220:B221)</f>
        <v>0</v>
      </c>
      <c r="C219" s="1065">
        <f>SUM(C220:C221)</f>
        <v>0</v>
      </c>
      <c r="E219" s="1066">
        <f>SUM(E220:E221)</f>
        <v>0</v>
      </c>
      <c r="F219" s="1065">
        <f>SUM(F220:F221)</f>
        <v>0</v>
      </c>
      <c r="I219" s="3"/>
      <c r="AA219" s="17"/>
      <c r="AB219" s="17"/>
      <c r="AC219" s="17"/>
      <c r="AD219" s="17"/>
      <c r="AE219" s="17"/>
      <c r="AF219" s="17"/>
      <c r="AG219" s="17"/>
      <c r="AH219" s="17"/>
      <c r="AI219" s="17"/>
      <c r="AJ219" s="17"/>
    </row>
    <row r="220" spans="1:36" ht="17.149999999999999" customHeight="1" x14ac:dyDescent="0.35">
      <c r="A220" s="155" t="s">
        <v>814</v>
      </c>
      <c r="B220" s="1044">
        <f>ROUND(($G$154*B170*'User interface_Non-RES'!K33*'User interface_Non-RES'!L70)/1,0)*1</f>
        <v>0</v>
      </c>
      <c r="C220" s="1044">
        <f>ROUND(($H$154*C170*'User interface_Non-RES'!K50*'User interface_Non-RES'!L70)/1,0)*1</f>
        <v>0</v>
      </c>
      <c r="D220" s="136"/>
      <c r="E220" s="1044">
        <f>ROUND((B220*365/1000)/25,0)*25</f>
        <v>0</v>
      </c>
      <c r="F220" s="1044">
        <f>ROUND((C220*365/1000)/25,0)*25</f>
        <v>0</v>
      </c>
      <c r="I220" s="3"/>
      <c r="AA220" s="17"/>
      <c r="AB220" s="17"/>
      <c r="AC220" s="17"/>
      <c r="AD220" s="17"/>
      <c r="AE220" s="17"/>
      <c r="AF220" s="17"/>
      <c r="AG220" s="17"/>
      <c r="AH220" s="17"/>
      <c r="AI220" s="17"/>
      <c r="AJ220" s="17"/>
    </row>
    <row r="221" spans="1:36" ht="17.149999999999999" customHeight="1" x14ac:dyDescent="0.35">
      <c r="A221" s="155" t="s">
        <v>815</v>
      </c>
      <c r="B221" s="1044">
        <f>ROUND(($G$154*B171*'User interface_Non-RES'!K33*'User interface_Non-RES'!L71)/1,0)*1</f>
        <v>0</v>
      </c>
      <c r="C221" s="1044">
        <f>ROUND(($H$154*C171*'User interface_Non-RES'!L71)/1,0)*1</f>
        <v>0</v>
      </c>
      <c r="D221" s="136"/>
      <c r="E221" s="1044">
        <f>ROUND((B221*365/1000)/25,0)*25</f>
        <v>0</v>
      </c>
      <c r="F221" s="1044">
        <f>ROUND((C221*365/1000)/25,0)*25</f>
        <v>0</v>
      </c>
      <c r="I221" s="3"/>
      <c r="AA221" s="17"/>
      <c r="AB221" s="17"/>
      <c r="AC221" s="17"/>
      <c r="AD221" s="17"/>
      <c r="AE221" s="17"/>
      <c r="AF221" s="17"/>
      <c r="AG221" s="17"/>
      <c r="AH221" s="17"/>
      <c r="AI221" s="17"/>
      <c r="AJ221" s="17"/>
    </row>
    <row r="222" spans="1:36" ht="17.149999999999999" customHeight="1" x14ac:dyDescent="0.35">
      <c r="A222" s="1038" t="s">
        <v>816</v>
      </c>
      <c r="B222" s="1066">
        <f>SUM(B223:B224)</f>
        <v>0</v>
      </c>
      <c r="C222" s="1065">
        <f>SUM(C223:C224)</f>
        <v>0</v>
      </c>
      <c r="E222" s="1066">
        <f>SUM(E223:E224)</f>
        <v>0</v>
      </c>
      <c r="F222" s="1065">
        <f>SUM(F223:F224)</f>
        <v>0</v>
      </c>
      <c r="I222" s="3"/>
      <c r="AA222" s="17"/>
      <c r="AB222" s="17"/>
      <c r="AC222" s="17"/>
      <c r="AD222" s="17"/>
      <c r="AE222" s="17"/>
      <c r="AF222" s="17"/>
      <c r="AG222" s="17"/>
      <c r="AH222" s="17"/>
      <c r="AI222" s="17"/>
      <c r="AJ222" s="17"/>
    </row>
    <row r="223" spans="1:36" ht="17.149999999999999" customHeight="1" x14ac:dyDescent="0.35">
      <c r="A223" s="155" t="s">
        <v>817</v>
      </c>
      <c r="B223" s="1044">
        <f>ROUND(($G$154*B173*'User interface_Non-RES'!L73)/1,0)*1</f>
        <v>0</v>
      </c>
      <c r="C223" s="1044">
        <f>ROUND(($H$154*C173*'User interface_Non-RES'!L73)/1,0)*1</f>
        <v>0</v>
      </c>
      <c r="D223" s="136"/>
      <c r="E223" s="1044">
        <f>ROUND((B223*365/1000)/25,0)*25</f>
        <v>0</v>
      </c>
      <c r="F223" s="1044">
        <f>ROUND((C223*365/1000)/25,0)*25</f>
        <v>0</v>
      </c>
      <c r="I223" s="3"/>
      <c r="AA223" s="17"/>
      <c r="AB223" s="17"/>
      <c r="AC223" s="17"/>
      <c r="AD223" s="17"/>
      <c r="AE223" s="17"/>
      <c r="AF223" s="17"/>
      <c r="AG223" s="17"/>
      <c r="AH223" s="17"/>
      <c r="AI223" s="17"/>
      <c r="AJ223" s="17"/>
    </row>
    <row r="224" spans="1:36" ht="17.149999999999999" customHeight="1" x14ac:dyDescent="0.35">
      <c r="A224" s="155" t="s">
        <v>820</v>
      </c>
      <c r="B224" s="1044">
        <f>ROUND(($G$154*B174*'User interface_Non-RES'!L74)/1,0)*1</f>
        <v>0</v>
      </c>
      <c r="C224" s="1044">
        <f>ROUND(($H$154*C174*'User interface_Non-RES'!L74)/1,0)*1</f>
        <v>0</v>
      </c>
      <c r="D224" s="136"/>
      <c r="E224" s="1044">
        <f>ROUND((B224*365/1000)/25,0)*25</f>
        <v>0</v>
      </c>
      <c r="F224" s="1044">
        <f>ROUND((C224*365/1000)/25,0)*25</f>
        <v>0</v>
      </c>
      <c r="I224" s="3"/>
      <c r="AA224" s="17"/>
      <c r="AB224" s="17"/>
      <c r="AC224" s="17"/>
      <c r="AD224" s="17"/>
      <c r="AE224" s="17"/>
      <c r="AF224" s="17"/>
      <c r="AG224" s="17"/>
      <c r="AH224" s="17"/>
      <c r="AI224" s="17"/>
      <c r="AJ224" s="17"/>
    </row>
    <row r="225" spans="1:36" ht="17.149999999999999" customHeight="1" x14ac:dyDescent="0.35">
      <c r="A225" s="1038" t="s">
        <v>821</v>
      </c>
      <c r="B225" s="1066">
        <f>SUM(B226:B227)</f>
        <v>0</v>
      </c>
      <c r="C225" s="1065">
        <f>SUM(C226:C227)</f>
        <v>5676</v>
      </c>
      <c r="E225" s="1066">
        <f>SUM(E226:E227)</f>
        <v>0</v>
      </c>
      <c r="F225" s="1065">
        <f>SUM(F226:F227)</f>
        <v>2075</v>
      </c>
      <c r="I225" s="3"/>
      <c r="AA225" s="17"/>
      <c r="AB225" s="17"/>
      <c r="AC225" s="17"/>
      <c r="AD225" s="17"/>
      <c r="AE225" s="17"/>
      <c r="AF225" s="17"/>
      <c r="AG225" s="17"/>
      <c r="AH225" s="17"/>
      <c r="AI225" s="17"/>
      <c r="AJ225" s="17"/>
    </row>
    <row r="226" spans="1:36" ht="17.149999999999999" customHeight="1" x14ac:dyDescent="0.35">
      <c r="A226" s="155" t="s">
        <v>822</v>
      </c>
      <c r="B226" s="1044">
        <f>ROUND(($G$154*B176*'User interface_Non-RES'!L76)/1,0)*1</f>
        <v>0</v>
      </c>
      <c r="C226" s="1044">
        <f>ROUND(($H$154*C176*'User interface_Non-RES'!L76)/1,0)*1</f>
        <v>0</v>
      </c>
      <c r="D226" s="136"/>
      <c r="E226" s="1044">
        <f>ROUND((B226*365/1000)/25,0)*25</f>
        <v>0</v>
      </c>
      <c r="F226" s="1044">
        <f>ROUND((C226*365/1000)/25,0)*25</f>
        <v>0</v>
      </c>
      <c r="I226" s="3"/>
      <c r="AA226" s="17"/>
      <c r="AB226" s="17"/>
      <c r="AC226" s="17"/>
      <c r="AD226" s="17"/>
      <c r="AE226" s="17"/>
      <c r="AF226" s="17"/>
      <c r="AG226" s="17"/>
      <c r="AH226" s="17"/>
      <c r="AI226" s="17"/>
      <c r="AJ226" s="17"/>
    </row>
    <row r="227" spans="1:36" ht="17.149999999999999" customHeight="1" x14ac:dyDescent="0.35">
      <c r="A227" s="155" t="s">
        <v>823</v>
      </c>
      <c r="B227" s="1044">
        <f>ROUND(($G$154*B177*'User interface_Non-RES'!L77)/1,0)*1</f>
        <v>0</v>
      </c>
      <c r="C227" s="1044">
        <f>ROUND(($H$154*C177*'User interface_Non-RES'!L77)/1,0)*1</f>
        <v>5676</v>
      </c>
      <c r="D227" s="136"/>
      <c r="E227" s="1044">
        <f>ROUND((B227*365/1000)/25,0)*25</f>
        <v>0</v>
      </c>
      <c r="F227" s="1044">
        <f>ROUND((C227*365/1000)/25,0)*25</f>
        <v>2075</v>
      </c>
      <c r="I227" s="3"/>
      <c r="AA227" s="17"/>
      <c r="AB227" s="17"/>
      <c r="AC227" s="17"/>
      <c r="AD227" s="17"/>
      <c r="AE227" s="17"/>
      <c r="AF227" s="17"/>
      <c r="AG227" s="17"/>
      <c r="AH227" s="17"/>
      <c r="AI227" s="17"/>
      <c r="AJ227" s="17"/>
    </row>
    <row r="228" spans="1:36" ht="17.149999999999999" customHeight="1" x14ac:dyDescent="0.35">
      <c r="A228" s="1038" t="s">
        <v>824</v>
      </c>
      <c r="B228" s="1066">
        <f>SUM(B229:B231)</f>
        <v>17140</v>
      </c>
      <c r="C228" s="1065">
        <f>SUM(C229:C231)</f>
        <v>34056</v>
      </c>
      <c r="E228" s="1066">
        <f>SUM(E229:E231)</f>
        <v>6250</v>
      </c>
      <c r="F228" s="1065">
        <f>SUM(F229:F231)</f>
        <v>12425</v>
      </c>
      <c r="I228" s="3"/>
      <c r="AA228" s="17"/>
      <c r="AB228" s="17"/>
      <c r="AC228" s="17"/>
      <c r="AD228" s="17"/>
      <c r="AE228" s="17"/>
      <c r="AF228" s="17"/>
      <c r="AG228" s="17"/>
      <c r="AH228" s="17"/>
      <c r="AI228" s="17"/>
      <c r="AJ228" s="17"/>
    </row>
    <row r="229" spans="1:36" ht="17.149999999999999" customHeight="1" x14ac:dyDescent="0.35">
      <c r="A229" s="155" t="s">
        <v>822</v>
      </c>
      <c r="B229" s="1044">
        <f>ROUND(($G$154*B179*'User interface_Non-RES'!L76)/1,0)*1</f>
        <v>0</v>
      </c>
      <c r="C229" s="1044">
        <f>ROUND(($H$154*C179*'User interface_Non-RES'!L76)/1,0)*1</f>
        <v>0</v>
      </c>
      <c r="D229" s="136"/>
      <c r="E229" s="1044">
        <f t="shared" ref="E229:F231" si="3">ROUND((B229*365/1000)/25,0)*25</f>
        <v>0</v>
      </c>
      <c r="F229" s="1044">
        <f t="shared" si="3"/>
        <v>0</v>
      </c>
      <c r="I229" s="3"/>
      <c r="AA229" s="17"/>
      <c r="AB229" s="17"/>
      <c r="AC229" s="17"/>
      <c r="AD229" s="17"/>
      <c r="AE229" s="17"/>
      <c r="AF229" s="17"/>
      <c r="AG229" s="17"/>
      <c r="AH229" s="17"/>
      <c r="AI229" s="17"/>
      <c r="AJ229" s="17"/>
    </row>
    <row r="230" spans="1:36" ht="17.149999999999999" customHeight="1" x14ac:dyDescent="0.35">
      <c r="A230" s="155" t="s">
        <v>823</v>
      </c>
      <c r="B230" s="1044">
        <f>ROUND(($G$154*B180*'User interface_Non-RES'!L77)/1,0)*1</f>
        <v>17140</v>
      </c>
      <c r="C230" s="1044">
        <f>ROUND(($H$154*C180*'User interface_Non-RES'!L77)/1,0)*1</f>
        <v>34056</v>
      </c>
      <c r="D230" s="136"/>
      <c r="E230" s="1044">
        <f t="shared" si="3"/>
        <v>6250</v>
      </c>
      <c r="F230" s="1044">
        <f t="shared" si="3"/>
        <v>12425</v>
      </c>
      <c r="I230" s="3"/>
      <c r="AA230" s="17"/>
      <c r="AB230" s="17"/>
      <c r="AC230" s="17"/>
      <c r="AD230" s="17"/>
      <c r="AE230" s="17"/>
      <c r="AF230" s="17"/>
      <c r="AG230" s="17"/>
      <c r="AH230" s="17"/>
      <c r="AI230" s="17"/>
      <c r="AJ230" s="17"/>
    </row>
    <row r="231" spans="1:36" ht="17.149999999999999" customHeight="1" x14ac:dyDescent="0.35">
      <c r="A231" s="155" t="s">
        <v>825</v>
      </c>
      <c r="B231" s="1044">
        <f>ROUND(($G$154*B181*'User interface_Non-RES'!L78)/1,0)*1</f>
        <v>0</v>
      </c>
      <c r="C231" s="1044">
        <f>ROUND(($H$154*C181*'User interface_Non-RES'!L78)/1,0)*1</f>
        <v>0</v>
      </c>
      <c r="D231" s="136"/>
      <c r="E231" s="1044">
        <f t="shared" si="3"/>
        <v>0</v>
      </c>
      <c r="F231" s="1044">
        <f t="shared" si="3"/>
        <v>0</v>
      </c>
      <c r="I231" s="3"/>
      <c r="AA231" s="17"/>
      <c r="AB231" s="17"/>
      <c r="AC231" s="17"/>
      <c r="AD231" s="17"/>
      <c r="AE231" s="17"/>
      <c r="AF231" s="17"/>
      <c r="AG231" s="17"/>
      <c r="AH231" s="17"/>
      <c r="AI231" s="17"/>
      <c r="AJ231" s="17"/>
    </row>
    <row r="232" spans="1:36" ht="17.149999999999999" customHeight="1" x14ac:dyDescent="0.35">
      <c r="A232" s="1038" t="s">
        <v>860</v>
      </c>
      <c r="B232" s="1066">
        <f>SUM(B233:B234)</f>
        <v>85700</v>
      </c>
      <c r="C232" s="1065">
        <f>SUM(C233:C234)</f>
        <v>151360</v>
      </c>
      <c r="E232" s="1066">
        <f>SUM(E233:E234)</f>
        <v>31275</v>
      </c>
      <c r="F232" s="1065">
        <f>SUM(F233:F234)</f>
        <v>55250</v>
      </c>
      <c r="I232" s="3"/>
      <c r="AA232" s="17"/>
      <c r="AB232" s="17"/>
      <c r="AC232" s="17"/>
      <c r="AD232" s="17"/>
      <c r="AE232" s="17"/>
      <c r="AF232" s="17"/>
      <c r="AG232" s="17"/>
      <c r="AH232" s="17"/>
      <c r="AI232" s="17"/>
      <c r="AJ232" s="17"/>
    </row>
    <row r="233" spans="1:36" ht="17.149999999999999" customHeight="1" x14ac:dyDescent="0.35">
      <c r="A233" s="155" t="s">
        <v>827</v>
      </c>
      <c r="B233" s="1044">
        <f>ROUND(($G$154*B183*'User interface_Non-RES'!L80)/1,0)*1</f>
        <v>0</v>
      </c>
      <c r="C233" s="1044">
        <f>ROUND(($H$154*C183*'User interface_Non-RES'!L80)/1,0)*1</f>
        <v>0</v>
      </c>
      <c r="D233" s="136"/>
      <c r="E233" s="1044">
        <f>ROUND((B233*365/1000)/25,0)*25</f>
        <v>0</v>
      </c>
      <c r="F233" s="1044">
        <f>ROUND((C233*365/1000)/25,0)*25</f>
        <v>0</v>
      </c>
      <c r="I233" s="3"/>
      <c r="AA233" s="17"/>
      <c r="AB233" s="17"/>
      <c r="AC233" s="17"/>
      <c r="AD233" s="17"/>
      <c r="AE233" s="17"/>
      <c r="AF233" s="17"/>
      <c r="AG233" s="17"/>
      <c r="AH233" s="17"/>
      <c r="AI233" s="17"/>
      <c r="AJ233" s="17"/>
    </row>
    <row r="234" spans="1:36" ht="17.149999999999999" customHeight="1" x14ac:dyDescent="0.35">
      <c r="A234" s="155" t="s">
        <v>828</v>
      </c>
      <c r="B234" s="1044">
        <f>ROUND(($G$154*B184*'User interface_Non-RES'!L81)/1,0)*1</f>
        <v>85700</v>
      </c>
      <c r="C234" s="1044">
        <f>ROUND(($H$154*C184*'User interface_Non-RES'!L81)/1,0)*1</f>
        <v>151360</v>
      </c>
      <c r="D234" s="136"/>
      <c r="E234" s="1044">
        <f>ROUND((B234*365/1000)/25,0)*25</f>
        <v>31275</v>
      </c>
      <c r="F234" s="1044">
        <f>ROUND((C234*365/1000)/25,0)*25</f>
        <v>55250</v>
      </c>
      <c r="I234" s="3"/>
      <c r="AA234" s="17"/>
      <c r="AB234" s="17"/>
      <c r="AC234" s="17"/>
      <c r="AD234" s="17"/>
      <c r="AE234" s="17"/>
      <c r="AF234" s="17"/>
      <c r="AG234" s="17"/>
      <c r="AH234" s="17"/>
      <c r="AI234" s="17"/>
      <c r="AJ234" s="17"/>
    </row>
    <row r="235" spans="1:36" ht="17.149999999999999" customHeight="1" x14ac:dyDescent="0.35">
      <c r="A235" s="1038" t="s">
        <v>861</v>
      </c>
      <c r="B235" s="1066">
        <f>SUM(B236:B237)</f>
        <v>85700</v>
      </c>
      <c r="C235" s="1065">
        <f>SUM(C236:C237)</f>
        <v>151360</v>
      </c>
      <c r="E235" s="1066">
        <f>SUM(E236:E237)</f>
        <v>31275</v>
      </c>
      <c r="F235" s="1065">
        <f>SUM(F236:F237)</f>
        <v>55250</v>
      </c>
      <c r="I235" s="3"/>
      <c r="AA235" s="17"/>
      <c r="AB235" s="17"/>
      <c r="AC235" s="17"/>
      <c r="AD235" s="17"/>
      <c r="AE235" s="17"/>
      <c r="AF235" s="17"/>
      <c r="AG235" s="17"/>
      <c r="AH235" s="17"/>
      <c r="AI235" s="17"/>
      <c r="AJ235" s="17"/>
    </row>
    <row r="236" spans="1:36" ht="17.149999999999999" customHeight="1" x14ac:dyDescent="0.35">
      <c r="A236" s="155" t="s">
        <v>827</v>
      </c>
      <c r="B236" s="1044">
        <f>ROUND(($G$154*B186*'User interface_Non-RES'!L80)/1,0)*1</f>
        <v>0</v>
      </c>
      <c r="C236" s="1044">
        <f>ROUND(($H$154*C186*'User interface_Non-RES'!L80)/1,0)*1</f>
        <v>0</v>
      </c>
      <c r="D236" s="136"/>
      <c r="E236" s="1044">
        <f>ROUND((B236*365/1000)/25,0)*25</f>
        <v>0</v>
      </c>
      <c r="F236" s="1044">
        <f>ROUND((C236*365/1000)/25,0)*25</f>
        <v>0</v>
      </c>
      <c r="I236" s="3"/>
      <c r="AA236" s="17"/>
      <c r="AB236" s="17"/>
      <c r="AC236" s="17"/>
      <c r="AD236" s="17"/>
      <c r="AE236" s="17"/>
      <c r="AF236" s="17"/>
      <c r="AG236" s="17"/>
      <c r="AH236" s="17"/>
      <c r="AI236" s="17"/>
      <c r="AJ236" s="17"/>
    </row>
    <row r="237" spans="1:36" ht="17.149999999999999" customHeight="1" x14ac:dyDescent="0.35">
      <c r="A237" s="155" t="s">
        <v>828</v>
      </c>
      <c r="B237" s="1044">
        <f>ROUND(($G$154*B187*'User interface_Non-RES'!L81)/1,0)*1</f>
        <v>85700</v>
      </c>
      <c r="C237" s="1044">
        <f>ROUND(($H$154*C187*'User interface_Non-RES'!L81)/1,0)*1</f>
        <v>151360</v>
      </c>
      <c r="D237" s="136"/>
      <c r="E237" s="1044">
        <f>ROUND((B237*365/1000)/25,0)*25</f>
        <v>31275</v>
      </c>
      <c r="F237" s="1044">
        <f>ROUND((C237*365/1000)/25,0)*25</f>
        <v>55250</v>
      </c>
      <c r="I237" s="3"/>
      <c r="AA237" s="17"/>
      <c r="AB237" s="17"/>
      <c r="AC237" s="17"/>
      <c r="AD237" s="17"/>
      <c r="AE237" s="17"/>
      <c r="AF237" s="17"/>
      <c r="AG237" s="17"/>
      <c r="AH237" s="17"/>
      <c r="AI237" s="17"/>
      <c r="AJ237" s="17"/>
    </row>
    <row r="238" spans="1:36" ht="17.149999999999999" customHeight="1" x14ac:dyDescent="0.35">
      <c r="A238" s="1038" t="s">
        <v>862</v>
      </c>
      <c r="B238" s="1066">
        <f>SUM(B239:B241)</f>
        <v>0</v>
      </c>
      <c r="C238" s="1065">
        <f>SUM(C239:C241)</f>
        <v>0</v>
      </c>
      <c r="E238" s="1066">
        <f>SUM(E239:E241)</f>
        <v>0</v>
      </c>
      <c r="F238" s="1065">
        <f>SUM(F239:F241)</f>
        <v>0</v>
      </c>
      <c r="I238" s="3"/>
      <c r="AA238" s="17"/>
      <c r="AB238" s="17"/>
      <c r="AC238" s="17"/>
      <c r="AD238" s="17"/>
      <c r="AE238" s="17"/>
      <c r="AF238" s="17"/>
      <c r="AG238" s="17"/>
      <c r="AH238" s="17"/>
      <c r="AI238" s="17"/>
      <c r="AJ238" s="17"/>
    </row>
    <row r="239" spans="1:36" ht="17.149999999999999" customHeight="1" x14ac:dyDescent="0.35">
      <c r="A239" s="155" t="s">
        <v>827</v>
      </c>
      <c r="B239" s="1044">
        <f>ROUND(($G$154*B189*'User interface_Non-RES'!L80)/1,0)*1</f>
        <v>0</v>
      </c>
      <c r="C239" s="1044">
        <f>ROUND(($H$154*C189*'User interface_Non-RES'!L80)/1,0)*1</f>
        <v>0</v>
      </c>
      <c r="D239" s="136"/>
      <c r="E239" s="1044">
        <f t="shared" ref="E239:F242" si="4">ROUND((B239*365/1000)/25,0)*25</f>
        <v>0</v>
      </c>
      <c r="F239" s="1044">
        <f t="shared" si="4"/>
        <v>0</v>
      </c>
      <c r="AA239" s="17"/>
      <c r="AB239" s="17"/>
      <c r="AC239" s="17"/>
      <c r="AD239" s="17"/>
      <c r="AE239" s="17"/>
      <c r="AF239" s="17"/>
      <c r="AG239" s="17"/>
      <c r="AH239" s="17"/>
      <c r="AI239" s="17"/>
      <c r="AJ239" s="17"/>
    </row>
    <row r="240" spans="1:36" ht="17.149999999999999" customHeight="1" x14ac:dyDescent="0.35">
      <c r="A240" s="155" t="s">
        <v>828</v>
      </c>
      <c r="B240" s="1044">
        <f>ROUND(($G$154*B190*'User interface_Non-RES'!L81)/1,0)*1</f>
        <v>0</v>
      </c>
      <c r="C240" s="1044">
        <f>ROUND(($H$154*C190*'User interface_Non-RES'!L81)/1,0)*1</f>
        <v>0</v>
      </c>
      <c r="D240" s="136"/>
      <c r="E240" s="1044">
        <f t="shared" si="4"/>
        <v>0</v>
      </c>
      <c r="F240" s="1044">
        <f t="shared" si="4"/>
        <v>0</v>
      </c>
      <c r="AA240" s="17"/>
      <c r="AB240" s="17"/>
      <c r="AC240" s="17"/>
      <c r="AD240" s="17"/>
      <c r="AE240" s="17"/>
      <c r="AF240" s="17"/>
      <c r="AG240" s="17"/>
      <c r="AH240" s="17"/>
      <c r="AI240" s="17"/>
      <c r="AJ240" s="17"/>
    </row>
    <row r="241" spans="1:36" ht="17.149999999999999" customHeight="1" x14ac:dyDescent="0.35">
      <c r="A241" s="155" t="s">
        <v>831</v>
      </c>
      <c r="B241" s="1044">
        <f>ROUND(($G$154*B191*'User interface_Non-RES'!L82)/1,0)*1</f>
        <v>0</v>
      </c>
      <c r="C241" s="1044">
        <f>ROUND(($H$154*C191*'User interface_Non-RES'!L82)/1,0)*1</f>
        <v>0</v>
      </c>
      <c r="D241" s="136"/>
      <c r="E241" s="1044">
        <f t="shared" si="4"/>
        <v>0</v>
      </c>
      <c r="F241" s="1044">
        <f t="shared" si="4"/>
        <v>0</v>
      </c>
      <c r="AA241" s="17"/>
      <c r="AB241" s="17"/>
      <c r="AC241" s="17"/>
      <c r="AD241" s="17"/>
      <c r="AE241" s="17"/>
      <c r="AF241" s="17"/>
      <c r="AG241" s="17"/>
      <c r="AH241" s="17"/>
      <c r="AI241" s="17"/>
      <c r="AJ241" s="17"/>
    </row>
    <row r="242" spans="1:36" ht="17.149999999999999" customHeight="1" x14ac:dyDescent="0.35">
      <c r="A242" s="1038" t="s">
        <v>443</v>
      </c>
      <c r="B242" s="1066">
        <f>ROUND(($G$154*B192*'User interface_Non-RES'!L83)/1,0)*1</f>
        <v>3428</v>
      </c>
      <c r="C242" s="1065">
        <f>ROUND(($H$154*C192*'User interface_Non-RES'!L83)/1,0)*1</f>
        <v>0</v>
      </c>
      <c r="E242" s="1066">
        <f t="shared" si="4"/>
        <v>1250</v>
      </c>
      <c r="F242" s="1065">
        <f t="shared" si="4"/>
        <v>0</v>
      </c>
      <c r="AA242" s="17"/>
      <c r="AB242" s="17"/>
      <c r="AC242" s="17"/>
      <c r="AD242" s="17"/>
      <c r="AE242" s="17"/>
      <c r="AF242" s="17"/>
      <c r="AG242" s="17"/>
      <c r="AH242" s="17"/>
      <c r="AI242" s="17"/>
      <c r="AJ242" s="17"/>
    </row>
    <row r="243" spans="1:36" ht="17.149999999999999" customHeight="1" x14ac:dyDescent="0.35">
      <c r="A243" s="950" t="s">
        <v>208</v>
      </c>
      <c r="B243" s="1019">
        <f>B219+B222+B225+B228+B232+B235+B238+B242</f>
        <v>191968</v>
      </c>
      <c r="C243" s="1072">
        <f>C219+C222+C225+C228+C232+C235+C238+C242</f>
        <v>342452</v>
      </c>
      <c r="E243" s="1019">
        <f>E219+E222+E225+E228+E232+E235+E238+E242</f>
        <v>70050</v>
      </c>
      <c r="F243" s="1072">
        <f>F219+F222+F225+F228+F232+F235+F238+F242</f>
        <v>125000</v>
      </c>
      <c r="AA243" s="17"/>
      <c r="AB243" s="17"/>
      <c r="AC243" s="17"/>
      <c r="AD243" s="17"/>
      <c r="AE243" s="17"/>
      <c r="AF243" s="17"/>
      <c r="AG243" s="17"/>
      <c r="AH243" s="17"/>
      <c r="AI243" s="17"/>
      <c r="AJ243" s="17"/>
    </row>
    <row r="244" spans="1:36" ht="17.149999999999999" customHeight="1" x14ac:dyDescent="0.35">
      <c r="AA244" s="17"/>
      <c r="AB244" s="17"/>
      <c r="AC244" s="17"/>
      <c r="AD244" s="17"/>
      <c r="AE244" s="17"/>
      <c r="AF244" s="17"/>
      <c r="AG244" s="17"/>
      <c r="AH244" s="17"/>
      <c r="AI244" s="17"/>
      <c r="AJ244" s="17"/>
    </row>
    <row r="245" spans="1:36" ht="17.149999999999999" customHeight="1" x14ac:dyDescent="0.35">
      <c r="AA245" s="17"/>
      <c r="AB245" s="17"/>
      <c r="AC245" s="17"/>
      <c r="AD245" s="17"/>
      <c r="AE245" s="17"/>
      <c r="AF245" s="17"/>
      <c r="AG245" s="17"/>
      <c r="AH245" s="17"/>
      <c r="AI245" s="17"/>
      <c r="AJ245" s="17"/>
    </row>
    <row r="246" spans="1:36" ht="17.149999999999999" customHeight="1" x14ac:dyDescent="0.35">
      <c r="A246" s="950" t="s">
        <v>874</v>
      </c>
      <c r="B246" s="1504" t="s">
        <v>843</v>
      </c>
      <c r="C246" s="1508" t="s">
        <v>843</v>
      </c>
      <c r="E246" s="1504" t="s">
        <v>841</v>
      </c>
      <c r="F246" s="1508" t="s">
        <v>841</v>
      </c>
      <c r="AA246" s="17"/>
      <c r="AB246" s="17"/>
      <c r="AC246" s="17"/>
      <c r="AD246" s="17"/>
      <c r="AE246" s="17"/>
      <c r="AF246" s="17"/>
      <c r="AG246" s="17"/>
      <c r="AH246" s="17"/>
      <c r="AI246" s="17"/>
      <c r="AJ246" s="17"/>
    </row>
    <row r="247" spans="1:36" ht="17.149999999999999" customHeight="1" x14ac:dyDescent="0.35">
      <c r="A247" s="1067" t="s">
        <v>433</v>
      </c>
      <c r="B247" s="368">
        <f>B219</f>
        <v>0</v>
      </c>
      <c r="C247" s="1026">
        <f>C219</f>
        <v>0</v>
      </c>
      <c r="D247" s="136"/>
      <c r="E247" s="368">
        <f>E219</f>
        <v>0</v>
      </c>
      <c r="F247" s="1026">
        <f>F219</f>
        <v>0</v>
      </c>
      <c r="AA247" s="17"/>
      <c r="AB247" s="17"/>
      <c r="AC247" s="17"/>
      <c r="AD247" s="17"/>
      <c r="AE247" s="17"/>
      <c r="AF247" s="17"/>
      <c r="AG247" s="17"/>
      <c r="AH247" s="17"/>
      <c r="AI247" s="17"/>
      <c r="AJ247" s="17"/>
    </row>
    <row r="248" spans="1:36" ht="17.149999999999999" customHeight="1" x14ac:dyDescent="0.35">
      <c r="A248" s="1067" t="s">
        <v>816</v>
      </c>
      <c r="B248" s="368">
        <f>B222</f>
        <v>0</v>
      </c>
      <c r="C248" s="1026">
        <f>C222</f>
        <v>0</v>
      </c>
      <c r="D248" s="136"/>
      <c r="E248" s="368">
        <f>E222</f>
        <v>0</v>
      </c>
      <c r="F248" s="1026">
        <f>F222</f>
        <v>0</v>
      </c>
      <c r="AA248" s="17"/>
      <c r="AB248" s="17"/>
      <c r="AC248" s="17"/>
      <c r="AD248" s="17"/>
      <c r="AE248" s="17"/>
      <c r="AF248" s="17"/>
      <c r="AG248" s="17"/>
      <c r="AH248" s="17"/>
      <c r="AI248" s="17"/>
      <c r="AJ248" s="17"/>
    </row>
    <row r="249" spans="1:36" ht="17.149999999999999" customHeight="1" x14ac:dyDescent="0.35">
      <c r="A249" s="1067" t="s">
        <v>821</v>
      </c>
      <c r="B249" s="368">
        <f>B225</f>
        <v>0</v>
      </c>
      <c r="C249" s="1026">
        <f>C225</f>
        <v>5676</v>
      </c>
      <c r="D249" s="136"/>
      <c r="E249" s="368">
        <f>E225</f>
        <v>0</v>
      </c>
      <c r="F249" s="1026">
        <f>F225</f>
        <v>2075</v>
      </c>
      <c r="AA249" s="17"/>
      <c r="AB249" s="17"/>
      <c r="AC249" s="17"/>
      <c r="AD249" s="17"/>
      <c r="AE249" s="17"/>
      <c r="AF249" s="17"/>
      <c r="AG249" s="17"/>
      <c r="AH249" s="17"/>
      <c r="AI249" s="17"/>
      <c r="AJ249" s="17"/>
    </row>
    <row r="250" spans="1:36" ht="17.149999999999999" customHeight="1" x14ac:dyDescent="0.35">
      <c r="A250" s="1067" t="s">
        <v>824</v>
      </c>
      <c r="B250" s="368">
        <f>B228</f>
        <v>17140</v>
      </c>
      <c r="C250" s="1026">
        <f>C228</f>
        <v>34056</v>
      </c>
      <c r="D250" s="136"/>
      <c r="E250" s="368">
        <f>E228</f>
        <v>6250</v>
      </c>
      <c r="F250" s="1026">
        <f>F228</f>
        <v>12425</v>
      </c>
      <c r="AA250" s="17"/>
      <c r="AB250" s="17"/>
      <c r="AC250" s="17"/>
      <c r="AD250" s="17"/>
      <c r="AE250" s="17"/>
      <c r="AF250" s="17"/>
      <c r="AG250" s="17"/>
      <c r="AH250" s="17"/>
      <c r="AI250" s="17"/>
      <c r="AJ250" s="17"/>
    </row>
    <row r="251" spans="1:36" ht="17.149999999999999" customHeight="1" x14ac:dyDescent="0.35">
      <c r="A251" s="155" t="s">
        <v>860</v>
      </c>
      <c r="B251" s="368">
        <f>B232</f>
        <v>85700</v>
      </c>
      <c r="C251" s="1026">
        <f>C232</f>
        <v>151360</v>
      </c>
      <c r="D251" s="136"/>
      <c r="E251" s="368">
        <f>E232</f>
        <v>31275</v>
      </c>
      <c r="F251" s="1026">
        <f>F232</f>
        <v>55250</v>
      </c>
      <c r="AA251" s="17"/>
      <c r="AB251" s="17"/>
      <c r="AC251" s="17"/>
      <c r="AD251" s="17"/>
      <c r="AE251" s="17"/>
      <c r="AF251" s="17"/>
      <c r="AG251" s="17"/>
      <c r="AH251" s="17"/>
      <c r="AI251" s="17"/>
      <c r="AJ251" s="17"/>
    </row>
    <row r="252" spans="1:36" ht="17.149999999999999" customHeight="1" x14ac:dyDescent="0.35">
      <c r="A252" s="1067" t="s">
        <v>861</v>
      </c>
      <c r="B252" s="368">
        <f>B235</f>
        <v>85700</v>
      </c>
      <c r="C252" s="1026">
        <f>C235</f>
        <v>151360</v>
      </c>
      <c r="D252" s="136"/>
      <c r="E252" s="368">
        <f>E235</f>
        <v>31275</v>
      </c>
      <c r="F252" s="1026">
        <f>F235</f>
        <v>55250</v>
      </c>
      <c r="AA252" s="17"/>
      <c r="AB252" s="17"/>
      <c r="AC252" s="17"/>
      <c r="AD252" s="17"/>
      <c r="AE252" s="17"/>
      <c r="AF252" s="17"/>
      <c r="AG252" s="17"/>
      <c r="AH252" s="17"/>
      <c r="AI252" s="17"/>
      <c r="AJ252" s="17"/>
    </row>
    <row r="253" spans="1:36" ht="17.149999999999999" customHeight="1" x14ac:dyDescent="0.35">
      <c r="A253" s="1067" t="s">
        <v>862</v>
      </c>
      <c r="B253" s="368">
        <f>B238</f>
        <v>0</v>
      </c>
      <c r="C253" s="1026">
        <f>C238</f>
        <v>0</v>
      </c>
      <c r="D253" s="136"/>
      <c r="E253" s="368">
        <f>E238</f>
        <v>0</v>
      </c>
      <c r="F253" s="1026">
        <f>F238</f>
        <v>0</v>
      </c>
      <c r="AA253" s="17"/>
      <c r="AB253" s="17"/>
      <c r="AC253" s="17"/>
      <c r="AD253" s="17"/>
      <c r="AE253" s="17"/>
      <c r="AF253" s="17"/>
      <c r="AG253" s="17"/>
      <c r="AH253" s="17"/>
      <c r="AI253" s="17"/>
      <c r="AJ253" s="17"/>
    </row>
    <row r="254" spans="1:36" ht="17.149999999999999" customHeight="1" x14ac:dyDescent="0.35">
      <c r="A254" s="155" t="s">
        <v>443</v>
      </c>
      <c r="B254" s="368">
        <f>B242</f>
        <v>3428</v>
      </c>
      <c r="C254" s="1026">
        <f>C242</f>
        <v>0</v>
      </c>
      <c r="D254" s="136"/>
      <c r="E254" s="368">
        <f>E242</f>
        <v>1250</v>
      </c>
      <c r="F254" s="1026">
        <f>F242</f>
        <v>0</v>
      </c>
      <c r="AA254" s="17"/>
      <c r="AB254" s="17"/>
      <c r="AC254" s="17"/>
      <c r="AD254" s="17"/>
      <c r="AE254" s="17"/>
      <c r="AF254" s="17"/>
      <c r="AG254" s="17"/>
      <c r="AH254" s="17"/>
      <c r="AI254" s="17"/>
      <c r="AJ254" s="17"/>
    </row>
    <row r="255" spans="1:36" ht="17.149999999999999" customHeight="1" x14ac:dyDescent="0.35">
      <c r="A255" s="950" t="s">
        <v>844</v>
      </c>
      <c r="B255" s="1021">
        <f>SUM(B247:B254)</f>
        <v>191968</v>
      </c>
      <c r="C255" s="1022">
        <f>SUM(C247:C254)</f>
        <v>342452</v>
      </c>
      <c r="E255" s="1021">
        <f>SUM(E247:E254)</f>
        <v>70050</v>
      </c>
      <c r="F255" s="1022">
        <f>SUM(F247:F254)</f>
        <v>125000</v>
      </c>
      <c r="AA255" s="17"/>
      <c r="AB255" s="17"/>
      <c r="AC255" s="17"/>
      <c r="AD255" s="17"/>
      <c r="AE255" s="17"/>
      <c r="AF255" s="17"/>
      <c r="AG255" s="17"/>
      <c r="AH255" s="17"/>
      <c r="AI255" s="17"/>
      <c r="AJ255" s="17"/>
    </row>
    <row r="256" spans="1:36" ht="17.149999999999999" customHeight="1" x14ac:dyDescent="0.35">
      <c r="AA256" s="17"/>
      <c r="AB256" s="17"/>
      <c r="AC256" s="17"/>
      <c r="AD256" s="17"/>
      <c r="AE256" s="17"/>
      <c r="AF256" s="17"/>
      <c r="AG256" s="17"/>
      <c r="AH256" s="17"/>
      <c r="AI256" s="17"/>
      <c r="AJ256" s="17"/>
    </row>
    <row r="257" spans="1:36" ht="17.149999999999999" customHeight="1" x14ac:dyDescent="0.35">
      <c r="AA257" s="17"/>
      <c r="AB257" s="17"/>
      <c r="AC257" s="17"/>
      <c r="AD257" s="17"/>
      <c r="AE257" s="17"/>
      <c r="AF257" s="17"/>
      <c r="AG257" s="17"/>
      <c r="AH257" s="17"/>
      <c r="AI257" s="17"/>
      <c r="AJ257" s="17"/>
    </row>
    <row r="258" spans="1:36" ht="17.149999999999999" customHeight="1" x14ac:dyDescent="0.35">
      <c r="A258" s="949" t="s">
        <v>868</v>
      </c>
      <c r="B258" s="1504" t="s">
        <v>9</v>
      </c>
      <c r="C258" s="1508" t="s">
        <v>253</v>
      </c>
      <c r="D258" s="11"/>
      <c r="E258" s="1504" t="s">
        <v>9</v>
      </c>
      <c r="F258" s="1508" t="s">
        <v>253</v>
      </c>
      <c r="H258" s="1504" t="s">
        <v>9</v>
      </c>
      <c r="I258" s="1508" t="s">
        <v>253</v>
      </c>
      <c r="AA258" s="17"/>
      <c r="AB258" s="17"/>
      <c r="AC258" s="17"/>
      <c r="AD258" s="17"/>
      <c r="AE258" s="17"/>
      <c r="AF258" s="17"/>
      <c r="AG258" s="17"/>
      <c r="AH258" s="17"/>
      <c r="AI258" s="17"/>
      <c r="AJ258" s="17"/>
    </row>
    <row r="259" spans="1:36" s="185" customFormat="1" ht="12" x14ac:dyDescent="0.35">
      <c r="A259" s="1073"/>
      <c r="B259" s="1074"/>
      <c r="C259" s="1074"/>
      <c r="D259" s="1073"/>
      <c r="E259" s="1074"/>
      <c r="F259" s="1074"/>
      <c r="G259" s="169"/>
      <c r="H259" s="1074"/>
      <c r="I259" s="1074"/>
    </row>
    <row r="260" spans="1:36" ht="17.149999999999999" customHeight="1" x14ac:dyDescent="0.35">
      <c r="A260" s="80"/>
      <c r="B260" s="1504" t="s">
        <v>843</v>
      </c>
      <c r="C260" s="1508" t="s">
        <v>843</v>
      </c>
      <c r="D260" s="11"/>
      <c r="E260" s="1504" t="s">
        <v>841</v>
      </c>
      <c r="F260" s="1508" t="s">
        <v>841</v>
      </c>
      <c r="H260" s="1504" t="s">
        <v>201</v>
      </c>
      <c r="I260" s="1508" t="s">
        <v>201</v>
      </c>
      <c r="AA260" s="17"/>
      <c r="AB260" s="17"/>
      <c r="AC260" s="17"/>
      <c r="AD260" s="17"/>
      <c r="AE260" s="17"/>
      <c r="AF260" s="17"/>
      <c r="AG260" s="17"/>
      <c r="AH260" s="17"/>
      <c r="AI260" s="17"/>
      <c r="AJ260" s="17"/>
    </row>
    <row r="261" spans="1:36" s="185" customFormat="1" ht="10.5" x14ac:dyDescent="0.35">
      <c r="A261" s="237"/>
      <c r="B261" s="222"/>
      <c r="C261" s="222"/>
      <c r="D261" s="237"/>
      <c r="E261" s="237"/>
      <c r="F261" s="237"/>
      <c r="H261" s="237"/>
      <c r="I261" s="237"/>
    </row>
    <row r="262" spans="1:36" s="115" customFormat="1" ht="17.149999999999999" customHeight="1" x14ac:dyDescent="0.35">
      <c r="A262" s="206" t="s">
        <v>794</v>
      </c>
      <c r="B262" s="207">
        <f>SUM(B263:B266)</f>
        <v>188540</v>
      </c>
      <c r="C262" s="207">
        <f>SUM(C263:C266)</f>
        <v>342452</v>
      </c>
      <c r="D262" s="2"/>
      <c r="E262" s="207">
        <f>SUM(E263:E266)</f>
        <v>68800</v>
      </c>
      <c r="F262" s="207">
        <f>SUM(F263:F266)</f>
        <v>125000</v>
      </c>
      <c r="H262" s="420">
        <f>IF($E$271=0,0,E262/$E$271)</f>
        <v>0.9821556031406139</v>
      </c>
      <c r="I262" s="420">
        <f>IF($F$271=0,0,F262/$F$271)</f>
        <v>1</v>
      </c>
    </row>
    <row r="263" spans="1:36" ht="17.149999999999999" customHeight="1" x14ac:dyDescent="0.35">
      <c r="A263" s="135" t="s">
        <v>846</v>
      </c>
      <c r="B263" s="1523">
        <f>B247+B251</f>
        <v>85700</v>
      </c>
      <c r="C263" s="1523">
        <f>C247+C251</f>
        <v>151360</v>
      </c>
      <c r="D263" s="11"/>
      <c r="E263" s="1523">
        <f>E247+E251</f>
        <v>31275</v>
      </c>
      <c r="F263" s="1523">
        <f>F247+F251</f>
        <v>55250</v>
      </c>
      <c r="H263" s="181">
        <f>IF($E$271=0,0,E263/$E$271)</f>
        <v>0.44646680942184153</v>
      </c>
      <c r="I263" s="181">
        <f>IF($F$271=0,0,F263/$F$271)</f>
        <v>0.442</v>
      </c>
    </row>
    <row r="264" spans="1:36" ht="17.149999999999999" customHeight="1" x14ac:dyDescent="0.35">
      <c r="A264" s="135" t="s">
        <v>847</v>
      </c>
      <c r="B264" s="1523">
        <f>B248</f>
        <v>0</v>
      </c>
      <c r="C264" s="1523">
        <f>C248</f>
        <v>0</v>
      </c>
      <c r="D264" s="11"/>
      <c r="E264" s="1523">
        <f>E248</f>
        <v>0</v>
      </c>
      <c r="F264" s="1523">
        <f>F248</f>
        <v>0</v>
      </c>
      <c r="H264" s="181">
        <f>IF($E$271=0,0,E264/$E$271)</f>
        <v>0</v>
      </c>
      <c r="I264" s="181">
        <f>IF($F$271=0,0,F264/$F$271)</f>
        <v>0</v>
      </c>
    </row>
    <row r="265" spans="1:36" ht="17.149999999999999" customHeight="1" x14ac:dyDescent="0.35">
      <c r="A265" s="135" t="s">
        <v>848</v>
      </c>
      <c r="B265" s="1523">
        <f>(B249+B252)</f>
        <v>85700</v>
      </c>
      <c r="C265" s="1523">
        <f>C249+C252</f>
        <v>157036</v>
      </c>
      <c r="D265" s="11"/>
      <c r="E265" s="1523">
        <f>(E249+E252)</f>
        <v>31275</v>
      </c>
      <c r="F265" s="1523">
        <f>F249+F252</f>
        <v>57325</v>
      </c>
      <c r="H265" s="181">
        <f>IF($E$271=0,0,E265/$E$271)</f>
        <v>0.44646680942184153</v>
      </c>
      <c r="I265" s="181">
        <f>IF($F$271=0,0,F265/$F$271)</f>
        <v>0.45860000000000001</v>
      </c>
    </row>
    <row r="266" spans="1:36" ht="17.149999999999999" customHeight="1" x14ac:dyDescent="0.35">
      <c r="A266" s="135" t="s">
        <v>849</v>
      </c>
      <c r="B266" s="1523">
        <f>SUM(B229:B231)+SUM(B239:B241)</f>
        <v>17140</v>
      </c>
      <c r="C266" s="1523">
        <f>SUM(C229:C231)+SUM(C239:C241)</f>
        <v>34056</v>
      </c>
      <c r="D266" s="11"/>
      <c r="E266" s="1523">
        <f>SUM(E229:E231)+SUM(E239:E241)</f>
        <v>6250</v>
      </c>
      <c r="F266" s="1523">
        <f>SUM(F229:F231)+SUM(F239:F241)</f>
        <v>12425</v>
      </c>
      <c r="H266" s="181">
        <f>IF($E$271=0,0,E266/$E$271)</f>
        <v>8.9221984296930762E-2</v>
      </c>
      <c r="I266" s="181">
        <f>IF($F$271=0,0,F266/$F$271)</f>
        <v>9.9400000000000002E-2</v>
      </c>
    </row>
    <row r="267" spans="1:36" ht="17.149999999999999" customHeight="1" x14ac:dyDescent="0.35">
      <c r="A267" s="11"/>
      <c r="B267" s="179"/>
      <c r="C267" s="179"/>
      <c r="D267" s="11"/>
      <c r="E267" s="179"/>
      <c r="F267" s="179"/>
      <c r="G267" s="179"/>
      <c r="H267" s="180"/>
      <c r="I267" s="180"/>
      <c r="AA267" s="17"/>
      <c r="AB267" s="17"/>
      <c r="AC267" s="17"/>
      <c r="AD267" s="17"/>
      <c r="AE267" s="17"/>
      <c r="AF267" s="17"/>
      <c r="AG267" s="17"/>
      <c r="AH267" s="17"/>
      <c r="AI267" s="17"/>
      <c r="AJ267" s="17"/>
    </row>
    <row r="268" spans="1:36" s="115" customFormat="1" ht="16.5" customHeight="1" x14ac:dyDescent="0.35">
      <c r="A268" s="208" t="s">
        <v>800</v>
      </c>
      <c r="B268" s="209">
        <f>SUM(B269:B269)</f>
        <v>3428</v>
      </c>
      <c r="C268" s="209">
        <f>SUM(C269:C269)</f>
        <v>0</v>
      </c>
      <c r="D268" s="2"/>
      <c r="E268" s="209">
        <f>SUM(E269:E269)</f>
        <v>1250</v>
      </c>
      <c r="F268" s="209">
        <f>SUM(F269:F269)</f>
        <v>0</v>
      </c>
      <c r="H268" s="421">
        <f>IF($E$271=0,0,E268/$E$271)</f>
        <v>1.7844396859386154E-2</v>
      </c>
      <c r="I268" s="421">
        <f>IF($F$271=0,0,F268/$F$271)</f>
        <v>0</v>
      </c>
    </row>
    <row r="269" spans="1:36" ht="17.149999999999999" customHeight="1" x14ac:dyDescent="0.35">
      <c r="A269" s="210" t="s">
        <v>850</v>
      </c>
      <c r="B269" s="211">
        <f>B254</f>
        <v>3428</v>
      </c>
      <c r="C269" s="211">
        <f>C254</f>
        <v>0</v>
      </c>
      <c r="D269" s="11"/>
      <c r="E269" s="211">
        <f>E254</f>
        <v>1250</v>
      </c>
      <c r="F269" s="211">
        <f>F254</f>
        <v>0</v>
      </c>
      <c r="H269" s="181">
        <f>IF($E$271=0,0,E269/$E$271)</f>
        <v>1.7844396859386154E-2</v>
      </c>
      <c r="I269" s="181">
        <f>IF($F$271=0,0,F269/$F$271)</f>
        <v>0</v>
      </c>
    </row>
    <row r="270" spans="1:36" ht="17.149999999999999" customHeight="1" x14ac:dyDescent="0.35">
      <c r="A270" s="11"/>
      <c r="B270" s="179"/>
      <c r="C270" s="179"/>
      <c r="D270" s="11"/>
      <c r="E270" s="179"/>
      <c r="F270" s="179"/>
      <c r="G270" s="179"/>
      <c r="H270" s="180"/>
      <c r="I270" s="180"/>
      <c r="AA270" s="17"/>
      <c r="AB270" s="17"/>
      <c r="AC270" s="17"/>
      <c r="AD270" s="17"/>
      <c r="AE270" s="17"/>
      <c r="AF270" s="17"/>
      <c r="AG270" s="17"/>
      <c r="AH270" s="17"/>
      <c r="AI270" s="17"/>
      <c r="AJ270" s="17"/>
    </row>
    <row r="271" spans="1:36" s="115" customFormat="1" ht="17.149999999999999" customHeight="1" x14ac:dyDescent="0.35">
      <c r="A271" s="212" t="s">
        <v>851</v>
      </c>
      <c r="B271" s="28">
        <f>B262+B268</f>
        <v>191968</v>
      </c>
      <c r="C271" s="28">
        <f>C262+C268</f>
        <v>342452</v>
      </c>
      <c r="D271" s="2"/>
      <c r="E271" s="28">
        <f>E262+E268</f>
        <v>70050</v>
      </c>
      <c r="F271" s="28">
        <f>F262+F268</f>
        <v>125000</v>
      </c>
      <c r="H271" s="181">
        <f>IF($E$271=0,0,E271/$E$271)</f>
        <v>1</v>
      </c>
      <c r="I271" s="181">
        <f>IF($F$271=0,0,F271/$F$271)</f>
        <v>1</v>
      </c>
    </row>
    <row r="272" spans="1:36" s="115" customFormat="1" ht="17.149999999999999" customHeight="1" x14ac:dyDescent="0.35">
      <c r="A272" s="194"/>
      <c r="B272" s="205">
        <f>B255</f>
        <v>191968</v>
      </c>
      <c r="C272" s="205">
        <f>C255</f>
        <v>342452</v>
      </c>
      <c r="D272" s="2"/>
      <c r="E272" s="205">
        <f>E255</f>
        <v>70050</v>
      </c>
      <c r="F272" s="205">
        <f>F255</f>
        <v>125000</v>
      </c>
      <c r="H272" s="221"/>
      <c r="I272" s="221"/>
    </row>
    <row r="273" spans="1:36" ht="17.149999999999999" customHeight="1" x14ac:dyDescent="0.35">
      <c r="A273" s="11"/>
      <c r="B273" s="1519" t="str">
        <f>IF(B271=B272,"OK","Not OK")</f>
        <v>OK</v>
      </c>
      <c r="C273" s="1519" t="str">
        <f>IF(C271=C272,"OK","Not OK")</f>
        <v>OK</v>
      </c>
      <c r="D273" s="11"/>
      <c r="E273" s="1519" t="str">
        <f>IF(E271=E272,"OK","Not OK")</f>
        <v>OK</v>
      </c>
      <c r="F273" s="1519" t="str">
        <f>IF(F271=F272,"OK","Not OK")</f>
        <v>OK</v>
      </c>
      <c r="AA273" s="17"/>
      <c r="AB273" s="17"/>
      <c r="AC273" s="17"/>
      <c r="AD273" s="17"/>
      <c r="AE273" s="17"/>
      <c r="AF273" s="17"/>
      <c r="AG273" s="17"/>
      <c r="AH273" s="17"/>
      <c r="AI273" s="17"/>
      <c r="AJ273" s="17"/>
    </row>
    <row r="274" spans="1:36" s="3" customFormat="1" ht="17.149999999999999" customHeight="1" x14ac:dyDescent="0.35">
      <c r="B274" s="184"/>
      <c r="C274" s="184"/>
    </row>
    <row r="277" spans="1:36" ht="17.149999999999999" customHeight="1" x14ac:dyDescent="0.35">
      <c r="A277" s="949" t="s">
        <v>869</v>
      </c>
      <c r="B277" s="1504" t="s">
        <v>9</v>
      </c>
      <c r="C277" s="1504" t="s">
        <v>9</v>
      </c>
      <c r="E277" s="1504" t="s">
        <v>9</v>
      </c>
      <c r="F277" s="1504" t="s">
        <v>9</v>
      </c>
      <c r="H277" s="1504" t="s">
        <v>9</v>
      </c>
    </row>
    <row r="278" spans="1:36" ht="17.149999999999999" customHeight="1" x14ac:dyDescent="0.35">
      <c r="A278" s="237"/>
      <c r="B278" s="222"/>
      <c r="C278" s="222"/>
      <c r="D278" s="185"/>
      <c r="E278" s="222"/>
      <c r="F278" s="222"/>
      <c r="G278" s="185"/>
      <c r="H278" s="222"/>
    </row>
    <row r="279" spans="1:36" ht="17.149999999999999" customHeight="1" x14ac:dyDescent="0.35">
      <c r="A279" s="80"/>
      <c r="B279" s="1513" t="s">
        <v>841</v>
      </c>
      <c r="C279" s="1513" t="s">
        <v>841</v>
      </c>
      <c r="E279" s="1513" t="s">
        <v>201</v>
      </c>
      <c r="F279" s="1513" t="s">
        <v>201</v>
      </c>
      <c r="H279" s="1504" t="s">
        <v>841</v>
      </c>
    </row>
    <row r="280" spans="1:36" ht="17.149999999999999" customHeight="1" x14ac:dyDescent="0.35">
      <c r="A280" s="237"/>
      <c r="B280" s="222"/>
      <c r="C280" s="222"/>
      <c r="D280" s="185"/>
      <c r="E280" s="222"/>
      <c r="F280" s="222"/>
      <c r="G280" s="185"/>
      <c r="H280" s="222"/>
    </row>
    <row r="281" spans="1:36" ht="34" customHeight="1" x14ac:dyDescent="0.35">
      <c r="A281" s="237"/>
      <c r="B281" s="1513" t="s">
        <v>193</v>
      </c>
      <c r="C281" s="1513" t="s">
        <v>209</v>
      </c>
      <c r="E281" s="1513" t="s">
        <v>193</v>
      </c>
      <c r="F281" s="1513" t="s">
        <v>209</v>
      </c>
      <c r="H281" s="1504" t="s">
        <v>12</v>
      </c>
    </row>
    <row r="282" spans="1:36" ht="17.149999999999999" customHeight="1" x14ac:dyDescent="0.35">
      <c r="A282" s="237"/>
      <c r="B282" s="222"/>
      <c r="C282" s="222"/>
      <c r="E282" s="222"/>
      <c r="F282" s="222"/>
    </row>
    <row r="283" spans="1:36" ht="17.149999999999999" customHeight="1" x14ac:dyDescent="0.35">
      <c r="A283" s="206" t="s">
        <v>794</v>
      </c>
      <c r="B283" s="207">
        <f>SUM(B284:B287)</f>
        <v>117375</v>
      </c>
      <c r="C283" s="207">
        <f>SUM(C284:C287)</f>
        <v>68800</v>
      </c>
      <c r="E283" s="436">
        <f>SUM(E284:E287)</f>
        <v>0.56922890397672166</v>
      </c>
      <c r="F283" s="436">
        <f>SUM(F284:F287)</f>
        <v>0.33365664403491757</v>
      </c>
      <c r="H283" s="207">
        <f>SUM(H284:H287)</f>
        <v>186175</v>
      </c>
    </row>
    <row r="284" spans="1:36" ht="17.149999999999999" customHeight="1" x14ac:dyDescent="0.35">
      <c r="A284" s="135" t="s">
        <v>846</v>
      </c>
      <c r="B284" s="1523">
        <f>E135</f>
        <v>4950</v>
      </c>
      <c r="C284" s="1523">
        <f>E263</f>
        <v>31275</v>
      </c>
      <c r="E284" s="261">
        <f t="shared" ref="E284:F287" si="5">IF($B$294=0,0,B284/$B$294)</f>
        <v>2.4005819592628517E-2</v>
      </c>
      <c r="F284" s="261">
        <f t="shared" si="5"/>
        <v>0.15167313288069836</v>
      </c>
      <c r="H284" s="1523">
        <f t="shared" ref="H284:H287" si="6">B284+C284</f>
        <v>36225</v>
      </c>
    </row>
    <row r="285" spans="1:36" ht="17.149999999999999" customHeight="1" x14ac:dyDescent="0.35">
      <c r="A285" s="135" t="s">
        <v>847</v>
      </c>
      <c r="B285" s="1523">
        <f>E136</f>
        <v>0</v>
      </c>
      <c r="C285" s="1523">
        <f>E264</f>
        <v>0</v>
      </c>
      <c r="E285" s="261">
        <f t="shared" si="5"/>
        <v>0</v>
      </c>
      <c r="F285" s="261">
        <f t="shared" si="5"/>
        <v>0</v>
      </c>
      <c r="H285" s="1523">
        <f t="shared" si="6"/>
        <v>0</v>
      </c>
    </row>
    <row r="286" spans="1:36" ht="17.149999999999999" customHeight="1" x14ac:dyDescent="0.35">
      <c r="A286" s="135" t="s">
        <v>848</v>
      </c>
      <c r="B286" s="1523">
        <f>E137</f>
        <v>67300</v>
      </c>
      <c r="C286" s="1523">
        <f>E265</f>
        <v>31275</v>
      </c>
      <c r="E286" s="261">
        <f t="shared" si="5"/>
        <v>0.32638215324927256</v>
      </c>
      <c r="F286" s="261">
        <f t="shared" si="5"/>
        <v>0.15167313288069836</v>
      </c>
      <c r="H286" s="1523">
        <f t="shared" si="6"/>
        <v>98575</v>
      </c>
    </row>
    <row r="287" spans="1:36" ht="17.149999999999999" customHeight="1" x14ac:dyDescent="0.35">
      <c r="A287" s="135" t="s">
        <v>849</v>
      </c>
      <c r="B287" s="1523">
        <f>E138</f>
        <v>45125</v>
      </c>
      <c r="C287" s="1523">
        <f>E266</f>
        <v>6250</v>
      </c>
      <c r="E287" s="261">
        <f t="shared" si="5"/>
        <v>0.21884093113482056</v>
      </c>
      <c r="F287" s="261">
        <f t="shared" si="5"/>
        <v>3.0310378273520854E-2</v>
      </c>
      <c r="H287" s="1523">
        <f t="shared" si="6"/>
        <v>51375</v>
      </c>
    </row>
    <row r="288" spans="1:36" ht="17.149999999999999" customHeight="1" x14ac:dyDescent="0.35">
      <c r="A288" s="11"/>
      <c r="B288" s="179"/>
      <c r="C288" s="179"/>
      <c r="E288" s="437"/>
      <c r="F288" s="437"/>
    </row>
    <row r="289" spans="1:8" ht="17.149999999999999" customHeight="1" x14ac:dyDescent="0.35">
      <c r="A289" s="208" t="s">
        <v>800</v>
      </c>
      <c r="B289" s="209">
        <f>SUM(B290:B290)</f>
        <v>18775</v>
      </c>
      <c r="C289" s="209">
        <f>SUM(C290:C290)</f>
        <v>1250</v>
      </c>
      <c r="E289" s="435">
        <f>SUM(E290:E290)</f>
        <v>9.1052376333656648E-2</v>
      </c>
      <c r="F289" s="435">
        <f>SUM(F290:F290)</f>
        <v>6.0620756547041703E-3</v>
      </c>
      <c r="H289" s="209">
        <f>SUM(H290:H290)</f>
        <v>20025</v>
      </c>
    </row>
    <row r="290" spans="1:8" ht="17.149999999999999" customHeight="1" x14ac:dyDescent="0.35">
      <c r="A290" s="210" t="s">
        <v>850</v>
      </c>
      <c r="B290" s="1523">
        <f>E141</f>
        <v>18775</v>
      </c>
      <c r="C290" s="1523">
        <f>E269</f>
        <v>1250</v>
      </c>
      <c r="E290" s="261">
        <f>IF($B$294=0,0,B290/$B$294)</f>
        <v>9.1052376333656648E-2</v>
      </c>
      <c r="F290" s="261">
        <f>IF($B$294=0,0,C290/$B$294)</f>
        <v>6.0620756547041703E-3</v>
      </c>
      <c r="H290" s="1523">
        <f t="shared" ref="H290" si="7">B290+C290</f>
        <v>20025</v>
      </c>
    </row>
    <row r="291" spans="1:8" ht="17.149999999999999" customHeight="1" x14ac:dyDescent="0.35">
      <c r="A291" s="11"/>
      <c r="B291" s="179"/>
      <c r="C291" s="179"/>
      <c r="E291" s="437"/>
      <c r="F291" s="437"/>
    </row>
    <row r="292" spans="1:8" ht="17.149999999999999" customHeight="1" x14ac:dyDescent="0.35">
      <c r="A292" s="212" t="s">
        <v>851</v>
      </c>
      <c r="B292" s="1523">
        <f>E143</f>
        <v>136150</v>
      </c>
      <c r="C292" s="1523">
        <f>E271</f>
        <v>70050</v>
      </c>
      <c r="E292" s="261">
        <f>IF($B$294=0,0,B292/$B$294)</f>
        <v>0.66028128031037825</v>
      </c>
      <c r="F292" s="261">
        <f>IF($B$294=0,0,C292/$B$294)</f>
        <v>0.33971871968962175</v>
      </c>
      <c r="H292" s="1523">
        <f>B292+C292</f>
        <v>206200</v>
      </c>
    </row>
    <row r="294" spans="1:8" ht="17.149999999999999" customHeight="1" x14ac:dyDescent="0.35">
      <c r="B294" s="1774">
        <f>B292+C292</f>
        <v>206200</v>
      </c>
      <c r="C294" s="1775"/>
      <c r="E294" s="1769">
        <f>E292+F292</f>
        <v>1</v>
      </c>
      <c r="F294" s="1769"/>
    </row>
    <row r="299" spans="1:8" ht="17.149999999999999" customHeight="1" x14ac:dyDescent="0.35">
      <c r="A299" s="950" t="s">
        <v>870</v>
      </c>
      <c r="B299" s="1513" t="s">
        <v>841</v>
      </c>
      <c r="C299" s="1508" t="s">
        <v>841</v>
      </c>
    </row>
    <row r="300" spans="1:8" ht="17.149999999999999" customHeight="1" x14ac:dyDescent="0.35">
      <c r="A300" s="1067" t="s">
        <v>1171</v>
      </c>
      <c r="B300" s="1020">
        <f>E119</f>
        <v>0</v>
      </c>
      <c r="C300" s="1020">
        <f>F119</f>
        <v>185500</v>
      </c>
    </row>
    <row r="301" spans="1:8" ht="17.149999999999999" customHeight="1" x14ac:dyDescent="0.35">
      <c r="A301" s="1067" t="s">
        <v>872</v>
      </c>
      <c r="B301" s="1316"/>
      <c r="C301" s="1316"/>
    </row>
    <row r="302" spans="1:8" ht="17.149999999999999" customHeight="1" x14ac:dyDescent="0.35">
      <c r="A302" s="1067" t="s">
        <v>434</v>
      </c>
      <c r="B302" s="1020">
        <f t="shared" ref="B302:C308" si="8">E120</f>
        <v>0</v>
      </c>
      <c r="C302" s="1020">
        <f t="shared" si="8"/>
        <v>0</v>
      </c>
    </row>
    <row r="303" spans="1:8" ht="17.149999999999999" customHeight="1" x14ac:dyDescent="0.35">
      <c r="A303" s="1067" t="s">
        <v>821</v>
      </c>
      <c r="B303" s="1020">
        <f t="shared" si="8"/>
        <v>62350</v>
      </c>
      <c r="C303" s="1020">
        <f t="shared" si="8"/>
        <v>40925</v>
      </c>
    </row>
    <row r="304" spans="1:8" ht="17.149999999999999" customHeight="1" x14ac:dyDescent="0.35">
      <c r="A304" s="1067" t="s">
        <v>824</v>
      </c>
      <c r="B304" s="1020">
        <f t="shared" si="8"/>
        <v>45125</v>
      </c>
      <c r="C304" s="1020">
        <f t="shared" si="8"/>
        <v>40925</v>
      </c>
    </row>
    <row r="305" spans="1:3" ht="17.149999999999999" customHeight="1" x14ac:dyDescent="0.35">
      <c r="A305" s="1067" t="s">
        <v>826</v>
      </c>
      <c r="B305" s="1020">
        <f t="shared" si="8"/>
        <v>4950</v>
      </c>
      <c r="C305" s="1020">
        <f t="shared" si="8"/>
        <v>0</v>
      </c>
    </row>
    <row r="306" spans="1:3" ht="17.149999999999999" customHeight="1" x14ac:dyDescent="0.35">
      <c r="A306" s="1067" t="s">
        <v>829</v>
      </c>
      <c r="B306" s="1020">
        <f t="shared" si="8"/>
        <v>4950</v>
      </c>
      <c r="C306" s="1020">
        <f t="shared" si="8"/>
        <v>0</v>
      </c>
    </row>
    <row r="307" spans="1:3" ht="17.149999999999999" customHeight="1" x14ac:dyDescent="0.35">
      <c r="A307" s="1067" t="s">
        <v>830</v>
      </c>
      <c r="B307" s="1020">
        <f t="shared" si="8"/>
        <v>0</v>
      </c>
      <c r="C307" s="1020">
        <f t="shared" si="8"/>
        <v>0</v>
      </c>
    </row>
    <row r="308" spans="1:3" ht="17.149999999999999" customHeight="1" x14ac:dyDescent="0.35">
      <c r="A308" s="155" t="s">
        <v>443</v>
      </c>
      <c r="B308" s="1020">
        <f t="shared" si="8"/>
        <v>18775</v>
      </c>
      <c r="C308" s="1020">
        <f t="shared" si="8"/>
        <v>0</v>
      </c>
    </row>
    <row r="309" spans="1:3" ht="17.149999999999999" customHeight="1" x14ac:dyDescent="0.35">
      <c r="A309" s="950" t="s">
        <v>873</v>
      </c>
      <c r="B309" s="1021">
        <f>SUM(B300:B308)</f>
        <v>136150</v>
      </c>
      <c r="C309" s="1022">
        <f>SUM(C300:C308)</f>
        <v>267350</v>
      </c>
    </row>
    <row r="312" spans="1:3" ht="17.149999999999999" customHeight="1" x14ac:dyDescent="0.35">
      <c r="A312" s="950" t="s">
        <v>874</v>
      </c>
      <c r="B312" s="1513" t="s">
        <v>841</v>
      </c>
      <c r="C312" s="1508" t="s">
        <v>841</v>
      </c>
    </row>
    <row r="313" spans="1:3" ht="17.149999999999999" customHeight="1" x14ac:dyDescent="0.35">
      <c r="A313" s="1067" t="s">
        <v>1171</v>
      </c>
      <c r="B313" s="1020">
        <f>E247</f>
        <v>0</v>
      </c>
      <c r="C313" s="1020">
        <f>F247</f>
        <v>0</v>
      </c>
    </row>
    <row r="314" spans="1:3" ht="17.149999999999999" customHeight="1" x14ac:dyDescent="0.35">
      <c r="A314" s="1067" t="s">
        <v>872</v>
      </c>
      <c r="B314" s="1316"/>
      <c r="C314" s="1316"/>
    </row>
    <row r="315" spans="1:3" ht="17.149999999999999" customHeight="1" x14ac:dyDescent="0.35">
      <c r="A315" s="1067" t="s">
        <v>434</v>
      </c>
      <c r="B315" s="1020">
        <f t="shared" ref="B315:C321" si="9">E248</f>
        <v>0</v>
      </c>
      <c r="C315" s="1020">
        <f t="shared" si="9"/>
        <v>0</v>
      </c>
    </row>
    <row r="316" spans="1:3" ht="17.149999999999999" customHeight="1" x14ac:dyDescent="0.35">
      <c r="A316" s="1067" t="s">
        <v>821</v>
      </c>
      <c r="B316" s="1020">
        <f t="shared" si="9"/>
        <v>0</v>
      </c>
      <c r="C316" s="1020">
        <f t="shared" si="9"/>
        <v>2075</v>
      </c>
    </row>
    <row r="317" spans="1:3" ht="17.149999999999999" customHeight="1" x14ac:dyDescent="0.35">
      <c r="A317" s="1067" t="s">
        <v>824</v>
      </c>
      <c r="B317" s="1020">
        <f t="shared" si="9"/>
        <v>6250</v>
      </c>
      <c r="C317" s="1020">
        <f t="shared" si="9"/>
        <v>12425</v>
      </c>
    </row>
    <row r="318" spans="1:3" ht="17.149999999999999" customHeight="1" x14ac:dyDescent="0.35">
      <c r="A318" s="1067" t="s">
        <v>860</v>
      </c>
      <c r="B318" s="1020">
        <f t="shared" si="9"/>
        <v>31275</v>
      </c>
      <c r="C318" s="1020">
        <f t="shared" si="9"/>
        <v>55250</v>
      </c>
    </row>
    <row r="319" spans="1:3" ht="17.149999999999999" customHeight="1" x14ac:dyDescent="0.35">
      <c r="A319" s="1067" t="s">
        <v>861</v>
      </c>
      <c r="B319" s="1020">
        <f t="shared" si="9"/>
        <v>31275</v>
      </c>
      <c r="C319" s="1020">
        <f t="shared" si="9"/>
        <v>55250</v>
      </c>
    </row>
    <row r="320" spans="1:3" ht="17.149999999999999" customHeight="1" x14ac:dyDescent="0.35">
      <c r="A320" s="1067" t="s">
        <v>862</v>
      </c>
      <c r="B320" s="1020">
        <f t="shared" si="9"/>
        <v>0</v>
      </c>
      <c r="C320" s="1020">
        <f t="shared" si="9"/>
        <v>0</v>
      </c>
    </row>
    <row r="321" spans="1:7" ht="17.149999999999999" customHeight="1" x14ac:dyDescent="0.35">
      <c r="A321" s="155" t="s">
        <v>443</v>
      </c>
      <c r="B321" s="1020">
        <f t="shared" si="9"/>
        <v>1250</v>
      </c>
      <c r="C321" s="1020">
        <f t="shared" si="9"/>
        <v>0</v>
      </c>
    </row>
    <row r="322" spans="1:7" ht="17.149999999999999" customHeight="1" x14ac:dyDescent="0.35">
      <c r="A322" s="950" t="s">
        <v>873</v>
      </c>
      <c r="B322" s="1021">
        <f>SUM(B313:B321)</f>
        <v>70050</v>
      </c>
      <c r="C322" s="1022">
        <f>SUM(C313:C321)</f>
        <v>125000</v>
      </c>
    </row>
    <row r="325" spans="1:7" ht="17.149999999999999" customHeight="1" x14ac:dyDescent="0.35">
      <c r="A325" s="950" t="s">
        <v>1172</v>
      </c>
      <c r="B325" s="1513" t="s">
        <v>841</v>
      </c>
      <c r="C325" s="1508" t="s">
        <v>201</v>
      </c>
      <c r="E325" s="1513" t="s">
        <v>841</v>
      </c>
      <c r="F325" s="1513" t="s">
        <v>201</v>
      </c>
      <c r="G325" s="1513" t="s">
        <v>201</v>
      </c>
    </row>
    <row r="326" spans="1:7" ht="17.149999999999999" customHeight="1" x14ac:dyDescent="0.35">
      <c r="A326" s="1067" t="s">
        <v>871</v>
      </c>
      <c r="B326" s="1020">
        <f t="shared" ref="B326:B334" si="10">B300+B313</f>
        <v>0</v>
      </c>
      <c r="C326" s="1007">
        <f t="shared" ref="C326:C335" si="11">IF($B$335=0,0,B326/$B$335)</f>
        <v>0</v>
      </c>
      <c r="E326" s="368">
        <f>B326</f>
        <v>0</v>
      </c>
      <c r="F326" s="391"/>
      <c r="G326" s="391"/>
    </row>
    <row r="327" spans="1:7" ht="17.149999999999999" customHeight="1" x14ac:dyDescent="0.35">
      <c r="A327" s="1067" t="s">
        <v>872</v>
      </c>
      <c r="B327" s="1020">
        <f t="shared" si="10"/>
        <v>0</v>
      </c>
      <c r="C327" s="1007">
        <f t="shared" si="11"/>
        <v>0</v>
      </c>
      <c r="E327" s="368">
        <f>B327</f>
        <v>0</v>
      </c>
      <c r="F327" s="391">
        <f t="shared" ref="F327:F333" si="12">IF($E$335=0,0,E327/$E$335)</f>
        <v>0</v>
      </c>
      <c r="G327" s="391">
        <f>F327</f>
        <v>0</v>
      </c>
    </row>
    <row r="328" spans="1:7" ht="17.149999999999999" customHeight="1" x14ac:dyDescent="0.35">
      <c r="A328" s="1067" t="s">
        <v>434</v>
      </c>
      <c r="B328" s="1020">
        <f t="shared" si="10"/>
        <v>0</v>
      </c>
      <c r="C328" s="1007">
        <f t="shared" si="11"/>
        <v>0</v>
      </c>
      <c r="E328" s="368">
        <f>B328</f>
        <v>0</v>
      </c>
      <c r="F328" s="391">
        <f t="shared" si="12"/>
        <v>0</v>
      </c>
      <c r="G328" s="391">
        <f>F328</f>
        <v>0</v>
      </c>
    </row>
    <row r="329" spans="1:7" ht="17.149999999999999" customHeight="1" x14ac:dyDescent="0.35">
      <c r="A329" s="1067" t="s">
        <v>821</v>
      </c>
      <c r="B329" s="1020">
        <f t="shared" si="10"/>
        <v>62350</v>
      </c>
      <c r="C329" s="1007">
        <f t="shared" si="11"/>
        <v>0.30237633365664401</v>
      </c>
      <c r="E329" s="368">
        <f>B329</f>
        <v>62350</v>
      </c>
      <c r="F329" s="391">
        <f t="shared" si="12"/>
        <v>0.41580526842280763</v>
      </c>
      <c r="G329" s="391">
        <f>F332+F329</f>
        <v>0.65738579526508834</v>
      </c>
    </row>
    <row r="330" spans="1:7" ht="17.149999999999999" customHeight="1" x14ac:dyDescent="0.35">
      <c r="A330" s="1067" t="s">
        <v>824</v>
      </c>
      <c r="B330" s="1020">
        <f t="shared" si="10"/>
        <v>51375</v>
      </c>
      <c r="C330" s="1007">
        <f t="shared" si="11"/>
        <v>0.2491513094083414</v>
      </c>
      <c r="E330" s="368">
        <f>B330</f>
        <v>51375</v>
      </c>
      <c r="F330" s="391">
        <f t="shared" si="12"/>
        <v>0.34261420473491166</v>
      </c>
      <c r="G330" s="391">
        <f>F333+F330</f>
        <v>0.34261420473491166</v>
      </c>
    </row>
    <row r="331" spans="1:7" ht="17.149999999999999" customHeight="1" x14ac:dyDescent="0.35">
      <c r="A331" s="1067" t="s">
        <v>1173</v>
      </c>
      <c r="B331" s="1020">
        <f t="shared" si="10"/>
        <v>36225</v>
      </c>
      <c r="C331" s="1007">
        <f t="shared" si="11"/>
        <v>0.17567895247332688</v>
      </c>
      <c r="E331" s="368"/>
      <c r="F331" s="391"/>
      <c r="G331" s="391"/>
    </row>
    <row r="332" spans="1:7" ht="17.149999999999999" customHeight="1" x14ac:dyDescent="0.35">
      <c r="A332" s="1067" t="s">
        <v>1174</v>
      </c>
      <c r="B332" s="1020">
        <f t="shared" si="10"/>
        <v>36225</v>
      </c>
      <c r="C332" s="1007">
        <f t="shared" si="11"/>
        <v>0.17567895247332688</v>
      </c>
      <c r="E332" s="368">
        <f>B332</f>
        <v>36225</v>
      </c>
      <c r="F332" s="391">
        <f t="shared" si="12"/>
        <v>0.24158052684228076</v>
      </c>
      <c r="G332" s="391"/>
    </row>
    <row r="333" spans="1:7" ht="17.149999999999999" customHeight="1" x14ac:dyDescent="0.35">
      <c r="A333" s="1067" t="s">
        <v>1175</v>
      </c>
      <c r="B333" s="1020">
        <f t="shared" si="10"/>
        <v>0</v>
      </c>
      <c r="C333" s="1007">
        <f t="shared" si="11"/>
        <v>0</v>
      </c>
      <c r="E333" s="368">
        <f>B333</f>
        <v>0</v>
      </c>
      <c r="F333" s="391">
        <f t="shared" si="12"/>
        <v>0</v>
      </c>
      <c r="G333" s="391"/>
    </row>
    <row r="334" spans="1:7" ht="17.149999999999999" customHeight="1" x14ac:dyDescent="0.35">
      <c r="A334" s="155" t="s">
        <v>443</v>
      </c>
      <c r="B334" s="1020">
        <f t="shared" si="10"/>
        <v>20025</v>
      </c>
      <c r="C334" s="1007">
        <f t="shared" si="11"/>
        <v>9.7114451988360814E-2</v>
      </c>
      <c r="E334" s="368"/>
      <c r="F334" s="391"/>
      <c r="G334" s="391"/>
    </row>
    <row r="335" spans="1:7" ht="17.149999999999999" customHeight="1" x14ac:dyDescent="0.35">
      <c r="A335" s="950" t="s">
        <v>873</v>
      </c>
      <c r="B335" s="1021">
        <f>SUM(B326:B334)</f>
        <v>206200</v>
      </c>
      <c r="C335" s="1080">
        <f t="shared" si="11"/>
        <v>1</v>
      </c>
      <c r="E335" s="1021">
        <f>SUM(E326:E334)</f>
        <v>149950</v>
      </c>
      <c r="F335" s="1081">
        <f>SUM(F326:F334)</f>
        <v>1</v>
      </c>
      <c r="G335" s="1081">
        <f>SUM(G326:G334)</f>
        <v>1</v>
      </c>
    </row>
    <row r="338" spans="1:3" s="115" customFormat="1" ht="17.149999999999999" customHeight="1" x14ac:dyDescent="0.35">
      <c r="A338" s="949" t="s">
        <v>876</v>
      </c>
      <c r="B338" s="1057" t="s">
        <v>877</v>
      </c>
      <c r="C338" s="1502" t="s">
        <v>877</v>
      </c>
    </row>
    <row r="339" spans="1:3" ht="17.149999999999999" customHeight="1" x14ac:dyDescent="0.35">
      <c r="A339" s="977" t="s">
        <v>433</v>
      </c>
      <c r="B339" s="1023">
        <f>SUM(B340:B343)</f>
        <v>36225</v>
      </c>
      <c r="C339" s="1024">
        <f>SUM(C340:C343)</f>
        <v>240750</v>
      </c>
    </row>
    <row r="340" spans="1:3" ht="17.149999999999999" customHeight="1" x14ac:dyDescent="0.35">
      <c r="A340" s="155" t="s">
        <v>228</v>
      </c>
      <c r="B340" s="1020">
        <f>B300</f>
        <v>0</v>
      </c>
      <c r="C340" s="1020">
        <f>C300</f>
        <v>185500</v>
      </c>
    </row>
    <row r="341" spans="1:3" ht="17.149999999999999" customHeight="1" x14ac:dyDescent="0.35">
      <c r="A341" s="155" t="s">
        <v>878</v>
      </c>
      <c r="B341" s="1020">
        <f>B313</f>
        <v>0</v>
      </c>
      <c r="C341" s="1020">
        <f>C313</f>
        <v>0</v>
      </c>
    </row>
    <row r="342" spans="1:3" ht="17.149999999999999" customHeight="1" x14ac:dyDescent="0.35">
      <c r="A342" s="929" t="s">
        <v>881</v>
      </c>
      <c r="B342" s="930">
        <f>B305</f>
        <v>4950</v>
      </c>
      <c r="C342" s="930">
        <f>C305</f>
        <v>0</v>
      </c>
    </row>
    <row r="343" spans="1:3" ht="17.149999999999999" customHeight="1" x14ac:dyDescent="0.35">
      <c r="A343" s="929" t="s">
        <v>882</v>
      </c>
      <c r="B343" s="930">
        <f>B318</f>
        <v>31275</v>
      </c>
      <c r="C343" s="930">
        <f>C318</f>
        <v>55250</v>
      </c>
    </row>
    <row r="344" spans="1:3" ht="17.149999999999999" customHeight="1" x14ac:dyDescent="0.35">
      <c r="A344" s="977" t="s">
        <v>816</v>
      </c>
      <c r="B344" s="1023">
        <f>SUM(B345:B346)</f>
        <v>0</v>
      </c>
      <c r="C344" s="1024">
        <f>SUM(C345:C346)</f>
        <v>0</v>
      </c>
    </row>
    <row r="345" spans="1:3" ht="17.149999999999999" customHeight="1" x14ac:dyDescent="0.35">
      <c r="A345" s="155" t="s">
        <v>228</v>
      </c>
      <c r="B345" s="1020">
        <f>B302</f>
        <v>0</v>
      </c>
      <c r="C345" s="1020">
        <f>C302</f>
        <v>0</v>
      </c>
    </row>
    <row r="346" spans="1:3" ht="17.149999999999999" customHeight="1" x14ac:dyDescent="0.35">
      <c r="A346" s="155" t="s">
        <v>878</v>
      </c>
      <c r="B346" s="1020">
        <f>B315</f>
        <v>0</v>
      </c>
      <c r="C346" s="1020">
        <f>C315</f>
        <v>0</v>
      </c>
    </row>
    <row r="347" spans="1:3" ht="17.149999999999999" customHeight="1" x14ac:dyDescent="0.35">
      <c r="A347" s="977" t="s">
        <v>821</v>
      </c>
      <c r="B347" s="1023">
        <f>SUM(B348:B349)</f>
        <v>62350</v>
      </c>
      <c r="C347" s="1024">
        <f>SUM(C348:C349)</f>
        <v>43000</v>
      </c>
    </row>
    <row r="348" spans="1:3" ht="17.149999999999999" customHeight="1" x14ac:dyDescent="0.35">
      <c r="A348" s="155" t="s">
        <v>228</v>
      </c>
      <c r="B348" s="1020">
        <f>B303</f>
        <v>62350</v>
      </c>
      <c r="C348" s="1020">
        <f>C303</f>
        <v>40925</v>
      </c>
    </row>
    <row r="349" spans="1:3" ht="17.149999999999999" customHeight="1" x14ac:dyDescent="0.35">
      <c r="A349" s="155" t="s">
        <v>878</v>
      </c>
      <c r="B349" s="1020">
        <f>B316</f>
        <v>0</v>
      </c>
      <c r="C349" s="1020">
        <f>C316</f>
        <v>2075</v>
      </c>
    </row>
    <row r="350" spans="1:3" ht="17.149999999999999" customHeight="1" x14ac:dyDescent="0.35">
      <c r="A350" s="977" t="s">
        <v>861</v>
      </c>
      <c r="B350" s="1023">
        <f>SUM(B351:B352)</f>
        <v>36225</v>
      </c>
      <c r="C350" s="1024">
        <f>SUM(C351:C352)</f>
        <v>55250</v>
      </c>
    </row>
    <row r="351" spans="1:3" ht="17.149999999999999" customHeight="1" x14ac:dyDescent="0.35">
      <c r="A351" s="155" t="s">
        <v>881</v>
      </c>
      <c r="B351" s="1020">
        <f>B306</f>
        <v>4950</v>
      </c>
      <c r="C351" s="1020">
        <f>C306</f>
        <v>0</v>
      </c>
    </row>
    <row r="352" spans="1:3" ht="17.149999999999999" customHeight="1" x14ac:dyDescent="0.35">
      <c r="A352" s="155" t="s">
        <v>882</v>
      </c>
      <c r="B352" s="1020">
        <f>B319</f>
        <v>31275</v>
      </c>
      <c r="C352" s="1020">
        <f>C319</f>
        <v>55250</v>
      </c>
    </row>
    <row r="353" spans="1:3" s="115" customFormat="1" ht="17.149999999999999" customHeight="1" x14ac:dyDescent="0.35">
      <c r="A353" s="949" t="s">
        <v>883</v>
      </c>
      <c r="B353" s="1058">
        <f>B339+B344+B347+B350</f>
        <v>134800</v>
      </c>
      <c r="C353" s="1059">
        <f>C339+C344+C347+C350</f>
        <v>339000</v>
      </c>
    </row>
  </sheetData>
  <sheetProtection password="C8C1" sheet="1" objects="1" scenarios="1" selectLockedCells="1"/>
  <mergeCells count="10">
    <mergeCell ref="E27:E28"/>
    <mergeCell ref="E33:E34"/>
    <mergeCell ref="F33:F34"/>
    <mergeCell ref="H150:H152"/>
    <mergeCell ref="B294:C294"/>
    <mergeCell ref="E45:E46"/>
    <mergeCell ref="E150:E152"/>
    <mergeCell ref="F150:F152"/>
    <mergeCell ref="G150:G152"/>
    <mergeCell ref="E294:F294"/>
  </mergeCells>
  <conditionalFormatting sqref="B145:C145">
    <cfRule type="expression" dxfId="151" priority="28">
      <formula>B144&lt;B143</formula>
    </cfRule>
    <cfRule type="expression" dxfId="150" priority="29">
      <formula>B144&gt;B143</formula>
    </cfRule>
    <cfRule type="expression" dxfId="149" priority="30">
      <formula>B144=B143</formula>
    </cfRule>
  </conditionalFormatting>
  <conditionalFormatting sqref="E145">
    <cfRule type="expression" dxfId="148" priority="25">
      <formula>E144&lt;E143</formula>
    </cfRule>
    <cfRule type="expression" dxfId="147" priority="26">
      <formula>E144&gt;E143</formula>
    </cfRule>
    <cfRule type="expression" dxfId="146" priority="27">
      <formula>E144=E143</formula>
    </cfRule>
  </conditionalFormatting>
  <conditionalFormatting sqref="F145">
    <cfRule type="expression" dxfId="145" priority="22">
      <formula>F144&lt;F143</formula>
    </cfRule>
    <cfRule type="expression" dxfId="144" priority="23">
      <formula>F144&gt;F143</formula>
    </cfRule>
    <cfRule type="expression" dxfId="143" priority="24">
      <formula>F144=F143</formula>
    </cfRule>
  </conditionalFormatting>
  <conditionalFormatting sqref="B74">
    <cfRule type="expression" dxfId="142" priority="19">
      <formula>B73&lt;B72</formula>
    </cfRule>
    <cfRule type="expression" dxfId="141" priority="20">
      <formula>B73&gt;B72</formula>
    </cfRule>
    <cfRule type="expression" dxfId="140" priority="21">
      <formula>B73=B72</formula>
    </cfRule>
  </conditionalFormatting>
  <conditionalFormatting sqref="C74">
    <cfRule type="expression" dxfId="139" priority="16">
      <formula>C73&lt;C72</formula>
    </cfRule>
    <cfRule type="expression" dxfId="138" priority="17">
      <formula>C73&gt;C72</formula>
    </cfRule>
    <cfRule type="expression" dxfId="137" priority="18">
      <formula>C73=C72</formula>
    </cfRule>
  </conditionalFormatting>
  <conditionalFormatting sqref="B273:C273">
    <cfRule type="expression" dxfId="136" priority="13">
      <formula>B272&lt;B271</formula>
    </cfRule>
    <cfRule type="expression" dxfId="135" priority="14">
      <formula>B272&gt;B271</formula>
    </cfRule>
    <cfRule type="expression" dxfId="134" priority="15">
      <formula>B272=B271</formula>
    </cfRule>
  </conditionalFormatting>
  <conditionalFormatting sqref="E273">
    <cfRule type="expression" dxfId="133" priority="10">
      <formula>E272&lt;E271</formula>
    </cfRule>
    <cfRule type="expression" dxfId="132" priority="11">
      <formula>E272&gt;E271</formula>
    </cfRule>
    <cfRule type="expression" dxfId="131" priority="12">
      <formula>E272=E271</formula>
    </cfRule>
  </conditionalFormatting>
  <conditionalFormatting sqref="F273">
    <cfRule type="expression" dxfId="130" priority="7">
      <formula>F272&lt;F271</formula>
    </cfRule>
    <cfRule type="expression" dxfId="129" priority="8">
      <formula>F272&gt;F271</formula>
    </cfRule>
    <cfRule type="expression" dxfId="128" priority="9">
      <formula>F272=F271</formula>
    </cfRule>
  </conditionalFormatting>
  <conditionalFormatting sqref="B202">
    <cfRule type="expression" dxfId="127" priority="4">
      <formula>B201&lt;B200</formula>
    </cfRule>
    <cfRule type="expression" dxfId="126" priority="5">
      <formula>B201&gt;B200</formula>
    </cfRule>
    <cfRule type="expression" dxfId="125" priority="6">
      <formula>B201=B200</formula>
    </cfRule>
  </conditionalFormatting>
  <conditionalFormatting sqref="C202">
    <cfRule type="expression" dxfId="124" priority="1">
      <formula>C201&lt;C200</formula>
    </cfRule>
    <cfRule type="expression" dxfId="123" priority="2">
      <formula>C201&gt;C200</formula>
    </cfRule>
    <cfRule type="expression" dxfId="122" priority="3">
      <formula>C201=C200</formula>
    </cfRule>
  </conditionalFormatting>
  <pageMargins left="0.7" right="0.7" top="0.75" bottom="0.75" header="0.3" footer="0.3"/>
  <pageSetup paperSize="9" orientation="portrait" r:id="rId1"/>
  <ignoredErrors>
    <ignoredError sqref="E107:F107 E235:F235 E94:F94 E222:F222 E232:F232 E97:F97 E100:F100 E104:F104 E110:F110 E225:F225 E228:F228 E238:F238 C159" formula="1"/>
    <ignoredError sqref="B154:C154" evalError="1"/>
  </ignoredError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theme="5"/>
  </sheetPr>
  <dimension ref="A1:BF301"/>
  <sheetViews>
    <sheetView zoomScale="90" zoomScaleNormal="90" workbookViewId="0">
      <selection activeCell="A3" sqref="A3"/>
    </sheetView>
  </sheetViews>
  <sheetFormatPr defaultColWidth="9.1796875" defaultRowHeight="17.149999999999999" customHeight="1" x14ac:dyDescent="0.35"/>
  <cols>
    <col min="1" max="1" width="60.7265625" style="17" customWidth="1"/>
    <col min="2" max="5" width="16.7265625" style="27" customWidth="1"/>
    <col min="6" max="38" width="16.7265625" style="17" customWidth="1"/>
    <col min="39" max="50" width="9.1796875" style="17"/>
    <col min="51" max="51" width="11.453125" style="17" customWidth="1"/>
    <col min="52" max="16384" width="9.1796875" style="17"/>
  </cols>
  <sheetData>
    <row r="1" spans="1:12" s="63" customFormat="1" ht="18.5" x14ac:dyDescent="0.35">
      <c r="A1" s="13" t="str">
        <f>'User interface_RES'!AJ11</f>
        <v>Any city in , the world</v>
      </c>
      <c r="B1" s="1310"/>
      <c r="C1" s="1310"/>
      <c r="D1" s="1310"/>
      <c r="E1" s="1310"/>
    </row>
    <row r="2" spans="1:12" s="185" customFormat="1" ht="11.25" customHeight="1" x14ac:dyDescent="0.35">
      <c r="B2" s="222"/>
      <c r="C2" s="222"/>
      <c r="D2" s="222"/>
      <c r="E2" s="186"/>
    </row>
    <row r="3" spans="1:12" ht="26" x14ac:dyDescent="0.35">
      <c r="A3" s="182" t="s">
        <v>1176</v>
      </c>
      <c r="G3" s="16"/>
      <c r="I3" s="18"/>
      <c r="J3" s="18"/>
    </row>
    <row r="4" spans="1:12" s="3" customFormat="1" ht="17.149999999999999" customHeight="1" x14ac:dyDescent="0.35">
      <c r="B4" s="1320"/>
      <c r="C4" s="184"/>
      <c r="D4" s="184"/>
      <c r="E4" s="184"/>
      <c r="I4" s="229"/>
      <c r="J4" s="229"/>
    </row>
    <row r="5" spans="1:12" s="3" customFormat="1" ht="17.149999999999999" customHeight="1" x14ac:dyDescent="0.35">
      <c r="B5" s="1318"/>
      <c r="C5" s="184"/>
      <c r="D5" s="184"/>
      <c r="E5" s="184"/>
      <c r="I5" s="229"/>
      <c r="J5" s="229"/>
    </row>
    <row r="6" spans="1:12" s="3" customFormat="1" ht="18" customHeight="1" x14ac:dyDescent="0.35">
      <c r="A6" s="47"/>
      <c r="B6" s="1505" t="s">
        <v>9</v>
      </c>
      <c r="C6" s="1502" t="s">
        <v>253</v>
      </c>
      <c r="D6" s="184"/>
      <c r="E6" s="184"/>
      <c r="I6" s="229"/>
      <c r="J6" s="229"/>
    </row>
    <row r="7" spans="1:12" s="185" customFormat="1" ht="11.25" customHeight="1" x14ac:dyDescent="0.35">
      <c r="A7" s="237"/>
      <c r="B7" s="238"/>
      <c r="C7" s="238"/>
      <c r="D7" s="186"/>
      <c r="E7" s="186"/>
      <c r="I7" s="239"/>
      <c r="J7" s="239"/>
    </row>
    <row r="8" spans="1:12" s="63" customFormat="1" ht="18" customHeight="1" x14ac:dyDescent="0.35">
      <c r="A8" s="230" t="s">
        <v>887</v>
      </c>
      <c r="B8" s="232">
        <f>B10+B16+B19</f>
        <v>186175</v>
      </c>
      <c r="C8" s="232">
        <f>C10+C16+C19</f>
        <v>392350</v>
      </c>
      <c r="D8" s="231" t="s">
        <v>793</v>
      </c>
      <c r="F8" s="233"/>
      <c r="H8" s="205">
        <f>'FS_Capture volumes'!B10</f>
        <v>186175</v>
      </c>
      <c r="I8" s="205">
        <f>'FS_Capture volumes'!C10</f>
        <v>392350</v>
      </c>
      <c r="J8" s="234"/>
      <c r="L8" s="3"/>
    </row>
    <row r="9" spans="1:12" ht="18" customHeight="1" x14ac:dyDescent="0.35">
      <c r="A9" s="217"/>
      <c r="B9" s="218"/>
      <c r="C9" s="219"/>
      <c r="G9" s="14"/>
      <c r="H9" s="53">
        <f>B8-H8</f>
        <v>0</v>
      </c>
      <c r="I9" s="53">
        <f>C8-I8</f>
        <v>0</v>
      </c>
      <c r="J9" s="14"/>
      <c r="L9" s="3"/>
    </row>
    <row r="10" spans="1:12" s="115" customFormat="1" ht="18" customHeight="1" x14ac:dyDescent="0.35">
      <c r="A10" s="206" t="s">
        <v>57</v>
      </c>
      <c r="B10" s="207">
        <f>SUM(B11:B14)</f>
        <v>147700</v>
      </c>
      <c r="C10" s="207">
        <f>SUM(C11:C14)</f>
        <v>151600</v>
      </c>
      <c r="D10" s="140"/>
      <c r="E10" s="370">
        <f>IF($B$10=0,0,B10/$B$10)</f>
        <v>1</v>
      </c>
      <c r="H10" s="1519" t="str">
        <f>IF(H9=0,"OK","Not OK")</f>
        <v>OK</v>
      </c>
      <c r="I10" s="1519" t="str">
        <f>IF(I9=0,"OK","Not OK")</f>
        <v>OK</v>
      </c>
      <c r="J10" s="235"/>
      <c r="L10" s="3"/>
    </row>
    <row r="11" spans="1:12" s="115" customFormat="1" ht="18" customHeight="1" x14ac:dyDescent="0.35">
      <c r="A11" s="212" t="s">
        <v>1177</v>
      </c>
      <c r="B11" s="118">
        <f t="shared" ref="B11:C14" si="0">B135+B246</f>
        <v>0</v>
      </c>
      <c r="C11" s="118">
        <f t="shared" si="0"/>
        <v>0</v>
      </c>
      <c r="D11" s="140"/>
      <c r="E11" s="370">
        <f>IF($B$10=0,0,B11/$B$10)</f>
        <v>0</v>
      </c>
      <c r="J11" s="235"/>
      <c r="L11" s="3"/>
    </row>
    <row r="12" spans="1:12" s="115" customFormat="1" ht="18" customHeight="1" x14ac:dyDescent="0.35">
      <c r="A12" s="212" t="s">
        <v>889</v>
      </c>
      <c r="B12" s="118">
        <f t="shared" si="0"/>
        <v>0</v>
      </c>
      <c r="C12" s="118">
        <f t="shared" si="0"/>
        <v>0</v>
      </c>
      <c r="D12" s="140"/>
      <c r="E12" s="370">
        <f>IF($B$10=0,0,B12/$B$10)</f>
        <v>0</v>
      </c>
    </row>
    <row r="13" spans="1:12" s="115" customFormat="1" ht="18" customHeight="1" x14ac:dyDescent="0.35">
      <c r="A13" s="212" t="s">
        <v>890</v>
      </c>
      <c r="B13" s="118">
        <f t="shared" si="0"/>
        <v>98575</v>
      </c>
      <c r="C13" s="118">
        <f t="shared" si="0"/>
        <v>98250</v>
      </c>
      <c r="D13" s="140"/>
      <c r="E13" s="370">
        <f>IF($B$10=0,0,B13/$B$10)</f>
        <v>0.66740013540961407</v>
      </c>
    </row>
    <row r="14" spans="1:12" s="115" customFormat="1" ht="18" customHeight="1" x14ac:dyDescent="0.35">
      <c r="A14" s="212" t="s">
        <v>891</v>
      </c>
      <c r="B14" s="118">
        <f t="shared" si="0"/>
        <v>49125</v>
      </c>
      <c r="C14" s="118">
        <f t="shared" si="0"/>
        <v>53350</v>
      </c>
      <c r="D14" s="140"/>
      <c r="E14" s="370">
        <f>IF($B$10=0,0,B14/$B$10)</f>
        <v>0.33259986459038593</v>
      </c>
    </row>
    <row r="15" spans="1:12" s="115" customFormat="1" ht="18" customHeight="1" x14ac:dyDescent="0.35">
      <c r="A15" s="2"/>
      <c r="B15" s="236"/>
      <c r="C15" s="236"/>
      <c r="D15" s="140"/>
      <c r="E15" s="140"/>
    </row>
    <row r="16" spans="1:12" s="115" customFormat="1" ht="18" customHeight="1" x14ac:dyDescent="0.35">
      <c r="A16" s="206" t="s">
        <v>892</v>
      </c>
      <c r="B16" s="207">
        <f>SUM(B17)</f>
        <v>36225</v>
      </c>
      <c r="C16" s="207">
        <f>SUM(C17)</f>
        <v>240750</v>
      </c>
      <c r="D16" s="140"/>
      <c r="E16" s="140"/>
    </row>
    <row r="17" spans="1:58" s="115" customFormat="1" ht="18" customHeight="1" x14ac:dyDescent="0.35">
      <c r="A17" s="135" t="s">
        <v>846</v>
      </c>
      <c r="B17" s="118">
        <f>B141+B252</f>
        <v>36225</v>
      </c>
      <c r="C17" s="118">
        <f>C141+C252</f>
        <v>240750</v>
      </c>
      <c r="D17" s="140"/>
      <c r="E17" s="140"/>
    </row>
    <row r="18" spans="1:58" s="115" customFormat="1" ht="18" customHeight="1" x14ac:dyDescent="0.35">
      <c r="A18" s="2"/>
      <c r="B18" s="236"/>
      <c r="C18" s="236"/>
      <c r="D18" s="140"/>
      <c r="E18" s="140"/>
    </row>
    <row r="19" spans="1:58" s="115" customFormat="1" ht="18" customHeight="1" x14ac:dyDescent="0.35">
      <c r="A19" s="208" t="s">
        <v>893</v>
      </c>
      <c r="B19" s="209">
        <f>SUM(B20:B22)</f>
        <v>2250</v>
      </c>
      <c r="C19" s="209">
        <f>SUM(C21:C22)</f>
        <v>0</v>
      </c>
      <c r="D19" s="140"/>
      <c r="E19" s="140"/>
    </row>
    <row r="20" spans="1:58" s="115" customFormat="1" ht="18" customHeight="1" x14ac:dyDescent="0.35">
      <c r="A20" s="212" t="s">
        <v>889</v>
      </c>
      <c r="B20" s="118">
        <f>B144+B129+B255+B256</f>
        <v>0</v>
      </c>
      <c r="C20" s="118">
        <f>C144+C129+C255+C256</f>
        <v>0</v>
      </c>
      <c r="D20" s="140"/>
      <c r="E20" s="140"/>
    </row>
    <row r="21" spans="1:58" s="115" customFormat="1" ht="18" customHeight="1" x14ac:dyDescent="0.35">
      <c r="A21" s="212" t="s">
        <v>894</v>
      </c>
      <c r="B21" s="118">
        <f>B146+B147+B257+B258</f>
        <v>0</v>
      </c>
      <c r="C21" s="118">
        <f>C146+C147+C257+C258</f>
        <v>0</v>
      </c>
      <c r="D21" s="140"/>
      <c r="E21" s="140"/>
    </row>
    <row r="22" spans="1:58" s="115" customFormat="1" ht="18" customHeight="1" x14ac:dyDescent="0.35">
      <c r="A22" s="212" t="s">
        <v>891</v>
      </c>
      <c r="B22" s="118">
        <f>B148+B149+B259+B260</f>
        <v>2250</v>
      </c>
      <c r="C22" s="118">
        <f>C148+C149+C259+C260</f>
        <v>0</v>
      </c>
      <c r="D22" s="140"/>
      <c r="E22" s="140"/>
    </row>
    <row r="23" spans="1:58" ht="17.149999999999999" customHeight="1" x14ac:dyDescent="0.35">
      <c r="A23" s="11"/>
      <c r="B23" s="179"/>
      <c r="C23" s="179"/>
    </row>
    <row r="24" spans="1:58" ht="17.149999999999999" customHeight="1" x14ac:dyDescent="0.35">
      <c r="A24" s="11"/>
      <c r="B24" s="179"/>
      <c r="C24" s="179"/>
    </row>
    <row r="25" spans="1:58" s="27" customFormat="1" ht="17.149999999999999" customHeight="1" x14ac:dyDescent="0.35">
      <c r="A25" s="120"/>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row>
    <row r="26" spans="1:58" s="27" customFormat="1" ht="17.149999999999999" customHeight="1" x14ac:dyDescent="0.35">
      <c r="A26" s="183" t="s">
        <v>803</v>
      </c>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row>
    <row r="27" spans="1:58" s="27" customFormat="1" ht="17.149999999999999" customHeight="1" x14ac:dyDescent="0.35">
      <c r="A27" s="120"/>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row>
    <row r="28" spans="1:58" s="140" customFormat="1" ht="17.149999999999999" customHeight="1" x14ac:dyDescent="0.35">
      <c r="A28" s="949" t="s">
        <v>895</v>
      </c>
      <c r="B28" s="1776" t="s">
        <v>9</v>
      </c>
      <c r="C28" s="1776"/>
      <c r="D28" s="1776"/>
      <c r="E28" s="1776"/>
      <c r="F28" s="1776"/>
      <c r="G28" s="1776"/>
      <c r="H28" s="1776"/>
      <c r="I28" s="1776"/>
      <c r="J28" s="1776"/>
      <c r="K28" s="1776"/>
      <c r="L28" s="1776"/>
      <c r="M28" s="1776"/>
      <c r="N28" s="1776"/>
      <c r="O28" s="17"/>
      <c r="P28" s="1777" t="s">
        <v>9</v>
      </c>
      <c r="Q28" s="1777"/>
      <c r="R28" s="1777"/>
      <c r="S28" s="115"/>
      <c r="T28" s="115"/>
      <c r="U28" s="1778" t="s">
        <v>253</v>
      </c>
      <c r="V28" s="1778"/>
      <c r="W28" s="1778"/>
      <c r="X28" s="1778"/>
      <c r="Y28" s="1778"/>
      <c r="Z28" s="1778"/>
      <c r="AA28" s="1778"/>
      <c r="AB28" s="1778"/>
      <c r="AC28" s="1778"/>
      <c r="AD28" s="1778"/>
      <c r="AE28" s="1778"/>
      <c r="AF28" s="1778"/>
      <c r="AG28" s="1778"/>
      <c r="AH28" s="115"/>
      <c r="AI28" s="1779" t="s">
        <v>253</v>
      </c>
      <c r="AJ28" s="1779"/>
      <c r="AK28" s="1779"/>
      <c r="AL28" s="115"/>
      <c r="AM28" s="115"/>
      <c r="AN28" s="115"/>
      <c r="AO28" s="115"/>
      <c r="AP28" s="115"/>
      <c r="AQ28" s="115"/>
      <c r="AR28" s="115"/>
      <c r="AS28" s="115"/>
      <c r="AT28" s="115"/>
      <c r="AU28" s="115"/>
      <c r="AV28" s="115"/>
      <c r="AW28" s="115"/>
      <c r="AX28" s="115"/>
      <c r="AY28" s="115"/>
      <c r="AZ28" s="115"/>
      <c r="BA28" s="115"/>
      <c r="BB28" s="115"/>
    </row>
    <row r="29" spans="1:58" s="27" customFormat="1" ht="17.149999999999999" customHeight="1" x14ac:dyDescent="0.35">
      <c r="A29" s="371"/>
      <c r="F29" s="17"/>
      <c r="G29" s="17"/>
      <c r="H29" s="17"/>
      <c r="I29" s="17"/>
      <c r="J29" s="17"/>
      <c r="K29" s="17"/>
      <c r="L29" s="17"/>
      <c r="M29" s="17"/>
      <c r="N29" s="17"/>
      <c r="O29" s="17"/>
      <c r="P29" s="17"/>
      <c r="Q29" s="17"/>
      <c r="R29" s="115"/>
      <c r="S29" s="115"/>
      <c r="T29" s="17"/>
      <c r="W29" s="17"/>
      <c r="X29" s="17"/>
      <c r="Y29" s="95"/>
      <c r="Z29" s="10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row>
    <row r="30" spans="1:58" s="27" customFormat="1" ht="17.149999999999999" customHeight="1" x14ac:dyDescent="0.35">
      <c r="A30" s="191"/>
      <c r="B30" s="166"/>
      <c r="C30" s="1780" t="s">
        <v>896</v>
      </c>
      <c r="D30" s="1780"/>
      <c r="E30" s="1780"/>
      <c r="F30" s="1780"/>
      <c r="G30" s="1780"/>
      <c r="H30" s="1780"/>
      <c r="I30" s="1781" t="s">
        <v>897</v>
      </c>
      <c r="J30" s="1782"/>
      <c r="K30" s="1782"/>
      <c r="L30" s="1782"/>
      <c r="M30" s="1782"/>
      <c r="N30" s="1783"/>
      <c r="O30" s="17"/>
      <c r="P30" s="1784" t="s">
        <v>898</v>
      </c>
      <c r="Q30" s="1784"/>
      <c r="R30" s="1784"/>
      <c r="S30" s="309"/>
      <c r="T30" s="17"/>
      <c r="U30" s="1150"/>
      <c r="V30" s="1785" t="s">
        <v>896</v>
      </c>
      <c r="W30" s="1785"/>
      <c r="X30" s="1785"/>
      <c r="Y30" s="1785"/>
      <c r="Z30" s="1785"/>
      <c r="AA30" s="1785"/>
      <c r="AB30" s="1786" t="s">
        <v>897</v>
      </c>
      <c r="AC30" s="1787"/>
      <c r="AD30" s="1787"/>
      <c r="AE30" s="1787"/>
      <c r="AF30" s="1787"/>
      <c r="AG30" s="1788"/>
      <c r="AH30" s="17"/>
      <c r="AI30" s="1789" t="s">
        <v>898</v>
      </c>
      <c r="AJ30" s="1789"/>
      <c r="AK30" s="1789"/>
      <c r="AL30" s="300"/>
      <c r="AM30" s="17"/>
      <c r="AN30" s="17"/>
      <c r="AO30" s="17"/>
      <c r="AP30" s="17"/>
      <c r="AQ30" s="17"/>
      <c r="AR30" s="17"/>
      <c r="AS30" s="17"/>
      <c r="AT30" s="17"/>
      <c r="AU30" s="17"/>
      <c r="AV30" s="17"/>
      <c r="AW30" s="17"/>
      <c r="AX30" s="17"/>
      <c r="AY30" s="17"/>
      <c r="AZ30" s="17"/>
      <c r="BA30" s="17"/>
      <c r="BB30" s="17"/>
    </row>
    <row r="31" spans="1:58" s="27" customFormat="1" ht="58" x14ac:dyDescent="0.3">
      <c r="A31" s="355"/>
      <c r="B31" s="1511" t="s">
        <v>899</v>
      </c>
      <c r="C31" s="1513"/>
      <c r="D31" s="1511" t="s">
        <v>900</v>
      </c>
      <c r="E31" s="1511"/>
      <c r="F31" s="1511" t="s">
        <v>901</v>
      </c>
      <c r="G31" s="1511" t="s">
        <v>902</v>
      </c>
      <c r="H31" s="1511" t="s">
        <v>903</v>
      </c>
      <c r="I31" s="1511" t="s">
        <v>904</v>
      </c>
      <c r="J31" s="1511"/>
      <c r="K31" s="1511"/>
      <c r="L31" s="1511"/>
      <c r="M31" s="1511"/>
      <c r="N31" s="1511" t="s">
        <v>903</v>
      </c>
      <c r="O31" s="137"/>
      <c r="P31" s="1511" t="s">
        <v>905</v>
      </c>
      <c r="Q31" s="1511" t="s">
        <v>57</v>
      </c>
      <c r="R31" s="1506" t="s">
        <v>208</v>
      </c>
      <c r="S31" s="390" t="s">
        <v>277</v>
      </c>
      <c r="T31" s="137"/>
      <c r="U31" s="1033" t="s">
        <v>899</v>
      </c>
      <c r="V31" s="1149"/>
      <c r="W31" s="1033" t="s">
        <v>900</v>
      </c>
      <c r="X31" s="1033"/>
      <c r="Y31" s="1033" t="s">
        <v>901</v>
      </c>
      <c r="Z31" s="1033" t="s">
        <v>902</v>
      </c>
      <c r="AA31" s="1033" t="s">
        <v>903</v>
      </c>
      <c r="AB31" s="1033" t="s">
        <v>904</v>
      </c>
      <c r="AC31" s="1033"/>
      <c r="AD31" s="1033"/>
      <c r="AE31" s="1033"/>
      <c r="AF31" s="1033"/>
      <c r="AG31" s="1033" t="s">
        <v>903</v>
      </c>
      <c r="AH31" s="17"/>
      <c r="AI31" s="1033" t="s">
        <v>905</v>
      </c>
      <c r="AJ31" s="1033" t="s">
        <v>57</v>
      </c>
      <c r="AK31" s="1507" t="s">
        <v>208</v>
      </c>
      <c r="AL31" s="390" t="s">
        <v>277</v>
      </c>
      <c r="AM31" s="17"/>
      <c r="AN31" s="17"/>
      <c r="AO31" s="17"/>
      <c r="AP31" s="17"/>
      <c r="AQ31" s="17"/>
      <c r="AR31" s="17"/>
      <c r="AS31" s="17"/>
      <c r="AT31" s="17"/>
      <c r="AU31" s="17"/>
      <c r="AV31" s="17"/>
      <c r="AW31" s="17"/>
      <c r="AX31" s="17"/>
      <c r="AY31" s="17"/>
      <c r="AZ31" s="17"/>
      <c r="BA31" s="17"/>
      <c r="BB31" s="17"/>
      <c r="BC31" s="17"/>
      <c r="BD31" s="17"/>
      <c r="BE31" s="17"/>
      <c r="BF31" s="17"/>
    </row>
    <row r="32" spans="1:58" s="184" customFormat="1" ht="13" x14ac:dyDescent="0.3">
      <c r="A32" s="356"/>
      <c r="B32" s="356"/>
      <c r="C32" s="1514"/>
      <c r="D32" s="356"/>
      <c r="E32" s="356"/>
      <c r="F32" s="356"/>
      <c r="G32" s="321"/>
      <c r="H32" s="321"/>
      <c r="I32" s="143"/>
      <c r="J32" s="143"/>
      <c r="K32" s="143"/>
      <c r="L32" s="356"/>
      <c r="M32" s="356"/>
      <c r="N32" s="225"/>
      <c r="O32" s="137"/>
      <c r="P32" s="224"/>
      <c r="Q32" s="225"/>
      <c r="R32" s="143"/>
      <c r="S32" s="155"/>
      <c r="T32" s="137"/>
      <c r="U32" s="356"/>
      <c r="V32" s="1514"/>
      <c r="W32" s="356"/>
      <c r="X32" s="224"/>
      <c r="Y32" s="356"/>
      <c r="Z32" s="321"/>
      <c r="AA32" s="321"/>
      <c r="AB32" s="143"/>
      <c r="AC32" s="143"/>
      <c r="AD32" s="143"/>
      <c r="AE32" s="143"/>
      <c r="AF32" s="143"/>
      <c r="AG32" s="225"/>
      <c r="AH32" s="3"/>
      <c r="AI32" s="224"/>
      <c r="AJ32" s="225"/>
      <c r="AK32" s="143"/>
      <c r="AL32" s="155"/>
      <c r="AM32" s="3"/>
      <c r="AN32" s="3"/>
      <c r="AO32" s="3"/>
      <c r="AP32" s="3"/>
      <c r="AQ32" s="3"/>
      <c r="AR32" s="3"/>
      <c r="AS32" s="3"/>
      <c r="AT32" s="3"/>
      <c r="AU32" s="3"/>
      <c r="AV32" s="3"/>
      <c r="AW32" s="3"/>
      <c r="AX32" s="3"/>
      <c r="AY32" s="3"/>
      <c r="AZ32" s="3"/>
      <c r="BA32" s="3"/>
      <c r="BB32" s="3"/>
      <c r="BC32" s="3"/>
      <c r="BD32" s="3"/>
      <c r="BE32" s="3"/>
      <c r="BF32" s="3"/>
    </row>
    <row r="33" spans="1:58" s="184" customFormat="1" ht="17.149999999999999" customHeight="1" x14ac:dyDescent="0.3">
      <c r="A33" s="1038" t="s">
        <v>906</v>
      </c>
      <c r="B33" s="1039">
        <f>SUM(B34:B35)</f>
        <v>4950</v>
      </c>
      <c r="C33" s="1040"/>
      <c r="D33" s="1039"/>
      <c r="E33" s="1039"/>
      <c r="F33" s="1039">
        <f t="shared" ref="F33:N33" si="1">SUM(F34:F35)</f>
        <v>0</v>
      </c>
      <c r="G33" s="1039">
        <f t="shared" si="1"/>
        <v>0</v>
      </c>
      <c r="H33" s="1039">
        <f t="shared" si="1"/>
        <v>0</v>
      </c>
      <c r="I33" s="1039">
        <f t="shared" si="1"/>
        <v>4950</v>
      </c>
      <c r="J33" s="1039"/>
      <c r="K33" s="1039"/>
      <c r="L33" s="1039"/>
      <c r="M33" s="1039"/>
      <c r="N33" s="1039">
        <f t="shared" si="1"/>
        <v>4950</v>
      </c>
      <c r="O33" s="137"/>
      <c r="P33" s="1039">
        <f>SUM(P34:P35)</f>
        <v>0</v>
      </c>
      <c r="Q33" s="1039">
        <f>SUM(Q34:Q35)</f>
        <v>4950</v>
      </c>
      <c r="R33" s="1039">
        <f>SUM(R34:R35)</f>
        <v>4950</v>
      </c>
      <c r="S33" s="1518">
        <f>SUM(S34:S35)</f>
        <v>0</v>
      </c>
      <c r="T33" s="137"/>
      <c r="U33" s="1041">
        <f>SUM(U34:U35)</f>
        <v>185500</v>
      </c>
      <c r="V33" s="1041"/>
      <c r="W33" s="1041"/>
      <c r="X33" s="1041"/>
      <c r="Y33" s="1041">
        <f>SUM(Y34:Y35)</f>
        <v>0</v>
      </c>
      <c r="Z33" s="1041">
        <f>SUM(Z34:Z35)</f>
        <v>0</v>
      </c>
      <c r="AA33" s="1041">
        <f>SUM(AA34:AA35)</f>
        <v>0</v>
      </c>
      <c r="AB33" s="1042">
        <f>SUM(AB34:AB35)</f>
        <v>185500</v>
      </c>
      <c r="AC33" s="1042"/>
      <c r="AD33" s="1042"/>
      <c r="AE33" s="1042"/>
      <c r="AF33" s="1042"/>
      <c r="AG33" s="1042">
        <f>SUM(AG34:AG35)</f>
        <v>185500</v>
      </c>
      <c r="AH33" s="3"/>
      <c r="AI33" s="1041">
        <f>SUM(AI34:AI35)</f>
        <v>0</v>
      </c>
      <c r="AJ33" s="1041">
        <f>SUM(AJ34:AJ35)</f>
        <v>185500</v>
      </c>
      <c r="AK33" s="1041">
        <f>SUM(AK34:AK35)</f>
        <v>185500</v>
      </c>
      <c r="AL33" s="1518">
        <f>SUM(AL34:AL35)</f>
        <v>0</v>
      </c>
      <c r="AM33" s="3"/>
      <c r="AN33" s="3"/>
      <c r="AO33" s="3"/>
      <c r="AP33" s="3"/>
      <c r="AQ33" s="3"/>
      <c r="AR33" s="3"/>
      <c r="AS33" s="3"/>
      <c r="AT33" s="3"/>
      <c r="AU33" s="3"/>
      <c r="AV33" s="3"/>
      <c r="AW33" s="3"/>
      <c r="AX33" s="3"/>
      <c r="AY33" s="3"/>
      <c r="AZ33" s="3"/>
      <c r="BA33" s="3"/>
      <c r="BB33" s="3"/>
      <c r="BC33" s="3"/>
      <c r="BD33" s="3"/>
    </row>
    <row r="34" spans="1:58" s="1045" customFormat="1" ht="17.149999999999999" customHeight="1" x14ac:dyDescent="0.3">
      <c r="A34" s="155" t="s">
        <v>814</v>
      </c>
      <c r="B34" s="1522">
        <f>'FS_Capture volumes'!E92+'FS_Capture volumes'!E105</f>
        <v>0</v>
      </c>
      <c r="C34" s="1020"/>
      <c r="D34" s="956">
        <f>'User interface_RES'!K33</f>
        <v>0</v>
      </c>
      <c r="E34" s="1522"/>
      <c r="F34" s="1522">
        <f>B34*D34</f>
        <v>0</v>
      </c>
      <c r="G34" s="1522">
        <f>ROUND((F34*'User interface_RES'!O74)/25,0)*25</f>
        <v>0</v>
      </c>
      <c r="H34" s="1522">
        <f>F34-G34</f>
        <v>0</v>
      </c>
      <c r="I34" s="1522">
        <f>B34-F34</f>
        <v>0</v>
      </c>
      <c r="J34" s="999"/>
      <c r="K34" s="1522"/>
      <c r="L34" s="1522"/>
      <c r="M34" s="1522"/>
      <c r="N34" s="1522">
        <f>I34</f>
        <v>0</v>
      </c>
      <c r="O34" s="954"/>
      <c r="P34" s="1020"/>
      <c r="Q34" s="1020">
        <f>G34+H34+N34</f>
        <v>0</v>
      </c>
      <c r="R34" s="368">
        <f>SUM(P34:Q34)</f>
        <v>0</v>
      </c>
      <c r="S34" s="1518">
        <f>B34-R34</f>
        <v>0</v>
      </c>
      <c r="T34" s="954"/>
      <c r="U34" s="1522">
        <f>'FS_Capture volumes'!F92+'FS_Capture volumes'!F105</f>
        <v>0</v>
      </c>
      <c r="V34" s="1020"/>
      <c r="W34" s="956">
        <f>'User interface_RES'!K55</f>
        <v>0</v>
      </c>
      <c r="X34" s="1522"/>
      <c r="Y34" s="1522">
        <f>U34*W34</f>
        <v>0</v>
      </c>
      <c r="Z34" s="1522">
        <f>ROUND((Y34*'User interface_RES'!O74)/25,0)*25</f>
        <v>0</v>
      </c>
      <c r="AA34" s="1522">
        <f>Y34-Z34</f>
        <v>0</v>
      </c>
      <c r="AB34" s="1522">
        <f>U34-Y34</f>
        <v>0</v>
      </c>
      <c r="AC34" s="999"/>
      <c r="AD34" s="1522"/>
      <c r="AE34" s="1522"/>
      <c r="AF34" s="1522"/>
      <c r="AG34" s="1522">
        <f>AB34</f>
        <v>0</v>
      </c>
      <c r="AH34" s="954"/>
      <c r="AI34" s="1020"/>
      <c r="AJ34" s="1020">
        <f>Z34+AA34+AG34</f>
        <v>0</v>
      </c>
      <c r="AK34" s="368">
        <f>SUM(AI34:AJ34)</f>
        <v>0</v>
      </c>
      <c r="AL34" s="1518">
        <f>U34-AK34</f>
        <v>0</v>
      </c>
      <c r="AM34" s="60"/>
      <c r="AN34" s="60"/>
      <c r="AO34" s="60"/>
      <c r="AP34" s="60"/>
      <c r="AQ34" s="60"/>
      <c r="AR34" s="60"/>
      <c r="AS34" s="60"/>
      <c r="AT34" s="60"/>
      <c r="AU34" s="60"/>
      <c r="AV34" s="60"/>
      <c r="AW34" s="60"/>
      <c r="AX34" s="60"/>
      <c r="AY34" s="60"/>
      <c r="AZ34" s="60"/>
      <c r="BA34" s="60"/>
      <c r="BB34" s="60"/>
      <c r="BC34" s="60"/>
      <c r="BD34" s="60"/>
    </row>
    <row r="35" spans="1:58" s="1045" customFormat="1" ht="17.149999999999999" customHeight="1" x14ac:dyDescent="0.3">
      <c r="A35" s="155" t="s">
        <v>815</v>
      </c>
      <c r="B35" s="1522">
        <f>'FS_Capture volumes'!E93+'FS_Capture volumes'!E106</f>
        <v>4950</v>
      </c>
      <c r="C35" s="1020"/>
      <c r="D35" s="956">
        <f>D34</f>
        <v>0</v>
      </c>
      <c r="E35" s="1522"/>
      <c r="F35" s="1522">
        <f>B35*D35</f>
        <v>0</v>
      </c>
      <c r="G35" s="1522">
        <f>ROUND((F35*'User interface_RES'!O75)/25,0)*25</f>
        <v>0</v>
      </c>
      <c r="H35" s="1522">
        <f>F35-G35</f>
        <v>0</v>
      </c>
      <c r="I35" s="1522">
        <f>B35-F35</f>
        <v>4950</v>
      </c>
      <c r="J35" s="999"/>
      <c r="K35" s="1522"/>
      <c r="L35" s="1522"/>
      <c r="M35" s="1522"/>
      <c r="N35" s="1522">
        <f>I35</f>
        <v>4950</v>
      </c>
      <c r="O35" s="954"/>
      <c r="P35" s="1020"/>
      <c r="Q35" s="1020">
        <f>G35+H35+N35</f>
        <v>4950</v>
      </c>
      <c r="R35" s="368">
        <f>SUM(P35:Q35)</f>
        <v>4950</v>
      </c>
      <c r="S35" s="1518">
        <f>B35-R35</f>
        <v>0</v>
      </c>
      <c r="T35" s="954"/>
      <c r="U35" s="1522">
        <f>'FS_Capture volumes'!F93+'FS_Capture volumes'!F106</f>
        <v>185500</v>
      </c>
      <c r="V35" s="1020"/>
      <c r="W35" s="956">
        <f>W34</f>
        <v>0</v>
      </c>
      <c r="X35" s="1522"/>
      <c r="Y35" s="1522">
        <f>U35*W35</f>
        <v>0</v>
      </c>
      <c r="Z35" s="1522">
        <f>ROUND((Y35*'User interface_RES'!O75)/25,0)*25</f>
        <v>0</v>
      </c>
      <c r="AA35" s="1522">
        <f>Y35-Z35</f>
        <v>0</v>
      </c>
      <c r="AB35" s="1522">
        <f>U35-Y35</f>
        <v>185500</v>
      </c>
      <c r="AC35" s="999"/>
      <c r="AD35" s="1522"/>
      <c r="AE35" s="1522"/>
      <c r="AF35" s="1522"/>
      <c r="AG35" s="1522">
        <f>AB35</f>
        <v>185500</v>
      </c>
      <c r="AH35" s="954"/>
      <c r="AI35" s="1020"/>
      <c r="AJ35" s="1020">
        <f>Z35+AA35+AG35</f>
        <v>185500</v>
      </c>
      <c r="AK35" s="368">
        <f>SUM(AI35:AJ35)</f>
        <v>185500</v>
      </c>
      <c r="AL35" s="1518">
        <f>U35-AK35</f>
        <v>0</v>
      </c>
      <c r="AM35" s="60"/>
      <c r="AN35" s="60"/>
      <c r="AO35" s="60"/>
      <c r="AP35" s="60"/>
      <c r="AQ35" s="60"/>
      <c r="AR35" s="60"/>
      <c r="AS35" s="60"/>
      <c r="AT35" s="60"/>
      <c r="AU35" s="60"/>
      <c r="AV35" s="60"/>
      <c r="AW35" s="60"/>
      <c r="AX35" s="60"/>
      <c r="AY35" s="60"/>
      <c r="AZ35" s="60"/>
      <c r="BA35" s="60"/>
      <c r="BB35" s="60"/>
      <c r="BC35" s="60"/>
      <c r="BD35" s="60"/>
    </row>
    <row r="36" spans="1:58" s="27" customFormat="1" ht="17.149999999999999" customHeight="1" x14ac:dyDescent="0.3">
      <c r="A36" s="1036" t="s">
        <v>361</v>
      </c>
      <c r="B36" s="1037">
        <f>B33</f>
        <v>4950</v>
      </c>
      <c r="C36" s="1037"/>
      <c r="D36" s="1037"/>
      <c r="E36" s="1037"/>
      <c r="F36" s="1037">
        <f>F33</f>
        <v>0</v>
      </c>
      <c r="G36" s="1037">
        <f>G33</f>
        <v>0</v>
      </c>
      <c r="H36" s="1037">
        <f>H33</f>
        <v>0</v>
      </c>
      <c r="I36" s="1037">
        <f>I33</f>
        <v>4950</v>
      </c>
      <c r="J36" s="1037"/>
      <c r="K36" s="1037"/>
      <c r="L36" s="1037"/>
      <c r="M36" s="1037"/>
      <c r="N36" s="1037">
        <f>N33</f>
        <v>4950</v>
      </c>
      <c r="O36" s="137"/>
      <c r="P36" s="1037">
        <f>P33</f>
        <v>0</v>
      </c>
      <c r="Q36" s="1037">
        <f>Q33</f>
        <v>4950</v>
      </c>
      <c r="R36" s="1037">
        <f>R33</f>
        <v>4950</v>
      </c>
      <c r="S36" s="1518">
        <f>B36-R36</f>
        <v>0</v>
      </c>
      <c r="T36" s="137"/>
      <c r="U36" s="1034">
        <f>U33</f>
        <v>185500</v>
      </c>
      <c r="V36" s="1034"/>
      <c r="W36" s="1034"/>
      <c r="X36" s="1034"/>
      <c r="Y36" s="1034">
        <f t="shared" ref="Y36:AK36" si="2">Y33</f>
        <v>0</v>
      </c>
      <c r="Z36" s="1034">
        <f t="shared" si="2"/>
        <v>0</v>
      </c>
      <c r="AA36" s="1034">
        <f t="shared" si="2"/>
        <v>0</v>
      </c>
      <c r="AB36" s="1034">
        <f t="shared" si="2"/>
        <v>185500</v>
      </c>
      <c r="AC36" s="1034"/>
      <c r="AD36" s="1034"/>
      <c r="AE36" s="1034"/>
      <c r="AF36" s="1034"/>
      <c r="AG36" s="1034">
        <f t="shared" si="2"/>
        <v>185500</v>
      </c>
      <c r="AH36" s="12"/>
      <c r="AI36" s="1034">
        <f t="shared" si="2"/>
        <v>0</v>
      </c>
      <c r="AJ36" s="1034">
        <f t="shared" si="2"/>
        <v>185500</v>
      </c>
      <c r="AK36" s="1034">
        <f t="shared" si="2"/>
        <v>185500</v>
      </c>
      <c r="AL36" s="1518">
        <f>U36-AK36</f>
        <v>0</v>
      </c>
      <c r="AM36" s="12"/>
      <c r="AN36" s="12"/>
      <c r="AO36" s="12"/>
      <c r="AP36" s="12"/>
      <c r="AQ36" s="12"/>
      <c r="AR36" s="12"/>
      <c r="AS36" s="12"/>
      <c r="AT36" s="12"/>
      <c r="AU36" s="12"/>
      <c r="AV36" s="12"/>
      <c r="AW36" s="12"/>
      <c r="AX36" s="12"/>
      <c r="AY36" s="12"/>
      <c r="AZ36" s="12"/>
      <c r="BA36" s="12"/>
      <c r="BB36" s="12"/>
      <c r="BC36" s="12"/>
      <c r="BD36" s="12"/>
    </row>
    <row r="37" spans="1:58" s="184" customFormat="1" ht="17.149999999999999" customHeight="1" x14ac:dyDescent="0.3">
      <c r="A37" s="122"/>
      <c r="B37" s="172">
        <f>IF(B36=0,0,B36/B36)</f>
        <v>1</v>
      </c>
      <c r="C37" s="370"/>
      <c r="D37" s="172"/>
      <c r="E37" s="172"/>
      <c r="F37" s="172">
        <f>IF(B36=0,0,F36/B36)</f>
        <v>0</v>
      </c>
      <c r="G37" s="172"/>
      <c r="H37" s="172"/>
      <c r="I37" s="172">
        <f>IF(B36=0,0,I36/B36)</f>
        <v>1</v>
      </c>
      <c r="J37" s="172"/>
      <c r="K37" s="172"/>
      <c r="L37" s="172"/>
      <c r="M37" s="143"/>
      <c r="N37" s="143"/>
      <c r="O37" s="3"/>
      <c r="P37" s="172">
        <f>IF(B36=0,0,P36/B36)</f>
        <v>0</v>
      </c>
      <c r="Q37" s="370">
        <f>IF(B36=0,0,Q36/B36)</f>
        <v>1</v>
      </c>
      <c r="R37" s="370">
        <f>IF(B36=0,0,R36/B36)</f>
        <v>1</v>
      </c>
      <c r="S37" s="391"/>
      <c r="T37" s="137"/>
      <c r="U37" s="172">
        <f>IF(U36=0,0,U36/U36)</f>
        <v>1</v>
      </c>
      <c r="V37" s="370"/>
      <c r="W37" s="172"/>
      <c r="X37" s="172"/>
      <c r="Y37" s="172">
        <f>IF(U36=0,0,Y36/U36)</f>
        <v>0</v>
      </c>
      <c r="Z37" s="172"/>
      <c r="AA37" s="172"/>
      <c r="AB37" s="172">
        <f>IF(U36=0,0,AB36/U36)</f>
        <v>1</v>
      </c>
      <c r="AC37" s="172"/>
      <c r="AD37" s="172"/>
      <c r="AE37" s="172"/>
      <c r="AF37" s="143"/>
      <c r="AG37" s="143"/>
      <c r="AH37" s="3"/>
      <c r="AI37" s="172">
        <f>IF(U36=0,0,AI36/U36)</f>
        <v>0</v>
      </c>
      <c r="AJ37" s="370">
        <f>IF(U36=0,0,AJ36/U36)</f>
        <v>1</v>
      </c>
      <c r="AK37" s="370">
        <f>IF(U36=0,0,AK36/U36)</f>
        <v>1</v>
      </c>
      <c r="AL37" s="391"/>
      <c r="AM37" s="3"/>
      <c r="AN37" s="3"/>
      <c r="AO37" s="3"/>
      <c r="AP37" s="3"/>
      <c r="AQ37" s="3"/>
      <c r="AR37" s="3"/>
      <c r="AS37" s="3"/>
      <c r="AT37" s="3"/>
      <c r="AU37" s="3"/>
      <c r="AV37" s="3"/>
      <c r="AW37" s="3"/>
      <c r="AX37" s="3"/>
      <c r="AY37" s="3"/>
      <c r="AZ37" s="3"/>
      <c r="BA37" s="3"/>
      <c r="BB37" s="3"/>
      <c r="BC37" s="3"/>
      <c r="BD37" s="3"/>
      <c r="BE37" s="3"/>
    </row>
    <row r="38" spans="1:58" s="184" customFormat="1" ht="17.149999999999999" customHeight="1" x14ac:dyDescent="0.3">
      <c r="A38" s="122"/>
      <c r="F38" s="454">
        <f>IF(F36=0,0,F36/F36)</f>
        <v>0</v>
      </c>
      <c r="G38" s="172">
        <f>IF(F36=0,0,G36/F36)</f>
        <v>0</v>
      </c>
      <c r="H38" s="172">
        <f>IF(F36=0,0,H36/F36)</f>
        <v>0</v>
      </c>
      <c r="I38" s="3"/>
      <c r="J38" s="3"/>
      <c r="K38" s="3"/>
      <c r="L38" s="3"/>
      <c r="M38" s="3"/>
      <c r="N38" s="3"/>
      <c r="O38" s="3"/>
      <c r="T38" s="137"/>
      <c r="Y38" s="454">
        <f>IF(Y36=0,0,Y36/Y36)</f>
        <v>0</v>
      </c>
      <c r="Z38" s="172">
        <f>IF(Y36=0,0,Z36/Y36)</f>
        <v>0</v>
      </c>
      <c r="AA38" s="454">
        <f>IF(Y36=0,0,AA36/Y36)</f>
        <v>0</v>
      </c>
      <c r="AB38" s="3"/>
      <c r="AC38" s="3"/>
      <c r="AD38" s="3"/>
      <c r="AE38" s="3"/>
      <c r="AF38" s="3"/>
      <c r="AG38" s="3"/>
      <c r="AH38" s="3"/>
      <c r="AL38" s="3"/>
      <c r="AM38" s="3"/>
      <c r="AN38" s="3"/>
      <c r="AO38" s="3"/>
      <c r="AP38" s="3"/>
      <c r="AQ38" s="3"/>
      <c r="AR38" s="3"/>
      <c r="AS38" s="3"/>
      <c r="AT38" s="3"/>
      <c r="AU38" s="3"/>
      <c r="AV38" s="3"/>
      <c r="AW38" s="3"/>
      <c r="AX38" s="3"/>
      <c r="AY38" s="3"/>
      <c r="AZ38" s="3"/>
      <c r="BA38" s="3"/>
      <c r="BB38" s="3"/>
    </row>
    <row r="39" spans="1:58" s="27" customFormat="1" ht="17.149999999999999" customHeight="1" x14ac:dyDescent="0.35">
      <c r="A39" s="120"/>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row>
    <row r="40" spans="1:58" s="27" customFormat="1" ht="17.149999999999999" customHeight="1" x14ac:dyDescent="0.35">
      <c r="A40" s="120"/>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row>
    <row r="41" spans="1:58" s="140" customFormat="1" ht="17.149999999999999" customHeight="1" x14ac:dyDescent="0.35">
      <c r="A41" s="949" t="s">
        <v>907</v>
      </c>
      <c r="B41" s="1776" t="s">
        <v>9</v>
      </c>
      <c r="C41" s="1776"/>
      <c r="D41" s="1776"/>
      <c r="E41" s="1776"/>
      <c r="F41" s="1776"/>
      <c r="G41" s="1776"/>
      <c r="H41" s="1776"/>
      <c r="I41" s="1776"/>
      <c r="J41" s="1776"/>
      <c r="K41" s="1776"/>
      <c r="L41" s="1776"/>
      <c r="M41" s="1776"/>
      <c r="N41" s="1776"/>
      <c r="O41" s="17"/>
      <c r="P41" s="1777" t="s">
        <v>9</v>
      </c>
      <c r="Q41" s="1777"/>
      <c r="R41" s="1777"/>
      <c r="S41" s="115"/>
      <c r="T41" s="115"/>
      <c r="U41" s="1778" t="s">
        <v>253</v>
      </c>
      <c r="V41" s="1778"/>
      <c r="W41" s="1778"/>
      <c r="X41" s="1778"/>
      <c r="Y41" s="1778"/>
      <c r="Z41" s="1778"/>
      <c r="AA41" s="1778"/>
      <c r="AB41" s="1778"/>
      <c r="AC41" s="1778"/>
      <c r="AD41" s="1778"/>
      <c r="AE41" s="1778"/>
      <c r="AF41" s="1778"/>
      <c r="AG41" s="1778"/>
      <c r="AH41" s="115"/>
      <c r="AI41" s="1779" t="s">
        <v>253</v>
      </c>
      <c r="AJ41" s="1779"/>
      <c r="AK41" s="1779"/>
      <c r="AL41" s="115"/>
      <c r="AM41" s="115"/>
      <c r="AN41" s="115"/>
      <c r="AO41" s="115"/>
      <c r="AP41" s="115"/>
      <c r="AQ41" s="115"/>
      <c r="AR41" s="115"/>
      <c r="AS41" s="115"/>
      <c r="AT41" s="115"/>
      <c r="AU41" s="115"/>
      <c r="AV41" s="115"/>
      <c r="AW41" s="115"/>
      <c r="AX41" s="115"/>
      <c r="AY41" s="115"/>
      <c r="AZ41" s="115"/>
      <c r="BA41" s="115"/>
      <c r="BB41" s="115"/>
    </row>
    <row r="42" spans="1:58" s="27" customFormat="1" ht="17.149999999999999" customHeight="1" x14ac:dyDescent="0.35">
      <c r="A42" s="371"/>
      <c r="F42" s="17"/>
      <c r="G42" s="17"/>
      <c r="H42" s="17"/>
      <c r="I42" s="17"/>
      <c r="J42" s="17"/>
      <c r="K42" s="17"/>
      <c r="L42" s="17"/>
      <c r="M42" s="17"/>
      <c r="N42" s="17"/>
      <c r="O42" s="17"/>
      <c r="P42" s="17"/>
      <c r="Q42" s="17"/>
      <c r="R42" s="115"/>
      <c r="S42" s="115"/>
      <c r="T42" s="17"/>
      <c r="W42" s="17"/>
      <c r="X42" s="17"/>
      <c r="Y42" s="95"/>
      <c r="Z42" s="10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row>
    <row r="43" spans="1:58" s="27" customFormat="1" ht="17.149999999999999" customHeight="1" x14ac:dyDescent="0.35">
      <c r="A43" s="191"/>
      <c r="B43" s="166"/>
      <c r="C43" s="1780" t="s">
        <v>908</v>
      </c>
      <c r="D43" s="1780"/>
      <c r="E43" s="1780"/>
      <c r="F43" s="1780"/>
      <c r="G43" s="1780"/>
      <c r="H43" s="1780"/>
      <c r="I43" s="1781" t="s">
        <v>909</v>
      </c>
      <c r="J43" s="1782"/>
      <c r="K43" s="1782"/>
      <c r="L43" s="1782"/>
      <c r="M43" s="1782"/>
      <c r="N43" s="1783"/>
      <c r="O43" s="17"/>
      <c r="P43" s="1784" t="s">
        <v>898</v>
      </c>
      <c r="Q43" s="1784"/>
      <c r="R43" s="1784"/>
      <c r="S43" s="309"/>
      <c r="T43" s="17"/>
      <c r="U43" s="1794" t="s">
        <v>908</v>
      </c>
      <c r="V43" s="1794"/>
      <c r="W43" s="1794"/>
      <c r="X43" s="1794"/>
      <c r="Y43" s="1794"/>
      <c r="Z43" s="1794"/>
      <c r="AA43" s="1794"/>
      <c r="AB43" s="1794" t="s">
        <v>910</v>
      </c>
      <c r="AC43" s="1794"/>
      <c r="AD43" s="1794"/>
      <c r="AE43" s="1794"/>
      <c r="AF43" s="1794"/>
      <c r="AG43" s="1794"/>
      <c r="AH43" s="17"/>
      <c r="AI43" s="1789" t="s">
        <v>898</v>
      </c>
      <c r="AJ43" s="1789"/>
      <c r="AK43" s="1789"/>
      <c r="AL43" s="300"/>
      <c r="AM43" s="17"/>
      <c r="AN43" s="17"/>
      <c r="AO43" s="17"/>
      <c r="AP43" s="17"/>
      <c r="AQ43" s="17"/>
      <c r="AR43" s="17"/>
      <c r="AS43" s="17"/>
      <c r="AT43" s="17"/>
      <c r="AU43" s="17"/>
      <c r="AV43" s="17"/>
      <c r="AW43" s="17"/>
      <c r="AX43" s="17"/>
      <c r="AY43" s="17"/>
      <c r="AZ43" s="17"/>
      <c r="BA43" s="17"/>
      <c r="BB43" s="17"/>
    </row>
    <row r="44" spans="1:58" s="27" customFormat="1" ht="58" x14ac:dyDescent="0.3">
      <c r="A44" s="355"/>
      <c r="B44" s="1511" t="s">
        <v>899</v>
      </c>
      <c r="C44" s="1513" t="s">
        <v>911</v>
      </c>
      <c r="D44" s="1511" t="s">
        <v>912</v>
      </c>
      <c r="E44" s="1511" t="s">
        <v>905</v>
      </c>
      <c r="F44" s="1511" t="s">
        <v>913</v>
      </c>
      <c r="G44" s="1511" t="s">
        <v>902</v>
      </c>
      <c r="H44" s="1511" t="s">
        <v>914</v>
      </c>
      <c r="I44" s="1511" t="s">
        <v>915</v>
      </c>
      <c r="J44" s="1511" t="s">
        <v>912</v>
      </c>
      <c r="K44" s="1511" t="s">
        <v>905</v>
      </c>
      <c r="L44" s="1511" t="s">
        <v>57</v>
      </c>
      <c r="M44" s="1511" t="s">
        <v>902</v>
      </c>
      <c r="N44" s="1511" t="s">
        <v>903</v>
      </c>
      <c r="O44" s="137"/>
      <c r="P44" s="1511" t="s">
        <v>905</v>
      </c>
      <c r="Q44" s="1511" t="s">
        <v>57</v>
      </c>
      <c r="R44" s="1506" t="s">
        <v>208</v>
      </c>
      <c r="S44" s="390" t="s">
        <v>277</v>
      </c>
      <c r="T44" s="137"/>
      <c r="U44" s="1033" t="s">
        <v>916</v>
      </c>
      <c r="V44" s="1033" t="s">
        <v>911</v>
      </c>
      <c r="W44" s="1033" t="s">
        <v>912</v>
      </c>
      <c r="X44" s="1033" t="s">
        <v>905</v>
      </c>
      <c r="Y44" s="1033" t="s">
        <v>57</v>
      </c>
      <c r="Z44" s="1033" t="s">
        <v>902</v>
      </c>
      <c r="AA44" s="1033" t="s">
        <v>917</v>
      </c>
      <c r="AB44" s="1033" t="s">
        <v>915</v>
      </c>
      <c r="AC44" s="1033" t="s">
        <v>912</v>
      </c>
      <c r="AD44" s="1033" t="s">
        <v>905</v>
      </c>
      <c r="AE44" s="1033" t="s">
        <v>57</v>
      </c>
      <c r="AF44" s="1033" t="s">
        <v>902</v>
      </c>
      <c r="AG44" s="1033" t="s">
        <v>903</v>
      </c>
      <c r="AH44" s="17"/>
      <c r="AI44" s="1033" t="s">
        <v>905</v>
      </c>
      <c r="AJ44" s="1033" t="s">
        <v>57</v>
      </c>
      <c r="AK44" s="1507" t="s">
        <v>208</v>
      </c>
      <c r="AL44" s="390" t="s">
        <v>277</v>
      </c>
      <c r="AM44" s="17"/>
      <c r="AN44" s="17"/>
      <c r="AO44" s="17"/>
      <c r="AP44" s="17"/>
      <c r="AQ44" s="17"/>
      <c r="AR44" s="17"/>
      <c r="AS44" s="17"/>
      <c r="AT44" s="17"/>
      <c r="AU44" s="17"/>
      <c r="AV44" s="17"/>
      <c r="AW44" s="17"/>
      <c r="AX44" s="17"/>
      <c r="AY44" s="17"/>
      <c r="AZ44" s="17"/>
      <c r="BA44" s="17"/>
      <c r="BB44" s="17"/>
      <c r="BC44" s="17"/>
      <c r="BD44" s="17"/>
      <c r="BE44" s="17"/>
      <c r="BF44" s="17"/>
    </row>
    <row r="45" spans="1:58" s="184" customFormat="1" ht="13" x14ac:dyDescent="0.3">
      <c r="A45" s="356"/>
      <c r="B45" s="356"/>
      <c r="C45" s="1514"/>
      <c r="D45" s="356"/>
      <c r="E45" s="224"/>
      <c r="F45" s="356"/>
      <c r="G45" s="321"/>
      <c r="H45" s="383"/>
      <c r="I45" s="143"/>
      <c r="J45" s="143"/>
      <c r="K45" s="224"/>
      <c r="L45" s="356"/>
      <c r="M45" s="225"/>
      <c r="N45" s="225"/>
      <c r="O45" s="137"/>
      <c r="P45" s="224"/>
      <c r="Q45" s="225"/>
      <c r="R45" s="143"/>
      <c r="S45" s="155"/>
      <c r="T45" s="137"/>
      <c r="U45" s="356"/>
      <c r="V45" s="1514"/>
      <c r="W45" s="356"/>
      <c r="X45" s="224"/>
      <c r="Y45" s="356"/>
      <c r="Z45" s="321"/>
      <c r="AA45" s="383"/>
      <c r="AB45" s="143"/>
      <c r="AC45" s="143"/>
      <c r="AD45" s="224"/>
      <c r="AE45" s="356"/>
      <c r="AF45" s="225"/>
      <c r="AG45" s="225"/>
      <c r="AH45" s="3"/>
      <c r="AI45" s="224"/>
      <c r="AJ45" s="225"/>
      <c r="AK45" s="143"/>
      <c r="AL45" s="155"/>
      <c r="AM45" s="3"/>
      <c r="AN45" s="3"/>
      <c r="AO45" s="3"/>
      <c r="AP45" s="3"/>
      <c r="AQ45" s="3"/>
      <c r="AR45" s="3"/>
      <c r="AS45" s="3"/>
      <c r="AT45" s="3"/>
      <c r="AU45" s="3"/>
      <c r="AV45" s="3"/>
      <c r="AW45" s="3"/>
      <c r="AX45" s="3"/>
      <c r="AY45" s="3"/>
      <c r="AZ45" s="3"/>
      <c r="BA45" s="3"/>
      <c r="BB45" s="3"/>
      <c r="BC45" s="3"/>
      <c r="BD45" s="3"/>
      <c r="BE45" s="3"/>
      <c r="BF45" s="3"/>
    </row>
    <row r="46" spans="1:58" s="184" customFormat="1" ht="17.149999999999999" customHeight="1" x14ac:dyDescent="0.3">
      <c r="A46" s="1038" t="s">
        <v>434</v>
      </c>
      <c r="B46" s="1039">
        <f>SUM(B47:B48)</f>
        <v>0</v>
      </c>
      <c r="C46" s="1040">
        <f>SUM(C47:C48)</f>
        <v>0</v>
      </c>
      <c r="D46" s="1039"/>
      <c r="E46" s="1039">
        <f>SUM(E47:E48)</f>
        <v>0</v>
      </c>
      <c r="F46" s="1039">
        <f t="shared" ref="F46:N46" si="3">SUM(F47:F48)</f>
        <v>0</v>
      </c>
      <c r="G46" s="1039">
        <f t="shared" si="3"/>
        <v>0</v>
      </c>
      <c r="H46" s="1039">
        <f t="shared" si="3"/>
        <v>0</v>
      </c>
      <c r="I46" s="1039">
        <f t="shared" si="3"/>
        <v>0</v>
      </c>
      <c r="J46" s="1039">
        <f t="shared" si="3"/>
        <v>0</v>
      </c>
      <c r="K46" s="1039">
        <f t="shared" si="3"/>
        <v>0</v>
      </c>
      <c r="L46" s="1039">
        <f t="shared" si="3"/>
        <v>0</v>
      </c>
      <c r="M46" s="1039">
        <f t="shared" si="3"/>
        <v>0</v>
      </c>
      <c r="N46" s="1039">
        <f t="shared" si="3"/>
        <v>0</v>
      </c>
      <c r="O46" s="137"/>
      <c r="P46" s="1039">
        <f>SUM(P47:P48)</f>
        <v>0</v>
      </c>
      <c r="Q46" s="1039">
        <f>SUM(Q47:Q48)</f>
        <v>0</v>
      </c>
      <c r="R46" s="1039">
        <f>SUM(R47:R48)</f>
        <v>0</v>
      </c>
      <c r="S46" s="1518">
        <f>SUM(S47:S48)</f>
        <v>0</v>
      </c>
      <c r="T46" s="137"/>
      <c r="U46" s="1041">
        <f>SUM(U47:U48)</f>
        <v>0</v>
      </c>
      <c r="V46" s="1041">
        <f>SUM(V47:V48)</f>
        <v>0</v>
      </c>
      <c r="W46" s="1041"/>
      <c r="X46" s="1041">
        <f>SUM(X47:X48)</f>
        <v>0</v>
      </c>
      <c r="Y46" s="1041">
        <f t="shared" ref="Y46:AG46" si="4">SUM(Y47:Y48)</f>
        <v>0</v>
      </c>
      <c r="Z46" s="1041">
        <f t="shared" si="4"/>
        <v>0</v>
      </c>
      <c r="AA46" s="1041">
        <f t="shared" si="4"/>
        <v>0</v>
      </c>
      <c r="AB46" s="1042">
        <f t="shared" si="4"/>
        <v>0</v>
      </c>
      <c r="AC46" s="1042"/>
      <c r="AD46" s="1042">
        <f t="shared" si="4"/>
        <v>0</v>
      </c>
      <c r="AE46" s="1042">
        <f t="shared" si="4"/>
        <v>0</v>
      </c>
      <c r="AF46" s="1042">
        <f t="shared" si="4"/>
        <v>0</v>
      </c>
      <c r="AG46" s="1042">
        <f t="shared" si="4"/>
        <v>0</v>
      </c>
      <c r="AH46" s="3"/>
      <c r="AI46" s="1041">
        <f>SUM(AI47:AI48)</f>
        <v>0</v>
      </c>
      <c r="AJ46" s="1041">
        <f>SUM(AJ47:AJ48)</f>
        <v>0</v>
      </c>
      <c r="AK46" s="1041">
        <f>SUM(AK47:AK48)</f>
        <v>0</v>
      </c>
      <c r="AL46" s="1518">
        <f>SUM(AL47:AL48)</f>
        <v>0</v>
      </c>
      <c r="AM46" s="3"/>
      <c r="AN46" s="3"/>
      <c r="AO46" s="3"/>
      <c r="AP46" s="3"/>
      <c r="AQ46" s="3"/>
      <c r="AR46" s="3"/>
      <c r="AS46" s="3"/>
      <c r="AT46" s="3"/>
      <c r="AU46" s="3"/>
      <c r="AV46" s="3"/>
      <c r="AW46" s="3"/>
      <c r="AX46" s="3"/>
      <c r="AY46" s="3"/>
      <c r="AZ46" s="3"/>
      <c r="BA46" s="3"/>
      <c r="BB46" s="3"/>
      <c r="BC46" s="3"/>
      <c r="BD46" s="3"/>
    </row>
    <row r="47" spans="1:58" s="1045" customFormat="1" ht="17.149999999999999" customHeight="1" x14ac:dyDescent="0.3">
      <c r="A47" s="155" t="s">
        <v>817</v>
      </c>
      <c r="B47" s="1522">
        <f>'FS_Capture volumes'!E95</f>
        <v>0</v>
      </c>
      <c r="C47" s="1020">
        <v>0</v>
      </c>
      <c r="D47" s="956">
        <f>'User interface_RES'!L10</f>
        <v>0</v>
      </c>
      <c r="E47" s="1522">
        <f>ROUND((C47*D47)/25,0)*25</f>
        <v>0</v>
      </c>
      <c r="F47" s="1522">
        <f>C47-E47</f>
        <v>0</v>
      </c>
      <c r="G47" s="1522">
        <f>ROUND((F47*'User interface_RES'!O77)/25,0)*25</f>
        <v>0</v>
      </c>
      <c r="H47" s="1522">
        <f>F47-G47</f>
        <v>0</v>
      </c>
      <c r="I47" s="1522">
        <f>B47-C47</f>
        <v>0</v>
      </c>
      <c r="J47" s="999">
        <f>D47</f>
        <v>0</v>
      </c>
      <c r="K47" s="1522">
        <f>ROUND((I47*J47)/25,0)*25</f>
        <v>0</v>
      </c>
      <c r="L47" s="1522">
        <f>I47-K47</f>
        <v>0</v>
      </c>
      <c r="M47" s="1522">
        <f>ROUND((L47*'User interface_RES'!O77)/25,0)*25</f>
        <v>0</v>
      </c>
      <c r="N47" s="1522">
        <f>L47-M47</f>
        <v>0</v>
      </c>
      <c r="O47" s="954"/>
      <c r="P47" s="1020">
        <f>E47+H47+K47</f>
        <v>0</v>
      </c>
      <c r="Q47" s="1020">
        <f>G47+L47</f>
        <v>0</v>
      </c>
      <c r="R47" s="368">
        <f>SUM(P47:Q47)</f>
        <v>0</v>
      </c>
      <c r="S47" s="1518">
        <f>B47-R47</f>
        <v>0</v>
      </c>
      <c r="T47" s="954"/>
      <c r="U47" s="1522">
        <f>'FS_Capture volumes'!F95</f>
        <v>0</v>
      </c>
      <c r="V47" s="1522">
        <v>0</v>
      </c>
      <c r="W47" s="999">
        <f>'User interface_RES'!L56</f>
        <v>0</v>
      </c>
      <c r="X47" s="1522">
        <f>ROUND((V47*W47)/25,0)*25</f>
        <v>0</v>
      </c>
      <c r="Y47" s="1522">
        <f>ROUND((V47-X47)/25,0)*25</f>
        <v>0</v>
      </c>
      <c r="Z47" s="1522">
        <f>ROUND((Y47*'User interface_RES'!O77)/25,0)*25</f>
        <v>0</v>
      </c>
      <c r="AA47" s="1522">
        <f>Y47-Z47</f>
        <v>0</v>
      </c>
      <c r="AB47" s="1020">
        <f>U47-V47</f>
        <v>0</v>
      </c>
      <c r="AC47" s="964">
        <f>W47</f>
        <v>0</v>
      </c>
      <c r="AD47" s="1020">
        <f>ROUND((AB47*AC47)/25,0)*25</f>
        <v>0</v>
      </c>
      <c r="AE47" s="1020">
        <f>ROUND((AB47-AD47)/25,0)*25</f>
        <v>0</v>
      </c>
      <c r="AF47" s="1020">
        <f>ROUND((AE47*'User interface_RES'!O77)/25,0)*25</f>
        <v>0</v>
      </c>
      <c r="AG47" s="1020">
        <f>AE47-AF47</f>
        <v>0</v>
      </c>
      <c r="AH47" s="60"/>
      <c r="AI47" s="1020">
        <f>X47+AA47+AD47</f>
        <v>0</v>
      </c>
      <c r="AJ47" s="1020">
        <f>Z47+AE47</f>
        <v>0</v>
      </c>
      <c r="AK47" s="1518">
        <f>SUM(AI47:AJ47)</f>
        <v>0</v>
      </c>
      <c r="AL47" s="1518">
        <f>U47-AK47</f>
        <v>0</v>
      </c>
      <c r="AM47" s="60"/>
      <c r="AN47" s="60"/>
      <c r="AO47" s="60"/>
      <c r="AP47" s="60"/>
      <c r="AQ47" s="60"/>
      <c r="AR47" s="60"/>
      <c r="AS47" s="60"/>
      <c r="AT47" s="60"/>
      <c r="AU47" s="60"/>
      <c r="AV47" s="60"/>
      <c r="AW47" s="60"/>
      <c r="AX47" s="60"/>
      <c r="AY47" s="60"/>
      <c r="AZ47" s="60"/>
      <c r="BA47" s="60"/>
      <c r="BB47" s="60"/>
      <c r="BC47" s="60"/>
      <c r="BD47" s="60"/>
    </row>
    <row r="48" spans="1:58" s="1045" customFormat="1" ht="17.149999999999999" customHeight="1" x14ac:dyDescent="0.3">
      <c r="A48" s="155" t="s">
        <v>820</v>
      </c>
      <c r="B48" s="1522">
        <f>'FS_Capture volumes'!E96</f>
        <v>0</v>
      </c>
      <c r="C48" s="1020">
        <v>0</v>
      </c>
      <c r="D48" s="956">
        <f>'User interface_RES'!L10</f>
        <v>0</v>
      </c>
      <c r="E48" s="1522">
        <f>ROUND((C48*D48)/25,0)*25</f>
        <v>0</v>
      </c>
      <c r="F48" s="1522">
        <f>C48-E48</f>
        <v>0</v>
      </c>
      <c r="G48" s="1522">
        <f>ROUND((F48*'User interface_RES'!O78)/25,0)*25</f>
        <v>0</v>
      </c>
      <c r="H48" s="1522">
        <f>F48-G48</f>
        <v>0</v>
      </c>
      <c r="I48" s="1522">
        <f>B48-C48</f>
        <v>0</v>
      </c>
      <c r="J48" s="999">
        <f>D48</f>
        <v>0</v>
      </c>
      <c r="K48" s="1522">
        <f>ROUND((I48*J48)/25,0)*25</f>
        <v>0</v>
      </c>
      <c r="L48" s="1522">
        <f>I48-K48</f>
        <v>0</v>
      </c>
      <c r="M48" s="1522">
        <f>ROUND((L48*'User interface_RES'!O78)/25,0)*25</f>
        <v>0</v>
      </c>
      <c r="N48" s="1522">
        <f>L48-M48</f>
        <v>0</v>
      </c>
      <c r="O48" s="954"/>
      <c r="P48" s="1020">
        <f>E48+H48+K48</f>
        <v>0</v>
      </c>
      <c r="Q48" s="1020">
        <f>G48+L48</f>
        <v>0</v>
      </c>
      <c r="R48" s="368">
        <f t="shared" ref="R48:R54" si="5">SUM(P48:Q48)</f>
        <v>0</v>
      </c>
      <c r="S48" s="1518">
        <f t="shared" ref="S48:S55" si="6">B48-R48</f>
        <v>0</v>
      </c>
      <c r="T48" s="954"/>
      <c r="U48" s="1522">
        <f>'FS_Capture volumes'!F96</f>
        <v>0</v>
      </c>
      <c r="V48" s="1522">
        <v>0</v>
      </c>
      <c r="W48" s="999">
        <f>'User interface_RES'!L56</f>
        <v>0</v>
      </c>
      <c r="X48" s="1522">
        <f>ROUND((V48*W48)/25,0)*25</f>
        <v>0</v>
      </c>
      <c r="Y48" s="1522">
        <f>ROUND((V48-X48)/25,0)*25</f>
        <v>0</v>
      </c>
      <c r="Z48" s="1522">
        <f>ROUND((Y48*'User interface_RES'!O78)/25,0)*25</f>
        <v>0</v>
      </c>
      <c r="AA48" s="1522">
        <f>Y48-Z48</f>
        <v>0</v>
      </c>
      <c r="AB48" s="1020">
        <f>U48-V48</f>
        <v>0</v>
      </c>
      <c r="AC48" s="964">
        <f>W48</f>
        <v>0</v>
      </c>
      <c r="AD48" s="1020">
        <f>ROUND((AB48*AC48)/25,0)*25</f>
        <v>0</v>
      </c>
      <c r="AE48" s="1020">
        <f>ROUND((AB48-AD48)/25,0)*25</f>
        <v>0</v>
      </c>
      <c r="AF48" s="1020">
        <f>ROUND((AE48*'User interface_RES'!O78)/25,0)*25</f>
        <v>0</v>
      </c>
      <c r="AG48" s="1020">
        <f>AE48-AF48</f>
        <v>0</v>
      </c>
      <c r="AH48" s="60"/>
      <c r="AI48" s="1020">
        <f>X48+AA48+AD48</f>
        <v>0</v>
      </c>
      <c r="AJ48" s="1020">
        <f>Z48+AE48</f>
        <v>0</v>
      </c>
      <c r="AK48" s="1518">
        <f>SUM(AI48:AJ48)</f>
        <v>0</v>
      </c>
      <c r="AL48" s="1518">
        <f>U48-AK48</f>
        <v>0</v>
      </c>
      <c r="AM48" s="60"/>
      <c r="AN48" s="60"/>
      <c r="AO48" s="60"/>
      <c r="AP48" s="60"/>
      <c r="AQ48" s="60"/>
      <c r="AR48" s="60"/>
      <c r="AS48" s="60"/>
      <c r="AT48" s="60"/>
      <c r="AU48" s="60"/>
      <c r="AV48" s="60"/>
      <c r="AW48" s="60"/>
      <c r="AX48" s="60"/>
      <c r="AY48" s="60"/>
      <c r="AZ48" s="60"/>
      <c r="BA48" s="60"/>
      <c r="BB48" s="60"/>
      <c r="BC48" s="60"/>
      <c r="BD48" s="60"/>
    </row>
    <row r="49" spans="1:58" s="184" customFormat="1" ht="17.149999999999999" customHeight="1" x14ac:dyDescent="0.3">
      <c r="A49" s="1038" t="s">
        <v>821</v>
      </c>
      <c r="B49" s="1039">
        <f>SUM(B50:B51)</f>
        <v>62350</v>
      </c>
      <c r="C49" s="1040">
        <f>SUM(C50:C51)</f>
        <v>9350</v>
      </c>
      <c r="D49" s="1039"/>
      <c r="E49" s="1039">
        <f>SUM(E50:E51)</f>
        <v>0</v>
      </c>
      <c r="F49" s="1039">
        <f t="shared" ref="F49:S49" si="7">SUM(F50:F51)</f>
        <v>9350</v>
      </c>
      <c r="G49" s="1039">
        <f t="shared" si="7"/>
        <v>9350</v>
      </c>
      <c r="H49" s="1039">
        <f t="shared" si="7"/>
        <v>0</v>
      </c>
      <c r="I49" s="1039">
        <f t="shared" si="7"/>
        <v>53000</v>
      </c>
      <c r="J49" s="1039">
        <f t="shared" si="7"/>
        <v>0</v>
      </c>
      <c r="K49" s="1039">
        <f t="shared" si="7"/>
        <v>0</v>
      </c>
      <c r="L49" s="1039">
        <f t="shared" si="7"/>
        <v>53000</v>
      </c>
      <c r="M49" s="1039">
        <f t="shared" si="7"/>
        <v>53000</v>
      </c>
      <c r="N49" s="1039">
        <f t="shared" si="7"/>
        <v>0</v>
      </c>
      <c r="O49" s="137"/>
      <c r="P49" s="1039">
        <f t="shared" si="7"/>
        <v>0</v>
      </c>
      <c r="Q49" s="1039">
        <f t="shared" si="7"/>
        <v>62350</v>
      </c>
      <c r="R49" s="1039">
        <f t="shared" si="7"/>
        <v>62350</v>
      </c>
      <c r="S49" s="1518">
        <f t="shared" si="7"/>
        <v>0</v>
      </c>
      <c r="T49" s="137"/>
      <c r="U49" s="1041">
        <f>SUM(U50:U51)</f>
        <v>40925</v>
      </c>
      <c r="V49" s="1041">
        <f>SUM(V50:V51)</f>
        <v>0</v>
      </c>
      <c r="W49" s="1041"/>
      <c r="X49" s="1041">
        <f>SUM(X50:X51)</f>
        <v>0</v>
      </c>
      <c r="Y49" s="1041">
        <f t="shared" ref="Y49:AG49" si="8">SUM(Y50:Y51)</f>
        <v>0</v>
      </c>
      <c r="Z49" s="1041">
        <f t="shared" si="8"/>
        <v>0</v>
      </c>
      <c r="AA49" s="1041">
        <f t="shared" si="8"/>
        <v>0</v>
      </c>
      <c r="AB49" s="1042">
        <f t="shared" si="8"/>
        <v>40925</v>
      </c>
      <c r="AC49" s="1042"/>
      <c r="AD49" s="1042">
        <f t="shared" si="8"/>
        <v>0</v>
      </c>
      <c r="AE49" s="1042">
        <f t="shared" si="8"/>
        <v>40925</v>
      </c>
      <c r="AF49" s="1042">
        <f t="shared" si="8"/>
        <v>40925</v>
      </c>
      <c r="AG49" s="1042">
        <f t="shared" si="8"/>
        <v>0</v>
      </c>
      <c r="AH49" s="3"/>
      <c r="AI49" s="1041">
        <f>SUM(AI50:AI51)</f>
        <v>0</v>
      </c>
      <c r="AJ49" s="1041">
        <f>SUM(AJ50:AJ51)</f>
        <v>40925</v>
      </c>
      <c r="AK49" s="1041">
        <f>SUM(AK50:AK51)</f>
        <v>40925</v>
      </c>
      <c r="AL49" s="1518">
        <f>SUM(AL50:AL51)</f>
        <v>0</v>
      </c>
      <c r="AM49" s="3"/>
      <c r="AN49" s="3"/>
      <c r="AO49" s="3"/>
      <c r="AP49" s="3"/>
      <c r="AQ49" s="3"/>
      <c r="AR49" s="3"/>
      <c r="AS49" s="3"/>
      <c r="AT49" s="3"/>
      <c r="AU49" s="3"/>
      <c r="AV49" s="3"/>
      <c r="AW49" s="3"/>
      <c r="AX49" s="3"/>
      <c r="AY49" s="3"/>
      <c r="AZ49" s="3"/>
      <c r="BA49" s="3"/>
      <c r="BB49" s="3"/>
      <c r="BC49" s="3"/>
      <c r="BD49" s="3"/>
    </row>
    <row r="50" spans="1:58" s="1045" customFormat="1" ht="17.149999999999999" customHeight="1" x14ac:dyDescent="0.3">
      <c r="A50" s="155" t="s">
        <v>822</v>
      </c>
      <c r="B50" s="1522">
        <f>'FS_Capture volumes'!E98</f>
        <v>31175</v>
      </c>
      <c r="C50" s="1020">
        <f>ROUND((B50*'User interface_RES'!$M$36)/25,0)*25</f>
        <v>4675</v>
      </c>
      <c r="D50" s="956">
        <f>'User interface_RES'!L36</f>
        <v>0</v>
      </c>
      <c r="E50" s="1522">
        <f>ROUND((C50*D50)/25,0)*25</f>
        <v>0</v>
      </c>
      <c r="F50" s="1522">
        <f>C50-E50</f>
        <v>4675</v>
      </c>
      <c r="G50" s="1522">
        <f>ROUND((F50*'User interface_RES'!O80)/25,0)*25</f>
        <v>4675</v>
      </c>
      <c r="H50" s="1522">
        <f>F50-G50</f>
        <v>0</v>
      </c>
      <c r="I50" s="1522">
        <f>B50-C50</f>
        <v>26500</v>
      </c>
      <c r="J50" s="999">
        <f>D50</f>
        <v>0</v>
      </c>
      <c r="K50" s="1522">
        <f>ROUND((I50*J50)/25,0)*25</f>
        <v>0</v>
      </c>
      <c r="L50" s="1522">
        <f>I50-K50</f>
        <v>26500</v>
      </c>
      <c r="M50" s="1522">
        <f>ROUND((L50*'User interface_RES'!O80)/25,0)*25</f>
        <v>26500</v>
      </c>
      <c r="N50" s="1522">
        <f>L50-M50</f>
        <v>0</v>
      </c>
      <c r="O50" s="954"/>
      <c r="P50" s="1020">
        <f>E50+H50+K50</f>
        <v>0</v>
      </c>
      <c r="Q50" s="1020">
        <f>G50+L50</f>
        <v>31175</v>
      </c>
      <c r="R50" s="368">
        <f t="shared" si="5"/>
        <v>31175</v>
      </c>
      <c r="S50" s="1518">
        <f t="shared" si="6"/>
        <v>0</v>
      </c>
      <c r="T50" s="954"/>
      <c r="U50" s="1522">
        <f>'FS_Capture volumes'!F98</f>
        <v>24550</v>
      </c>
      <c r="V50" s="1522">
        <f>ROUND((U50*'User interface_RES'!$M$58)/25,0)*25</f>
        <v>0</v>
      </c>
      <c r="W50" s="999">
        <f>'User interface_RES'!L58</f>
        <v>0</v>
      </c>
      <c r="X50" s="1522">
        <f>ROUND((V50*W50)/25,0)*25</f>
        <v>0</v>
      </c>
      <c r="Y50" s="1522">
        <f>ROUND((V50-X50)/25,0)*25</f>
        <v>0</v>
      </c>
      <c r="Z50" s="1522">
        <f>ROUND((Y50*'User interface_RES'!O80)/25,0)*25</f>
        <v>0</v>
      </c>
      <c r="AA50" s="1522">
        <f>Y50-Z50</f>
        <v>0</v>
      </c>
      <c r="AB50" s="1020">
        <f>U50-V50</f>
        <v>24550</v>
      </c>
      <c r="AC50" s="964">
        <f>W50</f>
        <v>0</v>
      </c>
      <c r="AD50" s="1020">
        <f>ROUND((AB50*AC50)/25,0)*25</f>
        <v>0</v>
      </c>
      <c r="AE50" s="1020">
        <f>ROUND((AB50-AD50)/25,0)*25</f>
        <v>24550</v>
      </c>
      <c r="AF50" s="1020">
        <f>ROUND((AE50*'User interface_RES'!O80)/25,0)*25</f>
        <v>24550</v>
      </c>
      <c r="AG50" s="1020">
        <f>AE50-AF50</f>
        <v>0</v>
      </c>
      <c r="AH50" s="60"/>
      <c r="AI50" s="1020">
        <f>X50+AA50+AD50</f>
        <v>0</v>
      </c>
      <c r="AJ50" s="1020">
        <f>Z50+AE50</f>
        <v>24550</v>
      </c>
      <c r="AK50" s="1518">
        <f>SUM(AI50:AJ50)</f>
        <v>24550</v>
      </c>
      <c r="AL50" s="1518">
        <f>U50-AK50</f>
        <v>0</v>
      </c>
      <c r="AM50" s="60"/>
      <c r="AN50" s="60"/>
      <c r="AO50" s="60"/>
      <c r="AP50" s="60"/>
      <c r="AQ50" s="60"/>
      <c r="AR50" s="60"/>
      <c r="AS50" s="60"/>
      <c r="AT50" s="60"/>
      <c r="AU50" s="60"/>
      <c r="AV50" s="60"/>
      <c r="AW50" s="60"/>
      <c r="AX50" s="60"/>
      <c r="AY50" s="60"/>
      <c r="AZ50" s="60"/>
      <c r="BA50" s="60"/>
      <c r="BB50" s="60"/>
      <c r="BC50" s="60"/>
      <c r="BD50" s="60"/>
    </row>
    <row r="51" spans="1:58" s="1045" customFormat="1" ht="17.149999999999999" customHeight="1" x14ac:dyDescent="0.3">
      <c r="A51" s="155" t="s">
        <v>823</v>
      </c>
      <c r="B51" s="1522">
        <f>'FS_Capture volumes'!E99</f>
        <v>31175</v>
      </c>
      <c r="C51" s="1020">
        <f>ROUND((B51*'User interface_RES'!$M$36)/25,0)*25</f>
        <v>4675</v>
      </c>
      <c r="D51" s="956">
        <f>'User interface_RES'!L36</f>
        <v>0</v>
      </c>
      <c r="E51" s="1522">
        <f>ROUND((C51*D51)/25,0)*25</f>
        <v>0</v>
      </c>
      <c r="F51" s="1522">
        <f>C51-E51</f>
        <v>4675</v>
      </c>
      <c r="G51" s="1522">
        <f>ROUND((F51*'User interface_RES'!O81)/25,0)*25</f>
        <v>4675</v>
      </c>
      <c r="H51" s="1522">
        <f>F51-G51</f>
        <v>0</v>
      </c>
      <c r="I51" s="1522">
        <f>B51-C51</f>
        <v>26500</v>
      </c>
      <c r="J51" s="999">
        <f>D51</f>
        <v>0</v>
      </c>
      <c r="K51" s="1522">
        <f>ROUND((I51*J51)/25,0)*25</f>
        <v>0</v>
      </c>
      <c r="L51" s="1522">
        <f>I51-K51</f>
        <v>26500</v>
      </c>
      <c r="M51" s="1522">
        <f>ROUND((L51*'User interface_RES'!O81)/25,0)*25</f>
        <v>26500</v>
      </c>
      <c r="N51" s="1522">
        <f>L51-M51</f>
        <v>0</v>
      </c>
      <c r="O51" s="954"/>
      <c r="P51" s="1020">
        <f>E51+H51+K51</f>
        <v>0</v>
      </c>
      <c r="Q51" s="1020">
        <f>G51+L51</f>
        <v>31175</v>
      </c>
      <c r="R51" s="368">
        <f t="shared" si="5"/>
        <v>31175</v>
      </c>
      <c r="S51" s="1518">
        <f t="shared" si="6"/>
        <v>0</v>
      </c>
      <c r="T51" s="954"/>
      <c r="U51" s="1522">
        <f>'FS_Capture volumes'!F99</f>
        <v>16375</v>
      </c>
      <c r="V51" s="1522">
        <f>ROUND((U51*'User interface_RES'!$M$58)/25,0)*25</f>
        <v>0</v>
      </c>
      <c r="W51" s="999">
        <f>'User interface_RES'!L58</f>
        <v>0</v>
      </c>
      <c r="X51" s="1522">
        <f>ROUND((V51*W51)/25,0)*25</f>
        <v>0</v>
      </c>
      <c r="Y51" s="1522">
        <f>ROUND((V51-X51)/25,0)*25</f>
        <v>0</v>
      </c>
      <c r="Z51" s="1522">
        <f>ROUND((Y51*'User interface_RES'!O81)/25,0)*25</f>
        <v>0</v>
      </c>
      <c r="AA51" s="1522">
        <f>Y51-Z51</f>
        <v>0</v>
      </c>
      <c r="AB51" s="1020">
        <f>U51-V51</f>
        <v>16375</v>
      </c>
      <c r="AC51" s="964">
        <f>W51</f>
        <v>0</v>
      </c>
      <c r="AD51" s="1020">
        <f>ROUND((AB51*AC51)/25,0)*25</f>
        <v>0</v>
      </c>
      <c r="AE51" s="1020">
        <f>ROUND((AB51-AD51)/25,0)*25</f>
        <v>16375</v>
      </c>
      <c r="AF51" s="1020">
        <f>ROUND((AE51*'User interface_RES'!O81)/25,0)*25</f>
        <v>16375</v>
      </c>
      <c r="AG51" s="1020">
        <f>AE51-AF51</f>
        <v>0</v>
      </c>
      <c r="AH51" s="60"/>
      <c r="AI51" s="1020">
        <f>X51+AA51+AD51</f>
        <v>0</v>
      </c>
      <c r="AJ51" s="1020">
        <f>Z51+AE51</f>
        <v>16375</v>
      </c>
      <c r="AK51" s="1518">
        <f>SUM(AI51:AJ51)</f>
        <v>16375</v>
      </c>
      <c r="AL51" s="1518">
        <f>U51-AK51</f>
        <v>0</v>
      </c>
      <c r="AM51" s="60"/>
      <c r="AN51" s="60"/>
      <c r="AO51" s="60"/>
      <c r="AP51" s="60"/>
      <c r="AQ51" s="60"/>
      <c r="AR51" s="60"/>
      <c r="AS51" s="60"/>
      <c r="AT51" s="60"/>
      <c r="AU51" s="60"/>
      <c r="AV51" s="60"/>
      <c r="AW51" s="60"/>
      <c r="AX51" s="60"/>
      <c r="AY51" s="60"/>
      <c r="AZ51" s="60"/>
      <c r="BA51" s="60"/>
      <c r="BB51" s="60"/>
      <c r="BC51" s="60"/>
      <c r="BD51" s="60"/>
    </row>
    <row r="52" spans="1:58" s="184" customFormat="1" ht="17.149999999999999" customHeight="1" x14ac:dyDescent="0.3">
      <c r="A52" s="1038" t="s">
        <v>829</v>
      </c>
      <c r="B52" s="1039">
        <f>SUM(B53:B54)</f>
        <v>4950</v>
      </c>
      <c r="C52" s="1040">
        <f>SUM(C53:C54)</f>
        <v>0</v>
      </c>
      <c r="D52" s="1039"/>
      <c r="E52" s="1039">
        <f>SUM(E53:E54)</f>
        <v>0</v>
      </c>
      <c r="F52" s="1039">
        <f t="shared" ref="F52:N52" si="9">SUM(F53:F54)</f>
        <v>0</v>
      </c>
      <c r="G52" s="1039">
        <f t="shared" si="9"/>
        <v>0</v>
      </c>
      <c r="H52" s="1039">
        <f t="shared" si="9"/>
        <v>0</v>
      </c>
      <c r="I52" s="1039">
        <f t="shared" si="9"/>
        <v>4950</v>
      </c>
      <c r="J52" s="1039">
        <f t="shared" si="9"/>
        <v>0</v>
      </c>
      <c r="K52" s="1039">
        <f t="shared" si="9"/>
        <v>0</v>
      </c>
      <c r="L52" s="1039">
        <f t="shared" si="9"/>
        <v>4950</v>
      </c>
      <c r="M52" s="1039">
        <f t="shared" si="9"/>
        <v>4950</v>
      </c>
      <c r="N52" s="1039">
        <f t="shared" si="9"/>
        <v>0</v>
      </c>
      <c r="O52" s="137"/>
      <c r="P52" s="1039">
        <f>SUM(P53:P54)</f>
        <v>0</v>
      </c>
      <c r="Q52" s="1039">
        <f>SUM(Q53:Q54)</f>
        <v>4950</v>
      </c>
      <c r="R52" s="1039">
        <f>SUM(R53:R54)</f>
        <v>4950</v>
      </c>
      <c r="S52" s="1518">
        <f>SUM(S53:S54)</f>
        <v>0</v>
      </c>
      <c r="T52" s="137"/>
      <c r="U52" s="1041">
        <f>SUM(U53:U54)</f>
        <v>0</v>
      </c>
      <c r="V52" s="1041">
        <f>SUM(V53:V54)</f>
        <v>0</v>
      </c>
      <c r="W52" s="1041"/>
      <c r="X52" s="1041">
        <f>SUM(X53:X54)</f>
        <v>0</v>
      </c>
      <c r="Y52" s="1041">
        <f t="shared" ref="Y52:AG52" si="10">SUM(Y53:Y54)</f>
        <v>0</v>
      </c>
      <c r="Z52" s="1041">
        <f t="shared" si="10"/>
        <v>0</v>
      </c>
      <c r="AA52" s="1041">
        <f t="shared" si="10"/>
        <v>0</v>
      </c>
      <c r="AB52" s="1042">
        <f t="shared" si="10"/>
        <v>0</v>
      </c>
      <c r="AC52" s="1042"/>
      <c r="AD52" s="1042">
        <f t="shared" si="10"/>
        <v>0</v>
      </c>
      <c r="AE52" s="1042">
        <f t="shared" si="10"/>
        <v>0</v>
      </c>
      <c r="AF52" s="1042">
        <f t="shared" si="10"/>
        <v>0</v>
      </c>
      <c r="AG52" s="1042">
        <f t="shared" si="10"/>
        <v>0</v>
      </c>
      <c r="AH52" s="3"/>
      <c r="AI52" s="1041">
        <f>SUM(AI53:AI54)</f>
        <v>0</v>
      </c>
      <c r="AJ52" s="1041">
        <f>SUM(AJ53:AJ54)</f>
        <v>0</v>
      </c>
      <c r="AK52" s="1041">
        <f>SUM(AK53:AK54)</f>
        <v>0</v>
      </c>
      <c r="AL52" s="1518">
        <f>SUM(AL53:AL54)</f>
        <v>0</v>
      </c>
      <c r="AM52" s="3"/>
      <c r="AN52" s="3"/>
      <c r="AO52" s="3"/>
      <c r="AP52" s="3"/>
      <c r="AQ52" s="3"/>
      <c r="AR52" s="3"/>
      <c r="AS52" s="3"/>
      <c r="AT52" s="3"/>
      <c r="AU52" s="3"/>
      <c r="AV52" s="3"/>
      <c r="AW52" s="3"/>
      <c r="AX52" s="3"/>
      <c r="AY52" s="3"/>
      <c r="AZ52" s="3"/>
      <c r="BA52" s="3"/>
      <c r="BB52" s="3"/>
      <c r="BC52" s="3"/>
      <c r="BD52" s="3"/>
    </row>
    <row r="53" spans="1:58" s="1045" customFormat="1" ht="17.149999999999999" customHeight="1" x14ac:dyDescent="0.3">
      <c r="A53" s="155" t="s">
        <v>827</v>
      </c>
      <c r="B53" s="1522">
        <f>'FS_Capture volumes'!E108</f>
        <v>0</v>
      </c>
      <c r="C53" s="1020">
        <v>0</v>
      </c>
      <c r="D53" s="956">
        <f>'User interface_RES'!L39</f>
        <v>0</v>
      </c>
      <c r="E53" s="1522">
        <f>ROUND((C53*D53)/25,0)*25</f>
        <v>0</v>
      </c>
      <c r="F53" s="1522">
        <f>C53-E53</f>
        <v>0</v>
      </c>
      <c r="G53" s="1522">
        <f>ROUND((F53*'User interface_RES'!O84)/25,0)*25</f>
        <v>0</v>
      </c>
      <c r="H53" s="1522">
        <f>F53-G53</f>
        <v>0</v>
      </c>
      <c r="I53" s="1522">
        <f>B53-C53</f>
        <v>0</v>
      </c>
      <c r="J53" s="999">
        <f>D53</f>
        <v>0</v>
      </c>
      <c r="K53" s="1522">
        <f>ROUND((I53*J53)/25,0)*25</f>
        <v>0</v>
      </c>
      <c r="L53" s="1522">
        <f>I53-K53</f>
        <v>0</v>
      </c>
      <c r="M53" s="1522">
        <f>ROUND((L53*'User interface_RES'!O84)/25,0)*25</f>
        <v>0</v>
      </c>
      <c r="N53" s="1522">
        <f>L53-M53</f>
        <v>0</v>
      </c>
      <c r="O53" s="954"/>
      <c r="P53" s="1020">
        <f>E53+H53+K53</f>
        <v>0</v>
      </c>
      <c r="Q53" s="1020">
        <f>G53+L53</f>
        <v>0</v>
      </c>
      <c r="R53" s="368">
        <f t="shared" si="5"/>
        <v>0</v>
      </c>
      <c r="S53" s="1518">
        <f t="shared" si="6"/>
        <v>0</v>
      </c>
      <c r="T53" s="954"/>
      <c r="U53" s="1522">
        <f>'FS_Capture volumes'!F108</f>
        <v>0</v>
      </c>
      <c r="V53" s="1522">
        <v>0</v>
      </c>
      <c r="W53" s="999">
        <f>'User interface_RES'!L62</f>
        <v>0</v>
      </c>
      <c r="X53" s="1522">
        <f>ROUND((V53*W53)/25,0)*25</f>
        <v>0</v>
      </c>
      <c r="Y53" s="1522">
        <f>ROUND((V53-X53)/25,0)*25</f>
        <v>0</v>
      </c>
      <c r="Z53" s="1522">
        <f>ROUND((Y53*'User interface_RES'!O84)/25,0)*25</f>
        <v>0</v>
      </c>
      <c r="AA53" s="1522">
        <f>Y53-Z53</f>
        <v>0</v>
      </c>
      <c r="AB53" s="1020">
        <f>U53-V53</f>
        <v>0</v>
      </c>
      <c r="AC53" s="964">
        <f>W53</f>
        <v>0</v>
      </c>
      <c r="AD53" s="1020">
        <f>ROUND((AB53*AC53)/25,0)*25</f>
        <v>0</v>
      </c>
      <c r="AE53" s="1020">
        <f>ROUND((AB53-AD53)/25,0)*25</f>
        <v>0</v>
      </c>
      <c r="AF53" s="1020">
        <f>ROUND((AE53*'User interface_RES'!O84)/25,0)*25</f>
        <v>0</v>
      </c>
      <c r="AG53" s="1020">
        <f>AE53-AF53</f>
        <v>0</v>
      </c>
      <c r="AH53" s="60"/>
      <c r="AI53" s="1020">
        <f>X53+AA53+AD53</f>
        <v>0</v>
      </c>
      <c r="AJ53" s="1020">
        <f>Z53+AE53</f>
        <v>0</v>
      </c>
      <c r="AK53" s="1518">
        <f>SUM(AI53:AJ53)</f>
        <v>0</v>
      </c>
      <c r="AL53" s="1518">
        <f>U53-AK53</f>
        <v>0</v>
      </c>
      <c r="AM53" s="60"/>
      <c r="AN53" s="60"/>
      <c r="AO53" s="60"/>
      <c r="AP53" s="60"/>
      <c r="AQ53" s="60"/>
      <c r="AR53" s="60"/>
      <c r="AS53" s="60"/>
      <c r="AT53" s="60"/>
      <c r="AU53" s="60"/>
      <c r="AV53" s="60"/>
      <c r="AW53" s="60"/>
      <c r="AX53" s="60"/>
      <c r="AY53" s="60"/>
      <c r="AZ53" s="60"/>
      <c r="BA53" s="60"/>
      <c r="BB53" s="60"/>
      <c r="BC53" s="60"/>
      <c r="BD53" s="60"/>
    </row>
    <row r="54" spans="1:58" s="1045" customFormat="1" ht="17.149999999999999" customHeight="1" x14ac:dyDescent="0.3">
      <c r="A54" s="155" t="s">
        <v>828</v>
      </c>
      <c r="B54" s="1522">
        <f>'FS_Capture volumes'!E109</f>
        <v>4950</v>
      </c>
      <c r="C54" s="1020">
        <v>0</v>
      </c>
      <c r="D54" s="956">
        <f>'User interface_RES'!L39</f>
        <v>0</v>
      </c>
      <c r="E54" s="1522">
        <f>ROUND((C54*D54)/25,0)*25</f>
        <v>0</v>
      </c>
      <c r="F54" s="1522">
        <f>C54-E54</f>
        <v>0</v>
      </c>
      <c r="G54" s="1522">
        <f>ROUND((F54*'User interface_RES'!O85)/25,0)*25</f>
        <v>0</v>
      </c>
      <c r="H54" s="1522">
        <f>F54-G54</f>
        <v>0</v>
      </c>
      <c r="I54" s="1522">
        <f>B54-C54</f>
        <v>4950</v>
      </c>
      <c r="J54" s="999">
        <f>D54</f>
        <v>0</v>
      </c>
      <c r="K54" s="1522">
        <f>ROUND((I54*J54)/25,0)*25</f>
        <v>0</v>
      </c>
      <c r="L54" s="1522">
        <f>I54-K54</f>
        <v>4950</v>
      </c>
      <c r="M54" s="1522">
        <f>ROUND((L54*'User interface_RES'!O85)/25,0)*25</f>
        <v>4950</v>
      </c>
      <c r="N54" s="1522">
        <f>L54-M54</f>
        <v>0</v>
      </c>
      <c r="O54" s="954"/>
      <c r="P54" s="1020">
        <f>E54+H54+K54</f>
        <v>0</v>
      </c>
      <c r="Q54" s="1020">
        <f>G54+L54</f>
        <v>4950</v>
      </c>
      <c r="R54" s="368">
        <f t="shared" si="5"/>
        <v>4950</v>
      </c>
      <c r="S54" s="1518">
        <f t="shared" si="6"/>
        <v>0</v>
      </c>
      <c r="T54" s="954"/>
      <c r="U54" s="1522">
        <f>'FS_Capture volumes'!F109</f>
        <v>0</v>
      </c>
      <c r="V54" s="1522">
        <v>0</v>
      </c>
      <c r="W54" s="999">
        <f>'User interface_RES'!L62</f>
        <v>0</v>
      </c>
      <c r="X54" s="1522">
        <f>ROUND((V54*W54)/25,0)*25</f>
        <v>0</v>
      </c>
      <c r="Y54" s="1522">
        <f>ROUND((V54-X54)/25,0)*25</f>
        <v>0</v>
      </c>
      <c r="Z54" s="1522">
        <f>ROUND((Y54*'User interface_RES'!O85)/25,0)*25</f>
        <v>0</v>
      </c>
      <c r="AA54" s="1522">
        <f>Y54-Z54</f>
        <v>0</v>
      </c>
      <c r="AB54" s="1020">
        <f>U54-V54</f>
        <v>0</v>
      </c>
      <c r="AC54" s="964">
        <f>W54</f>
        <v>0</v>
      </c>
      <c r="AD54" s="1020">
        <f>ROUND((AB54*AC54)/25,0)*25</f>
        <v>0</v>
      </c>
      <c r="AE54" s="1020">
        <f>ROUND((AB54-AD54)/25,0)*25</f>
        <v>0</v>
      </c>
      <c r="AF54" s="1020">
        <f>ROUND((AE54*'User interface_RES'!O85)/25,0)*25</f>
        <v>0</v>
      </c>
      <c r="AG54" s="1020">
        <f>AE54-AF54</f>
        <v>0</v>
      </c>
      <c r="AH54" s="60"/>
      <c r="AI54" s="1020">
        <f>X54+AA54+AD54</f>
        <v>0</v>
      </c>
      <c r="AJ54" s="1020">
        <f>Z54+AE54</f>
        <v>0</v>
      </c>
      <c r="AK54" s="1518">
        <f>SUM(AI54:AJ54)</f>
        <v>0</v>
      </c>
      <c r="AL54" s="1518">
        <f>U54-AK54</f>
        <v>0</v>
      </c>
      <c r="AM54" s="60"/>
      <c r="AN54" s="60"/>
      <c r="AO54" s="60"/>
      <c r="AP54" s="60"/>
      <c r="AQ54" s="60"/>
      <c r="AR54" s="60"/>
      <c r="AS54" s="60"/>
      <c r="AT54" s="60"/>
      <c r="AU54" s="60"/>
      <c r="AV54" s="60"/>
      <c r="AW54" s="60"/>
      <c r="AX54" s="60"/>
      <c r="AY54" s="60"/>
      <c r="AZ54" s="60"/>
      <c r="BA54" s="60"/>
      <c r="BB54" s="60"/>
      <c r="BC54" s="60"/>
      <c r="BD54" s="60"/>
    </row>
    <row r="55" spans="1:58" s="27" customFormat="1" ht="17.149999999999999" customHeight="1" x14ac:dyDescent="0.3">
      <c r="A55" s="1036" t="s">
        <v>361</v>
      </c>
      <c r="B55" s="1037">
        <f>B46+B49+B52</f>
        <v>67300</v>
      </c>
      <c r="C55" s="1037">
        <f t="shared" ref="C55:R55" si="11">C46+C49+C52</f>
        <v>9350</v>
      </c>
      <c r="D55" s="1037"/>
      <c r="E55" s="1037">
        <f t="shared" si="11"/>
        <v>0</v>
      </c>
      <c r="F55" s="1037">
        <f t="shared" si="11"/>
        <v>9350</v>
      </c>
      <c r="G55" s="1037">
        <f t="shared" si="11"/>
        <v>9350</v>
      </c>
      <c r="H55" s="1037">
        <f t="shared" si="11"/>
        <v>0</v>
      </c>
      <c r="I55" s="1037">
        <f t="shared" si="11"/>
        <v>57950</v>
      </c>
      <c r="J55" s="1037"/>
      <c r="K55" s="1037">
        <f t="shared" si="11"/>
        <v>0</v>
      </c>
      <c r="L55" s="1037">
        <f t="shared" si="11"/>
        <v>57950</v>
      </c>
      <c r="M55" s="1037">
        <f t="shared" si="11"/>
        <v>57950</v>
      </c>
      <c r="N55" s="1037">
        <f t="shared" si="11"/>
        <v>0</v>
      </c>
      <c r="O55" s="137"/>
      <c r="P55" s="1037">
        <f t="shared" si="11"/>
        <v>0</v>
      </c>
      <c r="Q55" s="1037">
        <f t="shared" si="11"/>
        <v>67300</v>
      </c>
      <c r="R55" s="1037">
        <f t="shared" si="11"/>
        <v>67300</v>
      </c>
      <c r="S55" s="1518">
        <f t="shared" si="6"/>
        <v>0</v>
      </c>
      <c r="T55" s="137"/>
      <c r="U55" s="1034">
        <f t="shared" ref="U55:AG55" si="12">U46+U49+U52</f>
        <v>40925</v>
      </c>
      <c r="V55" s="1034">
        <f t="shared" si="12"/>
        <v>0</v>
      </c>
      <c r="W55" s="1034"/>
      <c r="X55" s="1034">
        <f t="shared" si="12"/>
        <v>0</v>
      </c>
      <c r="Y55" s="1034">
        <f t="shared" si="12"/>
        <v>0</v>
      </c>
      <c r="Z55" s="1034">
        <f t="shared" si="12"/>
        <v>0</v>
      </c>
      <c r="AA55" s="1034">
        <f t="shared" si="12"/>
        <v>0</v>
      </c>
      <c r="AB55" s="1034">
        <f t="shared" si="12"/>
        <v>40925</v>
      </c>
      <c r="AC55" s="1034"/>
      <c r="AD55" s="1034">
        <f t="shared" si="12"/>
        <v>0</v>
      </c>
      <c r="AE55" s="1034">
        <f t="shared" si="12"/>
        <v>40925</v>
      </c>
      <c r="AF55" s="1034">
        <f t="shared" si="12"/>
        <v>40925</v>
      </c>
      <c r="AG55" s="1034">
        <f t="shared" si="12"/>
        <v>0</v>
      </c>
      <c r="AH55" s="12"/>
      <c r="AI55" s="1034">
        <f>AI46+AI49+AI52</f>
        <v>0</v>
      </c>
      <c r="AJ55" s="1034">
        <f>AJ46+AJ49+AJ52</f>
        <v>40925</v>
      </c>
      <c r="AK55" s="1035">
        <f>AI55+AJ55</f>
        <v>40925</v>
      </c>
      <c r="AL55" s="1518">
        <f>U55-AK55</f>
        <v>0</v>
      </c>
      <c r="AM55" s="12"/>
      <c r="AN55" s="12"/>
      <c r="AO55" s="12"/>
      <c r="AP55" s="12"/>
      <c r="AQ55" s="12"/>
      <c r="AR55" s="12"/>
      <c r="AS55" s="12"/>
      <c r="AT55" s="12"/>
      <c r="AU55" s="12"/>
      <c r="AV55" s="12"/>
      <c r="AW55" s="12"/>
      <c r="AX55" s="12"/>
      <c r="AY55" s="12"/>
      <c r="AZ55" s="12"/>
      <c r="BA55" s="12"/>
      <c r="BB55" s="12"/>
      <c r="BC55" s="12"/>
      <c r="BD55" s="12"/>
    </row>
    <row r="56" spans="1:58" s="184" customFormat="1" ht="17.149999999999999" customHeight="1" x14ac:dyDescent="0.3">
      <c r="A56" s="122"/>
      <c r="B56" s="172">
        <f>IF(B55=0,0,B55/B55)</f>
        <v>1</v>
      </c>
      <c r="C56" s="370">
        <f>IF(B55=0,0,C55/B55)</f>
        <v>0.13893016344725112</v>
      </c>
      <c r="D56" s="172"/>
      <c r="E56" s="172">
        <f>IF(B55=0,0,E55/B55)</f>
        <v>0</v>
      </c>
      <c r="F56" s="172">
        <f>IF(B55=0,0,F55/B55)</f>
        <v>0.13893016344725112</v>
      </c>
      <c r="G56" s="172"/>
      <c r="H56" s="172"/>
      <c r="I56" s="172">
        <f>IF(B55=0,0,I55/B55)</f>
        <v>0.86106983655274894</v>
      </c>
      <c r="J56" s="172"/>
      <c r="K56" s="172">
        <f>IF(B55=0,0,K55/B55)</f>
        <v>0</v>
      </c>
      <c r="L56" s="172">
        <f>IF(B55=0,0,L55/B55)</f>
        <v>0.86106983655274894</v>
      </c>
      <c r="M56" s="143"/>
      <c r="N56" s="143"/>
      <c r="O56" s="3"/>
      <c r="P56" s="172">
        <f>IF(B55=0,0,P55/B55)</f>
        <v>0</v>
      </c>
      <c r="Q56" s="370">
        <f>IF(B55=0,0,Q55/B55)</f>
        <v>1</v>
      </c>
      <c r="R56" s="370">
        <f>IF(B55=0,0,R55/B55)</f>
        <v>1</v>
      </c>
      <c r="S56" s="391"/>
      <c r="T56" s="137"/>
      <c r="U56" s="172">
        <f>IF(U55=0,0,U55/U55)</f>
        <v>1</v>
      </c>
      <c r="V56" s="370">
        <f>IF(U55=0,0,V55/U55)</f>
        <v>0</v>
      </c>
      <c r="W56" s="172"/>
      <c r="X56" s="172">
        <f>IF(U55=0,0,X55/U55)</f>
        <v>0</v>
      </c>
      <c r="Y56" s="172">
        <f>IF(U55=0,0,Y55/U55)</f>
        <v>0</v>
      </c>
      <c r="Z56" s="172"/>
      <c r="AA56" s="172"/>
      <c r="AB56" s="172">
        <f>IF(U55=0,0,AB55/U55)</f>
        <v>1</v>
      </c>
      <c r="AC56" s="172"/>
      <c r="AD56" s="172">
        <f>IF(U55=0,0,AD55/U55)</f>
        <v>0</v>
      </c>
      <c r="AE56" s="172">
        <f>IF(U55=0,0,AE55/U55)</f>
        <v>1</v>
      </c>
      <c r="AF56" s="143"/>
      <c r="AG56" s="143"/>
      <c r="AH56" s="3"/>
      <c r="AI56" s="172">
        <f>IF(U55=0,0,AI55/U55)</f>
        <v>0</v>
      </c>
      <c r="AJ56" s="370">
        <f>IF(U55=0,0,AJ55/U55)</f>
        <v>1</v>
      </c>
      <c r="AK56" s="370">
        <f>IF(U55=0,0,AK55/U55)</f>
        <v>1</v>
      </c>
      <c r="AL56" s="391"/>
      <c r="AM56" s="3"/>
      <c r="AN56" s="3"/>
      <c r="AO56" s="3"/>
      <c r="AP56" s="3"/>
      <c r="AQ56" s="3"/>
      <c r="AR56" s="3"/>
      <c r="AS56" s="3"/>
      <c r="AT56" s="3"/>
      <c r="AU56" s="3"/>
      <c r="AV56" s="3"/>
      <c r="AW56" s="3"/>
      <c r="AX56" s="3"/>
      <c r="AY56" s="3"/>
      <c r="AZ56" s="3"/>
      <c r="BA56" s="3"/>
      <c r="BB56" s="3"/>
      <c r="BC56" s="3"/>
      <c r="BD56" s="3"/>
      <c r="BE56" s="3"/>
    </row>
    <row r="57" spans="1:58" s="184" customFormat="1" ht="17.149999999999999" customHeight="1" x14ac:dyDescent="0.3">
      <c r="A57" s="122"/>
      <c r="C57" s="370">
        <f>IF(C55=0,0,C55/C55)</f>
        <v>1</v>
      </c>
      <c r="D57" s="223"/>
      <c r="E57" s="370">
        <f>IF(C55=0,0,E55/C55)</f>
        <v>0</v>
      </c>
      <c r="F57" s="370">
        <f>IF(C55=0,0,F55/C55)</f>
        <v>1</v>
      </c>
      <c r="G57" s="172"/>
      <c r="H57" s="172"/>
      <c r="I57" s="370">
        <f>IF(I55=0,0,I55/I55)</f>
        <v>1</v>
      </c>
      <c r="J57" s="454"/>
      <c r="K57" s="370">
        <f>IF(I55=0,0,K55/I55)</f>
        <v>0</v>
      </c>
      <c r="L57" s="370">
        <f>IF(I55=0,0,L55/I55)</f>
        <v>1</v>
      </c>
      <c r="M57" s="143"/>
      <c r="N57" s="143"/>
      <c r="O57" s="3"/>
      <c r="T57" s="137"/>
      <c r="V57" s="370">
        <f>IF(V55=0,0,V55/V55)</f>
        <v>0</v>
      </c>
      <c r="W57" s="223"/>
      <c r="X57" s="370">
        <f>IF(V55=0,0,X55/V55)</f>
        <v>0</v>
      </c>
      <c r="Y57" s="370">
        <f>IF(V55=0,0,Y55/V55)</f>
        <v>0</v>
      </c>
      <c r="Z57" s="172"/>
      <c r="AA57" s="172"/>
      <c r="AB57" s="370">
        <f>IF(AB55=0,0,AB55/AB55)</f>
        <v>1</v>
      </c>
      <c r="AC57" s="454"/>
      <c r="AD57" s="370">
        <f>IF(AB55=0,0,AD55/AB55)</f>
        <v>0</v>
      </c>
      <c r="AE57" s="370">
        <f>IF(AB55=0,0,AE55/AB55)</f>
        <v>1</v>
      </c>
      <c r="AF57" s="143"/>
      <c r="AG57" s="143"/>
      <c r="AH57" s="3"/>
      <c r="AL57" s="3"/>
      <c r="AM57" s="3"/>
      <c r="AN57" s="3"/>
      <c r="AO57" s="3"/>
      <c r="AP57" s="3"/>
      <c r="AQ57" s="3"/>
      <c r="AR57" s="3"/>
      <c r="AS57" s="3"/>
      <c r="AT57" s="3"/>
      <c r="AU57" s="3"/>
      <c r="AV57" s="3"/>
      <c r="AW57" s="3"/>
      <c r="AX57" s="3"/>
      <c r="AY57" s="3"/>
      <c r="AZ57" s="3"/>
      <c r="BA57" s="3"/>
      <c r="BB57" s="3"/>
      <c r="BC57" s="3"/>
      <c r="BD57" s="3"/>
      <c r="BE57" s="3"/>
    </row>
    <row r="58" spans="1:58" s="184" customFormat="1" ht="17.149999999999999" customHeight="1" x14ac:dyDescent="0.3">
      <c r="A58" s="122"/>
      <c r="F58" s="454">
        <f>IF(F55=0,0,F55/F55)</f>
        <v>1</v>
      </c>
      <c r="G58" s="172">
        <f>IF(F55=0,0,G55/F55)</f>
        <v>1</v>
      </c>
      <c r="H58" s="454">
        <f>IF(F55=0,0,H55/F55)</f>
        <v>0</v>
      </c>
      <c r="I58" s="3"/>
      <c r="J58" s="3"/>
      <c r="K58" s="3"/>
      <c r="L58" s="454">
        <f>IF(L55=0,0,L55/L55)</f>
        <v>1</v>
      </c>
      <c r="M58" s="172">
        <f>IF(L55=0,0,M55/L55)</f>
        <v>1</v>
      </c>
      <c r="N58" s="454">
        <f>IF(L55=0,0,N55/L55)</f>
        <v>0</v>
      </c>
      <c r="O58" s="3"/>
      <c r="T58" s="137"/>
      <c r="Y58" s="454">
        <f>IF(Y55=0,0,Y55/Y55)</f>
        <v>0</v>
      </c>
      <c r="Z58" s="172">
        <f>IF(Y55=0,0,Z55/Y55)</f>
        <v>0</v>
      </c>
      <c r="AA58" s="454">
        <f>IF(Y55=0,0,AA55/Y55)</f>
        <v>0</v>
      </c>
      <c r="AB58" s="3"/>
      <c r="AC58" s="3"/>
      <c r="AD58" s="3"/>
      <c r="AE58" s="454">
        <f>IF(AE55=0,0,AE55/AE55)</f>
        <v>1</v>
      </c>
      <c r="AF58" s="172">
        <f>IF(AE55=0,0,AF55/AE55)</f>
        <v>1</v>
      </c>
      <c r="AG58" s="454">
        <f>IF(AE55=0,0,AG55/AE55)</f>
        <v>0</v>
      </c>
      <c r="AH58" s="3"/>
      <c r="AL58" s="3"/>
      <c r="AM58" s="3"/>
      <c r="AN58" s="3"/>
      <c r="AO58" s="3"/>
      <c r="AP58" s="3"/>
      <c r="AQ58" s="3"/>
      <c r="AR58" s="3"/>
      <c r="AS58" s="3"/>
      <c r="AT58" s="3"/>
      <c r="AU58" s="3"/>
      <c r="AV58" s="3"/>
      <c r="AW58" s="3"/>
      <c r="AX58" s="3"/>
      <c r="AY58" s="3"/>
      <c r="AZ58" s="3"/>
      <c r="BA58" s="3"/>
      <c r="BB58" s="3"/>
    </row>
    <row r="59" spans="1:58" s="184" customFormat="1" ht="17.149999999999999" customHeight="1" x14ac:dyDescent="0.3">
      <c r="A59" s="122"/>
      <c r="E59" s="203"/>
      <c r="F59" s="177"/>
      <c r="G59" s="177"/>
      <c r="H59" s="189"/>
      <c r="I59" s="189"/>
      <c r="J59" s="189"/>
      <c r="K59" s="3"/>
      <c r="L59" s="3"/>
      <c r="M59" s="3"/>
      <c r="N59" s="3"/>
      <c r="O59" s="3"/>
      <c r="P59" s="3"/>
      <c r="Q59" s="3"/>
      <c r="R59" s="3"/>
      <c r="S59" s="3"/>
      <c r="T59" s="137"/>
      <c r="U59" s="43"/>
      <c r="V59" s="83"/>
      <c r="W59" s="95"/>
      <c r="X59" s="95"/>
      <c r="Y59" s="95"/>
      <c r="Z59" s="95"/>
      <c r="AA59" s="96"/>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row>
    <row r="60" spans="1:58" s="184" customFormat="1" ht="17.149999999999999" customHeight="1" x14ac:dyDescent="0.3">
      <c r="A60" s="122"/>
      <c r="E60" s="203"/>
      <c r="F60" s="177"/>
      <c r="G60" s="177"/>
      <c r="H60" s="189"/>
      <c r="I60" s="189"/>
      <c r="J60" s="189"/>
      <c r="K60" s="3"/>
      <c r="L60" s="3"/>
      <c r="M60" s="3"/>
      <c r="N60" s="3"/>
      <c r="O60" s="3"/>
      <c r="P60" s="3"/>
      <c r="Q60" s="3"/>
      <c r="R60" s="3"/>
      <c r="S60" s="3"/>
      <c r="T60" s="137"/>
      <c r="U60" s="43"/>
      <c r="V60" s="83"/>
      <c r="W60" s="95"/>
      <c r="X60" s="95"/>
      <c r="Y60" s="95"/>
      <c r="Z60" s="95"/>
      <c r="AA60" s="96"/>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row>
    <row r="61" spans="1:58" s="140" customFormat="1" ht="17.149999999999999" customHeight="1" x14ac:dyDescent="0.35">
      <c r="A61" s="949" t="s">
        <v>918</v>
      </c>
      <c r="B61" s="1776" t="s">
        <v>9</v>
      </c>
      <c r="C61" s="1776"/>
      <c r="D61" s="1776"/>
      <c r="E61" s="1776"/>
      <c r="F61" s="1776"/>
      <c r="G61" s="1776"/>
      <c r="H61" s="1776"/>
      <c r="I61" s="1776"/>
      <c r="J61" s="1776"/>
      <c r="K61" s="1776"/>
      <c r="L61" s="1776"/>
      <c r="M61" s="1776"/>
      <c r="N61" s="1776"/>
      <c r="O61" s="17"/>
      <c r="P61" s="1777" t="s">
        <v>9</v>
      </c>
      <c r="Q61" s="1777"/>
      <c r="R61" s="1777"/>
      <c r="S61" s="115"/>
      <c r="T61" s="115"/>
      <c r="U61" s="1778" t="s">
        <v>253</v>
      </c>
      <c r="V61" s="1778"/>
      <c r="W61" s="1778"/>
      <c r="X61" s="1778"/>
      <c r="Y61" s="1778"/>
      <c r="Z61" s="1778"/>
      <c r="AA61" s="1778"/>
      <c r="AB61" s="1778"/>
      <c r="AC61" s="1778"/>
      <c r="AD61" s="1778"/>
      <c r="AE61" s="1778"/>
      <c r="AF61" s="1778"/>
      <c r="AG61" s="1778"/>
      <c r="AH61" s="115"/>
      <c r="AI61" s="1779" t="s">
        <v>253</v>
      </c>
      <c r="AJ61" s="1779"/>
      <c r="AK61" s="1779"/>
      <c r="AL61" s="115"/>
      <c r="AM61" s="115"/>
      <c r="AN61" s="115"/>
      <c r="AO61" s="115"/>
      <c r="AP61" s="115"/>
      <c r="AQ61" s="115"/>
      <c r="AR61" s="115"/>
      <c r="AS61" s="115"/>
      <c r="AT61" s="115"/>
      <c r="AU61" s="115"/>
      <c r="AV61" s="115"/>
      <c r="AW61" s="115"/>
      <c r="AX61" s="115"/>
      <c r="AY61" s="115"/>
      <c r="AZ61" s="115"/>
      <c r="BA61" s="115"/>
      <c r="BB61" s="115"/>
    </row>
    <row r="62" spans="1:58" s="27" customFormat="1" ht="17.149999999999999" customHeight="1" x14ac:dyDescent="0.35">
      <c r="A62" s="371"/>
      <c r="F62" s="17"/>
      <c r="G62" s="17"/>
      <c r="H62" s="17"/>
      <c r="I62" s="17"/>
      <c r="J62" s="17"/>
      <c r="K62" s="17"/>
      <c r="L62" s="17"/>
      <c r="M62" s="17"/>
      <c r="N62" s="17"/>
      <c r="O62" s="17"/>
      <c r="P62" s="17"/>
      <c r="Q62" s="17"/>
      <c r="R62" s="115"/>
      <c r="S62" s="115"/>
      <c r="T62" s="17"/>
      <c r="W62" s="17"/>
      <c r="X62" s="17"/>
      <c r="Y62" s="95"/>
      <c r="Z62" s="10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row>
    <row r="63" spans="1:58" s="27" customFormat="1" ht="17.149999999999999" customHeight="1" x14ac:dyDescent="0.35">
      <c r="A63" s="191"/>
      <c r="B63" s="166"/>
      <c r="C63" s="1780" t="s">
        <v>919</v>
      </c>
      <c r="D63" s="1780"/>
      <c r="E63" s="1780"/>
      <c r="F63" s="1780"/>
      <c r="G63" s="1780"/>
      <c r="H63" s="1780"/>
      <c r="I63" s="1781" t="s">
        <v>910</v>
      </c>
      <c r="J63" s="1782"/>
      <c r="K63" s="1782"/>
      <c r="L63" s="1782"/>
      <c r="M63" s="1782"/>
      <c r="N63" s="1783"/>
      <c r="O63" s="17"/>
      <c r="P63" s="1784" t="s">
        <v>920</v>
      </c>
      <c r="Q63" s="1784"/>
      <c r="R63" s="1784"/>
      <c r="S63" s="309"/>
      <c r="T63" s="17"/>
      <c r="U63" s="1794" t="s">
        <v>919</v>
      </c>
      <c r="V63" s="1794"/>
      <c r="W63" s="1794"/>
      <c r="X63" s="1794"/>
      <c r="Y63" s="1794"/>
      <c r="Z63" s="1794"/>
      <c r="AA63" s="1794"/>
      <c r="AB63" s="1794" t="s">
        <v>910</v>
      </c>
      <c r="AC63" s="1794"/>
      <c r="AD63" s="1794"/>
      <c r="AE63" s="1794"/>
      <c r="AF63" s="1794"/>
      <c r="AG63" s="1794"/>
      <c r="AH63" s="17"/>
      <c r="AI63" s="1789" t="s">
        <v>920</v>
      </c>
      <c r="AJ63" s="1789"/>
      <c r="AK63" s="1789"/>
      <c r="AL63" s="300"/>
      <c r="AM63" s="17"/>
      <c r="AN63" s="17"/>
      <c r="AO63" s="17"/>
      <c r="AP63" s="17"/>
      <c r="AQ63" s="17"/>
      <c r="AR63" s="17"/>
      <c r="AS63" s="17"/>
      <c r="AT63" s="17"/>
      <c r="AU63" s="17"/>
      <c r="AV63" s="17"/>
      <c r="AW63" s="17"/>
      <c r="AX63" s="17"/>
      <c r="AY63" s="17"/>
      <c r="AZ63" s="17"/>
      <c r="BA63" s="17"/>
      <c r="BB63" s="17"/>
    </row>
    <row r="64" spans="1:58" s="27" customFormat="1" ht="58" x14ac:dyDescent="0.3">
      <c r="A64" s="355"/>
      <c r="B64" s="1511" t="s">
        <v>899</v>
      </c>
      <c r="C64" s="1513" t="s">
        <v>921</v>
      </c>
      <c r="D64" s="1511" t="s">
        <v>912</v>
      </c>
      <c r="E64" s="1511" t="s">
        <v>905</v>
      </c>
      <c r="F64" s="1511" t="s">
        <v>57</v>
      </c>
      <c r="G64" s="1511" t="s">
        <v>902</v>
      </c>
      <c r="H64" s="1511" t="s">
        <v>914</v>
      </c>
      <c r="I64" s="1511" t="s">
        <v>915</v>
      </c>
      <c r="J64" s="1511" t="s">
        <v>912</v>
      </c>
      <c r="K64" s="1511" t="s">
        <v>905</v>
      </c>
      <c r="L64" s="1511" t="s">
        <v>57</v>
      </c>
      <c r="M64" s="1511" t="s">
        <v>902</v>
      </c>
      <c r="N64" s="1511" t="s">
        <v>903</v>
      </c>
      <c r="O64" s="137"/>
      <c r="P64" s="1511" t="s">
        <v>905</v>
      </c>
      <c r="Q64" s="1511" t="s">
        <v>57</v>
      </c>
      <c r="R64" s="1506" t="s">
        <v>208</v>
      </c>
      <c r="S64" s="390" t="s">
        <v>277</v>
      </c>
      <c r="T64" s="137"/>
      <c r="U64" s="1033" t="s">
        <v>922</v>
      </c>
      <c r="V64" s="1033" t="s">
        <v>921</v>
      </c>
      <c r="W64" s="1033" t="s">
        <v>912</v>
      </c>
      <c r="X64" s="1033" t="s">
        <v>905</v>
      </c>
      <c r="Y64" s="1033" t="s">
        <v>57</v>
      </c>
      <c r="Z64" s="1033" t="s">
        <v>902</v>
      </c>
      <c r="AA64" s="1033" t="s">
        <v>914</v>
      </c>
      <c r="AB64" s="1033" t="s">
        <v>915</v>
      </c>
      <c r="AC64" s="1033" t="s">
        <v>912</v>
      </c>
      <c r="AD64" s="1033" t="s">
        <v>905</v>
      </c>
      <c r="AE64" s="1033" t="s">
        <v>57</v>
      </c>
      <c r="AF64" s="1033" t="s">
        <v>902</v>
      </c>
      <c r="AG64" s="1033" t="s">
        <v>903</v>
      </c>
      <c r="AH64" s="17"/>
      <c r="AI64" s="1033" t="s">
        <v>905</v>
      </c>
      <c r="AJ64" s="1033" t="s">
        <v>57</v>
      </c>
      <c r="AK64" s="1507" t="s">
        <v>208</v>
      </c>
      <c r="AL64" s="390" t="s">
        <v>277</v>
      </c>
      <c r="AM64" s="17"/>
      <c r="AN64" s="17"/>
      <c r="AO64" s="17"/>
      <c r="AP64" s="17"/>
      <c r="AQ64" s="17"/>
      <c r="AR64" s="17"/>
      <c r="AS64" s="17"/>
      <c r="AT64" s="17"/>
      <c r="AU64" s="17"/>
      <c r="AV64" s="17"/>
      <c r="AW64" s="17"/>
      <c r="AX64" s="17"/>
      <c r="AY64" s="17"/>
      <c r="AZ64" s="17"/>
      <c r="BA64" s="17"/>
      <c r="BB64" s="17"/>
      <c r="BC64" s="17"/>
      <c r="BD64" s="17"/>
      <c r="BE64" s="17"/>
      <c r="BF64" s="17"/>
    </row>
    <row r="65" spans="1:56" s="186" customFormat="1" ht="13" x14ac:dyDescent="0.35">
      <c r="A65" s="384"/>
      <c r="B65" s="384"/>
      <c r="C65" s="384"/>
      <c r="D65" s="384"/>
      <c r="E65" s="385"/>
      <c r="F65" s="384"/>
      <c r="G65" s="386"/>
      <c r="H65" s="387"/>
      <c r="I65" s="388"/>
      <c r="J65" s="388"/>
      <c r="K65" s="385"/>
      <c r="L65" s="384"/>
      <c r="M65" s="225"/>
      <c r="N65" s="225"/>
      <c r="O65" s="185"/>
      <c r="P65" s="224"/>
      <c r="Q65" s="225"/>
      <c r="R65" s="143"/>
      <c r="S65" s="155"/>
      <c r="T65" s="185"/>
      <c r="U65" s="356"/>
      <c r="V65" s="1514"/>
      <c r="W65" s="356"/>
      <c r="X65" s="224"/>
      <c r="Y65" s="356"/>
      <c r="Z65" s="321"/>
      <c r="AA65" s="383"/>
      <c r="AB65" s="143"/>
      <c r="AC65" s="143"/>
      <c r="AD65" s="224"/>
      <c r="AE65" s="356"/>
      <c r="AF65" s="225"/>
      <c r="AG65" s="225"/>
      <c r="AH65" s="185"/>
      <c r="AI65" s="224"/>
      <c r="AJ65" s="225"/>
      <c r="AK65" s="143"/>
      <c r="AL65" s="155"/>
      <c r="AM65" s="185"/>
      <c r="AN65" s="185"/>
      <c r="AO65" s="185"/>
      <c r="AP65" s="185"/>
      <c r="AQ65" s="185"/>
      <c r="AR65" s="185"/>
      <c r="AS65" s="185"/>
      <c r="AT65" s="185"/>
      <c r="AU65" s="185"/>
      <c r="AV65" s="185"/>
      <c r="AW65" s="185"/>
      <c r="AX65" s="185"/>
      <c r="AY65" s="185"/>
      <c r="AZ65" s="185"/>
      <c r="BA65" s="185"/>
      <c r="BB65" s="185"/>
      <c r="BC65" s="185"/>
    </row>
    <row r="66" spans="1:56" s="184" customFormat="1" ht="17.149999999999999" customHeight="1" x14ac:dyDescent="0.3">
      <c r="A66" s="1038" t="s">
        <v>824</v>
      </c>
      <c r="B66" s="1039">
        <f>SUM(B67:B69)</f>
        <v>45125</v>
      </c>
      <c r="C66" s="1040">
        <f>SUM(C67:C69)</f>
        <v>22575</v>
      </c>
      <c r="D66" s="1039"/>
      <c r="E66" s="1039">
        <f>SUM(E67:E69)</f>
        <v>1125</v>
      </c>
      <c r="F66" s="1039">
        <f>SUM(F67:F69)</f>
        <v>21450</v>
      </c>
      <c r="G66" s="1039">
        <f>SUM(G67:G69)</f>
        <v>21450</v>
      </c>
      <c r="H66" s="1039">
        <f>SUM(H67:H69)</f>
        <v>0</v>
      </c>
      <c r="I66" s="1039">
        <f>SUM(I67:I69)</f>
        <v>22550</v>
      </c>
      <c r="J66" s="1039"/>
      <c r="K66" s="1039">
        <f>SUM(K67:K69)</f>
        <v>1125</v>
      </c>
      <c r="L66" s="1039">
        <f>SUM(L67:L69)</f>
        <v>21425</v>
      </c>
      <c r="M66" s="1039">
        <f>SUM(M67:M69)</f>
        <v>21425</v>
      </c>
      <c r="N66" s="1039">
        <f>SUM(N67:N69)</f>
        <v>0</v>
      </c>
      <c r="O66" s="137"/>
      <c r="P66" s="1039">
        <f>SUM(P67:P69)</f>
        <v>2250</v>
      </c>
      <c r="Q66" s="1039">
        <f>SUM(Q67:Q69)</f>
        <v>42875</v>
      </c>
      <c r="R66" s="1039">
        <f>SUM(R67:R69)</f>
        <v>45125</v>
      </c>
      <c r="S66" s="1518">
        <f>SUM(S67:S69)</f>
        <v>0</v>
      </c>
      <c r="T66" s="137"/>
      <c r="U66" s="1041">
        <f>SUM(U67:U69)</f>
        <v>40925</v>
      </c>
      <c r="V66" s="1041">
        <f>SUM(V67:V69)</f>
        <v>0</v>
      </c>
      <c r="W66" s="1041"/>
      <c r="X66" s="1041">
        <f>SUM(X67:X69)</f>
        <v>0</v>
      </c>
      <c r="Y66" s="1041">
        <f>SUM(Y67:Y69)</f>
        <v>0</v>
      </c>
      <c r="Z66" s="1041">
        <f>SUM(Z67:Z69)</f>
        <v>0</v>
      </c>
      <c r="AA66" s="1041">
        <f>SUM(AA67:AA69)</f>
        <v>0</v>
      </c>
      <c r="AB66" s="1042">
        <f>SUM(AB67:AB69)</f>
        <v>40925</v>
      </c>
      <c r="AC66" s="1042"/>
      <c r="AD66" s="1042">
        <f>SUM(AD67:AD69)</f>
        <v>0</v>
      </c>
      <c r="AE66" s="1042">
        <f>SUM(AE67:AE69)</f>
        <v>40925</v>
      </c>
      <c r="AF66" s="1042">
        <f>SUM(AF67:AF69)</f>
        <v>40925</v>
      </c>
      <c r="AG66" s="1042">
        <f>SUM(AG67:AG69)</f>
        <v>0</v>
      </c>
      <c r="AH66" s="3"/>
      <c r="AI66" s="1041">
        <f>SUM(AI67:AI69)</f>
        <v>0</v>
      </c>
      <c r="AJ66" s="1041">
        <f>SUM(AJ67:AJ69)</f>
        <v>40925</v>
      </c>
      <c r="AK66" s="1041">
        <f>SUM(AK67:AK69)</f>
        <v>40925</v>
      </c>
      <c r="AL66" s="1518">
        <f>SUM(AL67:AL69)</f>
        <v>0</v>
      </c>
      <c r="AM66" s="3"/>
      <c r="AN66" s="3"/>
      <c r="AO66" s="3"/>
      <c r="AP66" s="3"/>
      <c r="AQ66" s="3"/>
      <c r="AR66" s="3"/>
      <c r="AS66" s="3"/>
      <c r="AT66" s="3"/>
      <c r="AU66" s="3"/>
      <c r="AV66" s="3"/>
      <c r="AW66" s="3"/>
      <c r="AX66" s="3"/>
      <c r="AY66" s="3"/>
      <c r="AZ66" s="3"/>
      <c r="BA66" s="3"/>
      <c r="BB66" s="3"/>
      <c r="BC66" s="3"/>
      <c r="BD66" s="3"/>
    </row>
    <row r="67" spans="1:56" s="1045" customFormat="1" ht="17.149999999999999" customHeight="1" x14ac:dyDescent="0.35">
      <c r="A67" s="155" t="s">
        <v>822</v>
      </c>
      <c r="B67" s="1522">
        <f>'FS_Capture volumes'!E101</f>
        <v>0</v>
      </c>
      <c r="C67" s="1020">
        <f>ROUND((B67*'User interface_RES'!M37)/25,0)*25</f>
        <v>0</v>
      </c>
      <c r="D67" s="999">
        <f>'User interface_RES'!L37</f>
        <v>0.05</v>
      </c>
      <c r="E67" s="1522">
        <f>ROUND((C67*D67)/25,0)*25</f>
        <v>0</v>
      </c>
      <c r="F67" s="1522">
        <f>C67-E67</f>
        <v>0</v>
      </c>
      <c r="G67" s="1522">
        <f>ROUND((F67*'User interface_RES'!O80)/25,0)*25</f>
        <v>0</v>
      </c>
      <c r="H67" s="1522">
        <f>F67-G67</f>
        <v>0</v>
      </c>
      <c r="I67" s="1522">
        <f>B67-C67</f>
        <v>0</v>
      </c>
      <c r="J67" s="999">
        <f>D67</f>
        <v>0.05</v>
      </c>
      <c r="K67" s="1522">
        <f>ROUND((I67*J67)/25,0)*25</f>
        <v>0</v>
      </c>
      <c r="L67" s="1522">
        <f>I67-K67</f>
        <v>0</v>
      </c>
      <c r="M67" s="1522">
        <f>ROUND((L67*'User interface_RES'!O80)/25,0)*25</f>
        <v>0</v>
      </c>
      <c r="N67" s="1522">
        <f>L67-M67</f>
        <v>0</v>
      </c>
      <c r="O67" s="60"/>
      <c r="P67" s="1020">
        <f>E67+H67+K67</f>
        <v>0</v>
      </c>
      <c r="Q67" s="1020">
        <f>G67+L67</f>
        <v>0</v>
      </c>
      <c r="R67" s="1518">
        <f>SUM(P67:Q67)</f>
        <v>0</v>
      </c>
      <c r="S67" s="1518">
        <f>B67-R67</f>
        <v>0</v>
      </c>
      <c r="T67" s="60"/>
      <c r="U67" s="1522">
        <f>'FS_Capture volumes'!F101</f>
        <v>0</v>
      </c>
      <c r="V67" s="1522">
        <f>ROUND((U67*'User interface_RES'!$M$59)/25,0)*25</f>
        <v>0</v>
      </c>
      <c r="W67" s="956">
        <f>'User interface_RES'!L58</f>
        <v>0</v>
      </c>
      <c r="X67" s="1522">
        <f>ROUND((V67*W67)/25,0)*25</f>
        <v>0</v>
      </c>
      <c r="Y67" s="1522">
        <f>V67-X67</f>
        <v>0</v>
      </c>
      <c r="Z67" s="1522">
        <f>ROUND((Y67*'User interface_RES'!O80)/25,0)*25</f>
        <v>0</v>
      </c>
      <c r="AA67" s="1522">
        <f>Y67-Z67</f>
        <v>0</v>
      </c>
      <c r="AB67" s="1522">
        <f>U67-V67</f>
        <v>0</v>
      </c>
      <c r="AC67" s="999">
        <f>'User interface_RES'!L59</f>
        <v>0</v>
      </c>
      <c r="AD67" s="1522">
        <f>ROUND((AB67*AC67)/25,0)*25</f>
        <v>0</v>
      </c>
      <c r="AE67" s="1522">
        <f>AB67-AD67</f>
        <v>0</v>
      </c>
      <c r="AF67" s="1522">
        <f>ROUND((AE67*'User interface_RES'!O80)/25,0)*25</f>
        <v>0</v>
      </c>
      <c r="AG67" s="1522">
        <f>AE67-AF67</f>
        <v>0</v>
      </c>
      <c r="AH67" s="60"/>
      <c r="AI67" s="1020">
        <f>X67+AA67+AD67</f>
        <v>0</v>
      </c>
      <c r="AJ67" s="1020">
        <f>Z67+AE67</f>
        <v>0</v>
      </c>
      <c r="AK67" s="1518">
        <f>SUM(AI67:AJ67)</f>
        <v>0</v>
      </c>
      <c r="AL67" s="1518">
        <f>U67-AK67</f>
        <v>0</v>
      </c>
      <c r="AM67" s="60"/>
      <c r="AN67" s="60"/>
      <c r="AO67" s="60"/>
      <c r="AP67" s="60"/>
      <c r="AQ67" s="60"/>
      <c r="AR67" s="60"/>
      <c r="AS67" s="60"/>
      <c r="AT67" s="60"/>
      <c r="AU67" s="60"/>
      <c r="AV67" s="60"/>
      <c r="AW67" s="60"/>
      <c r="AX67" s="60"/>
      <c r="AY67" s="60"/>
      <c r="AZ67" s="60"/>
      <c r="BA67" s="60"/>
      <c r="BB67" s="60"/>
      <c r="BC67" s="60"/>
    </row>
    <row r="68" spans="1:56" s="1045" customFormat="1" ht="17.149999999999999" customHeight="1" x14ac:dyDescent="0.35">
      <c r="A68" s="155" t="s">
        <v>823</v>
      </c>
      <c r="B68" s="1522">
        <f>'FS_Capture volumes'!E102</f>
        <v>45125</v>
      </c>
      <c r="C68" s="1020">
        <f>ROUND((B68*'User interface_RES'!M37)/25,0)*25</f>
        <v>22575</v>
      </c>
      <c r="D68" s="999">
        <f>'User interface_RES'!L37</f>
        <v>0.05</v>
      </c>
      <c r="E68" s="1522">
        <f>ROUND((C68*D68)/25,0)*25</f>
        <v>1125</v>
      </c>
      <c r="F68" s="1522">
        <f>C68-E68</f>
        <v>21450</v>
      </c>
      <c r="G68" s="1522">
        <f>ROUND((F68*'User interface_RES'!O81)/25,0)*25</f>
        <v>21450</v>
      </c>
      <c r="H68" s="1522">
        <f>F68-G68</f>
        <v>0</v>
      </c>
      <c r="I68" s="1522">
        <f>B68-C68</f>
        <v>22550</v>
      </c>
      <c r="J68" s="999">
        <f>D68</f>
        <v>0.05</v>
      </c>
      <c r="K68" s="1522">
        <f>ROUND((I68*J68)/25,0)*25</f>
        <v>1125</v>
      </c>
      <c r="L68" s="1522">
        <f>I68-K68</f>
        <v>21425</v>
      </c>
      <c r="M68" s="1522">
        <f>ROUND((L68*'User interface_RES'!O81)/25,0)*25</f>
        <v>21425</v>
      </c>
      <c r="N68" s="1522">
        <f>L68-M68</f>
        <v>0</v>
      </c>
      <c r="O68" s="60"/>
      <c r="P68" s="1020">
        <f>E68+H68+K68</f>
        <v>2250</v>
      </c>
      <c r="Q68" s="1020">
        <f>G68+L68</f>
        <v>42875</v>
      </c>
      <c r="R68" s="1518">
        <f>SUM(P68:Q68)</f>
        <v>45125</v>
      </c>
      <c r="S68" s="1518">
        <f>B68-R68</f>
        <v>0</v>
      </c>
      <c r="T68" s="60"/>
      <c r="U68" s="1522">
        <f>'FS_Capture volumes'!F102</f>
        <v>40925</v>
      </c>
      <c r="V68" s="1522">
        <f>ROUND((U68*'User interface_RES'!$M$59)/25,0)*25</f>
        <v>0</v>
      </c>
      <c r="W68" s="956">
        <f>'User interface_RES'!L58</f>
        <v>0</v>
      </c>
      <c r="X68" s="1522">
        <f>ROUND((V68*W68)/25,0)*25</f>
        <v>0</v>
      </c>
      <c r="Y68" s="1522">
        <f>V68-X68</f>
        <v>0</v>
      </c>
      <c r="Z68" s="1522">
        <f>ROUND((Y68*'User interface_RES'!O81)/25,0)*25</f>
        <v>0</v>
      </c>
      <c r="AA68" s="1522">
        <f>Y68-Z68</f>
        <v>0</v>
      </c>
      <c r="AB68" s="1522">
        <f>U68-V68</f>
        <v>40925</v>
      </c>
      <c r="AC68" s="999">
        <f>'User interface_RES'!L59</f>
        <v>0</v>
      </c>
      <c r="AD68" s="1522">
        <f>ROUND((AB68*AC68)/25,0)*25</f>
        <v>0</v>
      </c>
      <c r="AE68" s="1522">
        <f>AB68-AD68</f>
        <v>40925</v>
      </c>
      <c r="AF68" s="1522">
        <f>ROUND((AE68*'User interface_RES'!O81)/25,0)*25</f>
        <v>40925</v>
      </c>
      <c r="AG68" s="1522">
        <f>ROUND((AE68-AF68)/10,0)*10</f>
        <v>0</v>
      </c>
      <c r="AH68" s="60"/>
      <c r="AI68" s="1020">
        <f>X68+AA68+AD68</f>
        <v>0</v>
      </c>
      <c r="AJ68" s="1020">
        <f>Z68+AE68</f>
        <v>40925</v>
      </c>
      <c r="AK68" s="1518">
        <f>SUM(AI68:AJ68)</f>
        <v>40925</v>
      </c>
      <c r="AL68" s="1518">
        <f>U68-AK68</f>
        <v>0</v>
      </c>
      <c r="AM68" s="60"/>
      <c r="AN68" s="60"/>
      <c r="AO68" s="60"/>
      <c r="AP68" s="60"/>
      <c r="AQ68" s="60"/>
      <c r="AR68" s="60"/>
      <c r="AS68" s="60"/>
      <c r="AT68" s="60"/>
      <c r="AU68" s="60"/>
      <c r="AV68" s="60"/>
      <c r="AW68" s="60"/>
      <c r="AX68" s="60"/>
      <c r="AY68" s="60"/>
      <c r="AZ68" s="60"/>
      <c r="BA68" s="60"/>
      <c r="BB68" s="60"/>
      <c r="BC68" s="60"/>
    </row>
    <row r="69" spans="1:56" s="1045" customFormat="1" ht="17.149999999999999" customHeight="1" x14ac:dyDescent="0.35">
      <c r="A69" s="155" t="s">
        <v>825</v>
      </c>
      <c r="B69" s="1522">
        <f>'FS_Capture volumes'!E103</f>
        <v>0</v>
      </c>
      <c r="C69" s="1020">
        <f>ROUND((B69*'User interface_RES'!M37)/25,0)*25</f>
        <v>0</v>
      </c>
      <c r="D69" s="999">
        <f>'User interface_RES'!L37</f>
        <v>0.05</v>
      </c>
      <c r="E69" s="1522">
        <f>ROUND((C69*D69)/25,0)*25</f>
        <v>0</v>
      </c>
      <c r="F69" s="1522">
        <f>C69-E69</f>
        <v>0</v>
      </c>
      <c r="G69" s="1522">
        <f>ROUND((F69*'User interface_RES'!O82)/25,0)*25</f>
        <v>0</v>
      </c>
      <c r="H69" s="1522">
        <f>F69-G69</f>
        <v>0</v>
      </c>
      <c r="I69" s="1522">
        <f>B69-C69</f>
        <v>0</v>
      </c>
      <c r="J69" s="999">
        <f>D69</f>
        <v>0.05</v>
      </c>
      <c r="K69" s="1522">
        <f>ROUND((I69*J69)/25,0)*25</f>
        <v>0</v>
      </c>
      <c r="L69" s="1522">
        <f>I69-K69</f>
        <v>0</v>
      </c>
      <c r="M69" s="1522">
        <f>ROUND((L69*'User interface_RES'!O82)/25,0)*25</f>
        <v>0</v>
      </c>
      <c r="N69" s="1522">
        <f>L69-M69</f>
        <v>0</v>
      </c>
      <c r="O69" s="60"/>
      <c r="P69" s="1020">
        <f>E69+H69+K69</f>
        <v>0</v>
      </c>
      <c r="Q69" s="1020">
        <f>G69+L69</f>
        <v>0</v>
      </c>
      <c r="R69" s="1518">
        <f>SUM(P69:Q69)</f>
        <v>0</v>
      </c>
      <c r="S69" s="1518">
        <f>B69-R69</f>
        <v>0</v>
      </c>
      <c r="T69" s="60"/>
      <c r="U69" s="1522">
        <f>'FS_Capture volumes'!F103</f>
        <v>0</v>
      </c>
      <c r="V69" s="1522">
        <f>ROUND((U69*'User interface_RES'!$M$59)/25,0)*25</f>
        <v>0</v>
      </c>
      <c r="W69" s="956">
        <f>'User interface_RES'!L58</f>
        <v>0</v>
      </c>
      <c r="X69" s="1522">
        <f>ROUND((V69*W69)/25,0)*25</f>
        <v>0</v>
      </c>
      <c r="Y69" s="1522">
        <f>V69-X69</f>
        <v>0</v>
      </c>
      <c r="Z69" s="1522">
        <f>ROUND((Y69*'User interface_RES'!O82)/25,0)*25</f>
        <v>0</v>
      </c>
      <c r="AA69" s="1522">
        <f>Y69-Z69</f>
        <v>0</v>
      </c>
      <c r="AB69" s="1522">
        <f>U69-V69</f>
        <v>0</v>
      </c>
      <c r="AC69" s="999">
        <f>'User interface_RES'!L59</f>
        <v>0</v>
      </c>
      <c r="AD69" s="1522">
        <f>ROUND((AB69*AC69)/25,0)*25</f>
        <v>0</v>
      </c>
      <c r="AE69" s="1522">
        <f>AB69-AD69</f>
        <v>0</v>
      </c>
      <c r="AF69" s="1522">
        <f>ROUND((AE69*'User interface_RES'!O82)/25,0)*25</f>
        <v>0</v>
      </c>
      <c r="AG69" s="1522">
        <f>AE69-AF69</f>
        <v>0</v>
      </c>
      <c r="AH69" s="60"/>
      <c r="AI69" s="1020">
        <f>X69+AA69+AD69</f>
        <v>0</v>
      </c>
      <c r="AJ69" s="1020">
        <f>Z69+AE69</f>
        <v>0</v>
      </c>
      <c r="AK69" s="1518">
        <f>SUM(AI69:AJ69)</f>
        <v>0</v>
      </c>
      <c r="AL69" s="1518">
        <f>U69-AK69</f>
        <v>0</v>
      </c>
      <c r="AM69" s="60"/>
      <c r="AN69" s="60"/>
      <c r="AO69" s="60"/>
      <c r="AP69" s="60"/>
      <c r="AQ69" s="60"/>
      <c r="AR69" s="60"/>
      <c r="AS69" s="60"/>
      <c r="AT69" s="60"/>
      <c r="AU69" s="60"/>
      <c r="AV69" s="60"/>
      <c r="AW69" s="60"/>
      <c r="AX69" s="60"/>
      <c r="AY69" s="60"/>
      <c r="AZ69" s="60"/>
      <c r="BA69" s="60"/>
      <c r="BB69" s="60"/>
      <c r="BC69" s="60"/>
    </row>
    <row r="70" spans="1:56" s="184" customFormat="1" ht="17.149999999999999" customHeight="1" x14ac:dyDescent="0.3">
      <c r="A70" s="1038" t="s">
        <v>830</v>
      </c>
      <c r="B70" s="1039">
        <f>SUM(B71:B73)</f>
        <v>0</v>
      </c>
      <c r="C70" s="1040">
        <f>SUM(C71:C73)</f>
        <v>0</v>
      </c>
      <c r="D70" s="1039"/>
      <c r="E70" s="1039">
        <f>SUM(E71:E73)</f>
        <v>0</v>
      </c>
      <c r="F70" s="1039">
        <f>SUM(F71:F73)</f>
        <v>0</v>
      </c>
      <c r="G70" s="1039">
        <f>SUM(G71:G73)</f>
        <v>0</v>
      </c>
      <c r="H70" s="1039">
        <f>SUM(H71:H73)</f>
        <v>0</v>
      </c>
      <c r="I70" s="1039">
        <f>SUM(I71:I73)</f>
        <v>0</v>
      </c>
      <c r="J70" s="1039"/>
      <c r="K70" s="1039">
        <f>SUM(K71:K73)</f>
        <v>0</v>
      </c>
      <c r="L70" s="1039">
        <f>SUM(L71:L73)</f>
        <v>0</v>
      </c>
      <c r="M70" s="1039">
        <f>SUM(M71:M73)</f>
        <v>0</v>
      </c>
      <c r="N70" s="1039">
        <f>SUM(N71:N73)</f>
        <v>0</v>
      </c>
      <c r="O70" s="137"/>
      <c r="P70" s="1039">
        <f>SUM(P71:P73)</f>
        <v>0</v>
      </c>
      <c r="Q70" s="1039">
        <f>SUM(Q71:Q73)</f>
        <v>0</v>
      </c>
      <c r="R70" s="1039">
        <f>SUM(R71:R73)</f>
        <v>0</v>
      </c>
      <c r="S70" s="1518">
        <f>SUM(S71:S73)</f>
        <v>0</v>
      </c>
      <c r="T70" s="137"/>
      <c r="U70" s="1041">
        <f>SUM(U71:U73)</f>
        <v>0</v>
      </c>
      <c r="V70" s="1041">
        <f>SUM(V71:V73)</f>
        <v>0</v>
      </c>
      <c r="W70" s="1041"/>
      <c r="X70" s="1041">
        <f>SUM(X71:X73)</f>
        <v>0</v>
      </c>
      <c r="Y70" s="1041">
        <f>SUM(Y71:Y73)</f>
        <v>0</v>
      </c>
      <c r="Z70" s="1041">
        <f>SUM(Z71:Z73)</f>
        <v>0</v>
      </c>
      <c r="AA70" s="1041">
        <f>SUM(AA71:AA73)</f>
        <v>0</v>
      </c>
      <c r="AB70" s="1042">
        <f>SUM(AB71:AB73)</f>
        <v>0</v>
      </c>
      <c r="AC70" s="1042"/>
      <c r="AD70" s="1042">
        <f>SUM(AD71:AD73)</f>
        <v>0</v>
      </c>
      <c r="AE70" s="1042">
        <f>SUM(AE71:AE73)</f>
        <v>0</v>
      </c>
      <c r="AF70" s="1042">
        <f>SUM(AF71:AF73)</f>
        <v>0</v>
      </c>
      <c r="AG70" s="1042">
        <f>SUM(AG71:AG73)</f>
        <v>0</v>
      </c>
      <c r="AH70" s="3"/>
      <c r="AI70" s="1041">
        <f>SUM(AI71:AI73)</f>
        <v>0</v>
      </c>
      <c r="AJ70" s="1041">
        <f>SUM(AJ71:AJ73)</f>
        <v>0</v>
      </c>
      <c r="AK70" s="1041">
        <f>SUM(AK71:AK73)</f>
        <v>0</v>
      </c>
      <c r="AL70" s="1518">
        <f>SUM(AL71:AL73)</f>
        <v>0</v>
      </c>
      <c r="AM70" s="3"/>
      <c r="AN70" s="3"/>
      <c r="AO70" s="3"/>
      <c r="AP70" s="3"/>
      <c r="AQ70" s="3"/>
      <c r="AR70" s="3"/>
      <c r="AS70" s="3"/>
      <c r="AT70" s="3"/>
      <c r="AU70" s="3"/>
      <c r="AV70" s="3"/>
      <c r="AW70" s="3"/>
      <c r="AX70" s="3"/>
      <c r="AY70" s="3"/>
      <c r="AZ70" s="3"/>
      <c r="BA70" s="3"/>
      <c r="BB70" s="3"/>
      <c r="BC70" s="3"/>
      <c r="BD70" s="3"/>
    </row>
    <row r="71" spans="1:56" s="1045" customFormat="1" ht="17.149999999999999" customHeight="1" x14ac:dyDescent="0.35">
      <c r="A71" s="155" t="s">
        <v>827</v>
      </c>
      <c r="B71" s="1522">
        <f>'FS_Capture volumes'!E111</f>
        <v>0</v>
      </c>
      <c r="C71" s="1020">
        <f>ROUND((B71*'User interface_RES'!M41)/25,0)*25</f>
        <v>0</v>
      </c>
      <c r="D71" s="999">
        <f>'User interface_RES'!L41</f>
        <v>0</v>
      </c>
      <c r="E71" s="1522">
        <f>ROUND((C71*D71)/25,0)*25</f>
        <v>0</v>
      </c>
      <c r="F71" s="1522">
        <f>C71-E71</f>
        <v>0</v>
      </c>
      <c r="G71" s="1522">
        <f>ROUND((F71*'User interface_RES'!O84)/25,0)*25</f>
        <v>0</v>
      </c>
      <c r="H71" s="1522">
        <f>F71-G71</f>
        <v>0</v>
      </c>
      <c r="I71" s="1522">
        <f>B71-C71</f>
        <v>0</v>
      </c>
      <c r="J71" s="999">
        <f>D71</f>
        <v>0</v>
      </c>
      <c r="K71" s="1522">
        <f>ROUND((I71*J71)/25,0)*25</f>
        <v>0</v>
      </c>
      <c r="L71" s="1522">
        <f>I71-K71</f>
        <v>0</v>
      </c>
      <c r="M71" s="1522">
        <f>ROUND((L71*'User interface_RES'!O84)/25,0)*25</f>
        <v>0</v>
      </c>
      <c r="N71" s="1522">
        <f>L71-M71</f>
        <v>0</v>
      </c>
      <c r="O71" s="60"/>
      <c r="P71" s="1020">
        <f>E71+H71+K71</f>
        <v>0</v>
      </c>
      <c r="Q71" s="1020">
        <f>G71+L71</f>
        <v>0</v>
      </c>
      <c r="R71" s="1518">
        <f>SUM(P71:Q71)</f>
        <v>0</v>
      </c>
      <c r="S71" s="1518">
        <f>B71-R71</f>
        <v>0</v>
      </c>
      <c r="T71" s="60"/>
      <c r="U71" s="1522">
        <f>'FS_Capture volumes'!F111</f>
        <v>0</v>
      </c>
      <c r="V71" s="1522">
        <f>ROUND((U71*'User interface_RES'!$M$89)/25,0)*25</f>
        <v>0</v>
      </c>
      <c r="W71" s="956">
        <f>'User interface_RES'!L63</f>
        <v>0</v>
      </c>
      <c r="X71" s="1522">
        <f>ROUND((V71*W71)/25,0)*25</f>
        <v>0</v>
      </c>
      <c r="Y71" s="1522">
        <f>V71-X71</f>
        <v>0</v>
      </c>
      <c r="Z71" s="1522">
        <f>ROUND((Y71*'User interface_RES'!O84)/25,0)*25</f>
        <v>0</v>
      </c>
      <c r="AA71" s="1522">
        <f>Y71-Z71</f>
        <v>0</v>
      </c>
      <c r="AB71" s="1522">
        <f>U71-V71</f>
        <v>0</v>
      </c>
      <c r="AC71" s="999">
        <f>'User interface_RES'!L62</f>
        <v>0</v>
      </c>
      <c r="AD71" s="1522">
        <f>ROUND((AB71*AC71)/25,0)*25</f>
        <v>0</v>
      </c>
      <c r="AE71" s="1522">
        <f>AB71-AD71</f>
        <v>0</v>
      </c>
      <c r="AF71" s="1522">
        <f>ROUND((AE71*'User interface_RES'!O84)/25,0)*25</f>
        <v>0</v>
      </c>
      <c r="AG71" s="1522">
        <f>AE71-AF71</f>
        <v>0</v>
      </c>
      <c r="AH71" s="60"/>
      <c r="AI71" s="1020">
        <f>X71+AA71+AD71</f>
        <v>0</v>
      </c>
      <c r="AJ71" s="1020">
        <f>Z71+AE71</f>
        <v>0</v>
      </c>
      <c r="AK71" s="1518">
        <f>SUM(AI71:AJ71)</f>
        <v>0</v>
      </c>
      <c r="AL71" s="1518">
        <f>U71-AK71</f>
        <v>0</v>
      </c>
      <c r="AM71" s="60"/>
      <c r="AN71" s="60"/>
      <c r="AO71" s="60"/>
      <c r="AP71" s="60"/>
      <c r="AQ71" s="60"/>
      <c r="AR71" s="60"/>
      <c r="AS71" s="60"/>
      <c r="AT71" s="60"/>
      <c r="AU71" s="60"/>
      <c r="AV71" s="60"/>
      <c r="AW71" s="60"/>
      <c r="AX71" s="60"/>
      <c r="AY71" s="60"/>
      <c r="AZ71" s="60"/>
      <c r="BA71" s="60"/>
      <c r="BB71" s="60"/>
      <c r="BC71" s="60"/>
    </row>
    <row r="72" spans="1:56" s="1045" customFormat="1" ht="17.149999999999999" customHeight="1" x14ac:dyDescent="0.35">
      <c r="A72" s="155" t="s">
        <v>828</v>
      </c>
      <c r="B72" s="1522">
        <f>'FS_Capture volumes'!E112</f>
        <v>0</v>
      </c>
      <c r="C72" s="1020">
        <f>ROUND((B72*'User interface_RES'!M41)/25,0)*25</f>
        <v>0</v>
      </c>
      <c r="D72" s="999">
        <f>'User interface_RES'!L41</f>
        <v>0</v>
      </c>
      <c r="E72" s="1522">
        <f>ROUND((C72*D72)/25,0)*25</f>
        <v>0</v>
      </c>
      <c r="F72" s="1522">
        <f>C72-E72</f>
        <v>0</v>
      </c>
      <c r="G72" s="1522">
        <f>ROUND((F72*'User interface_RES'!O85)/25,0)*25</f>
        <v>0</v>
      </c>
      <c r="H72" s="1522">
        <f>F72-G72</f>
        <v>0</v>
      </c>
      <c r="I72" s="1522">
        <f>B72-C72</f>
        <v>0</v>
      </c>
      <c r="J72" s="999">
        <f>D72</f>
        <v>0</v>
      </c>
      <c r="K72" s="1522">
        <f>ROUND((I72*J72)/25,0)*25</f>
        <v>0</v>
      </c>
      <c r="L72" s="1522">
        <f>I72-K72</f>
        <v>0</v>
      </c>
      <c r="M72" s="1522">
        <f>ROUND((L72*'User interface_RES'!O85)/25,0)*25</f>
        <v>0</v>
      </c>
      <c r="N72" s="1522">
        <f>L72-M72</f>
        <v>0</v>
      </c>
      <c r="O72" s="60"/>
      <c r="P72" s="1020">
        <f>E72+H72+K72</f>
        <v>0</v>
      </c>
      <c r="Q72" s="1020">
        <f>G72+L72</f>
        <v>0</v>
      </c>
      <c r="R72" s="1518">
        <f>SUM(P72:Q72)</f>
        <v>0</v>
      </c>
      <c r="S72" s="1518">
        <f>B72-R72</f>
        <v>0</v>
      </c>
      <c r="T72" s="60"/>
      <c r="U72" s="1522">
        <f>'FS_Capture volumes'!F112</f>
        <v>0</v>
      </c>
      <c r="V72" s="1522">
        <f>ROUND((U72*'User interface_Non-RES'!$M$58)/25,0)*25</f>
        <v>0</v>
      </c>
      <c r="W72" s="956">
        <f>'User interface_RES'!L63</f>
        <v>0</v>
      </c>
      <c r="X72" s="1522">
        <f>ROUND((V72*W72)/25,0)*25</f>
        <v>0</v>
      </c>
      <c r="Y72" s="1522">
        <f>V72-X72</f>
        <v>0</v>
      </c>
      <c r="Z72" s="1522">
        <f>ROUND((Y72*'User interface_RES'!O85)/25,0)*25</f>
        <v>0</v>
      </c>
      <c r="AA72" s="1522">
        <f>Y72-Z72</f>
        <v>0</v>
      </c>
      <c r="AB72" s="1522">
        <f>U72-V72</f>
        <v>0</v>
      </c>
      <c r="AC72" s="999">
        <f>'User interface_RES'!L62</f>
        <v>0</v>
      </c>
      <c r="AD72" s="1522">
        <f>ROUND((AB72*AC72)/25,0)*25</f>
        <v>0</v>
      </c>
      <c r="AE72" s="1522">
        <f>AB72-AD72</f>
        <v>0</v>
      </c>
      <c r="AF72" s="1522">
        <f>ROUND((AE72*'User interface_RES'!O85)/25,0)*25</f>
        <v>0</v>
      </c>
      <c r="AG72" s="1522">
        <f>AE72-AF72</f>
        <v>0</v>
      </c>
      <c r="AH72" s="60"/>
      <c r="AI72" s="1020">
        <f>X72+AA72+AD72</f>
        <v>0</v>
      </c>
      <c r="AJ72" s="1020">
        <f>Z72+AE72</f>
        <v>0</v>
      </c>
      <c r="AK72" s="1518">
        <f>SUM(AI72:AJ72)</f>
        <v>0</v>
      </c>
      <c r="AL72" s="1518">
        <f>U72-AK72</f>
        <v>0</v>
      </c>
      <c r="AM72" s="60"/>
      <c r="AN72" s="60"/>
      <c r="AO72" s="60"/>
      <c r="AP72" s="60"/>
      <c r="AQ72" s="60"/>
      <c r="AR72" s="60"/>
      <c r="AS72" s="60"/>
      <c r="AT72" s="60"/>
      <c r="AU72" s="60"/>
      <c r="AV72" s="60"/>
      <c r="AW72" s="60"/>
      <c r="AX72" s="60"/>
      <c r="AY72" s="60"/>
      <c r="AZ72" s="60"/>
      <c r="BA72" s="60"/>
      <c r="BB72" s="60"/>
      <c r="BC72" s="60"/>
    </row>
    <row r="73" spans="1:56" s="1045" customFormat="1" ht="17.149999999999999" customHeight="1" x14ac:dyDescent="0.35">
      <c r="A73" s="155" t="s">
        <v>831</v>
      </c>
      <c r="B73" s="1522">
        <f>'FS_Capture volumes'!E113</f>
        <v>0</v>
      </c>
      <c r="C73" s="1020">
        <f>ROUND((B73*'User interface_RES'!M41)/25,0)*25</f>
        <v>0</v>
      </c>
      <c r="D73" s="999">
        <f>'User interface_RES'!L41</f>
        <v>0</v>
      </c>
      <c r="E73" s="1522">
        <f>ROUND((C73*D73)/25,0)*25</f>
        <v>0</v>
      </c>
      <c r="F73" s="1522">
        <f>C73-E73</f>
        <v>0</v>
      </c>
      <c r="G73" s="1522">
        <f>ROUND((F73*'User interface_RES'!O86)/25,0)*25</f>
        <v>0</v>
      </c>
      <c r="H73" s="1522">
        <f>F73-G73</f>
        <v>0</v>
      </c>
      <c r="I73" s="1522">
        <f>B73-C73</f>
        <v>0</v>
      </c>
      <c r="J73" s="999">
        <f>D73</f>
        <v>0</v>
      </c>
      <c r="K73" s="1522">
        <f>ROUND((I73*J73)/25,0)*25</f>
        <v>0</v>
      </c>
      <c r="L73" s="1522">
        <f>I73-K73</f>
        <v>0</v>
      </c>
      <c r="M73" s="1522">
        <f>ROUND((L73*'User interface_RES'!O86)/25,0)*25</f>
        <v>0</v>
      </c>
      <c r="N73" s="1522">
        <f>L73-M73</f>
        <v>0</v>
      </c>
      <c r="O73" s="60"/>
      <c r="P73" s="1020">
        <f>E73+H73+K73</f>
        <v>0</v>
      </c>
      <c r="Q73" s="1020">
        <f>G73+L73</f>
        <v>0</v>
      </c>
      <c r="R73" s="1518">
        <f>SUM(P73:Q73)</f>
        <v>0</v>
      </c>
      <c r="S73" s="1518">
        <f>B73-R73</f>
        <v>0</v>
      </c>
      <c r="T73" s="60"/>
      <c r="U73" s="1522">
        <f>'FS_Capture volumes'!F113</f>
        <v>0</v>
      </c>
      <c r="V73" s="1522">
        <f>ROUND((U73*'User interface_Non-RES'!$M$58)/25,0)*25</f>
        <v>0</v>
      </c>
      <c r="W73" s="956">
        <f>'User interface_RES'!L63</f>
        <v>0</v>
      </c>
      <c r="X73" s="1522">
        <f>ROUND((V73*W73)/25,0)*25</f>
        <v>0</v>
      </c>
      <c r="Y73" s="1522">
        <f>V73-X73</f>
        <v>0</v>
      </c>
      <c r="Z73" s="1522">
        <f>ROUND((Y73*'User interface_RES'!O86)/25,0)*25</f>
        <v>0</v>
      </c>
      <c r="AA73" s="1522">
        <f>Y73-Z73</f>
        <v>0</v>
      </c>
      <c r="AB73" s="1522">
        <f>U73-V73</f>
        <v>0</v>
      </c>
      <c r="AC73" s="999">
        <f>'User interface_RES'!L62</f>
        <v>0</v>
      </c>
      <c r="AD73" s="1522">
        <f>ROUND((AB73*AC73)/25,0)*25</f>
        <v>0</v>
      </c>
      <c r="AE73" s="1522">
        <f>AB73-AD73</f>
        <v>0</v>
      </c>
      <c r="AF73" s="1522">
        <f>ROUND((AE73*'User interface_RES'!O86)/25,0)*25</f>
        <v>0</v>
      </c>
      <c r="AG73" s="1522">
        <f>AE73-AF73</f>
        <v>0</v>
      </c>
      <c r="AH73" s="60"/>
      <c r="AI73" s="1020">
        <f>X73+AA73+AD73</f>
        <v>0</v>
      </c>
      <c r="AJ73" s="1020">
        <f>Z73+AE73</f>
        <v>0</v>
      </c>
      <c r="AK73" s="1518">
        <f>SUM(AI73:AJ73)</f>
        <v>0</v>
      </c>
      <c r="AL73" s="1518">
        <f>U73-AK73</f>
        <v>0</v>
      </c>
      <c r="AM73" s="60"/>
      <c r="AN73" s="60"/>
      <c r="AO73" s="60"/>
      <c r="AP73" s="60"/>
      <c r="AQ73" s="60"/>
      <c r="AR73" s="60"/>
      <c r="AS73" s="60"/>
      <c r="AT73" s="60"/>
      <c r="AU73" s="60"/>
      <c r="AV73" s="60"/>
      <c r="AW73" s="60"/>
      <c r="AX73" s="60"/>
      <c r="AY73" s="60"/>
      <c r="AZ73" s="60"/>
      <c r="BA73" s="60"/>
      <c r="BB73" s="60"/>
      <c r="BC73" s="60"/>
    </row>
    <row r="74" spans="1:56" s="27" customFormat="1" ht="17.149999999999999" customHeight="1" x14ac:dyDescent="0.3">
      <c r="A74" s="1036" t="s">
        <v>361</v>
      </c>
      <c r="B74" s="1037">
        <f>B70+B66</f>
        <v>45125</v>
      </c>
      <c r="C74" s="1037">
        <f>C70+C66</f>
        <v>22575</v>
      </c>
      <c r="D74" s="1037"/>
      <c r="E74" s="1037">
        <f>E70+E66</f>
        <v>1125</v>
      </c>
      <c r="F74" s="1037">
        <f>F70+F66</f>
        <v>21450</v>
      </c>
      <c r="G74" s="1037">
        <f>G70+G66</f>
        <v>21450</v>
      </c>
      <c r="H74" s="1037">
        <f>H70+H66</f>
        <v>0</v>
      </c>
      <c r="I74" s="1037">
        <f>I70+I66</f>
        <v>22550</v>
      </c>
      <c r="J74" s="1037"/>
      <c r="K74" s="1037">
        <f>K70+K66</f>
        <v>1125</v>
      </c>
      <c r="L74" s="1037">
        <f>L70+L66</f>
        <v>21425</v>
      </c>
      <c r="M74" s="1037">
        <f>M70+M66</f>
        <v>21425</v>
      </c>
      <c r="N74" s="1037">
        <f>N70+N66</f>
        <v>0</v>
      </c>
      <c r="O74" s="137"/>
      <c r="P74" s="1037">
        <f>P70+P66</f>
        <v>2250</v>
      </c>
      <c r="Q74" s="1037">
        <f>Q70+Q66</f>
        <v>42875</v>
      </c>
      <c r="R74" s="1037">
        <f>R70+R66</f>
        <v>45125</v>
      </c>
      <c r="S74" s="1518">
        <f>B74-R74</f>
        <v>0</v>
      </c>
      <c r="T74" s="137"/>
      <c r="U74" s="1034">
        <f>U70+U66</f>
        <v>40925</v>
      </c>
      <c r="V74" s="1034">
        <f>V70+V66</f>
        <v>0</v>
      </c>
      <c r="W74" s="1034"/>
      <c r="X74" s="1034">
        <f>X70+X66</f>
        <v>0</v>
      </c>
      <c r="Y74" s="1034">
        <f>Y70+Y66</f>
        <v>0</v>
      </c>
      <c r="Z74" s="1034">
        <f>Z70+Z66</f>
        <v>0</v>
      </c>
      <c r="AA74" s="1034">
        <f>AA70+AA66</f>
        <v>0</v>
      </c>
      <c r="AB74" s="1034">
        <f>AB70+AB66</f>
        <v>40925</v>
      </c>
      <c r="AC74" s="1034"/>
      <c r="AD74" s="1034">
        <f>AD70+AD66</f>
        <v>0</v>
      </c>
      <c r="AE74" s="1034">
        <f>AE70+AE66</f>
        <v>40925</v>
      </c>
      <c r="AF74" s="1034">
        <f>AF70+AF66</f>
        <v>40925</v>
      </c>
      <c r="AG74" s="1034">
        <f>AG70+AG66</f>
        <v>0</v>
      </c>
      <c r="AH74" s="12"/>
      <c r="AI74" s="1034">
        <f>AI70+AI66</f>
        <v>0</v>
      </c>
      <c r="AJ74" s="1034">
        <f>AJ70+AJ66</f>
        <v>40925</v>
      </c>
      <c r="AK74" s="1035">
        <f>AK70+AK66</f>
        <v>40925</v>
      </c>
      <c r="AL74" s="1518">
        <f>U74-AK74</f>
        <v>0</v>
      </c>
      <c r="AM74" s="12"/>
      <c r="AN74" s="12"/>
      <c r="AO74" s="12"/>
      <c r="AP74" s="12"/>
      <c r="AQ74" s="12"/>
      <c r="AR74" s="12"/>
      <c r="AS74" s="12"/>
      <c r="AT74" s="12"/>
      <c r="AU74" s="12"/>
      <c r="AV74" s="12"/>
      <c r="AW74" s="12"/>
      <c r="AX74" s="12"/>
      <c r="AY74" s="12"/>
      <c r="AZ74" s="12"/>
      <c r="BA74" s="12"/>
      <c r="BB74" s="12"/>
      <c r="BC74" s="12"/>
      <c r="BD74" s="12"/>
    </row>
    <row r="75" spans="1:56" s="184" customFormat="1" ht="17.149999999999999" customHeight="1" x14ac:dyDescent="0.35">
      <c r="A75" s="122"/>
      <c r="B75" s="172">
        <f>IF(B74=0,0,B74/B74)</f>
        <v>1</v>
      </c>
      <c r="C75" s="370">
        <f>IF(B74=0,0,C74/B74)</f>
        <v>0.50027700831024935</v>
      </c>
      <c r="D75" s="172"/>
      <c r="E75" s="172">
        <f>IF(B74=0,0,E74/B74)</f>
        <v>2.4930747922437674E-2</v>
      </c>
      <c r="F75" s="172">
        <f>IF(B74=0,0,F74/B74)</f>
        <v>0.47534626038781164</v>
      </c>
      <c r="G75" s="172"/>
      <c r="H75" s="172"/>
      <c r="I75" s="172">
        <f>IF(B74=0,0,I74/B74)</f>
        <v>0.49972299168975071</v>
      </c>
      <c r="J75" s="172"/>
      <c r="K75" s="172">
        <f>IF(B74=0,0,K74/B74)</f>
        <v>2.4930747922437674E-2</v>
      </c>
      <c r="L75" s="172">
        <f>IF(B74=0,0,L74/B74)</f>
        <v>0.47479224376731299</v>
      </c>
      <c r="M75" s="143"/>
      <c r="N75" s="143"/>
      <c r="O75" s="3"/>
      <c r="P75" s="172">
        <f>IF(B74=0,0,P74/B74)</f>
        <v>4.9861495844875349E-2</v>
      </c>
      <c r="Q75" s="370">
        <f>IF(B74=0,0,Q74/B74)</f>
        <v>0.95013850415512469</v>
      </c>
      <c r="R75" s="370">
        <f>IF(B74=0,0,R74/B74)</f>
        <v>1</v>
      </c>
      <c r="S75" s="391"/>
      <c r="T75" s="3"/>
      <c r="U75" s="172">
        <f>IF(U74=0,0,U74/U74)</f>
        <v>1</v>
      </c>
      <c r="V75" s="370">
        <f>IF(U74=0,0,V74/U74)</f>
        <v>0</v>
      </c>
      <c r="W75" s="172"/>
      <c r="X75" s="172">
        <f>IF(U74=0,0,X74/U74)</f>
        <v>0</v>
      </c>
      <c r="Y75" s="172">
        <f>IF(U74=0,0,Y74/U74)</f>
        <v>0</v>
      </c>
      <c r="Z75" s="172"/>
      <c r="AA75" s="172"/>
      <c r="AB75" s="172">
        <f>IF(U74=0,0,AB74/U74)</f>
        <v>1</v>
      </c>
      <c r="AC75" s="172"/>
      <c r="AD75" s="172">
        <f>IF(U74=0,0,AD74/U74)</f>
        <v>0</v>
      </c>
      <c r="AE75" s="172">
        <f>IF(U74=0,0,AE74/U74)</f>
        <v>1</v>
      </c>
      <c r="AF75" s="143"/>
      <c r="AG75" s="143"/>
      <c r="AH75" s="3"/>
      <c r="AI75" s="172">
        <f>IF(U74=0,0,AI74/U74)</f>
        <v>0</v>
      </c>
      <c r="AJ75" s="370">
        <f>IF(U74=0,0,AJ74/U74)</f>
        <v>1</v>
      </c>
      <c r="AK75" s="370">
        <f>IF(U74=0,0,AK74/U74)</f>
        <v>1</v>
      </c>
      <c r="AL75" s="391"/>
      <c r="AM75" s="3"/>
      <c r="AN75" s="3"/>
      <c r="AO75" s="3"/>
      <c r="AP75" s="3"/>
      <c r="AQ75" s="3"/>
      <c r="AR75" s="3"/>
      <c r="AS75" s="3"/>
      <c r="AT75" s="3"/>
      <c r="AU75" s="3"/>
      <c r="AV75" s="3"/>
      <c r="AW75" s="3"/>
      <c r="AX75" s="3"/>
      <c r="AY75" s="3"/>
      <c r="AZ75" s="3"/>
      <c r="BA75" s="3"/>
      <c r="BB75" s="3"/>
      <c r="BC75" s="3"/>
    </row>
    <row r="76" spans="1:56" s="184" customFormat="1" ht="17.149999999999999" customHeight="1" x14ac:dyDescent="0.35">
      <c r="A76" s="122"/>
      <c r="C76" s="370">
        <f>IF(C74=0,0,C74/C74)</f>
        <v>1</v>
      </c>
      <c r="D76" s="223"/>
      <c r="E76" s="370">
        <f>IF(C74=0,0,E74/C74)</f>
        <v>4.9833887043189369E-2</v>
      </c>
      <c r="F76" s="370">
        <f>IF(C74=0,0,F74/C74)</f>
        <v>0.95016611295681064</v>
      </c>
      <c r="G76" s="172"/>
      <c r="H76" s="172"/>
      <c r="I76" s="370">
        <f>IF(I74=0,0,I74/I74)</f>
        <v>1</v>
      </c>
      <c r="J76" s="454"/>
      <c r="K76" s="370">
        <f>IF(I74=0,0,K74/I74)</f>
        <v>4.9889135254988913E-2</v>
      </c>
      <c r="L76" s="370">
        <f>IF(I74=0,0,L74/I74)</f>
        <v>0.95011086474501105</v>
      </c>
      <c r="M76" s="143"/>
      <c r="N76" s="143"/>
      <c r="O76" s="3"/>
      <c r="T76" s="3"/>
      <c r="V76" s="370">
        <f>IF(V74=0,0,V74/V74)</f>
        <v>0</v>
      </c>
      <c r="W76" s="223"/>
      <c r="X76" s="370">
        <f>IF(V74=0,0,X74/V74)</f>
        <v>0</v>
      </c>
      <c r="Y76" s="370">
        <f>IF(V74=0,0,Y74/V74)</f>
        <v>0</v>
      </c>
      <c r="Z76" s="172"/>
      <c r="AA76" s="172"/>
      <c r="AB76" s="370">
        <f>IF(AB74=0,0,AB74/AB74)</f>
        <v>1</v>
      </c>
      <c r="AC76" s="454"/>
      <c r="AD76" s="370">
        <f>IF(AB74=0,0,AD74/AB74)</f>
        <v>0</v>
      </c>
      <c r="AE76" s="370">
        <f>IF(AB74=0,0,AE74/AB74)</f>
        <v>1</v>
      </c>
      <c r="AF76" s="143"/>
      <c r="AG76" s="143"/>
      <c r="AH76" s="3"/>
      <c r="AL76" s="3"/>
      <c r="AM76" s="3"/>
      <c r="AN76" s="3"/>
      <c r="AO76" s="3"/>
      <c r="AP76" s="3"/>
      <c r="AQ76" s="3"/>
      <c r="AR76" s="3"/>
      <c r="AS76" s="3"/>
      <c r="AT76" s="3"/>
      <c r="AU76" s="3"/>
      <c r="AV76" s="3"/>
      <c r="AW76" s="3"/>
      <c r="AX76" s="3"/>
      <c r="AY76" s="3"/>
      <c r="AZ76" s="3"/>
      <c r="BA76" s="3"/>
      <c r="BB76" s="3"/>
      <c r="BC76" s="3"/>
    </row>
    <row r="77" spans="1:56" s="3" customFormat="1" ht="17.149999999999999" customHeight="1" x14ac:dyDescent="0.35">
      <c r="A77" s="47"/>
      <c r="B77" s="184"/>
      <c r="C77" s="184"/>
      <c r="D77" s="184"/>
      <c r="E77" s="184"/>
      <c r="F77" s="454">
        <f>IF(F74=0,0,F74/F74)</f>
        <v>1</v>
      </c>
      <c r="G77" s="172">
        <f>IF(F74=0,0,G74/F74)</f>
        <v>1</v>
      </c>
      <c r="H77" s="454">
        <f>IF(F74=0,0,H74/F74)</f>
        <v>0</v>
      </c>
      <c r="L77" s="454">
        <f>IF(L74=0,0,L74/L74)</f>
        <v>1</v>
      </c>
      <c r="M77" s="172">
        <f>IF(L74=0,0,M74/L74)</f>
        <v>1</v>
      </c>
      <c r="N77" s="454">
        <f>IF(L74=0,0,N74/L74)</f>
        <v>0</v>
      </c>
      <c r="P77" s="184"/>
      <c r="Q77" s="184"/>
      <c r="R77" s="184"/>
      <c r="S77" s="184"/>
      <c r="U77" s="184"/>
      <c r="V77" s="184"/>
      <c r="W77" s="184"/>
      <c r="X77" s="184"/>
      <c r="Y77" s="454">
        <f>IF(Y74=0,0,Y74/Y74)</f>
        <v>0</v>
      </c>
      <c r="Z77" s="172">
        <f>IF(Y74=0,0,Z74/Y74)</f>
        <v>0</v>
      </c>
      <c r="AA77" s="454">
        <f>IF(Y74=0,0,AA74/Y74)</f>
        <v>0</v>
      </c>
      <c r="AE77" s="454">
        <f>IF(AE74=0,0,AE74/AE74)</f>
        <v>1</v>
      </c>
      <c r="AF77" s="172">
        <f>IF(AE74=0,0,AF74/AE74)</f>
        <v>1</v>
      </c>
      <c r="AG77" s="454">
        <f>IF(AE74=0,0,AG74/AE74)</f>
        <v>0</v>
      </c>
      <c r="AI77" s="184"/>
      <c r="AJ77" s="184"/>
      <c r="AK77" s="184"/>
    </row>
    <row r="78" spans="1:56" s="3" customFormat="1" ht="17.149999999999999" customHeight="1" x14ac:dyDescent="0.35">
      <c r="A78" s="47"/>
      <c r="B78" s="184"/>
      <c r="C78" s="184"/>
      <c r="D78" s="184"/>
      <c r="E78" s="184"/>
    </row>
    <row r="79" spans="1:56" s="3" customFormat="1" ht="17.149999999999999" customHeight="1" x14ac:dyDescent="0.35">
      <c r="A79" s="47"/>
      <c r="B79" s="184"/>
      <c r="C79" s="184"/>
      <c r="D79" s="184"/>
      <c r="E79" s="184"/>
      <c r="P79" s="381">
        <f>P55+P74</f>
        <v>2250</v>
      </c>
      <c r="Q79" s="381">
        <f>Q55+Q74</f>
        <v>110175</v>
      </c>
      <c r="R79" s="381">
        <f>SUM(P79:Q79)</f>
        <v>112425</v>
      </c>
      <c r="AI79" s="190">
        <f>AI55+AI74</f>
        <v>0</v>
      </c>
      <c r="AJ79" s="190">
        <f>AJ55+AJ74</f>
        <v>81850</v>
      </c>
      <c r="AK79" s="190">
        <f>SUM(AI79:AJ79)</f>
        <v>81850</v>
      </c>
    </row>
    <row r="80" spans="1:56" s="12" customFormat="1" ht="17.149999999999999" customHeight="1" x14ac:dyDescent="0.35">
      <c r="A80" s="950" t="s">
        <v>923</v>
      </c>
      <c r="B80" s="1504" t="s">
        <v>9</v>
      </c>
      <c r="C80" s="1508" t="s">
        <v>253</v>
      </c>
      <c r="D80" s="27"/>
      <c r="E80" s="27"/>
    </row>
    <row r="81" spans="1:21" s="3" customFormat="1" ht="17.149999999999999" customHeight="1" x14ac:dyDescent="0.35">
      <c r="A81" s="143" t="s">
        <v>924</v>
      </c>
      <c r="B81" s="204">
        <f>B36</f>
        <v>4950</v>
      </c>
      <c r="C81" s="204">
        <f>U36</f>
        <v>185500</v>
      </c>
      <c r="D81" s="184"/>
      <c r="E81" s="184"/>
    </row>
    <row r="82" spans="1:21" s="3" customFormat="1" ht="17.149999999999999" customHeight="1" x14ac:dyDescent="0.35">
      <c r="A82" s="143" t="s">
        <v>925</v>
      </c>
      <c r="B82" s="204">
        <f>B46</f>
        <v>0</v>
      </c>
      <c r="C82" s="204">
        <f>U46</f>
        <v>0</v>
      </c>
      <c r="D82" s="184"/>
      <c r="E82" s="184"/>
    </row>
    <row r="83" spans="1:21" s="3" customFormat="1" ht="17.149999999999999" customHeight="1" x14ac:dyDescent="0.35">
      <c r="A83" s="143" t="s">
        <v>926</v>
      </c>
      <c r="B83" s="204">
        <f>B55</f>
        <v>67300</v>
      </c>
      <c r="C83" s="204">
        <f>U55</f>
        <v>40925</v>
      </c>
      <c r="D83" s="184"/>
      <c r="E83" s="184"/>
    </row>
    <row r="84" spans="1:21" s="3" customFormat="1" ht="17.149999999999999" customHeight="1" x14ac:dyDescent="0.35">
      <c r="A84" s="143" t="s">
        <v>927</v>
      </c>
      <c r="B84" s="204">
        <f>B74</f>
        <v>45125</v>
      </c>
      <c r="C84" s="204">
        <f>U74</f>
        <v>40925</v>
      </c>
      <c r="D84" s="184"/>
      <c r="E84" s="184"/>
    </row>
    <row r="85" spans="1:21" s="12" customFormat="1" ht="17.149999999999999" customHeight="1" x14ac:dyDescent="0.35">
      <c r="A85" s="950" t="s">
        <v>928</v>
      </c>
      <c r="B85" s="1021">
        <f>SUM(B81:B84)</f>
        <v>117375</v>
      </c>
      <c r="C85" s="1022">
        <f>SUM(C81:C84)</f>
        <v>267350</v>
      </c>
      <c r="D85" s="27"/>
      <c r="E85" s="27"/>
    </row>
    <row r="86" spans="1:21" s="3" customFormat="1" ht="17.149999999999999" customHeight="1" x14ac:dyDescent="0.35">
      <c r="A86" s="7"/>
      <c r="B86" s="204">
        <f>'FS_Capture volumes'!E134</f>
        <v>117375</v>
      </c>
      <c r="C86" s="204">
        <f>'FS_Capture volumes'!F134</f>
        <v>267350</v>
      </c>
      <c r="D86" s="184"/>
      <c r="E86" s="184"/>
    </row>
    <row r="87" spans="1:21" s="3" customFormat="1" ht="17.149999999999999" customHeight="1" x14ac:dyDescent="0.35">
      <c r="A87" s="7"/>
      <c r="B87" s="1519" t="str">
        <f>IF(B85=B86,"OK","Not OK")</f>
        <v>OK</v>
      </c>
      <c r="C87" s="1519" t="str">
        <f>IF(C85=C86,"OK","Not OK")</f>
        <v>OK</v>
      </c>
      <c r="D87" s="184"/>
      <c r="E87" s="184"/>
    </row>
    <row r="88" spans="1:21" s="3" customFormat="1" ht="17.149999999999999" customHeight="1" x14ac:dyDescent="0.35">
      <c r="A88" s="47"/>
      <c r="B88" s="184"/>
      <c r="C88" s="184"/>
      <c r="D88" s="184"/>
      <c r="E88" s="184"/>
    </row>
    <row r="89" spans="1:21" s="7" customFormat="1" ht="17.149999999999999" customHeight="1" x14ac:dyDescent="0.35">
      <c r="B89" s="200"/>
      <c r="C89" s="200"/>
      <c r="D89" s="200"/>
      <c r="E89" s="201"/>
      <c r="F89" s="67"/>
      <c r="G89" s="67"/>
      <c r="H89" s="67"/>
      <c r="I89" s="202"/>
      <c r="J89" s="202"/>
      <c r="K89" s="67"/>
      <c r="L89" s="113"/>
      <c r="M89" s="113"/>
      <c r="N89" s="113"/>
      <c r="O89" s="113"/>
      <c r="P89" s="113"/>
      <c r="Q89" s="113"/>
      <c r="R89" s="113"/>
      <c r="S89" s="113"/>
      <c r="T89" s="113"/>
      <c r="U89" s="54"/>
    </row>
    <row r="90" spans="1:21" s="194" customFormat="1" ht="17.149999999999999" customHeight="1" x14ac:dyDescent="0.35">
      <c r="A90" s="949" t="s">
        <v>929</v>
      </c>
      <c r="B90" s="1505" t="s">
        <v>9</v>
      </c>
      <c r="C90" s="200"/>
      <c r="D90" s="200"/>
      <c r="E90" s="31"/>
      <c r="F90" s="119"/>
      <c r="G90" s="119"/>
      <c r="H90" s="119"/>
      <c r="I90" s="193"/>
      <c r="J90" s="193"/>
      <c r="K90" s="119"/>
      <c r="L90" s="192"/>
      <c r="M90" s="192"/>
      <c r="N90" s="192"/>
      <c r="O90" s="192"/>
      <c r="P90" s="192"/>
      <c r="Q90" s="192"/>
      <c r="R90" s="192"/>
      <c r="S90" s="192"/>
      <c r="T90" s="192"/>
      <c r="U90" s="119"/>
    </row>
    <row r="91" spans="1:21" s="20" customFormat="1" ht="17.149999999999999" customHeight="1" x14ac:dyDescent="0.35">
      <c r="B91" s="30"/>
      <c r="C91" s="200"/>
      <c r="D91" s="200"/>
      <c r="E91" s="31"/>
      <c r="F91" s="21"/>
      <c r="G91" s="21"/>
      <c r="H91" s="21"/>
      <c r="I91" s="22"/>
      <c r="J91" s="22"/>
      <c r="K91" s="21"/>
      <c r="L91" s="23"/>
      <c r="M91" s="23"/>
      <c r="N91" s="23"/>
      <c r="O91" s="23"/>
      <c r="P91" s="23"/>
      <c r="Q91" s="23"/>
      <c r="R91" s="23"/>
      <c r="S91" s="23"/>
      <c r="T91" s="23"/>
      <c r="U91" s="24"/>
    </row>
    <row r="92" spans="1:21" s="20" customFormat="1" ht="17.149999999999999" customHeight="1" x14ac:dyDescent="0.35">
      <c r="A92" s="1004" t="s">
        <v>810</v>
      </c>
      <c r="B92" s="1500">
        <f>'FS_Capture volumes'!B31</f>
        <v>1692000</v>
      </c>
      <c r="C92" s="200"/>
      <c r="D92" s="200"/>
      <c r="E92" s="31"/>
      <c r="F92" s="21"/>
      <c r="G92" s="21"/>
      <c r="H92" s="21"/>
      <c r="I92" s="22"/>
      <c r="J92" s="22"/>
      <c r="K92" s="21"/>
      <c r="L92" s="23"/>
      <c r="M92" s="23"/>
      <c r="N92" s="23"/>
      <c r="O92" s="23"/>
      <c r="P92" s="23"/>
      <c r="Q92" s="23"/>
      <c r="R92" s="23"/>
      <c r="S92" s="23"/>
      <c r="T92" s="23"/>
      <c r="U92" s="24"/>
    </row>
    <row r="93" spans="1:21" s="20" customFormat="1" ht="17.149999999999999" customHeight="1" x14ac:dyDescent="0.35">
      <c r="B93" s="30"/>
      <c r="C93" s="200"/>
      <c r="D93" s="200"/>
      <c r="E93" s="31"/>
      <c r="F93" s="21"/>
      <c r="G93" s="21"/>
      <c r="H93" s="21"/>
      <c r="I93" s="22"/>
      <c r="J93" s="22"/>
      <c r="K93" s="21"/>
      <c r="L93" s="23"/>
      <c r="M93" s="23"/>
      <c r="N93" s="23"/>
      <c r="O93" s="23"/>
      <c r="P93" s="23"/>
      <c r="Q93" s="23"/>
      <c r="R93" s="23"/>
      <c r="S93" s="23"/>
      <c r="T93" s="23"/>
      <c r="U93" s="24"/>
    </row>
    <row r="94" spans="1:21" s="20" customFormat="1" ht="17.149999999999999" customHeight="1" x14ac:dyDescent="0.35">
      <c r="A94" s="977" t="s">
        <v>417</v>
      </c>
      <c r="B94" s="228">
        <f>'User interface_RES'!C19</f>
        <v>5</v>
      </c>
      <c r="C94" s="200"/>
      <c r="D94" s="200"/>
      <c r="E94" s="31"/>
      <c r="F94" s="21"/>
      <c r="G94" s="21"/>
      <c r="H94" s="24"/>
      <c r="I94" s="39"/>
      <c r="J94" s="39"/>
      <c r="K94" s="21"/>
      <c r="L94" s="23"/>
      <c r="M94" s="23"/>
      <c r="N94" s="23"/>
      <c r="O94" s="23"/>
      <c r="P94" s="23"/>
      <c r="Q94" s="23"/>
      <c r="R94" s="23"/>
      <c r="S94" s="23"/>
      <c r="T94" s="23"/>
      <c r="U94" s="24"/>
    </row>
    <row r="95" spans="1:21" s="20" customFormat="1" ht="17.149999999999999" customHeight="1" x14ac:dyDescent="0.35">
      <c r="A95" s="977" t="s">
        <v>930</v>
      </c>
      <c r="B95" s="228">
        <f>'User interface_RES'!C89</f>
        <v>50</v>
      </c>
      <c r="C95" s="200"/>
      <c r="D95" s="200"/>
      <c r="E95" s="31"/>
      <c r="F95" s="21"/>
      <c r="G95" s="21"/>
      <c r="H95" s="24"/>
      <c r="I95" s="39"/>
      <c r="J95" s="39"/>
      <c r="K95" s="21"/>
      <c r="L95" s="23"/>
      <c r="M95" s="23"/>
      <c r="N95" s="23"/>
      <c r="O95" s="23"/>
      <c r="P95" s="23"/>
      <c r="Q95" s="23"/>
      <c r="R95" s="23"/>
      <c r="S95" s="23"/>
      <c r="T95" s="23"/>
      <c r="U95" s="24"/>
    </row>
    <row r="96" spans="1:21" s="20" customFormat="1" ht="17.149999999999999" customHeight="1" x14ac:dyDescent="0.35">
      <c r="B96" s="30"/>
      <c r="C96" s="30"/>
      <c r="D96" s="30"/>
      <c r="E96" s="31"/>
      <c r="F96" s="21"/>
      <c r="G96" s="21"/>
      <c r="H96" s="21"/>
      <c r="I96" s="22"/>
      <c r="J96" s="22"/>
      <c r="K96" s="21"/>
      <c r="L96" s="23"/>
      <c r="M96" s="23"/>
      <c r="N96" s="23"/>
      <c r="O96" s="23"/>
      <c r="P96" s="23"/>
      <c r="Q96" s="23"/>
      <c r="R96" s="23"/>
      <c r="S96" s="23"/>
      <c r="T96" s="23"/>
      <c r="U96" s="24"/>
    </row>
    <row r="97" spans="1:14" s="20" customFormat="1" ht="14.5" x14ac:dyDescent="0.35">
      <c r="A97" s="1043" t="s">
        <v>931</v>
      </c>
      <c r="B97" s="1003" t="s">
        <v>933</v>
      </c>
      <c r="C97" s="1003" t="s">
        <v>201</v>
      </c>
      <c r="D97" s="21"/>
      <c r="E97" s="21"/>
      <c r="F97" s="21"/>
      <c r="G97" s="22"/>
      <c r="H97" s="21"/>
      <c r="I97" s="23"/>
      <c r="J97" s="23"/>
      <c r="K97" s="23"/>
      <c r="L97" s="23"/>
      <c r="M97" s="23"/>
      <c r="N97" s="24"/>
    </row>
    <row r="98" spans="1:14" s="20" customFormat="1" ht="17.149999999999999" customHeight="1" x14ac:dyDescent="0.35">
      <c r="A98" s="155" t="s">
        <v>433</v>
      </c>
      <c r="B98" s="1044">
        <f>'Containment volumes'!B98</f>
        <v>151940</v>
      </c>
      <c r="C98" s="964">
        <f>IF($B$105=0,0,B98/$B$105)</f>
        <v>0.4954188268283935</v>
      </c>
      <c r="D98" s="21"/>
      <c r="E98" s="21"/>
      <c r="F98" s="21"/>
      <c r="G98" s="22"/>
      <c r="H98" s="21"/>
      <c r="I98" s="23"/>
      <c r="J98" s="23"/>
      <c r="K98" s="23"/>
      <c r="L98" s="23"/>
      <c r="M98" s="23"/>
      <c r="N98" s="24"/>
    </row>
    <row r="99" spans="1:14" s="20" customFormat="1" ht="17.149999999999999" customHeight="1" x14ac:dyDescent="0.35">
      <c r="A99" s="155" t="s">
        <v>434</v>
      </c>
      <c r="B99" s="1044">
        <f>'Containment volumes'!B99</f>
        <v>0</v>
      </c>
      <c r="C99" s="964">
        <f t="shared" ref="C99:C104" si="13">IF($B$105=0,0,B99/$B$105)</f>
        <v>0</v>
      </c>
      <c r="D99" s="21"/>
      <c r="E99" s="21"/>
      <c r="F99" s="21"/>
      <c r="G99" s="22"/>
      <c r="H99" s="21"/>
      <c r="I99" s="23"/>
      <c r="J99" s="23"/>
      <c r="K99" s="23"/>
      <c r="L99" s="23"/>
      <c r="M99" s="23"/>
      <c r="N99" s="24"/>
    </row>
    <row r="100" spans="1:14" s="20" customFormat="1" ht="17.149999999999999" customHeight="1" x14ac:dyDescent="0.35">
      <c r="A100" s="155" t="s">
        <v>821</v>
      </c>
      <c r="B100" s="1044">
        <f>'Containment volumes'!B100</f>
        <v>85380</v>
      </c>
      <c r="C100" s="964">
        <f t="shared" si="13"/>
        <v>0.27839186148879974</v>
      </c>
      <c r="D100" s="21"/>
      <c r="E100" s="21"/>
      <c r="F100" s="21"/>
      <c r="G100" s="22"/>
      <c r="H100" s="21"/>
      <c r="I100" s="23"/>
      <c r="J100" s="23"/>
      <c r="K100" s="23"/>
      <c r="L100" s="23"/>
      <c r="M100" s="23"/>
      <c r="N100" s="24"/>
    </row>
    <row r="101" spans="1:14" s="20" customFormat="1" ht="17.149999999999999" customHeight="1" x14ac:dyDescent="0.35">
      <c r="A101" s="155" t="s">
        <v>824</v>
      </c>
      <c r="B101" s="1044">
        <f>'Containment volumes'!B101</f>
        <v>68010</v>
      </c>
      <c r="C101" s="964">
        <f t="shared" si="13"/>
        <v>0.22175486647755063</v>
      </c>
      <c r="D101" s="21"/>
      <c r="E101" s="21"/>
      <c r="F101" s="21"/>
      <c r="G101" s="22"/>
      <c r="H101" s="21"/>
      <c r="I101" s="23"/>
      <c r="J101" s="23"/>
      <c r="K101" s="23"/>
      <c r="L101" s="23"/>
      <c r="M101" s="23"/>
      <c r="N101" s="24"/>
    </row>
    <row r="102" spans="1:14" s="20" customFormat="1" ht="17.149999999999999" customHeight="1" x14ac:dyDescent="0.35">
      <c r="A102" s="155" t="s">
        <v>934</v>
      </c>
      <c r="B102" s="1044">
        <f>'Containment volumes'!B102</f>
        <v>680</v>
      </c>
      <c r="C102" s="964">
        <f t="shared" si="13"/>
        <v>2.2172226026280608E-3</v>
      </c>
      <c r="D102" s="21"/>
      <c r="E102" s="21"/>
      <c r="F102" s="21"/>
      <c r="G102" s="22"/>
      <c r="H102" s="21"/>
      <c r="I102" s="23"/>
      <c r="J102" s="23"/>
      <c r="K102" s="23"/>
      <c r="L102" s="23"/>
      <c r="M102" s="23"/>
      <c r="N102" s="24"/>
    </row>
    <row r="103" spans="1:14" s="20" customFormat="1" ht="17.149999999999999" customHeight="1" x14ac:dyDescent="0.35">
      <c r="A103" s="155" t="s">
        <v>861</v>
      </c>
      <c r="B103" s="1044">
        <f>'Containment volumes'!B103</f>
        <v>680</v>
      </c>
      <c r="C103" s="964">
        <f t="shared" si="13"/>
        <v>2.2172226026280608E-3</v>
      </c>
      <c r="D103" s="21"/>
      <c r="E103" s="21"/>
      <c r="F103" s="21"/>
      <c r="G103" s="22"/>
      <c r="H103" s="21"/>
      <c r="I103" s="23"/>
      <c r="J103" s="23"/>
      <c r="K103" s="23"/>
      <c r="L103" s="23"/>
      <c r="M103" s="23"/>
      <c r="N103" s="24"/>
    </row>
    <row r="104" spans="1:14" s="20" customFormat="1" ht="17.149999999999999" customHeight="1" x14ac:dyDescent="0.35">
      <c r="A104" s="155" t="s">
        <v>862</v>
      </c>
      <c r="B104" s="1044">
        <f>'Containment volumes'!B104</f>
        <v>0</v>
      </c>
      <c r="C104" s="964">
        <f t="shared" si="13"/>
        <v>0</v>
      </c>
      <c r="D104" s="21"/>
      <c r="E104" s="21"/>
      <c r="F104" s="21"/>
      <c r="G104" s="22"/>
      <c r="H104" s="21"/>
      <c r="I104" s="23"/>
      <c r="J104" s="23"/>
      <c r="K104" s="23"/>
      <c r="L104" s="23"/>
      <c r="M104" s="23"/>
      <c r="N104" s="24"/>
    </row>
    <row r="105" spans="1:14" s="92" customFormat="1" ht="17.149999999999999" customHeight="1" x14ac:dyDescent="0.35">
      <c r="A105" s="950" t="s">
        <v>208</v>
      </c>
      <c r="B105" s="1019">
        <f>SUM(B98:B104)</f>
        <v>306690</v>
      </c>
      <c r="C105" s="1018">
        <f>IF($B$105=0,0,B105/$B$105)</f>
        <v>1</v>
      </c>
      <c r="D105" s="213"/>
      <c r="E105" s="213"/>
      <c r="F105" s="213"/>
      <c r="G105" s="22"/>
      <c r="H105" s="213"/>
      <c r="I105" s="23"/>
      <c r="J105" s="23"/>
      <c r="K105" s="23"/>
      <c r="L105" s="23"/>
      <c r="M105" s="23"/>
      <c r="N105" s="24"/>
    </row>
    <row r="106" spans="1:14" s="20" customFormat="1" ht="17.149999999999999" customHeight="1" x14ac:dyDescent="0.35">
      <c r="B106" s="30"/>
      <c r="C106" s="31"/>
      <c r="D106" s="21"/>
      <c r="E106" s="21"/>
      <c r="F106" s="21"/>
      <c r="G106" s="22"/>
      <c r="H106" s="21"/>
      <c r="I106" s="23"/>
      <c r="J106" s="23"/>
      <c r="K106" s="23"/>
      <c r="L106" s="113"/>
      <c r="M106" s="113"/>
      <c r="N106" s="54"/>
    </row>
    <row r="107" spans="1:14" s="20" customFormat="1" ht="17.149999999999999" customHeight="1" x14ac:dyDescent="0.35">
      <c r="B107" s="30"/>
      <c r="C107" s="31"/>
      <c r="D107" s="21"/>
      <c r="E107" s="21"/>
      <c r="F107" s="21"/>
      <c r="G107" s="22"/>
      <c r="H107" s="21"/>
      <c r="I107" s="23"/>
      <c r="J107" s="23"/>
      <c r="K107" s="23"/>
      <c r="L107" s="113"/>
      <c r="M107" s="113"/>
      <c r="N107" s="54"/>
    </row>
    <row r="108" spans="1:14" s="20" customFormat="1" ht="17.149999999999999" customHeight="1" x14ac:dyDescent="0.35">
      <c r="B108" s="30"/>
      <c r="C108" s="31"/>
      <c r="D108" s="21"/>
      <c r="E108" s="21"/>
      <c r="F108" s="21"/>
      <c r="G108" s="22"/>
      <c r="H108" s="21"/>
      <c r="I108" s="23"/>
      <c r="J108" s="23"/>
      <c r="K108" s="23"/>
      <c r="L108" s="113"/>
      <c r="M108" s="113"/>
      <c r="N108" s="54"/>
    </row>
    <row r="109" spans="1:14" s="20" customFormat="1" ht="17.149999999999999" customHeight="1" x14ac:dyDescent="0.35">
      <c r="B109" s="30"/>
      <c r="C109" s="31"/>
      <c r="D109" s="21"/>
      <c r="E109" s="21"/>
      <c r="F109" s="21"/>
      <c r="G109" s="22"/>
      <c r="H109" s="21"/>
      <c r="I109" s="23"/>
      <c r="J109" s="23"/>
      <c r="K109" s="23"/>
      <c r="L109" s="113"/>
      <c r="M109" s="113"/>
      <c r="N109" s="54"/>
    </row>
    <row r="110" spans="1:14" s="194" customFormat="1" ht="17.149999999999999" customHeight="1" x14ac:dyDescent="0.35">
      <c r="A110" s="1055" t="s">
        <v>937</v>
      </c>
      <c r="B110" s="1790" t="s">
        <v>9</v>
      </c>
      <c r="C110" s="1790"/>
      <c r="D110" s="1790"/>
      <c r="E110" s="1790"/>
      <c r="F110" s="1790"/>
      <c r="G110" s="1790"/>
      <c r="H110" s="1791" t="s">
        <v>253</v>
      </c>
      <c r="I110" s="1791"/>
      <c r="J110" s="1791"/>
      <c r="K110" s="1791"/>
      <c r="L110" s="1791"/>
      <c r="M110" s="1791"/>
      <c r="N110" s="119"/>
    </row>
    <row r="111" spans="1:14" s="120" customFormat="1" ht="17.149999999999999" customHeight="1" x14ac:dyDescent="0.35">
      <c r="A111" s="404"/>
      <c r="B111" s="405"/>
      <c r="C111" s="405"/>
      <c r="D111" s="405"/>
      <c r="E111" s="405"/>
      <c r="F111" s="405"/>
      <c r="G111" s="405"/>
      <c r="H111" s="405"/>
      <c r="I111" s="405"/>
      <c r="J111" s="405"/>
      <c r="K111" s="405"/>
      <c r="L111" s="405"/>
      <c r="M111" s="405"/>
      <c r="N111" s="406"/>
    </row>
    <row r="112" spans="1:14" s="20" customFormat="1" ht="17.149999999999999" customHeight="1" x14ac:dyDescent="0.35">
      <c r="A112" s="403"/>
      <c r="B112" s="1792" t="s">
        <v>938</v>
      </c>
      <c r="C112" s="1792"/>
      <c r="D112" s="1792"/>
      <c r="E112" s="1792" t="s">
        <v>939</v>
      </c>
      <c r="F112" s="1792"/>
      <c r="G112" s="1792"/>
      <c r="H112" s="1793" t="s">
        <v>938</v>
      </c>
      <c r="I112" s="1793"/>
      <c r="J112" s="1793"/>
      <c r="K112" s="1793" t="s">
        <v>939</v>
      </c>
      <c r="L112" s="1793"/>
      <c r="M112" s="1793"/>
      <c r="N112" s="54"/>
    </row>
    <row r="113" spans="1:14" s="20" customFormat="1" ht="43.5" x14ac:dyDescent="0.35">
      <c r="A113" s="355"/>
      <c r="B113" s="1511" t="s">
        <v>905</v>
      </c>
      <c r="C113" s="1511" t="s">
        <v>914</v>
      </c>
      <c r="D113" s="1511" t="s">
        <v>902</v>
      </c>
      <c r="E113" s="1511" t="s">
        <v>905</v>
      </c>
      <c r="F113" s="1511" t="s">
        <v>902</v>
      </c>
      <c r="G113" s="1511" t="s">
        <v>940</v>
      </c>
      <c r="H113" s="1033" t="s">
        <v>905</v>
      </c>
      <c r="I113" s="1033" t="s">
        <v>914</v>
      </c>
      <c r="J113" s="1033" t="s">
        <v>902</v>
      </c>
      <c r="K113" s="1033" t="s">
        <v>905</v>
      </c>
      <c r="L113" s="1033" t="s">
        <v>902</v>
      </c>
      <c r="M113" s="1033" t="s">
        <v>940</v>
      </c>
      <c r="N113" s="54"/>
    </row>
    <row r="114" spans="1:14" s="255" customFormat="1" ht="10.5" x14ac:dyDescent="0.35">
      <c r="A114" s="402"/>
      <c r="B114" s="387"/>
      <c r="C114" s="387"/>
      <c r="D114" s="386"/>
      <c r="E114" s="387"/>
      <c r="F114" s="386"/>
      <c r="G114" s="386"/>
      <c r="H114" s="387"/>
      <c r="I114" s="387"/>
      <c r="J114" s="386"/>
      <c r="K114" s="387"/>
      <c r="L114" s="386"/>
      <c r="M114" s="386"/>
      <c r="N114" s="254"/>
    </row>
    <row r="115" spans="1:14" s="20" customFormat="1" ht="17.149999999999999" customHeight="1" x14ac:dyDescent="0.35">
      <c r="A115" s="977" t="s">
        <v>941</v>
      </c>
      <c r="B115" s="1023">
        <f>B116</f>
        <v>0</v>
      </c>
      <c r="C115" s="1023">
        <f t="shared" ref="C115:M115" si="14">C116</f>
        <v>0</v>
      </c>
      <c r="D115" s="1023">
        <f t="shared" si="14"/>
        <v>0</v>
      </c>
      <c r="E115" s="1023">
        <f t="shared" si="14"/>
        <v>0</v>
      </c>
      <c r="F115" s="1023">
        <f t="shared" si="14"/>
        <v>0</v>
      </c>
      <c r="G115" s="1023">
        <f t="shared" si="14"/>
        <v>4950</v>
      </c>
      <c r="H115" s="1024">
        <f t="shared" si="14"/>
        <v>0</v>
      </c>
      <c r="I115" s="1024">
        <f t="shared" si="14"/>
        <v>0</v>
      </c>
      <c r="J115" s="1024">
        <f t="shared" si="14"/>
        <v>0</v>
      </c>
      <c r="K115" s="1024">
        <f t="shared" si="14"/>
        <v>0</v>
      </c>
      <c r="L115" s="1024">
        <f t="shared" si="14"/>
        <v>0</v>
      </c>
      <c r="M115" s="1024">
        <f t="shared" si="14"/>
        <v>185500</v>
      </c>
      <c r="N115" s="54"/>
    </row>
    <row r="116" spans="1:14" s="107" customFormat="1" ht="17.149999999999999" customHeight="1" x14ac:dyDescent="0.35">
      <c r="A116" s="168" t="s">
        <v>906</v>
      </c>
      <c r="B116" s="1056">
        <f>E36</f>
        <v>0</v>
      </c>
      <c r="C116" s="1056">
        <v>0</v>
      </c>
      <c r="D116" s="1056">
        <f>G36</f>
        <v>0</v>
      </c>
      <c r="E116" s="1056">
        <f>K36</f>
        <v>0</v>
      </c>
      <c r="F116" s="1056">
        <f>M36</f>
        <v>0</v>
      </c>
      <c r="G116" s="1056">
        <f>N36+H36</f>
        <v>4950</v>
      </c>
      <c r="H116" s="1056">
        <f>X36</f>
        <v>0</v>
      </c>
      <c r="I116" s="1056">
        <v>0</v>
      </c>
      <c r="J116" s="1056">
        <f>Z36</f>
        <v>0</v>
      </c>
      <c r="K116" s="1056">
        <f>AD36</f>
        <v>0</v>
      </c>
      <c r="L116" s="1056">
        <f>AF36</f>
        <v>0</v>
      </c>
      <c r="M116" s="1056">
        <f>AA36+AG36</f>
        <v>185500</v>
      </c>
      <c r="N116" s="10"/>
    </row>
    <row r="117" spans="1:14" s="20" customFormat="1" ht="17.149999999999999" customHeight="1" x14ac:dyDescent="0.35">
      <c r="A117" s="977" t="s">
        <v>942</v>
      </c>
      <c r="B117" s="1023">
        <f>B118</f>
        <v>0</v>
      </c>
      <c r="C117" s="1023">
        <f t="shared" ref="C117:M117" si="15">C118</f>
        <v>0</v>
      </c>
      <c r="D117" s="1023">
        <f t="shared" si="15"/>
        <v>0</v>
      </c>
      <c r="E117" s="1023">
        <f t="shared" si="15"/>
        <v>0</v>
      </c>
      <c r="F117" s="1023">
        <f t="shared" si="15"/>
        <v>0</v>
      </c>
      <c r="G117" s="1023">
        <f t="shared" si="15"/>
        <v>0</v>
      </c>
      <c r="H117" s="1024">
        <f t="shared" si="15"/>
        <v>0</v>
      </c>
      <c r="I117" s="1024">
        <f t="shared" si="15"/>
        <v>0</v>
      </c>
      <c r="J117" s="1024">
        <f t="shared" si="15"/>
        <v>0</v>
      </c>
      <c r="K117" s="1024">
        <f t="shared" si="15"/>
        <v>0</v>
      </c>
      <c r="L117" s="1024">
        <f t="shared" si="15"/>
        <v>0</v>
      </c>
      <c r="M117" s="1024">
        <f t="shared" si="15"/>
        <v>0</v>
      </c>
      <c r="N117" s="54"/>
    </row>
    <row r="118" spans="1:14" s="107" customFormat="1" ht="17.149999999999999" customHeight="1" x14ac:dyDescent="0.35">
      <c r="A118" s="168" t="s">
        <v>434</v>
      </c>
      <c r="B118" s="1056">
        <f>E46</f>
        <v>0</v>
      </c>
      <c r="C118" s="1056">
        <f>H46</f>
        <v>0</v>
      </c>
      <c r="D118" s="1056">
        <f>G46</f>
        <v>0</v>
      </c>
      <c r="E118" s="1056">
        <f>K46</f>
        <v>0</v>
      </c>
      <c r="F118" s="1056">
        <f>M46</f>
        <v>0</v>
      </c>
      <c r="G118" s="1056">
        <f>N46</f>
        <v>0</v>
      </c>
      <c r="H118" s="1056">
        <f>X46</f>
        <v>0</v>
      </c>
      <c r="I118" s="1056">
        <f>AA46</f>
        <v>0</v>
      </c>
      <c r="J118" s="1056">
        <f>Z46</f>
        <v>0</v>
      </c>
      <c r="K118" s="1056">
        <f>AD46</f>
        <v>0</v>
      </c>
      <c r="L118" s="1056">
        <f>AF46</f>
        <v>0</v>
      </c>
      <c r="M118" s="1056">
        <f>AG46</f>
        <v>0</v>
      </c>
      <c r="N118" s="10"/>
    </row>
    <row r="119" spans="1:14" s="20" customFormat="1" ht="17.149999999999999" customHeight="1" x14ac:dyDescent="0.35">
      <c r="A119" s="977" t="s">
        <v>943</v>
      </c>
      <c r="B119" s="1023">
        <f>SUM(B120:B121)</f>
        <v>0</v>
      </c>
      <c r="C119" s="1023">
        <f t="shared" ref="C119:M119" si="16">SUM(C120:C121)</f>
        <v>0</v>
      </c>
      <c r="D119" s="1023">
        <f t="shared" si="16"/>
        <v>9350</v>
      </c>
      <c r="E119" s="1023">
        <f t="shared" si="16"/>
        <v>0</v>
      </c>
      <c r="F119" s="1023">
        <f t="shared" si="16"/>
        <v>57950</v>
      </c>
      <c r="G119" s="1023">
        <f t="shared" si="16"/>
        <v>0</v>
      </c>
      <c r="H119" s="1024">
        <f t="shared" si="16"/>
        <v>0</v>
      </c>
      <c r="I119" s="1024">
        <f t="shared" si="16"/>
        <v>0</v>
      </c>
      <c r="J119" s="1024">
        <f t="shared" si="16"/>
        <v>0</v>
      </c>
      <c r="K119" s="1024">
        <f t="shared" si="16"/>
        <v>0</v>
      </c>
      <c r="L119" s="1024">
        <f t="shared" si="16"/>
        <v>40925</v>
      </c>
      <c r="M119" s="1024">
        <f t="shared" si="16"/>
        <v>0</v>
      </c>
      <c r="N119" s="54"/>
    </row>
    <row r="120" spans="1:14" s="107" customFormat="1" ht="17.149999999999999" customHeight="1" x14ac:dyDescent="0.35">
      <c r="A120" s="168" t="s">
        <v>821</v>
      </c>
      <c r="B120" s="1056">
        <f>E49</f>
        <v>0</v>
      </c>
      <c r="C120" s="1056">
        <f>H49</f>
        <v>0</v>
      </c>
      <c r="D120" s="1056">
        <f>G49</f>
        <v>9350</v>
      </c>
      <c r="E120" s="1056">
        <f>K49</f>
        <v>0</v>
      </c>
      <c r="F120" s="1056">
        <f>M49</f>
        <v>53000</v>
      </c>
      <c r="G120" s="1056">
        <f>N49</f>
        <v>0</v>
      </c>
      <c r="H120" s="1056">
        <f>X49</f>
        <v>0</v>
      </c>
      <c r="I120" s="1056">
        <f>AA49</f>
        <v>0</v>
      </c>
      <c r="J120" s="1056">
        <f>Z49</f>
        <v>0</v>
      </c>
      <c r="K120" s="1056">
        <f>AD49</f>
        <v>0</v>
      </c>
      <c r="L120" s="1056">
        <f>AF49</f>
        <v>40925</v>
      </c>
      <c r="M120" s="1056">
        <f>AG49</f>
        <v>0</v>
      </c>
      <c r="N120" s="10"/>
    </row>
    <row r="121" spans="1:14" s="107" customFormat="1" ht="17.149999999999999" customHeight="1" x14ac:dyDescent="0.35">
      <c r="A121" s="168" t="s">
        <v>829</v>
      </c>
      <c r="B121" s="1056">
        <f>E52</f>
        <v>0</v>
      </c>
      <c r="C121" s="1056">
        <f>H52</f>
        <v>0</v>
      </c>
      <c r="D121" s="1056">
        <f>G52</f>
        <v>0</v>
      </c>
      <c r="E121" s="1056">
        <f>K52</f>
        <v>0</v>
      </c>
      <c r="F121" s="1056">
        <f>M52</f>
        <v>4950</v>
      </c>
      <c r="G121" s="1056">
        <f>N52</f>
        <v>0</v>
      </c>
      <c r="H121" s="1056">
        <f>X52</f>
        <v>0</v>
      </c>
      <c r="I121" s="1056">
        <f>AA52</f>
        <v>0</v>
      </c>
      <c r="J121" s="1056">
        <f>Z52</f>
        <v>0</v>
      </c>
      <c r="K121" s="1056">
        <f>AD52</f>
        <v>0</v>
      </c>
      <c r="L121" s="1056">
        <f>AF52</f>
        <v>0</v>
      </c>
      <c r="M121" s="1056">
        <f>AG52</f>
        <v>0</v>
      </c>
      <c r="N121" s="10"/>
    </row>
    <row r="122" spans="1:14" s="20" customFormat="1" ht="17.149999999999999" customHeight="1" x14ac:dyDescent="0.35">
      <c r="A122" s="977" t="s">
        <v>927</v>
      </c>
      <c r="B122" s="1023">
        <f t="shared" ref="B122:M122" si="17">SUM(B123:B124)</f>
        <v>1125</v>
      </c>
      <c r="C122" s="1023">
        <f t="shared" si="17"/>
        <v>0</v>
      </c>
      <c r="D122" s="1023">
        <f t="shared" si="17"/>
        <v>21450</v>
      </c>
      <c r="E122" s="1023">
        <f t="shared" si="17"/>
        <v>1125</v>
      </c>
      <c r="F122" s="1023">
        <f t="shared" si="17"/>
        <v>21425</v>
      </c>
      <c r="G122" s="1023">
        <f t="shared" si="17"/>
        <v>0</v>
      </c>
      <c r="H122" s="1024">
        <f t="shared" si="17"/>
        <v>0</v>
      </c>
      <c r="I122" s="1024">
        <f t="shared" si="17"/>
        <v>0</v>
      </c>
      <c r="J122" s="1024">
        <f t="shared" si="17"/>
        <v>0</v>
      </c>
      <c r="K122" s="1024">
        <f t="shared" si="17"/>
        <v>0</v>
      </c>
      <c r="L122" s="1024">
        <f t="shared" si="17"/>
        <v>40925</v>
      </c>
      <c r="M122" s="1024">
        <f t="shared" si="17"/>
        <v>0</v>
      </c>
      <c r="N122" s="54"/>
    </row>
    <row r="123" spans="1:14" s="107" customFormat="1" ht="17.149999999999999" customHeight="1" x14ac:dyDescent="0.35">
      <c r="A123" s="168" t="s">
        <v>824</v>
      </c>
      <c r="B123" s="1056">
        <f>E66</f>
        <v>1125</v>
      </c>
      <c r="C123" s="1056">
        <f>H66</f>
        <v>0</v>
      </c>
      <c r="D123" s="1056">
        <f>G66</f>
        <v>21450</v>
      </c>
      <c r="E123" s="1056">
        <f>K66</f>
        <v>1125</v>
      </c>
      <c r="F123" s="1056">
        <f>M66</f>
        <v>21425</v>
      </c>
      <c r="G123" s="1056">
        <f>N66</f>
        <v>0</v>
      </c>
      <c r="H123" s="1056">
        <f>X66</f>
        <v>0</v>
      </c>
      <c r="I123" s="1056">
        <f>AA66</f>
        <v>0</v>
      </c>
      <c r="J123" s="1056">
        <f>Z66</f>
        <v>0</v>
      </c>
      <c r="K123" s="1056">
        <f>AD66</f>
        <v>0</v>
      </c>
      <c r="L123" s="1056">
        <f>AF66</f>
        <v>40925</v>
      </c>
      <c r="M123" s="1056">
        <f>AG66</f>
        <v>0</v>
      </c>
      <c r="N123" s="10"/>
    </row>
    <row r="124" spans="1:14" s="107" customFormat="1" ht="17.149999999999999" customHeight="1" x14ac:dyDescent="0.35">
      <c r="A124" s="168" t="s">
        <v>830</v>
      </c>
      <c r="B124" s="1056">
        <f>E70</f>
        <v>0</v>
      </c>
      <c r="C124" s="1056">
        <f>H70</f>
        <v>0</v>
      </c>
      <c r="D124" s="1056">
        <f>G70</f>
        <v>0</v>
      </c>
      <c r="E124" s="1056">
        <f>K70</f>
        <v>0</v>
      </c>
      <c r="F124" s="1056">
        <f>M70</f>
        <v>0</v>
      </c>
      <c r="G124" s="1056">
        <f>N70</f>
        <v>0</v>
      </c>
      <c r="H124" s="1056">
        <f>X70</f>
        <v>0</v>
      </c>
      <c r="I124" s="1056">
        <f>AA70</f>
        <v>0</v>
      </c>
      <c r="J124" s="1056">
        <f>Z70</f>
        <v>0</v>
      </c>
      <c r="K124" s="1056">
        <f>AD70</f>
        <v>0</v>
      </c>
      <c r="L124" s="1056">
        <f>AF70</f>
        <v>0</v>
      </c>
      <c r="M124" s="1056">
        <f>AG70</f>
        <v>0</v>
      </c>
      <c r="N124" s="10"/>
    </row>
    <row r="125" spans="1:14" s="80" customFormat="1" ht="17.149999999999999" customHeight="1" x14ac:dyDescent="0.35">
      <c r="A125" s="950" t="s">
        <v>208</v>
      </c>
      <c r="B125" s="1021">
        <f>B117+B119+B122</f>
        <v>1125</v>
      </c>
      <c r="C125" s="1021">
        <f t="shared" ref="C125:M125" si="18">C117+C119+C122</f>
        <v>0</v>
      </c>
      <c r="D125" s="1021">
        <f t="shared" si="18"/>
        <v>30800</v>
      </c>
      <c r="E125" s="1021">
        <f t="shared" si="18"/>
        <v>1125</v>
      </c>
      <c r="F125" s="1021">
        <f t="shared" si="18"/>
        <v>79375</v>
      </c>
      <c r="G125" s="1021">
        <f t="shared" si="18"/>
        <v>0</v>
      </c>
      <c r="H125" s="1022">
        <f t="shared" si="18"/>
        <v>0</v>
      </c>
      <c r="I125" s="1022">
        <f t="shared" si="18"/>
        <v>0</v>
      </c>
      <c r="J125" s="1022">
        <f t="shared" si="18"/>
        <v>0</v>
      </c>
      <c r="K125" s="1022">
        <f t="shared" si="18"/>
        <v>0</v>
      </c>
      <c r="L125" s="1022">
        <f t="shared" si="18"/>
        <v>81850</v>
      </c>
      <c r="M125" s="1022">
        <f t="shared" si="18"/>
        <v>0</v>
      </c>
      <c r="N125" s="24"/>
    </row>
    <row r="126" spans="1:14" s="20" customFormat="1" ht="17.149999999999999" customHeight="1" x14ac:dyDescent="0.35">
      <c r="B126" s="204">
        <f>E55+E74</f>
        <v>1125</v>
      </c>
      <c r="C126" s="204">
        <f>H55+H74</f>
        <v>0</v>
      </c>
      <c r="D126" s="1520">
        <f>G55+G74</f>
        <v>30800</v>
      </c>
      <c r="E126" s="1520">
        <f>K55+K74</f>
        <v>1125</v>
      </c>
      <c r="F126" s="1520">
        <f>M55+M74</f>
        <v>79375</v>
      </c>
      <c r="G126" s="1520">
        <f>N55+N74</f>
        <v>0</v>
      </c>
      <c r="H126" s="204">
        <f>X55+X74</f>
        <v>0</v>
      </c>
      <c r="I126" s="204">
        <f>AA55+AA74</f>
        <v>0</v>
      </c>
      <c r="J126" s="1520">
        <f>Z55+Z74</f>
        <v>0</v>
      </c>
      <c r="K126" s="1520">
        <f>AD55+AD74</f>
        <v>0</v>
      </c>
      <c r="L126" s="1520">
        <f>AF55+AF74</f>
        <v>81850</v>
      </c>
      <c r="M126" s="1520">
        <f>AG55+AG74</f>
        <v>0</v>
      </c>
      <c r="N126" s="54"/>
    </row>
    <row r="127" spans="1:14" s="20" customFormat="1" ht="17.149999999999999" customHeight="1" x14ac:dyDescent="0.35">
      <c r="B127" s="401">
        <f>B125-B126</f>
        <v>0</v>
      </c>
      <c r="C127" s="401">
        <f t="shared" ref="C127:M127" si="19">C125-C126</f>
        <v>0</v>
      </c>
      <c r="D127" s="401">
        <f t="shared" si="19"/>
        <v>0</v>
      </c>
      <c r="E127" s="401">
        <f t="shared" si="19"/>
        <v>0</v>
      </c>
      <c r="F127" s="401">
        <f t="shared" si="19"/>
        <v>0</v>
      </c>
      <c r="G127" s="401">
        <f t="shared" si="19"/>
        <v>0</v>
      </c>
      <c r="H127" s="401">
        <f t="shared" si="19"/>
        <v>0</v>
      </c>
      <c r="I127" s="401">
        <f t="shared" si="19"/>
        <v>0</v>
      </c>
      <c r="J127" s="401">
        <f t="shared" si="19"/>
        <v>0</v>
      </c>
      <c r="K127" s="401">
        <f t="shared" si="19"/>
        <v>0</v>
      </c>
      <c r="L127" s="401">
        <f t="shared" si="19"/>
        <v>0</v>
      </c>
      <c r="M127" s="401">
        <f t="shared" si="19"/>
        <v>0</v>
      </c>
      <c r="N127" s="54"/>
    </row>
    <row r="128" spans="1:14" s="20" customFormat="1" ht="17.149999999999999" customHeight="1" x14ac:dyDescent="0.35">
      <c r="B128" s="30"/>
      <c r="C128" s="31"/>
      <c r="D128" s="21"/>
      <c r="E128" s="21"/>
      <c r="F128" s="21"/>
      <c r="G128" s="22"/>
      <c r="H128" s="21"/>
      <c r="I128" s="23"/>
      <c r="J128" s="23"/>
      <c r="K128" s="23"/>
      <c r="L128" s="113"/>
      <c r="M128" s="113"/>
      <c r="N128" s="54"/>
    </row>
    <row r="129" spans="1:14" s="20" customFormat="1" ht="17.149999999999999" customHeight="1" x14ac:dyDescent="0.35">
      <c r="B129" s="30"/>
      <c r="C129" s="31"/>
      <c r="D129" s="21"/>
      <c r="E129" s="21"/>
      <c r="F129" s="21"/>
      <c r="G129" s="22"/>
      <c r="H129" s="21"/>
      <c r="I129" s="23"/>
      <c r="J129" s="23"/>
      <c r="K129" s="23"/>
      <c r="L129" s="113"/>
      <c r="M129" s="113"/>
      <c r="N129" s="54"/>
    </row>
    <row r="130" spans="1:14" s="20" customFormat="1" ht="17.149999999999999" customHeight="1" x14ac:dyDescent="0.35">
      <c r="A130" s="949" t="s">
        <v>944</v>
      </c>
      <c r="B130" s="1504" t="s">
        <v>9</v>
      </c>
      <c r="C130" s="1508" t="s">
        <v>253</v>
      </c>
      <c r="D130" s="21"/>
      <c r="E130" s="21"/>
      <c r="F130" s="21"/>
      <c r="G130" s="1504" t="s">
        <v>9</v>
      </c>
      <c r="H130" s="1508" t="s">
        <v>253</v>
      </c>
      <c r="I130" s="23"/>
      <c r="J130" s="1504" t="s">
        <v>9</v>
      </c>
      <c r="K130" s="1508" t="s">
        <v>253</v>
      </c>
      <c r="L130" s="7"/>
      <c r="M130" s="113"/>
      <c r="N130" s="54"/>
    </row>
    <row r="131" spans="1:14" s="255" customFormat="1" ht="10.5" x14ac:dyDescent="0.35">
      <c r="A131" s="237"/>
      <c r="B131" s="222"/>
      <c r="C131" s="222"/>
      <c r="D131" s="252"/>
      <c r="E131" s="252"/>
      <c r="F131" s="252"/>
      <c r="G131" s="222"/>
      <c r="H131" s="222"/>
      <c r="I131" s="253"/>
      <c r="J131" s="222"/>
      <c r="K131" s="222"/>
      <c r="M131" s="253"/>
      <c r="N131" s="254"/>
    </row>
    <row r="132" spans="1:14" s="20" customFormat="1" ht="17.149999999999999" customHeight="1" x14ac:dyDescent="0.35">
      <c r="A132" s="80"/>
      <c r="B132" s="1513" t="s">
        <v>841</v>
      </c>
      <c r="C132" s="1508" t="s">
        <v>841</v>
      </c>
      <c r="D132" s="21"/>
      <c r="E132" s="21"/>
      <c r="F132" s="21"/>
      <c r="G132" s="1513" t="s">
        <v>841</v>
      </c>
      <c r="H132" s="1508" t="s">
        <v>841</v>
      </c>
      <c r="I132" s="23"/>
      <c r="J132" s="1513" t="s">
        <v>465</v>
      </c>
      <c r="K132" s="1508" t="s">
        <v>465</v>
      </c>
      <c r="L132" s="7"/>
      <c r="M132" s="113"/>
      <c r="N132" s="54"/>
    </row>
    <row r="133" spans="1:14" s="255" customFormat="1" ht="10.5" x14ac:dyDescent="0.35">
      <c r="A133" s="237"/>
      <c r="B133" s="222"/>
      <c r="C133" s="222"/>
      <c r="D133" s="252"/>
      <c r="E133" s="252"/>
      <c r="F133" s="252"/>
      <c r="G133" s="222"/>
      <c r="H133" s="222"/>
      <c r="I133" s="253"/>
      <c r="J133" s="222"/>
      <c r="K133" s="222"/>
      <c r="M133" s="253"/>
      <c r="N133" s="254"/>
    </row>
    <row r="134" spans="1:14" s="216" customFormat="1" ht="17.149999999999999" customHeight="1" x14ac:dyDescent="0.35">
      <c r="A134" s="206" t="s">
        <v>945</v>
      </c>
      <c r="B134" s="207">
        <f>SUM(B135:B138)</f>
        <v>110175</v>
      </c>
      <c r="C134" s="207">
        <f>SUM(C135:C138)</f>
        <v>81850</v>
      </c>
      <c r="D134" s="214"/>
      <c r="E134" s="1046" t="s">
        <v>946</v>
      </c>
      <c r="F134" s="1047"/>
      <c r="G134" s="1048">
        <f>SUM(G135:G138)</f>
        <v>110175</v>
      </c>
      <c r="H134" s="1052">
        <f>SUM(H135:H138)</f>
        <v>81850</v>
      </c>
      <c r="I134" s="192"/>
      <c r="J134" s="1053">
        <f t="shared" ref="J134:K136" si="20">IF(B134=0,0,G134/B134)</f>
        <v>1</v>
      </c>
      <c r="K134" s="1054">
        <f t="shared" si="20"/>
        <v>1</v>
      </c>
      <c r="L134" s="7"/>
      <c r="M134" s="113"/>
      <c r="N134" s="54"/>
    </row>
    <row r="135" spans="1:14" s="216" customFormat="1" ht="17.149999999999999" customHeight="1" x14ac:dyDescent="0.35">
      <c r="A135" s="135" t="s">
        <v>1178</v>
      </c>
      <c r="B135" s="1523">
        <f>D115</f>
        <v>0</v>
      </c>
      <c r="C135" s="1523">
        <f>J115</f>
        <v>0</v>
      </c>
      <c r="D135" s="214"/>
      <c r="E135" s="258" t="s">
        <v>948</v>
      </c>
      <c r="F135" s="259"/>
      <c r="G135" s="260">
        <f>D115</f>
        <v>0</v>
      </c>
      <c r="H135" s="1523">
        <f>J115</f>
        <v>0</v>
      </c>
      <c r="I135" s="23"/>
      <c r="J135" s="261">
        <f t="shared" si="20"/>
        <v>0</v>
      </c>
      <c r="K135" s="261">
        <f t="shared" si="20"/>
        <v>0</v>
      </c>
      <c r="L135" s="7"/>
      <c r="M135" s="113"/>
      <c r="N135" s="54"/>
    </row>
    <row r="136" spans="1:14" s="92" customFormat="1" ht="17.149999999999999" customHeight="1" x14ac:dyDescent="0.35">
      <c r="A136" s="135" t="s">
        <v>949</v>
      </c>
      <c r="B136" s="1523">
        <f>D117+F117+G117</f>
        <v>0</v>
      </c>
      <c r="C136" s="1523">
        <f>J117+L117+M117</f>
        <v>0</v>
      </c>
      <c r="D136" s="213"/>
      <c r="E136" s="258" t="s">
        <v>949</v>
      </c>
      <c r="F136" s="259"/>
      <c r="G136" s="260">
        <f>G46+M46</f>
        <v>0</v>
      </c>
      <c r="H136" s="1523">
        <f>Z46+AF46</f>
        <v>0</v>
      </c>
      <c r="I136" s="23"/>
      <c r="J136" s="261">
        <f t="shared" si="20"/>
        <v>0</v>
      </c>
      <c r="K136" s="261">
        <f t="shared" si="20"/>
        <v>0</v>
      </c>
      <c r="L136" s="7"/>
      <c r="M136" s="113"/>
      <c r="N136" s="54"/>
    </row>
    <row r="137" spans="1:14" s="92" customFormat="1" ht="17.149999999999999" customHeight="1" x14ac:dyDescent="0.35">
      <c r="A137" s="135" t="s">
        <v>950</v>
      </c>
      <c r="B137" s="1523">
        <f>D119+F119+G119</f>
        <v>67300</v>
      </c>
      <c r="C137" s="1523">
        <f>J119+L119+M119</f>
        <v>40925</v>
      </c>
      <c r="D137" s="213"/>
      <c r="E137" s="258" t="s">
        <v>951</v>
      </c>
      <c r="F137" s="259"/>
      <c r="G137" s="260">
        <f>G49+G52+M49+M52</f>
        <v>67300</v>
      </c>
      <c r="H137" s="260">
        <f>Z49+Z52+AF49+AF52</f>
        <v>40925</v>
      </c>
      <c r="I137" s="23"/>
      <c r="J137" s="261">
        <f>IF(B137=0,0,G137/B137)</f>
        <v>1</v>
      </c>
      <c r="K137" s="261">
        <f>IF(C137=0,0,H137/C137)</f>
        <v>1</v>
      </c>
      <c r="L137" s="7"/>
      <c r="M137" s="113"/>
      <c r="N137" s="54"/>
    </row>
    <row r="138" spans="1:14" s="92" customFormat="1" ht="17.149999999999999" customHeight="1" x14ac:dyDescent="0.35">
      <c r="A138" s="135" t="s">
        <v>952</v>
      </c>
      <c r="B138" s="1523">
        <f>D122+F122+G122</f>
        <v>42875</v>
      </c>
      <c r="C138" s="1523">
        <f>J122+L122+M122</f>
        <v>40925</v>
      </c>
      <c r="D138" s="213"/>
      <c r="E138" s="258" t="s">
        <v>952</v>
      </c>
      <c r="F138" s="259"/>
      <c r="G138" s="260">
        <f>G74+M74</f>
        <v>42875</v>
      </c>
      <c r="H138" s="1523">
        <f>Z74+AF74</f>
        <v>40925</v>
      </c>
      <c r="I138" s="23"/>
      <c r="J138" s="261">
        <f>IF(B138=0,0,G138/B138)</f>
        <v>1</v>
      </c>
      <c r="K138" s="261">
        <f>IF(C138=0,0,H138/C138)</f>
        <v>1</v>
      </c>
      <c r="L138" s="7"/>
      <c r="M138" s="113"/>
      <c r="N138" s="54"/>
    </row>
    <row r="139" spans="1:14" s="20" customFormat="1" ht="17.149999999999999" customHeight="1" x14ac:dyDescent="0.35">
      <c r="A139" s="11"/>
      <c r="B139" s="179"/>
      <c r="C139" s="179"/>
      <c r="D139" s="21"/>
      <c r="E139" s="1049" t="s">
        <v>208</v>
      </c>
      <c r="F139" s="1050"/>
      <c r="G139" s="1051">
        <f>SUM(G135:G138)</f>
        <v>110175</v>
      </c>
      <c r="H139" s="1052">
        <f>SUM(H135:H138)</f>
        <v>81850</v>
      </c>
      <c r="I139" s="23"/>
      <c r="J139" s="1053"/>
      <c r="K139" s="1054"/>
      <c r="L139" s="113"/>
      <c r="M139" s="113"/>
      <c r="N139" s="54"/>
    </row>
    <row r="140" spans="1:14" s="20" customFormat="1" ht="17.149999999999999" customHeight="1" x14ac:dyDescent="0.35">
      <c r="A140" s="206" t="s">
        <v>892</v>
      </c>
      <c r="B140" s="207">
        <f>SUM(B141)</f>
        <v>4950</v>
      </c>
      <c r="C140" s="207">
        <f>SUM(C141)</f>
        <v>185500</v>
      </c>
      <c r="D140" s="21"/>
      <c r="E140" s="21"/>
      <c r="F140" s="21"/>
      <c r="G140" s="22"/>
      <c r="H140" s="21"/>
      <c r="I140" s="23"/>
      <c r="J140" s="23"/>
      <c r="K140" s="23"/>
      <c r="L140" s="113"/>
      <c r="M140" s="113"/>
      <c r="N140" s="54"/>
    </row>
    <row r="141" spans="1:14" s="20" customFormat="1" ht="17.149999999999999" customHeight="1" x14ac:dyDescent="0.35">
      <c r="A141" s="135" t="s">
        <v>846</v>
      </c>
      <c r="B141" s="1523">
        <f>'FS_Capture volumes'!E135-B135</f>
        <v>4950</v>
      </c>
      <c r="C141" s="1523">
        <f>'FS_Capture volumes'!F135-C135</f>
        <v>185500</v>
      </c>
      <c r="D141" s="21"/>
      <c r="E141" s="21"/>
      <c r="F141" s="21"/>
      <c r="G141" s="22"/>
      <c r="H141" s="21"/>
      <c r="I141" s="23"/>
      <c r="J141" s="23"/>
      <c r="K141" s="23"/>
      <c r="L141" s="23"/>
      <c r="M141" s="23"/>
      <c r="N141" s="24"/>
    </row>
    <row r="142" spans="1:14" s="20" customFormat="1" ht="17.149999999999999" customHeight="1" x14ac:dyDescent="0.35">
      <c r="A142" s="11"/>
      <c r="B142" s="179"/>
      <c r="C142" s="179"/>
      <c r="D142" s="21"/>
      <c r="E142" s="21"/>
      <c r="F142" s="21"/>
      <c r="G142" s="22"/>
      <c r="H142" s="21"/>
      <c r="I142" s="23"/>
      <c r="J142" s="23"/>
      <c r="K142" s="23"/>
      <c r="L142" s="23"/>
      <c r="M142" s="23"/>
      <c r="N142" s="24"/>
    </row>
    <row r="143" spans="1:14" s="216" customFormat="1" ht="17.149999999999999" customHeight="1" x14ac:dyDescent="0.35">
      <c r="A143" s="208" t="s">
        <v>953</v>
      </c>
      <c r="B143" s="209">
        <f>SUM(B144:B149)</f>
        <v>2250</v>
      </c>
      <c r="C143" s="209">
        <f>SUM(C144:C149)</f>
        <v>0</v>
      </c>
      <c r="D143" s="214"/>
      <c r="E143" s="214"/>
      <c r="F143" s="214"/>
      <c r="G143" s="215"/>
      <c r="H143" s="214"/>
      <c r="I143" s="192"/>
      <c r="J143" s="192"/>
      <c r="K143" s="192"/>
      <c r="L143" s="192"/>
      <c r="M143" s="192"/>
      <c r="N143" s="119"/>
    </row>
    <row r="144" spans="1:14" s="216" customFormat="1" ht="17.149999999999999" customHeight="1" x14ac:dyDescent="0.35">
      <c r="A144" s="135" t="s">
        <v>954</v>
      </c>
      <c r="B144" s="211">
        <f>B117+E117</f>
        <v>0</v>
      </c>
      <c r="C144" s="211">
        <f>H117+K117</f>
        <v>0</v>
      </c>
      <c r="D144" s="214"/>
      <c r="E144" s="214"/>
      <c r="F144" s="214"/>
      <c r="G144" s="215"/>
      <c r="H144" s="214"/>
      <c r="I144" s="192"/>
      <c r="J144" s="192"/>
      <c r="K144" s="192"/>
      <c r="L144" s="192"/>
      <c r="M144" s="192"/>
      <c r="N144" s="119"/>
    </row>
    <row r="145" spans="1:54" s="92" customFormat="1" ht="16.5" customHeight="1" x14ac:dyDescent="0.35">
      <c r="A145" s="135" t="s">
        <v>955</v>
      </c>
      <c r="B145" s="211">
        <f>C117</f>
        <v>0</v>
      </c>
      <c r="C145" s="211">
        <f>I117</f>
        <v>0</v>
      </c>
      <c r="D145" s="213"/>
      <c r="E145" s="213"/>
      <c r="F145" s="213"/>
      <c r="G145" s="22"/>
      <c r="H145" s="213"/>
      <c r="I145" s="23"/>
      <c r="J145" s="23"/>
      <c r="K145" s="23"/>
      <c r="L145" s="23"/>
      <c r="M145" s="23"/>
      <c r="N145" s="24"/>
    </row>
    <row r="146" spans="1:54" s="92" customFormat="1" ht="16.5" customHeight="1" x14ac:dyDescent="0.35">
      <c r="A146" s="135" t="s">
        <v>956</v>
      </c>
      <c r="B146" s="211">
        <f>B119+E119</f>
        <v>0</v>
      </c>
      <c r="C146" s="211">
        <f>H119+K119</f>
        <v>0</v>
      </c>
      <c r="D146" s="213"/>
      <c r="E146" s="213"/>
      <c r="F146" s="213"/>
      <c r="G146" s="22"/>
      <c r="H146" s="213"/>
      <c r="I146" s="23"/>
      <c r="J146" s="23"/>
      <c r="K146" s="23"/>
      <c r="L146" s="23"/>
      <c r="M146" s="23"/>
      <c r="N146" s="24"/>
    </row>
    <row r="147" spans="1:54" s="92" customFormat="1" ht="16.5" customHeight="1" x14ac:dyDescent="0.35">
      <c r="A147" s="135" t="s">
        <v>957</v>
      </c>
      <c r="B147" s="211">
        <f>C119</f>
        <v>0</v>
      </c>
      <c r="C147" s="211">
        <f>I119</f>
        <v>0</v>
      </c>
      <c r="D147" s="213"/>
      <c r="E147" s="213"/>
      <c r="F147" s="213"/>
      <c r="G147" s="22"/>
      <c r="H147" s="213"/>
      <c r="I147" s="23"/>
      <c r="J147" s="23"/>
      <c r="K147" s="23"/>
      <c r="L147" s="23"/>
      <c r="M147" s="23"/>
      <c r="N147" s="24"/>
    </row>
    <row r="148" spans="1:54" s="92" customFormat="1" ht="16.5" customHeight="1" x14ac:dyDescent="0.35">
      <c r="A148" s="135" t="s">
        <v>958</v>
      </c>
      <c r="B148" s="211">
        <f>B122+E122</f>
        <v>2250</v>
      </c>
      <c r="C148" s="211">
        <f>H122+K122</f>
        <v>0</v>
      </c>
      <c r="D148" s="213"/>
      <c r="E148" s="213"/>
      <c r="F148" s="213"/>
      <c r="G148" s="22"/>
      <c r="H148" s="213"/>
      <c r="I148" s="23"/>
      <c r="J148" s="23"/>
      <c r="K148" s="23"/>
      <c r="L148" s="23"/>
      <c r="M148" s="23"/>
      <c r="N148" s="24"/>
    </row>
    <row r="149" spans="1:54" s="92" customFormat="1" ht="17.149999999999999" customHeight="1" x14ac:dyDescent="0.35">
      <c r="A149" s="135" t="s">
        <v>959</v>
      </c>
      <c r="B149" s="211">
        <f>C122</f>
        <v>0</v>
      </c>
      <c r="C149" s="211">
        <f>I122</f>
        <v>0</v>
      </c>
      <c r="D149" s="213"/>
      <c r="E149" s="213"/>
      <c r="F149" s="213"/>
      <c r="G149" s="22"/>
      <c r="H149" s="213"/>
      <c r="I149" s="23"/>
      <c r="J149" s="23"/>
      <c r="K149" s="23"/>
      <c r="L149" s="23"/>
      <c r="M149" s="23"/>
      <c r="N149" s="24"/>
    </row>
    <row r="150" spans="1:54" s="20" customFormat="1" ht="17.149999999999999" customHeight="1" x14ac:dyDescent="0.35">
      <c r="A150" s="11"/>
      <c r="B150" s="179"/>
      <c r="C150" s="179"/>
      <c r="D150" s="21"/>
      <c r="E150" s="21"/>
      <c r="F150" s="21"/>
      <c r="G150" s="22"/>
      <c r="H150" s="21"/>
      <c r="I150" s="23"/>
      <c r="J150" s="23"/>
      <c r="K150" s="23"/>
      <c r="L150" s="23"/>
      <c r="M150" s="23"/>
      <c r="N150" s="24"/>
    </row>
    <row r="151" spans="1:54" s="216" customFormat="1" ht="17.149999999999999" customHeight="1" x14ac:dyDescent="0.35">
      <c r="A151" s="212" t="s">
        <v>960</v>
      </c>
      <c r="B151" s="28">
        <f>B134+B140+B143</f>
        <v>117375</v>
      </c>
      <c r="C151" s="28">
        <f>C134+C140+C143</f>
        <v>267350</v>
      </c>
      <c r="D151" s="214"/>
      <c r="E151" s="214"/>
      <c r="F151" s="214"/>
      <c r="G151" s="215"/>
      <c r="H151" s="214"/>
      <c r="I151" s="192"/>
      <c r="J151" s="192"/>
      <c r="K151" s="192"/>
      <c r="L151" s="192"/>
      <c r="M151" s="192"/>
      <c r="N151" s="119"/>
    </row>
    <row r="152" spans="1:54" s="216" customFormat="1" ht="17.149999999999999" customHeight="1" x14ac:dyDescent="0.35">
      <c r="A152" s="194"/>
      <c r="B152" s="205">
        <f>'FS_Capture volumes'!E134</f>
        <v>117375</v>
      </c>
      <c r="C152" s="205">
        <f>'FS_Capture volumes'!F134</f>
        <v>267350</v>
      </c>
      <c r="D152" s="214"/>
      <c r="E152" s="214"/>
      <c r="F152" s="214"/>
      <c r="G152" s="215"/>
      <c r="H152" s="214"/>
      <c r="I152" s="192"/>
      <c r="J152" s="192"/>
      <c r="K152" s="192"/>
      <c r="L152" s="192"/>
      <c r="M152" s="192"/>
      <c r="N152" s="119"/>
    </row>
    <row r="153" spans="1:54" s="20" customFormat="1" ht="17.149999999999999" customHeight="1" x14ac:dyDescent="0.35">
      <c r="A153" s="11"/>
      <c r="B153" s="1519" t="str">
        <f>IF(B151=B152,"OK","Not OK")</f>
        <v>OK</v>
      </c>
      <c r="C153" s="1519" t="str">
        <f>IF(C151=C152,"OK","Not OK")</f>
        <v>OK</v>
      </c>
      <c r="D153" s="21"/>
      <c r="E153" s="21"/>
      <c r="F153" s="21"/>
      <c r="G153" s="22"/>
      <c r="H153" s="21"/>
      <c r="I153" s="23"/>
      <c r="J153" s="23"/>
      <c r="K153" s="23"/>
      <c r="L153" s="23"/>
      <c r="M153" s="23"/>
      <c r="N153" s="24"/>
    </row>
    <row r="154" spans="1:54" s="20" customFormat="1" ht="17.149999999999999" customHeight="1" x14ac:dyDescent="0.35">
      <c r="B154" s="30"/>
      <c r="C154" s="30"/>
      <c r="D154" s="30"/>
      <c r="E154" s="31"/>
      <c r="F154" s="21"/>
      <c r="G154" s="21"/>
      <c r="H154" s="21"/>
      <c r="I154" s="22"/>
      <c r="J154" s="22"/>
      <c r="K154" s="21"/>
      <c r="L154" s="23"/>
      <c r="M154" s="23"/>
      <c r="N154" s="23"/>
      <c r="O154" s="23"/>
      <c r="P154" s="23"/>
      <c r="Q154" s="23"/>
      <c r="R154" s="23"/>
      <c r="S154" s="23"/>
      <c r="T154" s="23"/>
      <c r="U154" s="24"/>
    </row>
    <row r="155" spans="1:54" s="20" customFormat="1" ht="17.149999999999999" customHeight="1" x14ac:dyDescent="0.35">
      <c r="B155" s="31"/>
      <c r="C155" s="30"/>
      <c r="D155" s="30"/>
      <c r="E155" s="31"/>
      <c r="F155" s="21"/>
      <c r="G155" s="21"/>
      <c r="H155" s="21"/>
      <c r="I155" s="22"/>
      <c r="J155" s="22"/>
      <c r="K155" s="21"/>
      <c r="L155" s="23"/>
      <c r="M155" s="23"/>
      <c r="N155" s="23"/>
      <c r="O155" s="23"/>
      <c r="P155" s="23"/>
      <c r="Q155" s="23"/>
      <c r="R155" s="23"/>
      <c r="S155" s="23"/>
      <c r="T155" s="23"/>
      <c r="U155" s="24"/>
    </row>
    <row r="157" spans="1:54" s="27" customFormat="1" ht="17.149999999999999" customHeight="1" x14ac:dyDescent="0.35">
      <c r="A157" s="183" t="s">
        <v>852</v>
      </c>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row>
    <row r="158" spans="1:54" s="27" customFormat="1" ht="17.149999999999999" customHeight="1" x14ac:dyDescent="0.35">
      <c r="A158" s="120"/>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row>
    <row r="159" spans="1:54" s="140" customFormat="1" ht="17.149999999999999" customHeight="1" x14ac:dyDescent="0.35">
      <c r="A159" s="949" t="s">
        <v>961</v>
      </c>
      <c r="B159" s="1776" t="s">
        <v>9</v>
      </c>
      <c r="C159" s="1776"/>
      <c r="D159" s="1776"/>
      <c r="E159" s="1776"/>
      <c r="F159" s="1776"/>
      <c r="G159" s="1776"/>
      <c r="H159" s="1776"/>
      <c r="I159" s="1776"/>
      <c r="J159" s="1776"/>
      <c r="K159" s="1776"/>
      <c r="L159" s="1776"/>
      <c r="M159" s="1776"/>
      <c r="N159" s="1776"/>
      <c r="O159" s="17"/>
      <c r="P159" s="1777" t="s">
        <v>9</v>
      </c>
      <c r="Q159" s="1777"/>
      <c r="R159" s="1777"/>
      <c r="S159" s="115"/>
      <c r="T159" s="115"/>
      <c r="U159" s="1778" t="s">
        <v>253</v>
      </c>
      <c r="V159" s="1778"/>
      <c r="W159" s="1778"/>
      <c r="X159" s="1778"/>
      <c r="Y159" s="1778"/>
      <c r="Z159" s="1778"/>
      <c r="AA159" s="1778"/>
      <c r="AB159" s="1778"/>
      <c r="AC159" s="1778"/>
      <c r="AD159" s="1778"/>
      <c r="AE159" s="1778"/>
      <c r="AF159" s="1778"/>
      <c r="AG159" s="1778"/>
      <c r="AH159" s="115"/>
      <c r="AI159" s="1779" t="s">
        <v>253</v>
      </c>
      <c r="AJ159" s="1779"/>
      <c r="AK159" s="1779"/>
      <c r="AL159" s="115"/>
      <c r="AM159" s="115"/>
      <c r="AN159" s="115"/>
      <c r="AO159" s="115"/>
      <c r="AP159" s="115"/>
      <c r="AQ159" s="115"/>
      <c r="AR159" s="115"/>
      <c r="AS159" s="115"/>
      <c r="AT159" s="115"/>
      <c r="AU159" s="115"/>
      <c r="AV159" s="115"/>
      <c r="AW159" s="115"/>
      <c r="AX159" s="115"/>
      <c r="AY159" s="115"/>
      <c r="AZ159" s="115"/>
      <c r="BA159" s="115"/>
      <c r="BB159" s="115"/>
    </row>
    <row r="160" spans="1:54" s="27" customFormat="1" ht="17.149999999999999" customHeight="1" x14ac:dyDescent="0.35">
      <c r="A160" s="371"/>
      <c r="F160" s="17"/>
      <c r="G160" s="17"/>
      <c r="H160" s="17"/>
      <c r="I160" s="17"/>
      <c r="J160" s="17"/>
      <c r="K160" s="17"/>
      <c r="L160" s="17"/>
      <c r="M160" s="17"/>
      <c r="N160" s="17"/>
      <c r="O160" s="17"/>
      <c r="P160" s="17"/>
      <c r="Q160" s="17"/>
      <c r="R160" s="115"/>
      <c r="S160" s="115"/>
      <c r="T160" s="17"/>
      <c r="W160" s="17"/>
      <c r="X160" s="17"/>
      <c r="Y160" s="95"/>
      <c r="Z160" s="10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row>
    <row r="161" spans="1:58" s="27" customFormat="1" ht="17.149999999999999" customHeight="1" x14ac:dyDescent="0.35">
      <c r="A161" s="191"/>
      <c r="B161" s="166"/>
      <c r="C161" s="1780" t="s">
        <v>896</v>
      </c>
      <c r="D161" s="1780"/>
      <c r="E161" s="1780"/>
      <c r="F161" s="1780"/>
      <c r="G161" s="1780"/>
      <c r="H161" s="1780"/>
      <c r="I161" s="1781" t="s">
        <v>897</v>
      </c>
      <c r="J161" s="1782"/>
      <c r="K161" s="1782"/>
      <c r="L161" s="1782"/>
      <c r="M161" s="1782"/>
      <c r="N161" s="1783"/>
      <c r="O161" s="17"/>
      <c r="P161" s="1784" t="s">
        <v>898</v>
      </c>
      <c r="Q161" s="1784"/>
      <c r="R161" s="1784"/>
      <c r="S161" s="309"/>
      <c r="T161" s="17"/>
      <c r="U161" s="1150"/>
      <c r="V161" s="1785" t="s">
        <v>896</v>
      </c>
      <c r="W161" s="1785"/>
      <c r="X161" s="1785"/>
      <c r="Y161" s="1785"/>
      <c r="Z161" s="1785"/>
      <c r="AA161" s="1785"/>
      <c r="AB161" s="1786" t="s">
        <v>897</v>
      </c>
      <c r="AC161" s="1787"/>
      <c r="AD161" s="1787"/>
      <c r="AE161" s="1787"/>
      <c r="AF161" s="1787"/>
      <c r="AG161" s="1788"/>
      <c r="AH161" s="17"/>
      <c r="AI161" s="1789" t="s">
        <v>898</v>
      </c>
      <c r="AJ161" s="1789"/>
      <c r="AK161" s="1789"/>
      <c r="AL161" s="300"/>
      <c r="AM161" s="17"/>
      <c r="AN161" s="17"/>
      <c r="AO161" s="17"/>
      <c r="AP161" s="17"/>
      <c r="AQ161" s="17"/>
      <c r="AR161" s="17"/>
      <c r="AS161" s="17"/>
      <c r="AT161" s="17"/>
      <c r="AU161" s="17"/>
      <c r="AV161" s="17"/>
      <c r="AW161" s="17"/>
      <c r="AX161" s="17"/>
      <c r="AY161" s="17"/>
      <c r="AZ161" s="17"/>
      <c r="BA161" s="17"/>
      <c r="BB161" s="17"/>
    </row>
    <row r="162" spans="1:58" s="27" customFormat="1" ht="58" x14ac:dyDescent="0.3">
      <c r="A162" s="355"/>
      <c r="B162" s="1511" t="s">
        <v>899</v>
      </c>
      <c r="C162" s="1513"/>
      <c r="D162" s="1511" t="s">
        <v>900</v>
      </c>
      <c r="E162" s="1511"/>
      <c r="F162" s="1511" t="s">
        <v>901</v>
      </c>
      <c r="G162" s="1511" t="s">
        <v>902</v>
      </c>
      <c r="H162" s="1511" t="s">
        <v>903</v>
      </c>
      <c r="I162" s="1511" t="s">
        <v>904</v>
      </c>
      <c r="J162" s="1511"/>
      <c r="K162" s="1511"/>
      <c r="L162" s="1511"/>
      <c r="M162" s="1511"/>
      <c r="N162" s="1511" t="s">
        <v>903</v>
      </c>
      <c r="O162" s="137"/>
      <c r="P162" s="1511" t="s">
        <v>905</v>
      </c>
      <c r="Q162" s="1511" t="s">
        <v>57</v>
      </c>
      <c r="R162" s="1506" t="s">
        <v>208</v>
      </c>
      <c r="S162" s="390" t="s">
        <v>277</v>
      </c>
      <c r="T162" s="137"/>
      <c r="U162" s="1033" t="s">
        <v>899</v>
      </c>
      <c r="V162" s="1149"/>
      <c r="W162" s="1033" t="s">
        <v>900</v>
      </c>
      <c r="X162" s="1033"/>
      <c r="Y162" s="1033" t="s">
        <v>901</v>
      </c>
      <c r="Z162" s="1033" t="s">
        <v>902</v>
      </c>
      <c r="AA162" s="1033" t="s">
        <v>903</v>
      </c>
      <c r="AB162" s="1033" t="s">
        <v>904</v>
      </c>
      <c r="AC162" s="1033"/>
      <c r="AD162" s="1033"/>
      <c r="AE162" s="1033"/>
      <c r="AF162" s="1033"/>
      <c r="AG162" s="1033" t="s">
        <v>903</v>
      </c>
      <c r="AH162" s="17"/>
      <c r="AI162" s="1033" t="s">
        <v>905</v>
      </c>
      <c r="AJ162" s="1033" t="s">
        <v>57</v>
      </c>
      <c r="AK162" s="1507" t="s">
        <v>208</v>
      </c>
      <c r="AL162" s="390" t="s">
        <v>277</v>
      </c>
      <c r="AM162" s="17"/>
      <c r="AN162" s="17"/>
      <c r="AO162" s="17"/>
      <c r="AP162" s="17"/>
      <c r="AQ162" s="17"/>
      <c r="AR162" s="17"/>
      <c r="AS162" s="17"/>
      <c r="AT162" s="17"/>
      <c r="AU162" s="17"/>
      <c r="AV162" s="17"/>
      <c r="AW162" s="17"/>
      <c r="AX162" s="17"/>
      <c r="AY162" s="17"/>
      <c r="AZ162" s="17"/>
      <c r="BA162" s="17"/>
      <c r="BB162" s="17"/>
      <c r="BC162" s="17"/>
      <c r="BD162" s="17"/>
      <c r="BE162" s="17"/>
      <c r="BF162" s="17"/>
    </row>
    <row r="163" spans="1:58" s="184" customFormat="1" ht="13" x14ac:dyDescent="0.3">
      <c r="A163" s="356"/>
      <c r="B163" s="356"/>
      <c r="C163" s="1514"/>
      <c r="D163" s="356"/>
      <c r="E163" s="356"/>
      <c r="F163" s="356"/>
      <c r="G163" s="321"/>
      <c r="H163" s="321"/>
      <c r="I163" s="143"/>
      <c r="J163" s="143"/>
      <c r="K163" s="143"/>
      <c r="L163" s="356"/>
      <c r="M163" s="356"/>
      <c r="N163" s="225"/>
      <c r="O163" s="137"/>
      <c r="P163" s="224"/>
      <c r="Q163" s="225"/>
      <c r="R163" s="143"/>
      <c r="S163" s="155"/>
      <c r="T163" s="137"/>
      <c r="U163" s="356"/>
      <c r="V163" s="1514"/>
      <c r="W163" s="356"/>
      <c r="X163" s="224"/>
      <c r="Y163" s="356"/>
      <c r="Z163" s="321"/>
      <c r="AA163" s="321"/>
      <c r="AB163" s="143"/>
      <c r="AC163" s="143"/>
      <c r="AD163" s="143"/>
      <c r="AE163" s="143"/>
      <c r="AF163" s="143"/>
      <c r="AG163" s="225"/>
      <c r="AH163" s="3"/>
      <c r="AI163" s="224"/>
      <c r="AJ163" s="225"/>
      <c r="AK163" s="143"/>
      <c r="AL163" s="155"/>
      <c r="AM163" s="3"/>
      <c r="AN163" s="3"/>
      <c r="AO163" s="3"/>
      <c r="AP163" s="3"/>
      <c r="AQ163" s="3"/>
      <c r="AR163" s="3"/>
      <c r="AS163" s="3"/>
      <c r="AT163" s="3"/>
      <c r="AU163" s="3"/>
      <c r="AV163" s="3"/>
      <c r="AW163" s="3"/>
      <c r="AX163" s="3"/>
      <c r="AY163" s="3"/>
      <c r="AZ163" s="3"/>
      <c r="BA163" s="3"/>
      <c r="BB163" s="3"/>
      <c r="BC163" s="3"/>
      <c r="BD163" s="3"/>
      <c r="BE163" s="3"/>
      <c r="BF163" s="3"/>
    </row>
    <row r="164" spans="1:58" s="184" customFormat="1" ht="17.149999999999999" customHeight="1" x14ac:dyDescent="0.3">
      <c r="A164" s="1038" t="s">
        <v>906</v>
      </c>
      <c r="B164" s="1039">
        <f>SUM(B165:B166)</f>
        <v>31275</v>
      </c>
      <c r="C164" s="1040"/>
      <c r="D164" s="1039"/>
      <c r="E164" s="1039"/>
      <c r="F164" s="1039">
        <f>SUM(F165:F166)</f>
        <v>0</v>
      </c>
      <c r="G164" s="1039">
        <f>SUM(G165:G166)</f>
        <v>0</v>
      </c>
      <c r="H164" s="1039">
        <f>SUM(H165:H166)</f>
        <v>0</v>
      </c>
      <c r="I164" s="1039">
        <f>SUM(I165:I166)</f>
        <v>31275</v>
      </c>
      <c r="J164" s="1039"/>
      <c r="K164" s="1039"/>
      <c r="L164" s="1039"/>
      <c r="M164" s="1039"/>
      <c r="N164" s="1039">
        <f>SUM(N165:N166)</f>
        <v>31275</v>
      </c>
      <c r="O164" s="137"/>
      <c r="P164" s="1039">
        <f>SUM(P165:P166)</f>
        <v>0</v>
      </c>
      <c r="Q164" s="1039">
        <f>SUM(Q165:Q166)</f>
        <v>31275</v>
      </c>
      <c r="R164" s="1039">
        <f>SUM(R165:R166)</f>
        <v>31275</v>
      </c>
      <c r="S164" s="1518">
        <f>SUM(S165:S166)</f>
        <v>0</v>
      </c>
      <c r="T164" s="137"/>
      <c r="U164" s="1041">
        <f>SUM(U165:U166)</f>
        <v>55250</v>
      </c>
      <c r="V164" s="1041"/>
      <c r="W164" s="1041"/>
      <c r="X164" s="1041"/>
      <c r="Y164" s="1041">
        <f>SUM(Y165:Y166)</f>
        <v>0</v>
      </c>
      <c r="Z164" s="1041">
        <f>SUM(Z165:Z166)</f>
        <v>0</v>
      </c>
      <c r="AA164" s="1041">
        <f>SUM(AA165:AA166)</f>
        <v>0</v>
      </c>
      <c r="AB164" s="1042">
        <f>SUM(AB165:AB166)</f>
        <v>55250</v>
      </c>
      <c r="AC164" s="1042"/>
      <c r="AD164" s="1042"/>
      <c r="AE164" s="1042"/>
      <c r="AF164" s="1042"/>
      <c r="AG164" s="1042">
        <f>SUM(AG165:AG166)</f>
        <v>55250</v>
      </c>
      <c r="AH164" s="3"/>
      <c r="AI164" s="1041">
        <f>SUM(AI165:AI166)</f>
        <v>0</v>
      </c>
      <c r="AJ164" s="1041">
        <f>SUM(AJ165:AJ166)</f>
        <v>55250</v>
      </c>
      <c r="AK164" s="1041">
        <f>SUM(AK165:AK166)</f>
        <v>55250</v>
      </c>
      <c r="AL164" s="1518">
        <f>SUM(AL165:AL166)</f>
        <v>0</v>
      </c>
      <c r="AM164" s="3"/>
      <c r="AN164" s="3"/>
      <c r="AO164" s="3"/>
      <c r="AP164" s="3"/>
      <c r="AQ164" s="3"/>
      <c r="AR164" s="3"/>
      <c r="AS164" s="3"/>
      <c r="AT164" s="3"/>
      <c r="AU164" s="3"/>
      <c r="AV164" s="3"/>
      <c r="AW164" s="3"/>
      <c r="AX164" s="3"/>
      <c r="AY164" s="3"/>
      <c r="AZ164" s="3"/>
      <c r="BA164" s="3"/>
      <c r="BB164" s="3"/>
      <c r="BC164" s="3"/>
      <c r="BD164" s="3"/>
    </row>
    <row r="165" spans="1:58" s="1045" customFormat="1" ht="17.149999999999999" customHeight="1" x14ac:dyDescent="0.3">
      <c r="A165" s="155" t="s">
        <v>814</v>
      </c>
      <c r="B165" s="1522">
        <f>'FS_Capture volumes'!E220+'FS_Capture volumes'!E233</f>
        <v>0</v>
      </c>
      <c r="C165" s="1020"/>
      <c r="D165" s="956">
        <f>'User interface_Non-RES'!K33</f>
        <v>0</v>
      </c>
      <c r="E165" s="1522"/>
      <c r="F165" s="1522">
        <f>B165*D165</f>
        <v>0</v>
      </c>
      <c r="G165" s="1522">
        <f>ROUND((F165*'User interface_Non-RES'!O70)/25,0)*25</f>
        <v>0</v>
      </c>
      <c r="H165" s="1522">
        <f>F165-G165</f>
        <v>0</v>
      </c>
      <c r="I165" s="1522">
        <f>B165-F165</f>
        <v>0</v>
      </c>
      <c r="J165" s="999"/>
      <c r="K165" s="1522"/>
      <c r="L165" s="1522"/>
      <c r="M165" s="1522"/>
      <c r="N165" s="1522">
        <f>I165</f>
        <v>0</v>
      </c>
      <c r="O165" s="954"/>
      <c r="P165" s="1020"/>
      <c r="Q165" s="1020">
        <f>G165+H165+N165</f>
        <v>0</v>
      </c>
      <c r="R165" s="368">
        <f>SUM(P165:Q165)</f>
        <v>0</v>
      </c>
      <c r="S165" s="1518">
        <f>B165-R165</f>
        <v>0</v>
      </c>
      <c r="T165" s="954"/>
      <c r="U165" s="1522">
        <f>'FS_Capture volumes'!F220+'FS_Capture volumes'!F233</f>
        <v>0</v>
      </c>
      <c r="V165" s="1020"/>
      <c r="W165" s="956">
        <f>'User interface_Non-RES'!K50</f>
        <v>0</v>
      </c>
      <c r="X165" s="1522"/>
      <c r="Y165" s="1522">
        <f>U165*W165</f>
        <v>0</v>
      </c>
      <c r="Z165" s="1522">
        <f>ROUND((Y165*'User interface_Non-RES'!O70)/25,0)*25</f>
        <v>0</v>
      </c>
      <c r="AA165" s="1522">
        <f>Y165-Z165</f>
        <v>0</v>
      </c>
      <c r="AB165" s="1522">
        <f>U165-Y165</f>
        <v>0</v>
      </c>
      <c r="AC165" s="999"/>
      <c r="AD165" s="1522"/>
      <c r="AE165" s="1522"/>
      <c r="AF165" s="1522"/>
      <c r="AG165" s="1522">
        <f>AB165</f>
        <v>0</v>
      </c>
      <c r="AH165" s="954"/>
      <c r="AI165" s="1020"/>
      <c r="AJ165" s="1020">
        <f>Z165+AA165+AG165</f>
        <v>0</v>
      </c>
      <c r="AK165" s="368">
        <f>SUM(AI165:AJ165)</f>
        <v>0</v>
      </c>
      <c r="AL165" s="1518">
        <f>U165-AK165</f>
        <v>0</v>
      </c>
      <c r="AM165" s="60"/>
      <c r="AN165" s="60"/>
      <c r="AO165" s="60"/>
      <c r="AP165" s="60"/>
      <c r="AQ165" s="60"/>
      <c r="AR165" s="60"/>
      <c r="AS165" s="60"/>
      <c r="AT165" s="60"/>
      <c r="AU165" s="60"/>
      <c r="AV165" s="60"/>
      <c r="AW165" s="60"/>
      <c r="AX165" s="60"/>
      <c r="AY165" s="60"/>
      <c r="AZ165" s="60"/>
      <c r="BA165" s="60"/>
      <c r="BB165" s="60"/>
      <c r="BC165" s="60"/>
      <c r="BD165" s="60"/>
    </row>
    <row r="166" spans="1:58" s="1045" customFormat="1" ht="17.149999999999999" customHeight="1" x14ac:dyDescent="0.3">
      <c r="A166" s="155" t="s">
        <v>815</v>
      </c>
      <c r="B166" s="1522">
        <f>'FS_Capture volumes'!E221+'FS_Capture volumes'!E234</f>
        <v>31275</v>
      </c>
      <c r="C166" s="1020"/>
      <c r="D166" s="956">
        <f>D165</f>
        <v>0</v>
      </c>
      <c r="E166" s="1522"/>
      <c r="F166" s="1522">
        <f>B166*D166</f>
        <v>0</v>
      </c>
      <c r="G166" s="1522">
        <f>ROUND((F166*'User interface_Non-RES'!O71)/25,0)*25</f>
        <v>0</v>
      </c>
      <c r="H166" s="1522">
        <f>F166-G166</f>
        <v>0</v>
      </c>
      <c r="I166" s="1522">
        <f>B166-F166</f>
        <v>31275</v>
      </c>
      <c r="J166" s="999"/>
      <c r="K166" s="1522"/>
      <c r="L166" s="1522"/>
      <c r="M166" s="1522"/>
      <c r="N166" s="1522">
        <f>I166</f>
        <v>31275</v>
      </c>
      <c r="O166" s="954"/>
      <c r="P166" s="1020"/>
      <c r="Q166" s="1020">
        <f>G166+H166+N166</f>
        <v>31275</v>
      </c>
      <c r="R166" s="368">
        <f>SUM(P166:Q166)</f>
        <v>31275</v>
      </c>
      <c r="S166" s="1518">
        <f>B166-R166</f>
        <v>0</v>
      </c>
      <c r="T166" s="954"/>
      <c r="U166" s="1522">
        <f>'FS_Capture volumes'!F221+'FS_Capture volumes'!F234</f>
        <v>55250</v>
      </c>
      <c r="V166" s="1020"/>
      <c r="W166" s="956">
        <f>W165</f>
        <v>0</v>
      </c>
      <c r="X166" s="1522"/>
      <c r="Y166" s="1522">
        <f>U166*W166</f>
        <v>0</v>
      </c>
      <c r="Z166" s="1522">
        <f>ROUND((Y166*'User interface_Non-RES'!O71)/25,0)*25</f>
        <v>0</v>
      </c>
      <c r="AA166" s="1522">
        <f>Y166-Z166</f>
        <v>0</v>
      </c>
      <c r="AB166" s="1522">
        <f>U166-Y166</f>
        <v>55250</v>
      </c>
      <c r="AC166" s="999"/>
      <c r="AD166" s="1522"/>
      <c r="AE166" s="1522"/>
      <c r="AF166" s="1522"/>
      <c r="AG166" s="1522">
        <f>AB166</f>
        <v>55250</v>
      </c>
      <c r="AH166" s="954"/>
      <c r="AI166" s="1020"/>
      <c r="AJ166" s="1020">
        <f>Z166+AA166+AG166</f>
        <v>55250</v>
      </c>
      <c r="AK166" s="368">
        <f>SUM(AI166:AJ166)</f>
        <v>55250</v>
      </c>
      <c r="AL166" s="1518">
        <f>U166-AK166</f>
        <v>0</v>
      </c>
      <c r="AM166" s="60"/>
      <c r="AN166" s="60"/>
      <c r="AO166" s="60"/>
      <c r="AP166" s="60"/>
      <c r="AQ166" s="60"/>
      <c r="AR166" s="60"/>
      <c r="AS166" s="60"/>
      <c r="AT166" s="60"/>
      <c r="AU166" s="60"/>
      <c r="AV166" s="60"/>
      <c r="AW166" s="60"/>
      <c r="AX166" s="60"/>
      <c r="AY166" s="60"/>
      <c r="AZ166" s="60"/>
      <c r="BA166" s="60"/>
      <c r="BB166" s="60"/>
      <c r="BC166" s="60"/>
      <c r="BD166" s="60"/>
    </row>
    <row r="167" spans="1:58" s="27" customFormat="1" ht="17.149999999999999" customHeight="1" x14ac:dyDescent="0.3">
      <c r="A167" s="1036" t="s">
        <v>361</v>
      </c>
      <c r="B167" s="1037">
        <f>B164</f>
        <v>31275</v>
      </c>
      <c r="C167" s="1037"/>
      <c r="D167" s="1037"/>
      <c r="E167" s="1037"/>
      <c r="F167" s="1037">
        <f>F164</f>
        <v>0</v>
      </c>
      <c r="G167" s="1037">
        <f>G164</f>
        <v>0</v>
      </c>
      <c r="H167" s="1037">
        <f>H164</f>
        <v>0</v>
      </c>
      <c r="I167" s="1037">
        <f>I164</f>
        <v>31275</v>
      </c>
      <c r="J167" s="1037"/>
      <c r="K167" s="1037"/>
      <c r="L167" s="1037"/>
      <c r="M167" s="1037"/>
      <c r="N167" s="1037">
        <f>N164</f>
        <v>31275</v>
      </c>
      <c r="O167" s="137"/>
      <c r="P167" s="1037">
        <f>P164</f>
        <v>0</v>
      </c>
      <c r="Q167" s="1037">
        <f>Q164</f>
        <v>31275</v>
      </c>
      <c r="R167" s="1037">
        <f>R164</f>
        <v>31275</v>
      </c>
      <c r="S167" s="1518">
        <f>B167-R167</f>
        <v>0</v>
      </c>
      <c r="T167" s="137"/>
      <c r="U167" s="1034">
        <f>U164</f>
        <v>55250</v>
      </c>
      <c r="V167" s="1034"/>
      <c r="W167" s="1034"/>
      <c r="X167" s="1034"/>
      <c r="Y167" s="1034">
        <f>Y164</f>
        <v>0</v>
      </c>
      <c r="Z167" s="1034">
        <f>Z164</f>
        <v>0</v>
      </c>
      <c r="AA167" s="1034">
        <f>AA164</f>
        <v>0</v>
      </c>
      <c r="AB167" s="1034">
        <f>AB164</f>
        <v>55250</v>
      </c>
      <c r="AC167" s="1034"/>
      <c r="AD167" s="1034"/>
      <c r="AE167" s="1034"/>
      <c r="AF167" s="1034"/>
      <c r="AG167" s="1034">
        <f>AG164</f>
        <v>55250</v>
      </c>
      <c r="AH167" s="12"/>
      <c r="AI167" s="1034">
        <f>AI164</f>
        <v>0</v>
      </c>
      <c r="AJ167" s="1034">
        <f>AJ164</f>
        <v>55250</v>
      </c>
      <c r="AK167" s="1034">
        <f>AK164</f>
        <v>55250</v>
      </c>
      <c r="AL167" s="1518">
        <f>U167-AK167</f>
        <v>0</v>
      </c>
      <c r="AM167" s="12"/>
      <c r="AN167" s="12"/>
      <c r="AO167" s="12"/>
      <c r="AP167" s="12"/>
      <c r="AQ167" s="12"/>
      <c r="AR167" s="12"/>
      <c r="AS167" s="12"/>
      <c r="AT167" s="12"/>
      <c r="AU167" s="12"/>
      <c r="AV167" s="12"/>
      <c r="AW167" s="12"/>
      <c r="AX167" s="12"/>
      <c r="AY167" s="12"/>
      <c r="AZ167" s="12"/>
      <c r="BA167" s="12"/>
      <c r="BB167" s="12"/>
      <c r="BC167" s="12"/>
      <c r="BD167" s="12"/>
    </row>
    <row r="168" spans="1:58" s="184" customFormat="1" ht="17.149999999999999" customHeight="1" x14ac:dyDescent="0.3">
      <c r="A168" s="122"/>
      <c r="B168" s="172">
        <f>IF(B167=0,0,B167/B167)</f>
        <v>1</v>
      </c>
      <c r="C168" s="370"/>
      <c r="D168" s="172"/>
      <c r="E168" s="172"/>
      <c r="F168" s="172">
        <f>IF(B167=0,0,F167/B167)</f>
        <v>0</v>
      </c>
      <c r="G168" s="172"/>
      <c r="H168" s="172"/>
      <c r="I168" s="172">
        <f>IF(B167=0,0,I167/B167)</f>
        <v>1</v>
      </c>
      <c r="J168" s="172"/>
      <c r="K168" s="172"/>
      <c r="L168" s="172"/>
      <c r="M168" s="143"/>
      <c r="N168" s="143"/>
      <c r="O168" s="3"/>
      <c r="P168" s="172">
        <f>IF(B167=0,0,P167/B167)</f>
        <v>0</v>
      </c>
      <c r="Q168" s="370">
        <f>IF(B167=0,0,Q167/B167)</f>
        <v>1</v>
      </c>
      <c r="R168" s="370">
        <f>IF(B167=0,0,R167/B167)</f>
        <v>1</v>
      </c>
      <c r="S168" s="391"/>
      <c r="T168" s="137"/>
      <c r="U168" s="172">
        <f>IF(U167=0,0,U167/U167)</f>
        <v>1</v>
      </c>
      <c r="V168" s="370"/>
      <c r="W168" s="172"/>
      <c r="X168" s="172"/>
      <c r="Y168" s="172">
        <f>IF(U167=0,0,Y167/U167)</f>
        <v>0</v>
      </c>
      <c r="Z168" s="172"/>
      <c r="AA168" s="172"/>
      <c r="AB168" s="172">
        <f>IF(U167=0,0,AB167/U167)</f>
        <v>1</v>
      </c>
      <c r="AC168" s="172"/>
      <c r="AD168" s="172"/>
      <c r="AE168" s="172"/>
      <c r="AF168" s="143"/>
      <c r="AG168" s="143"/>
      <c r="AH168" s="3"/>
      <c r="AI168" s="172">
        <f>IF(U167=0,0,AI167/U167)</f>
        <v>0</v>
      </c>
      <c r="AJ168" s="370">
        <f>IF(U167=0,0,AJ167/U167)</f>
        <v>1</v>
      </c>
      <c r="AK168" s="370">
        <f>IF(U167=0,0,AK167/U167)</f>
        <v>1</v>
      </c>
      <c r="AL168" s="391"/>
      <c r="AM168" s="3"/>
      <c r="AN168" s="3"/>
      <c r="AO168" s="3"/>
      <c r="AP168" s="3"/>
      <c r="AQ168" s="3"/>
      <c r="AR168" s="3"/>
      <c r="AS168" s="3"/>
      <c r="AT168" s="3"/>
      <c r="AU168" s="3"/>
      <c r="AV168" s="3"/>
      <c r="AW168" s="3"/>
      <c r="AX168" s="3"/>
      <c r="AY168" s="3"/>
      <c r="AZ168" s="3"/>
      <c r="BA168" s="3"/>
      <c r="BB168" s="3"/>
      <c r="BC168" s="3"/>
      <c r="BD168" s="3"/>
      <c r="BE168" s="3"/>
    </row>
    <row r="169" spans="1:58" s="184" customFormat="1" ht="17.149999999999999" customHeight="1" x14ac:dyDescent="0.3">
      <c r="A169" s="122"/>
      <c r="F169" s="454">
        <f>IF(F167=0,0,F167/F167)</f>
        <v>0</v>
      </c>
      <c r="G169" s="172">
        <f>IF(F167=0,0,G167/F167)</f>
        <v>0</v>
      </c>
      <c r="H169" s="172">
        <f>IF(F167=0,0,H167/F167)</f>
        <v>0</v>
      </c>
      <c r="I169" s="3"/>
      <c r="J169" s="3"/>
      <c r="K169" s="3"/>
      <c r="L169" s="3"/>
      <c r="M169" s="3"/>
      <c r="N169" s="3"/>
      <c r="O169" s="3"/>
      <c r="T169" s="137"/>
      <c r="Y169" s="454">
        <f>IF(Y167=0,0,Y167/Y167)</f>
        <v>0</v>
      </c>
      <c r="Z169" s="172">
        <f>IF(Y167=0,0,Z167/Y167)</f>
        <v>0</v>
      </c>
      <c r="AA169" s="454">
        <f>IF(Y167=0,0,AA167/Y167)</f>
        <v>0</v>
      </c>
      <c r="AB169" s="3"/>
      <c r="AC169" s="3"/>
      <c r="AD169" s="3"/>
      <c r="AE169" s="3"/>
      <c r="AF169" s="3"/>
      <c r="AG169" s="3"/>
      <c r="AH169" s="3"/>
      <c r="AL169" s="3"/>
      <c r="AM169" s="3"/>
      <c r="AN169" s="3"/>
      <c r="AO169" s="3"/>
      <c r="AP169" s="3"/>
      <c r="AQ169" s="3"/>
      <c r="AR169" s="3"/>
      <c r="AS169" s="3"/>
      <c r="AT169" s="3"/>
      <c r="AU169" s="3"/>
      <c r="AV169" s="3"/>
      <c r="AW169" s="3"/>
      <c r="AX169" s="3"/>
      <c r="AY169" s="3"/>
      <c r="AZ169" s="3"/>
      <c r="BA169" s="3"/>
      <c r="BB169" s="3"/>
    </row>
    <row r="170" spans="1:58" s="27" customFormat="1" ht="17.149999999999999" customHeight="1" x14ac:dyDescent="0.35">
      <c r="A170" s="120"/>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row>
    <row r="171" spans="1:58" s="27" customFormat="1" ht="17.149999999999999" customHeight="1" x14ac:dyDescent="0.35">
      <c r="A171" s="120"/>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row>
    <row r="172" spans="1:58" s="140" customFormat="1" ht="17.149999999999999" customHeight="1" x14ac:dyDescent="0.35">
      <c r="A172" s="949" t="s">
        <v>962</v>
      </c>
      <c r="B172" s="1776" t="s">
        <v>9</v>
      </c>
      <c r="C172" s="1776"/>
      <c r="D172" s="1776"/>
      <c r="E172" s="1776"/>
      <c r="F172" s="1776"/>
      <c r="G172" s="1776"/>
      <c r="H172" s="1776"/>
      <c r="I172" s="1776"/>
      <c r="J172" s="1776"/>
      <c r="K172" s="1776"/>
      <c r="L172" s="1776"/>
      <c r="M172" s="1776"/>
      <c r="N172" s="1776"/>
      <c r="O172" s="17"/>
      <c r="P172" s="1777" t="s">
        <v>9</v>
      </c>
      <c r="Q172" s="1777"/>
      <c r="R172" s="1777"/>
      <c r="S172" s="115"/>
      <c r="T172" s="115"/>
      <c r="U172" s="1778" t="s">
        <v>253</v>
      </c>
      <c r="V172" s="1778"/>
      <c r="W172" s="1778"/>
      <c r="X172" s="1778"/>
      <c r="Y172" s="1778"/>
      <c r="Z172" s="1778"/>
      <c r="AA172" s="1778"/>
      <c r="AB172" s="1778"/>
      <c r="AC172" s="1778"/>
      <c r="AD172" s="1778"/>
      <c r="AE172" s="1778"/>
      <c r="AF172" s="1778"/>
      <c r="AG172" s="1778"/>
      <c r="AH172" s="115"/>
      <c r="AI172" s="1779" t="s">
        <v>253</v>
      </c>
      <c r="AJ172" s="1779"/>
      <c r="AK172" s="1779"/>
      <c r="AL172" s="115"/>
      <c r="AM172" s="115"/>
      <c r="AN172" s="115"/>
      <c r="AO172" s="115"/>
      <c r="AP172" s="115"/>
      <c r="AQ172" s="115"/>
      <c r="AR172" s="115"/>
      <c r="AS172" s="115"/>
      <c r="AT172" s="115"/>
      <c r="AU172" s="115"/>
      <c r="AV172" s="115"/>
      <c r="AW172" s="115"/>
      <c r="AX172" s="115"/>
      <c r="AY172" s="115"/>
      <c r="AZ172" s="115"/>
      <c r="BA172" s="115"/>
      <c r="BB172" s="115"/>
    </row>
    <row r="173" spans="1:58" s="27" customFormat="1" ht="17.149999999999999" customHeight="1" x14ac:dyDescent="0.35">
      <c r="A173" s="371"/>
      <c r="F173" s="17"/>
      <c r="G173" s="17"/>
      <c r="H173" s="17"/>
      <c r="I173" s="17"/>
      <c r="J173" s="17"/>
      <c r="K173" s="17"/>
      <c r="L173" s="17"/>
      <c r="M173" s="17"/>
      <c r="N173" s="17"/>
      <c r="O173" s="17"/>
      <c r="P173" s="17"/>
      <c r="Q173" s="17"/>
      <c r="R173" s="115"/>
      <c r="S173" s="115"/>
      <c r="T173" s="17"/>
      <c r="W173" s="17"/>
      <c r="X173" s="17"/>
      <c r="Y173" s="95"/>
      <c r="Z173" s="10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row>
    <row r="174" spans="1:58" s="27" customFormat="1" ht="17.149999999999999" customHeight="1" x14ac:dyDescent="0.35">
      <c r="A174" s="191"/>
      <c r="B174" s="166"/>
      <c r="C174" s="1780" t="s">
        <v>908</v>
      </c>
      <c r="D174" s="1780"/>
      <c r="E174" s="1780"/>
      <c r="F174" s="1780"/>
      <c r="G174" s="1780"/>
      <c r="H174" s="1780"/>
      <c r="I174" s="1781" t="s">
        <v>909</v>
      </c>
      <c r="J174" s="1782"/>
      <c r="K174" s="1782"/>
      <c r="L174" s="1782"/>
      <c r="M174" s="1782"/>
      <c r="N174" s="1783"/>
      <c r="O174" s="17"/>
      <c r="P174" s="1784" t="s">
        <v>898</v>
      </c>
      <c r="Q174" s="1784"/>
      <c r="R174" s="1784"/>
      <c r="S174" s="309"/>
      <c r="T174" s="17"/>
      <c r="U174" s="1794" t="s">
        <v>908</v>
      </c>
      <c r="V174" s="1794"/>
      <c r="W174" s="1794"/>
      <c r="X174" s="1794"/>
      <c r="Y174" s="1794"/>
      <c r="Z174" s="1794"/>
      <c r="AA174" s="1794"/>
      <c r="AB174" s="1794" t="s">
        <v>910</v>
      </c>
      <c r="AC174" s="1794"/>
      <c r="AD174" s="1794"/>
      <c r="AE174" s="1794"/>
      <c r="AF174" s="1794"/>
      <c r="AG174" s="1794"/>
      <c r="AH174" s="17"/>
      <c r="AI174" s="1789" t="s">
        <v>898</v>
      </c>
      <c r="AJ174" s="1789"/>
      <c r="AK174" s="1789"/>
      <c r="AL174" s="300"/>
      <c r="AM174" s="17"/>
      <c r="AN174" s="17"/>
      <c r="AO174" s="17"/>
      <c r="AP174" s="17"/>
      <c r="AQ174" s="17"/>
      <c r="AR174" s="17"/>
      <c r="AS174" s="17"/>
      <c r="AT174" s="17"/>
      <c r="AU174" s="17"/>
      <c r="AV174" s="17"/>
      <c r="AW174" s="17"/>
      <c r="AX174" s="17"/>
      <c r="AY174" s="17"/>
      <c r="AZ174" s="17"/>
      <c r="BA174" s="17"/>
      <c r="BB174" s="17"/>
    </row>
    <row r="175" spans="1:58" s="27" customFormat="1" ht="58" x14ac:dyDescent="0.3">
      <c r="A175" s="355"/>
      <c r="B175" s="1511" t="s">
        <v>899</v>
      </c>
      <c r="C175" s="1513" t="s">
        <v>911</v>
      </c>
      <c r="D175" s="1511" t="s">
        <v>912</v>
      </c>
      <c r="E175" s="1511" t="s">
        <v>905</v>
      </c>
      <c r="F175" s="1511" t="s">
        <v>913</v>
      </c>
      <c r="G175" s="1511" t="s">
        <v>902</v>
      </c>
      <c r="H175" s="1511" t="s">
        <v>914</v>
      </c>
      <c r="I175" s="1511" t="s">
        <v>915</v>
      </c>
      <c r="J175" s="1511" t="s">
        <v>912</v>
      </c>
      <c r="K175" s="1511" t="s">
        <v>905</v>
      </c>
      <c r="L175" s="1511" t="s">
        <v>57</v>
      </c>
      <c r="M175" s="1511" t="s">
        <v>902</v>
      </c>
      <c r="N175" s="1511" t="s">
        <v>903</v>
      </c>
      <c r="O175" s="137"/>
      <c r="P175" s="1511" t="s">
        <v>905</v>
      </c>
      <c r="Q175" s="1511" t="s">
        <v>57</v>
      </c>
      <c r="R175" s="1506" t="s">
        <v>208</v>
      </c>
      <c r="S175" s="390" t="s">
        <v>277</v>
      </c>
      <c r="T175" s="137"/>
      <c r="U175" s="1033" t="s">
        <v>916</v>
      </c>
      <c r="V175" s="1033" t="s">
        <v>911</v>
      </c>
      <c r="W175" s="1033" t="s">
        <v>912</v>
      </c>
      <c r="X175" s="1033" t="s">
        <v>905</v>
      </c>
      <c r="Y175" s="1033" t="s">
        <v>57</v>
      </c>
      <c r="Z175" s="1033" t="s">
        <v>902</v>
      </c>
      <c r="AA175" s="1033" t="s">
        <v>917</v>
      </c>
      <c r="AB175" s="1033" t="s">
        <v>915</v>
      </c>
      <c r="AC175" s="1033" t="s">
        <v>912</v>
      </c>
      <c r="AD175" s="1033" t="s">
        <v>905</v>
      </c>
      <c r="AE175" s="1033" t="s">
        <v>57</v>
      </c>
      <c r="AF175" s="1033" t="s">
        <v>902</v>
      </c>
      <c r="AG175" s="1033" t="s">
        <v>903</v>
      </c>
      <c r="AH175" s="17"/>
      <c r="AI175" s="1033" t="s">
        <v>905</v>
      </c>
      <c r="AJ175" s="1033" t="s">
        <v>57</v>
      </c>
      <c r="AK175" s="1507" t="s">
        <v>208</v>
      </c>
      <c r="AL175" s="390" t="s">
        <v>277</v>
      </c>
      <c r="AM175" s="17"/>
      <c r="AN175" s="17"/>
      <c r="AO175" s="17"/>
      <c r="AP175" s="17"/>
      <c r="AQ175" s="17"/>
      <c r="AR175" s="17"/>
      <c r="AS175" s="17"/>
      <c r="AT175" s="17"/>
      <c r="AU175" s="17"/>
      <c r="AV175" s="17"/>
      <c r="AW175" s="17"/>
      <c r="AX175" s="17"/>
      <c r="AY175" s="17"/>
      <c r="AZ175" s="17"/>
      <c r="BA175" s="17"/>
      <c r="BB175" s="17"/>
      <c r="BC175" s="17"/>
      <c r="BD175" s="17"/>
      <c r="BE175" s="17"/>
      <c r="BF175" s="17"/>
    </row>
    <row r="176" spans="1:58" s="184" customFormat="1" ht="13" x14ac:dyDescent="0.3">
      <c r="A176" s="356"/>
      <c r="B176" s="356"/>
      <c r="C176" s="1514"/>
      <c r="D176" s="356"/>
      <c r="E176" s="224"/>
      <c r="F176" s="356"/>
      <c r="G176" s="321"/>
      <c r="H176" s="383"/>
      <c r="I176" s="143"/>
      <c r="J176" s="143"/>
      <c r="K176" s="224"/>
      <c r="L176" s="356"/>
      <c r="M176" s="225"/>
      <c r="N176" s="225"/>
      <c r="O176" s="137"/>
      <c r="P176" s="224"/>
      <c r="Q176" s="225"/>
      <c r="R176" s="143"/>
      <c r="S176" s="155"/>
      <c r="T176" s="137"/>
      <c r="U176" s="356"/>
      <c r="V176" s="1514"/>
      <c r="W176" s="356"/>
      <c r="X176" s="224"/>
      <c r="Y176" s="356"/>
      <c r="Z176" s="321"/>
      <c r="AA176" s="383"/>
      <c r="AB176" s="143"/>
      <c r="AC176" s="143"/>
      <c r="AD176" s="224"/>
      <c r="AE176" s="356"/>
      <c r="AF176" s="225"/>
      <c r="AG176" s="225"/>
      <c r="AH176" s="3"/>
      <c r="AI176" s="224"/>
      <c r="AJ176" s="225"/>
      <c r="AK176" s="143"/>
      <c r="AL176" s="155"/>
      <c r="AM176" s="3"/>
      <c r="AN176" s="3"/>
      <c r="AO176" s="3"/>
      <c r="AP176" s="3"/>
      <c r="AQ176" s="3"/>
      <c r="AR176" s="3"/>
      <c r="AS176" s="3"/>
      <c r="AT176" s="3"/>
      <c r="AU176" s="3"/>
      <c r="AV176" s="3"/>
      <c r="AW176" s="3"/>
      <c r="AX176" s="3"/>
      <c r="AY176" s="3"/>
      <c r="AZ176" s="3"/>
      <c r="BA176" s="3"/>
      <c r="BB176" s="3"/>
      <c r="BC176" s="3"/>
      <c r="BD176" s="3"/>
      <c r="BE176" s="3"/>
      <c r="BF176" s="3"/>
    </row>
    <row r="177" spans="1:57" s="184" customFormat="1" ht="17.149999999999999" customHeight="1" x14ac:dyDescent="0.3">
      <c r="A177" s="1038" t="s">
        <v>434</v>
      </c>
      <c r="B177" s="1039">
        <f>SUM(B178:B179)</f>
        <v>0</v>
      </c>
      <c r="C177" s="1040">
        <f>SUM(C178:C179)</f>
        <v>0</v>
      </c>
      <c r="D177" s="1039"/>
      <c r="E177" s="1039">
        <f>SUM(E178:E179)</f>
        <v>0</v>
      </c>
      <c r="F177" s="1039">
        <f t="shared" ref="F177:N177" si="21">SUM(F178:F179)</f>
        <v>0</v>
      </c>
      <c r="G177" s="1039">
        <f t="shared" si="21"/>
        <v>0</v>
      </c>
      <c r="H177" s="1039">
        <f t="shared" si="21"/>
        <v>0</v>
      </c>
      <c r="I177" s="1039">
        <f t="shared" si="21"/>
        <v>0</v>
      </c>
      <c r="J177" s="1039">
        <f t="shared" si="21"/>
        <v>0</v>
      </c>
      <c r="K177" s="1039">
        <f t="shared" si="21"/>
        <v>0</v>
      </c>
      <c r="L177" s="1039">
        <f t="shared" si="21"/>
        <v>0</v>
      </c>
      <c r="M177" s="1039">
        <f t="shared" si="21"/>
        <v>0</v>
      </c>
      <c r="N177" s="1039">
        <f t="shared" si="21"/>
        <v>0</v>
      </c>
      <c r="O177" s="137"/>
      <c r="P177" s="1039">
        <f>SUM(P178:P179)</f>
        <v>0</v>
      </c>
      <c r="Q177" s="1039">
        <f>SUM(Q178:Q179)</f>
        <v>0</v>
      </c>
      <c r="R177" s="1039">
        <f>SUM(R178:R179)</f>
        <v>0</v>
      </c>
      <c r="S177" s="1518">
        <f>SUM(S178:S179)</f>
        <v>0</v>
      </c>
      <c r="T177" s="137"/>
      <c r="U177" s="1041">
        <f>SUM(U178:U179)</f>
        <v>0</v>
      </c>
      <c r="V177" s="1041">
        <f>SUM(V178:V179)</f>
        <v>0</v>
      </c>
      <c r="W177" s="1041"/>
      <c r="X177" s="1041">
        <f>SUM(X178:X179)</f>
        <v>0</v>
      </c>
      <c r="Y177" s="1041">
        <f>SUM(Y178:Y179)</f>
        <v>0</v>
      </c>
      <c r="Z177" s="1041">
        <f>SUM(Z178:Z179)</f>
        <v>0</v>
      </c>
      <c r="AA177" s="1041">
        <f>SUM(AA178:AA179)</f>
        <v>0</v>
      </c>
      <c r="AB177" s="1042">
        <f>SUM(AB178:AB179)</f>
        <v>0</v>
      </c>
      <c r="AC177" s="1042"/>
      <c r="AD177" s="1042">
        <f>SUM(AD178:AD179)</f>
        <v>0</v>
      </c>
      <c r="AE177" s="1042">
        <f>SUM(AE178:AE179)</f>
        <v>0</v>
      </c>
      <c r="AF177" s="1042">
        <f>SUM(AF178:AF179)</f>
        <v>0</v>
      </c>
      <c r="AG177" s="1042">
        <f>SUM(AG178:AG179)</f>
        <v>0</v>
      </c>
      <c r="AH177" s="3"/>
      <c r="AI177" s="1041">
        <f>SUM(AI178:AI179)</f>
        <v>0</v>
      </c>
      <c r="AJ177" s="1041">
        <f>SUM(AJ178:AJ179)</f>
        <v>0</v>
      </c>
      <c r="AK177" s="1041">
        <f>SUM(AK178:AK179)</f>
        <v>0</v>
      </c>
      <c r="AL177" s="1518">
        <f>SUM(AL178:AL179)</f>
        <v>0</v>
      </c>
      <c r="AM177" s="3"/>
      <c r="AN177" s="3"/>
      <c r="AO177" s="3"/>
      <c r="AP177" s="3"/>
      <c r="AQ177" s="3"/>
      <c r="AR177" s="3"/>
      <c r="AS177" s="3"/>
      <c r="AT177" s="3"/>
      <c r="AU177" s="3"/>
      <c r="AV177" s="3"/>
      <c r="AW177" s="3"/>
      <c r="AX177" s="3"/>
      <c r="AY177" s="3"/>
      <c r="AZ177" s="3"/>
      <c r="BA177" s="3"/>
      <c r="BB177" s="3"/>
      <c r="BC177" s="3"/>
      <c r="BD177" s="3"/>
    </row>
    <row r="178" spans="1:57" s="1045" customFormat="1" ht="17.149999999999999" customHeight="1" x14ac:dyDescent="0.3">
      <c r="A178" s="155" t="s">
        <v>817</v>
      </c>
      <c r="B178" s="1522">
        <f>'FS_Capture volumes'!E223</f>
        <v>0</v>
      </c>
      <c r="C178" s="1020">
        <v>0</v>
      </c>
      <c r="D178" s="956">
        <f>'User interface_Non-RES'!L51</f>
        <v>0</v>
      </c>
      <c r="E178" s="1522">
        <f>ROUND((C178*D178)/25,0)*25</f>
        <v>0</v>
      </c>
      <c r="F178" s="1522">
        <f>C178-E178</f>
        <v>0</v>
      </c>
      <c r="G178" s="1522">
        <f>ROUND((F178*'User interface_Non-RES'!O73)/25,0)*25</f>
        <v>0</v>
      </c>
      <c r="H178" s="1522">
        <f>F178-G178</f>
        <v>0</v>
      </c>
      <c r="I178" s="1522">
        <f>B178-C178</f>
        <v>0</v>
      </c>
      <c r="J178" s="999">
        <f>D178</f>
        <v>0</v>
      </c>
      <c r="K178" s="1522">
        <f>ROUND((I178*J178)/25,0)*25</f>
        <v>0</v>
      </c>
      <c r="L178" s="1522">
        <f>I178-K178</f>
        <v>0</v>
      </c>
      <c r="M178" s="1522">
        <f>ROUND((L178*'User interface_Non-RES'!O73)/25,0)*25</f>
        <v>0</v>
      </c>
      <c r="N178" s="1522">
        <f>L178-M178</f>
        <v>0</v>
      </c>
      <c r="O178" s="954"/>
      <c r="P178" s="1020">
        <f>E178+H178+K178</f>
        <v>0</v>
      </c>
      <c r="Q178" s="1020">
        <f>G178+L178</f>
        <v>0</v>
      </c>
      <c r="R178" s="368">
        <f>SUM(P178:Q178)</f>
        <v>0</v>
      </c>
      <c r="S178" s="1518">
        <f>B178-R178</f>
        <v>0</v>
      </c>
      <c r="T178" s="954"/>
      <c r="U178" s="1522">
        <f>'FS_Capture volumes'!F223</f>
        <v>0</v>
      </c>
      <c r="V178" s="1522">
        <v>0</v>
      </c>
      <c r="W178" s="999">
        <f>'User interface_Non-RES'!$L$51</f>
        <v>0</v>
      </c>
      <c r="X178" s="1522">
        <f>ROUND((V178*W178)/25,0)*25</f>
        <v>0</v>
      </c>
      <c r="Y178" s="1522">
        <f>ROUND((V178-X178)/25,0)*25</f>
        <v>0</v>
      </c>
      <c r="Z178" s="1522">
        <f>ROUND((Y178*'User interface_Non-RES'!O73)/25,0)*25</f>
        <v>0</v>
      </c>
      <c r="AA178" s="1522">
        <f>Y178-Z178</f>
        <v>0</v>
      </c>
      <c r="AB178" s="1020">
        <f>U178-V178</f>
        <v>0</v>
      </c>
      <c r="AC178" s="964">
        <f>W178</f>
        <v>0</v>
      </c>
      <c r="AD178" s="1020">
        <f>ROUND((AB178*AC178)/25,0)*25</f>
        <v>0</v>
      </c>
      <c r="AE178" s="1020">
        <f>ROUND((AB178-AD178)/25,0)*25</f>
        <v>0</v>
      </c>
      <c r="AF178" s="1020">
        <f>ROUND((AE178*'User interface_Non-RES'!O73)/25,0)*25</f>
        <v>0</v>
      </c>
      <c r="AG178" s="1020">
        <f>AE178-AF178</f>
        <v>0</v>
      </c>
      <c r="AH178" s="60"/>
      <c r="AI178" s="1020">
        <f>X178+AA178+AD178</f>
        <v>0</v>
      </c>
      <c r="AJ178" s="1020">
        <f>Z178+AE178</f>
        <v>0</v>
      </c>
      <c r="AK178" s="1518">
        <f>SUM(AI178:AJ178)</f>
        <v>0</v>
      </c>
      <c r="AL178" s="1518">
        <f>U178-AK178</f>
        <v>0</v>
      </c>
      <c r="AM178" s="60"/>
      <c r="AN178" s="60"/>
      <c r="AO178" s="60"/>
      <c r="AP178" s="60"/>
      <c r="AQ178" s="60"/>
      <c r="AR178" s="60"/>
      <c r="AS178" s="60"/>
      <c r="AT178" s="60"/>
      <c r="AU178" s="60"/>
      <c r="AV178" s="60"/>
      <c r="AW178" s="60"/>
      <c r="AX178" s="60"/>
      <c r="AY178" s="60"/>
      <c r="AZ178" s="60"/>
      <c r="BA178" s="60"/>
      <c r="BB178" s="60"/>
      <c r="BC178" s="60"/>
      <c r="BD178" s="60"/>
    </row>
    <row r="179" spans="1:57" s="1045" customFormat="1" ht="17.149999999999999" customHeight="1" x14ac:dyDescent="0.3">
      <c r="A179" s="155" t="s">
        <v>820</v>
      </c>
      <c r="B179" s="1522">
        <f>'FS_Capture volumes'!E224</f>
        <v>0</v>
      </c>
      <c r="C179" s="1020">
        <v>0</v>
      </c>
      <c r="D179" s="956">
        <f>'User interface_Non-RES'!L51</f>
        <v>0</v>
      </c>
      <c r="E179" s="1522">
        <f>ROUND((C179*D179)/25,0)*25</f>
        <v>0</v>
      </c>
      <c r="F179" s="1522">
        <f>C179-E179</f>
        <v>0</v>
      </c>
      <c r="G179" s="1522">
        <f>ROUND((F179*'User interface_Non-RES'!O74)/25,0)*25</f>
        <v>0</v>
      </c>
      <c r="H179" s="1522">
        <f>F179-G179</f>
        <v>0</v>
      </c>
      <c r="I179" s="1522">
        <f>B179-C179</f>
        <v>0</v>
      </c>
      <c r="J179" s="999">
        <f>D179</f>
        <v>0</v>
      </c>
      <c r="K179" s="1522">
        <f>ROUND((I179*J179)/25,0)*25</f>
        <v>0</v>
      </c>
      <c r="L179" s="1522">
        <f>I179-K179</f>
        <v>0</v>
      </c>
      <c r="M179" s="1522">
        <f>ROUND((L179*'User interface_Non-RES'!O74)/25,0)*25</f>
        <v>0</v>
      </c>
      <c r="N179" s="1522">
        <f>L179-M179</f>
        <v>0</v>
      </c>
      <c r="O179" s="954"/>
      <c r="P179" s="1020">
        <f>E179+H179+K179</f>
        <v>0</v>
      </c>
      <c r="Q179" s="1020">
        <f>G179+L179</f>
        <v>0</v>
      </c>
      <c r="R179" s="368">
        <f>SUM(P179:Q179)</f>
        <v>0</v>
      </c>
      <c r="S179" s="1518">
        <f>B179-R179</f>
        <v>0</v>
      </c>
      <c r="T179" s="954"/>
      <c r="U179" s="1522">
        <f>'FS_Capture volumes'!F224</f>
        <v>0</v>
      </c>
      <c r="V179" s="1522">
        <v>0</v>
      </c>
      <c r="W179" s="999">
        <f>'User interface_Non-RES'!$L$51</f>
        <v>0</v>
      </c>
      <c r="X179" s="1522">
        <f>ROUND((V179*W179)/25,0)*25</f>
        <v>0</v>
      </c>
      <c r="Y179" s="1522">
        <f>ROUND((V179-X179)/25,0)*25</f>
        <v>0</v>
      </c>
      <c r="Z179" s="1522">
        <f>ROUND((Y179*'User interface_Non-RES'!O74)/25,0)*25</f>
        <v>0</v>
      </c>
      <c r="AA179" s="1522">
        <f>Y179-Z179</f>
        <v>0</v>
      </c>
      <c r="AB179" s="1020">
        <f>U179-V179</f>
        <v>0</v>
      </c>
      <c r="AC179" s="964">
        <f>W179</f>
        <v>0</v>
      </c>
      <c r="AD179" s="1020">
        <f>ROUND((AB179*AC179)/25,0)*25</f>
        <v>0</v>
      </c>
      <c r="AE179" s="1020">
        <f>ROUND((AB179-AD179)/25,0)*25</f>
        <v>0</v>
      </c>
      <c r="AF179" s="1020">
        <f>ROUND((AE179*'User interface_Non-RES'!O74)/25,0)*25</f>
        <v>0</v>
      </c>
      <c r="AG179" s="1020">
        <f>AE179-AF179</f>
        <v>0</v>
      </c>
      <c r="AH179" s="60"/>
      <c r="AI179" s="1020">
        <f>X179+AA179+AD179</f>
        <v>0</v>
      </c>
      <c r="AJ179" s="1020">
        <f>Z179+AE179</f>
        <v>0</v>
      </c>
      <c r="AK179" s="1518">
        <f>SUM(AI179:AJ179)</f>
        <v>0</v>
      </c>
      <c r="AL179" s="1518">
        <f>U179-AK179</f>
        <v>0</v>
      </c>
      <c r="AM179" s="60"/>
      <c r="AN179" s="60"/>
      <c r="AO179" s="60"/>
      <c r="AP179" s="60"/>
      <c r="AQ179" s="60"/>
      <c r="AR179" s="60"/>
      <c r="AS179" s="60"/>
      <c r="AT179" s="60"/>
      <c r="AU179" s="60"/>
      <c r="AV179" s="60"/>
      <c r="AW179" s="60"/>
      <c r="AX179" s="60"/>
      <c r="AY179" s="60"/>
      <c r="AZ179" s="60"/>
      <c r="BA179" s="60"/>
      <c r="BB179" s="60"/>
      <c r="BC179" s="60"/>
      <c r="BD179" s="60"/>
    </row>
    <row r="180" spans="1:57" s="184" customFormat="1" ht="17.149999999999999" customHeight="1" x14ac:dyDescent="0.3">
      <c r="A180" s="1038" t="s">
        <v>821</v>
      </c>
      <c r="B180" s="1039">
        <f>SUM(B181:B182)</f>
        <v>0</v>
      </c>
      <c r="C180" s="1040">
        <f>SUM(C181:C182)</f>
        <v>0</v>
      </c>
      <c r="D180" s="1039"/>
      <c r="E180" s="1039">
        <f>SUM(E181:E182)</f>
        <v>0</v>
      </c>
      <c r="F180" s="1039">
        <f t="shared" ref="F180:N180" si="22">SUM(F181:F182)</f>
        <v>0</v>
      </c>
      <c r="G180" s="1039">
        <f t="shared" si="22"/>
        <v>0</v>
      </c>
      <c r="H180" s="1039">
        <f t="shared" si="22"/>
        <v>0</v>
      </c>
      <c r="I180" s="1039">
        <f t="shared" si="22"/>
        <v>0</v>
      </c>
      <c r="J180" s="1039">
        <f t="shared" si="22"/>
        <v>0</v>
      </c>
      <c r="K180" s="1039">
        <f t="shared" si="22"/>
        <v>0</v>
      </c>
      <c r="L180" s="1039">
        <f t="shared" si="22"/>
        <v>0</v>
      </c>
      <c r="M180" s="1039">
        <f t="shared" si="22"/>
        <v>0</v>
      </c>
      <c r="N180" s="1039">
        <f t="shared" si="22"/>
        <v>0</v>
      </c>
      <c r="O180" s="137"/>
      <c r="P180" s="1039">
        <f>SUM(P181:P182)</f>
        <v>0</v>
      </c>
      <c r="Q180" s="1039">
        <f>SUM(Q181:Q182)</f>
        <v>0</v>
      </c>
      <c r="R180" s="1039">
        <f>SUM(R181:R182)</f>
        <v>0</v>
      </c>
      <c r="S180" s="1518">
        <f>SUM(S181:S182)</f>
        <v>0</v>
      </c>
      <c r="T180" s="137"/>
      <c r="U180" s="1041">
        <f>SUM(U181:U182)</f>
        <v>2075</v>
      </c>
      <c r="V180" s="1041">
        <f>SUM(V181:V182)</f>
        <v>0</v>
      </c>
      <c r="W180" s="1041"/>
      <c r="X180" s="1041">
        <f>SUM(X181:X182)</f>
        <v>0</v>
      </c>
      <c r="Y180" s="1041">
        <f>SUM(Y181:Y182)</f>
        <v>0</v>
      </c>
      <c r="Z180" s="1041">
        <f>SUM(Z181:Z182)</f>
        <v>0</v>
      </c>
      <c r="AA180" s="1041">
        <f>SUM(AA181:AA182)</f>
        <v>0</v>
      </c>
      <c r="AB180" s="1042">
        <f>SUM(AB181:AB182)</f>
        <v>2075</v>
      </c>
      <c r="AC180" s="1042"/>
      <c r="AD180" s="1042">
        <f>SUM(AD181:AD182)</f>
        <v>0</v>
      </c>
      <c r="AE180" s="1042">
        <f>SUM(AE181:AE182)</f>
        <v>2075</v>
      </c>
      <c r="AF180" s="1042">
        <f>SUM(AF181:AF182)</f>
        <v>2075</v>
      </c>
      <c r="AG180" s="1042">
        <f>SUM(AG181:AG182)</f>
        <v>0</v>
      </c>
      <c r="AH180" s="3"/>
      <c r="AI180" s="1041">
        <f>SUM(AI181:AI182)</f>
        <v>0</v>
      </c>
      <c r="AJ180" s="1041">
        <f>SUM(AJ181:AJ182)</f>
        <v>2075</v>
      </c>
      <c r="AK180" s="1041">
        <f>SUM(AK181:AK182)</f>
        <v>2075</v>
      </c>
      <c r="AL180" s="1518">
        <f>SUM(AL181:AL182)</f>
        <v>0</v>
      </c>
      <c r="AM180" s="3"/>
      <c r="AN180" s="3"/>
      <c r="AO180" s="3"/>
      <c r="AP180" s="3"/>
      <c r="AQ180" s="3"/>
      <c r="AR180" s="3"/>
      <c r="AS180" s="3"/>
      <c r="AT180" s="3"/>
      <c r="AU180" s="3"/>
      <c r="AV180" s="3"/>
      <c r="AW180" s="3"/>
      <c r="AX180" s="3"/>
      <c r="AY180" s="3"/>
      <c r="AZ180" s="3"/>
      <c r="BA180" s="3"/>
      <c r="BB180" s="3"/>
      <c r="BC180" s="3"/>
      <c r="BD180" s="3"/>
    </row>
    <row r="181" spans="1:57" s="1045" customFormat="1" ht="17.149999999999999" customHeight="1" x14ac:dyDescent="0.3">
      <c r="A181" s="155" t="s">
        <v>822</v>
      </c>
      <c r="B181" s="1522">
        <f>'FS_Capture volumes'!E226</f>
        <v>0</v>
      </c>
      <c r="C181" s="1020">
        <f>ROUND((B181*'User interface_Non-RES'!$M$36)/25,0)*25</f>
        <v>0</v>
      </c>
      <c r="D181" s="956">
        <f>'User interface_Non-RES'!L53</f>
        <v>0</v>
      </c>
      <c r="E181" s="1522">
        <f>ROUND((C181*D181)/25,0)*25</f>
        <v>0</v>
      </c>
      <c r="F181" s="1522">
        <f>C181-E181</f>
        <v>0</v>
      </c>
      <c r="G181" s="1522">
        <f>ROUND((F181*'User interface_Non-RES'!O76)/25,0)*25</f>
        <v>0</v>
      </c>
      <c r="H181" s="1522">
        <f>F181-G181</f>
        <v>0</v>
      </c>
      <c r="I181" s="1522">
        <f>B181-C181</f>
        <v>0</v>
      </c>
      <c r="J181" s="999">
        <f>D181</f>
        <v>0</v>
      </c>
      <c r="K181" s="1522">
        <f>ROUND((I181*J181)/25,0)*25</f>
        <v>0</v>
      </c>
      <c r="L181" s="1522">
        <f>I181-K181</f>
        <v>0</v>
      </c>
      <c r="M181" s="1522">
        <f>ROUND((L181*'User interface_Non-RES'!O76)/25,0)*25</f>
        <v>0</v>
      </c>
      <c r="N181" s="1522">
        <f>L181-M181</f>
        <v>0</v>
      </c>
      <c r="O181" s="954"/>
      <c r="P181" s="1020">
        <f>E181+H181+K181</f>
        <v>0</v>
      </c>
      <c r="Q181" s="1020">
        <f>G181+L181</f>
        <v>0</v>
      </c>
      <c r="R181" s="368">
        <f>SUM(P181:Q181)</f>
        <v>0</v>
      </c>
      <c r="S181" s="1518">
        <f>B181-R181</f>
        <v>0</v>
      </c>
      <c r="T181" s="954"/>
      <c r="U181" s="1522">
        <f>'FS_Capture volumes'!F226</f>
        <v>0</v>
      </c>
      <c r="V181" s="1522">
        <f>ROUND((U181*'User interface_Non-RES'!$M$53)/25,0)*25</f>
        <v>0</v>
      </c>
      <c r="W181" s="999">
        <f>'User interface_Non-RES'!$L$53</f>
        <v>0</v>
      </c>
      <c r="X181" s="1522">
        <f>ROUND((V181*W181)/25,0)*25</f>
        <v>0</v>
      </c>
      <c r="Y181" s="1522">
        <f>ROUND((V181-X181)/25,0)*25</f>
        <v>0</v>
      </c>
      <c r="Z181" s="1522">
        <f>ROUND((Y181*'User interface_Non-RES'!O76)/25,0)*25</f>
        <v>0</v>
      </c>
      <c r="AA181" s="1522">
        <f>Y181-Z181</f>
        <v>0</v>
      </c>
      <c r="AB181" s="1020">
        <f>U181-V181</f>
        <v>0</v>
      </c>
      <c r="AC181" s="964">
        <f>W181</f>
        <v>0</v>
      </c>
      <c r="AD181" s="1020">
        <f>ROUND((AB181*AC181)/25,0)*25</f>
        <v>0</v>
      </c>
      <c r="AE181" s="1020">
        <f>ROUND((AB181-AD181)/25,0)*25</f>
        <v>0</v>
      </c>
      <c r="AF181" s="1020">
        <f>ROUND((AE181*'User interface_Non-RES'!O76)/25,0)*25</f>
        <v>0</v>
      </c>
      <c r="AG181" s="1020">
        <f>AE181-AF181</f>
        <v>0</v>
      </c>
      <c r="AH181" s="60"/>
      <c r="AI181" s="1020">
        <f>X181+AA181+AD181</f>
        <v>0</v>
      </c>
      <c r="AJ181" s="1020">
        <f>Z181+AE181</f>
        <v>0</v>
      </c>
      <c r="AK181" s="1518">
        <f>SUM(AI181:AJ181)</f>
        <v>0</v>
      </c>
      <c r="AL181" s="1518">
        <f>U181-AK181</f>
        <v>0</v>
      </c>
      <c r="AM181" s="60"/>
      <c r="AN181" s="60"/>
      <c r="AO181" s="60"/>
      <c r="AP181" s="60"/>
      <c r="AQ181" s="60"/>
      <c r="AR181" s="60"/>
      <c r="AS181" s="60"/>
      <c r="AT181" s="60"/>
      <c r="AU181" s="60"/>
      <c r="AV181" s="60"/>
      <c r="AW181" s="60"/>
      <c r="AX181" s="60"/>
      <c r="AY181" s="60"/>
      <c r="AZ181" s="60"/>
      <c r="BA181" s="60"/>
      <c r="BB181" s="60"/>
      <c r="BC181" s="60"/>
      <c r="BD181" s="60"/>
    </row>
    <row r="182" spans="1:57" s="1045" customFormat="1" ht="17.149999999999999" customHeight="1" x14ac:dyDescent="0.3">
      <c r="A182" s="155" t="s">
        <v>823</v>
      </c>
      <c r="B182" s="1522">
        <f>'FS_Capture volumes'!E227</f>
        <v>0</v>
      </c>
      <c r="C182" s="1020">
        <f>ROUND((B182*'User interface_Non-RES'!$M$36)/25,0)*25</f>
        <v>0</v>
      </c>
      <c r="D182" s="956">
        <f>'User interface_Non-RES'!L53</f>
        <v>0</v>
      </c>
      <c r="E182" s="1522">
        <f>ROUND((C182*D182)/25,0)*25</f>
        <v>0</v>
      </c>
      <c r="F182" s="1522">
        <f>C182-E182</f>
        <v>0</v>
      </c>
      <c r="G182" s="1522">
        <f>ROUND((F182*'User interface_Non-RES'!O77)/25,0)*25</f>
        <v>0</v>
      </c>
      <c r="H182" s="1522">
        <f>F182-G182</f>
        <v>0</v>
      </c>
      <c r="I182" s="1522">
        <f>B182-C182</f>
        <v>0</v>
      </c>
      <c r="J182" s="999">
        <f>D182</f>
        <v>0</v>
      </c>
      <c r="K182" s="1522">
        <f>ROUND((I182*J182)/25,0)*25</f>
        <v>0</v>
      </c>
      <c r="L182" s="1522">
        <f>I182-K182</f>
        <v>0</v>
      </c>
      <c r="M182" s="1522">
        <f>ROUND((L182*'User interface_Non-RES'!O77)/25,0)*25</f>
        <v>0</v>
      </c>
      <c r="N182" s="1522">
        <f>L182-M182</f>
        <v>0</v>
      </c>
      <c r="O182" s="954"/>
      <c r="P182" s="1020">
        <f>E182+H182+K182</f>
        <v>0</v>
      </c>
      <c r="Q182" s="1020">
        <f>G182+L182</f>
        <v>0</v>
      </c>
      <c r="R182" s="368">
        <f>SUM(P182:Q182)</f>
        <v>0</v>
      </c>
      <c r="S182" s="1518">
        <f>B182-R182</f>
        <v>0</v>
      </c>
      <c r="T182" s="954"/>
      <c r="U182" s="1522">
        <f>'FS_Capture volumes'!F227</f>
        <v>2075</v>
      </c>
      <c r="V182" s="1522">
        <f>ROUND((U182*'User interface_Non-RES'!$M$53)/25,0)*25</f>
        <v>0</v>
      </c>
      <c r="W182" s="999">
        <f>'User interface_Non-RES'!$L$53</f>
        <v>0</v>
      </c>
      <c r="X182" s="1522">
        <f>ROUND((V182*W182)/25,0)*25</f>
        <v>0</v>
      </c>
      <c r="Y182" s="1522">
        <f>ROUND((V182-X182)/25,0)*25</f>
        <v>0</v>
      </c>
      <c r="Z182" s="1522">
        <f>ROUND((Y182*'User interface_Non-RES'!O77)/25,0)*25</f>
        <v>0</v>
      </c>
      <c r="AA182" s="1522">
        <f>Y182-Z182</f>
        <v>0</v>
      </c>
      <c r="AB182" s="1020">
        <f>U182-V182</f>
        <v>2075</v>
      </c>
      <c r="AC182" s="964">
        <f>W182</f>
        <v>0</v>
      </c>
      <c r="AD182" s="1020">
        <f>ROUND((AB182*AC182)/25,0)*25</f>
        <v>0</v>
      </c>
      <c r="AE182" s="1020">
        <f>ROUND((AB182-AD182)/25,0)*25</f>
        <v>2075</v>
      </c>
      <c r="AF182" s="1020">
        <f>ROUND((AE182*'User interface_Non-RES'!O77)/25,0)*25</f>
        <v>2075</v>
      </c>
      <c r="AG182" s="1020">
        <f>AE182-AF182</f>
        <v>0</v>
      </c>
      <c r="AH182" s="60"/>
      <c r="AI182" s="1020">
        <f>X182+AA182+AD182</f>
        <v>0</v>
      </c>
      <c r="AJ182" s="1020">
        <f>Z182+AE182</f>
        <v>2075</v>
      </c>
      <c r="AK182" s="1518">
        <f>SUM(AI182:AJ182)</f>
        <v>2075</v>
      </c>
      <c r="AL182" s="1518">
        <f>U182-AK182</f>
        <v>0</v>
      </c>
      <c r="AM182" s="60"/>
      <c r="AN182" s="60"/>
      <c r="AO182" s="60"/>
      <c r="AP182" s="60"/>
      <c r="AQ182" s="60"/>
      <c r="AR182" s="60"/>
      <c r="AS182" s="60"/>
      <c r="AT182" s="60"/>
      <c r="AU182" s="60"/>
      <c r="AV182" s="60"/>
      <c r="AW182" s="60"/>
      <c r="AX182" s="60"/>
      <c r="AY182" s="60"/>
      <c r="AZ182" s="60"/>
      <c r="BA182" s="60"/>
      <c r="BB182" s="60"/>
      <c r="BC182" s="60"/>
      <c r="BD182" s="60"/>
    </row>
    <row r="183" spans="1:57" s="184" customFormat="1" ht="17.149999999999999" customHeight="1" x14ac:dyDescent="0.3">
      <c r="A183" s="1038" t="s">
        <v>861</v>
      </c>
      <c r="B183" s="1039">
        <f>SUM(B184:B185)</f>
        <v>31275</v>
      </c>
      <c r="C183" s="1040">
        <f>SUM(C184:C185)</f>
        <v>0</v>
      </c>
      <c r="D183" s="1039"/>
      <c r="E183" s="1039">
        <f>SUM(E184:E185)</f>
        <v>0</v>
      </c>
      <c r="F183" s="1039">
        <f t="shared" ref="F183:N183" si="23">SUM(F184:F185)</f>
        <v>0</v>
      </c>
      <c r="G183" s="1039">
        <f t="shared" si="23"/>
        <v>0</v>
      </c>
      <c r="H183" s="1039">
        <f t="shared" si="23"/>
        <v>0</v>
      </c>
      <c r="I183" s="1039">
        <f t="shared" si="23"/>
        <v>31275</v>
      </c>
      <c r="J183" s="1039">
        <f t="shared" si="23"/>
        <v>0</v>
      </c>
      <c r="K183" s="1039">
        <f t="shared" si="23"/>
        <v>0</v>
      </c>
      <c r="L183" s="1039">
        <f t="shared" si="23"/>
        <v>31275</v>
      </c>
      <c r="M183" s="1039">
        <f t="shared" si="23"/>
        <v>31275</v>
      </c>
      <c r="N183" s="1039">
        <f t="shared" si="23"/>
        <v>0</v>
      </c>
      <c r="O183" s="137"/>
      <c r="P183" s="1039">
        <f>SUM(P184:P185)</f>
        <v>0</v>
      </c>
      <c r="Q183" s="1039">
        <f>SUM(Q184:Q185)</f>
        <v>31275</v>
      </c>
      <c r="R183" s="1039">
        <f>SUM(R184:R185)</f>
        <v>31275</v>
      </c>
      <c r="S183" s="1518">
        <f>SUM(S184:S185)</f>
        <v>0</v>
      </c>
      <c r="T183" s="137"/>
      <c r="U183" s="1041">
        <f>SUM(U184:U185)</f>
        <v>55250</v>
      </c>
      <c r="V183" s="1041">
        <f>SUM(V184:V185)</f>
        <v>0</v>
      </c>
      <c r="W183" s="1041"/>
      <c r="X183" s="1041">
        <f>SUM(X184:X185)</f>
        <v>0</v>
      </c>
      <c r="Y183" s="1041">
        <f>SUM(Y184:Y185)</f>
        <v>0</v>
      </c>
      <c r="Z183" s="1041">
        <f>SUM(Z184:Z185)</f>
        <v>0</v>
      </c>
      <c r="AA183" s="1041">
        <f>SUM(AA184:AA185)</f>
        <v>0</v>
      </c>
      <c r="AB183" s="1042">
        <f>SUM(AB184:AB185)</f>
        <v>55250</v>
      </c>
      <c r="AC183" s="1042"/>
      <c r="AD183" s="1042">
        <f>SUM(AD184:AD185)</f>
        <v>0</v>
      </c>
      <c r="AE183" s="1042">
        <f>SUM(AE184:AE185)</f>
        <v>55250</v>
      </c>
      <c r="AF183" s="1042">
        <f>SUM(AF184:AF185)</f>
        <v>55250</v>
      </c>
      <c r="AG183" s="1042">
        <f>SUM(AG184:AG185)</f>
        <v>0</v>
      </c>
      <c r="AH183" s="3"/>
      <c r="AI183" s="1041">
        <f>SUM(AI184:AI185)</f>
        <v>0</v>
      </c>
      <c r="AJ183" s="1041">
        <f>SUM(AJ184:AJ185)</f>
        <v>55250</v>
      </c>
      <c r="AK183" s="1041">
        <f>SUM(AK184:AK185)</f>
        <v>55250</v>
      </c>
      <c r="AL183" s="1518">
        <f>SUM(AL184:AL185)</f>
        <v>0</v>
      </c>
      <c r="AM183" s="3"/>
      <c r="AN183" s="3"/>
      <c r="AO183" s="3"/>
      <c r="AP183" s="3"/>
      <c r="AQ183" s="3"/>
      <c r="AR183" s="3"/>
      <c r="AS183" s="3"/>
      <c r="AT183" s="3"/>
      <c r="AU183" s="3"/>
      <c r="AV183" s="3"/>
      <c r="AW183" s="3"/>
      <c r="AX183" s="3"/>
      <c r="AY183" s="3"/>
      <c r="AZ183" s="3"/>
      <c r="BA183" s="3"/>
      <c r="BB183" s="3"/>
      <c r="BC183" s="3"/>
      <c r="BD183" s="3"/>
    </row>
    <row r="184" spans="1:57" s="1045" customFormat="1" ht="17.149999999999999" customHeight="1" x14ac:dyDescent="0.3">
      <c r="A184" s="155" t="s">
        <v>827</v>
      </c>
      <c r="B184" s="1522">
        <f>'FS_Capture volumes'!E236</f>
        <v>0</v>
      </c>
      <c r="C184" s="1020">
        <v>0</v>
      </c>
      <c r="D184" s="956">
        <f>'User interface_Non-RES'!L57</f>
        <v>0</v>
      </c>
      <c r="E184" s="1522">
        <f>ROUND((C184*D184)/25,0)*25</f>
        <v>0</v>
      </c>
      <c r="F184" s="1522">
        <f>C184-E184</f>
        <v>0</v>
      </c>
      <c r="G184" s="1522">
        <f>ROUND((F184*'User interface_Non-RES'!O80)/25,0)*25</f>
        <v>0</v>
      </c>
      <c r="H184" s="1522">
        <f>F184-G184</f>
        <v>0</v>
      </c>
      <c r="I184" s="1522">
        <f>B184-C184</f>
        <v>0</v>
      </c>
      <c r="J184" s="999">
        <f>D184</f>
        <v>0</v>
      </c>
      <c r="K184" s="1522">
        <f>ROUND((I184*J184)/25,0)*25</f>
        <v>0</v>
      </c>
      <c r="L184" s="1522">
        <f>I184-K184</f>
        <v>0</v>
      </c>
      <c r="M184" s="1522">
        <f>ROUND((L184*'User interface_Non-RES'!O80)/25,0)*25</f>
        <v>0</v>
      </c>
      <c r="N184" s="1522">
        <f>L184-M184</f>
        <v>0</v>
      </c>
      <c r="O184" s="954"/>
      <c r="P184" s="1020">
        <f>E184+H184+K184</f>
        <v>0</v>
      </c>
      <c r="Q184" s="1020">
        <f>G184+L184</f>
        <v>0</v>
      </c>
      <c r="R184" s="368">
        <f>SUM(P184:Q184)</f>
        <v>0</v>
      </c>
      <c r="S184" s="1518">
        <f>B184-R184</f>
        <v>0</v>
      </c>
      <c r="T184" s="954"/>
      <c r="U184" s="1522">
        <f>'FS_Capture volumes'!F236</f>
        <v>0</v>
      </c>
      <c r="V184" s="1522">
        <v>0</v>
      </c>
      <c r="W184" s="999">
        <f>'User interface_Non-RES'!$L$57</f>
        <v>0</v>
      </c>
      <c r="X184" s="1522">
        <f>ROUND((V184*W184)/5,0)*5</f>
        <v>0</v>
      </c>
      <c r="Y184" s="1522">
        <f>ROUND((V184-X184)/25,0)*25</f>
        <v>0</v>
      </c>
      <c r="Z184" s="1522">
        <f>ROUND((Y184*'User interface_Non-RES'!O80)/25,0)*25</f>
        <v>0</v>
      </c>
      <c r="AA184" s="1522">
        <f>Y184-Z184</f>
        <v>0</v>
      </c>
      <c r="AB184" s="1020">
        <f>U184-V184</f>
        <v>0</v>
      </c>
      <c r="AC184" s="964">
        <f>W184</f>
        <v>0</v>
      </c>
      <c r="AD184" s="1020">
        <f>ROUND((AB184*AC184)/25,0)*25</f>
        <v>0</v>
      </c>
      <c r="AE184" s="1020">
        <f>ROUND((AB184-AD184)/25,0)*25</f>
        <v>0</v>
      </c>
      <c r="AF184" s="1020">
        <f>ROUND((AE184*'User interface_Non-RES'!O80)/25,0)*25</f>
        <v>0</v>
      </c>
      <c r="AG184" s="1020">
        <f>AE184-AF184</f>
        <v>0</v>
      </c>
      <c r="AH184" s="60"/>
      <c r="AI184" s="1020">
        <f>X184+AA184+AD184</f>
        <v>0</v>
      </c>
      <c r="AJ184" s="1020">
        <f>Z184+AE184</f>
        <v>0</v>
      </c>
      <c r="AK184" s="1518">
        <f>SUM(AI184:AJ184)</f>
        <v>0</v>
      </c>
      <c r="AL184" s="1518">
        <f>U184-AK184</f>
        <v>0</v>
      </c>
      <c r="AM184" s="60"/>
      <c r="AN184" s="60"/>
      <c r="AO184" s="60"/>
      <c r="AP184" s="60"/>
      <c r="AQ184" s="60"/>
      <c r="AR184" s="60"/>
      <c r="AS184" s="60"/>
      <c r="AT184" s="60"/>
      <c r="AU184" s="60"/>
      <c r="AV184" s="60"/>
      <c r="AW184" s="60"/>
      <c r="AX184" s="60"/>
      <c r="AY184" s="60"/>
      <c r="AZ184" s="60"/>
      <c r="BA184" s="60"/>
      <c r="BB184" s="60"/>
      <c r="BC184" s="60"/>
      <c r="BD184" s="60"/>
    </row>
    <row r="185" spans="1:57" s="1045" customFormat="1" ht="17.149999999999999" customHeight="1" x14ac:dyDescent="0.3">
      <c r="A185" s="155" t="s">
        <v>828</v>
      </c>
      <c r="B185" s="1522">
        <f>'FS_Capture volumes'!E237</f>
        <v>31275</v>
      </c>
      <c r="C185" s="1020">
        <v>0</v>
      </c>
      <c r="D185" s="956">
        <f>'User interface_Non-RES'!L57</f>
        <v>0</v>
      </c>
      <c r="E185" s="1522">
        <f>ROUND((C185*D185)/25,0)*25</f>
        <v>0</v>
      </c>
      <c r="F185" s="1522">
        <f>C185-E185</f>
        <v>0</v>
      </c>
      <c r="G185" s="1522">
        <f>ROUND((F185*'User interface_Non-RES'!O81)/25,0)*25</f>
        <v>0</v>
      </c>
      <c r="H185" s="1522">
        <f>F185-G185</f>
        <v>0</v>
      </c>
      <c r="I185" s="1522">
        <f>B185-C185</f>
        <v>31275</v>
      </c>
      <c r="J185" s="999">
        <f>D185</f>
        <v>0</v>
      </c>
      <c r="K185" s="1522">
        <f>ROUND((I185*J185)/25,0)*25</f>
        <v>0</v>
      </c>
      <c r="L185" s="1522">
        <f>I185-K185</f>
        <v>31275</v>
      </c>
      <c r="M185" s="1522">
        <f>ROUND((L185*'User interface_Non-RES'!O81)/25,0)*25</f>
        <v>31275</v>
      </c>
      <c r="N185" s="1522">
        <f>L185-M185</f>
        <v>0</v>
      </c>
      <c r="O185" s="954"/>
      <c r="P185" s="1020">
        <f>E185+H185+K185</f>
        <v>0</v>
      </c>
      <c r="Q185" s="1020">
        <f>G185+L185</f>
        <v>31275</v>
      </c>
      <c r="R185" s="368">
        <f>SUM(P185:Q185)</f>
        <v>31275</v>
      </c>
      <c r="S185" s="1518">
        <f>B185-R185</f>
        <v>0</v>
      </c>
      <c r="T185" s="954"/>
      <c r="U185" s="1522">
        <f>'FS_Capture volumes'!F237</f>
        <v>55250</v>
      </c>
      <c r="V185" s="1522">
        <v>0</v>
      </c>
      <c r="W185" s="999">
        <f>'User interface_Non-RES'!$L$57</f>
        <v>0</v>
      </c>
      <c r="X185" s="1522">
        <f>ROUND((V185*W185)/5,0)*5</f>
        <v>0</v>
      </c>
      <c r="Y185" s="1522">
        <f>ROUND((V185-X185)/25,0)*25</f>
        <v>0</v>
      </c>
      <c r="Z185" s="1522">
        <f>ROUND((Y185*'User interface_Non-RES'!O81)/25,0)*25</f>
        <v>0</v>
      </c>
      <c r="AA185" s="1522">
        <f>Y185-Z185</f>
        <v>0</v>
      </c>
      <c r="AB185" s="1020">
        <f>U185-V185</f>
        <v>55250</v>
      </c>
      <c r="AC185" s="964">
        <f>W185</f>
        <v>0</v>
      </c>
      <c r="AD185" s="1020">
        <f>ROUND((AB185*AC185)/25,0)*25</f>
        <v>0</v>
      </c>
      <c r="AE185" s="1020">
        <f>ROUND((AB185-AD185)/25,0)*25</f>
        <v>55250</v>
      </c>
      <c r="AF185" s="1020">
        <f>ROUND((AE185*'User interface_Non-RES'!O81)/25,0)*25</f>
        <v>55250</v>
      </c>
      <c r="AG185" s="1020">
        <f>AE185-AF185</f>
        <v>0</v>
      </c>
      <c r="AH185" s="60"/>
      <c r="AI185" s="1020">
        <f>X185+AA185+AD185</f>
        <v>0</v>
      </c>
      <c r="AJ185" s="1020">
        <f>Z185+AE185</f>
        <v>55250</v>
      </c>
      <c r="AK185" s="1518">
        <f>SUM(AI185:AJ185)</f>
        <v>55250</v>
      </c>
      <c r="AL185" s="1518">
        <f>U185-AK185</f>
        <v>0</v>
      </c>
      <c r="AM185" s="60"/>
      <c r="AN185" s="60"/>
      <c r="AO185" s="60"/>
      <c r="AP185" s="60"/>
      <c r="AQ185" s="60"/>
      <c r="AR185" s="60"/>
      <c r="AS185" s="60"/>
      <c r="AT185" s="60"/>
      <c r="AU185" s="60"/>
      <c r="AV185" s="60"/>
      <c r="AW185" s="60"/>
      <c r="AX185" s="60"/>
      <c r="AY185" s="60"/>
      <c r="AZ185" s="60"/>
      <c r="BA185" s="60"/>
      <c r="BB185" s="60"/>
      <c r="BC185" s="60"/>
      <c r="BD185" s="60"/>
    </row>
    <row r="186" spans="1:57" s="27" customFormat="1" ht="17.149999999999999" customHeight="1" x14ac:dyDescent="0.3">
      <c r="A186" s="1036" t="s">
        <v>361</v>
      </c>
      <c r="B186" s="1037">
        <f>SUM(B178:B179)+SUM(B181:B182)+SUM(B184:B185)</f>
        <v>31275</v>
      </c>
      <c r="C186" s="1037">
        <f>SUM(C178:C179)+SUM(C181:C182)+SUM(C184:C185)</f>
        <v>0</v>
      </c>
      <c r="D186" s="1037"/>
      <c r="E186" s="1037">
        <f>SUM(E178:E179)+SUM(E181:E182)+SUM(E184:E185)</f>
        <v>0</v>
      </c>
      <c r="F186" s="1037">
        <f>SUM(F178:F179)+SUM(F181:F182)+SUM(F184:F185)</f>
        <v>0</v>
      </c>
      <c r="G186" s="1037">
        <f>SUM(G178:G179)+SUM(G181:G182)+SUM(G184:G185)</f>
        <v>0</v>
      </c>
      <c r="H186" s="1037">
        <f>SUM(H178:H179)+SUM(H181:H182)+SUM(H184:H185)</f>
        <v>0</v>
      </c>
      <c r="I186" s="1037">
        <f t="shared" ref="I186:N186" si="24">SUM(I178:I179)+SUM(I181:I182)+SUM(I184:I185)</f>
        <v>31275</v>
      </c>
      <c r="J186" s="1037">
        <f t="shared" si="24"/>
        <v>0</v>
      </c>
      <c r="K186" s="1037">
        <f t="shared" si="24"/>
        <v>0</v>
      </c>
      <c r="L186" s="1037">
        <f t="shared" si="24"/>
        <v>31275</v>
      </c>
      <c r="M186" s="1037">
        <f t="shared" si="24"/>
        <v>31275</v>
      </c>
      <c r="N186" s="1037">
        <f t="shared" si="24"/>
        <v>0</v>
      </c>
      <c r="O186" s="137"/>
      <c r="P186" s="1037">
        <f>P177+P180+P183</f>
        <v>0</v>
      </c>
      <c r="Q186" s="1037">
        <f>Q177+Q180+Q183</f>
        <v>31275</v>
      </c>
      <c r="R186" s="1037">
        <f>P186+Q186</f>
        <v>31275</v>
      </c>
      <c r="S186" s="1518">
        <f>B186-R186</f>
        <v>0</v>
      </c>
      <c r="T186" s="137"/>
      <c r="U186" s="1034">
        <f>SUM(U178:U179)+SUM(U181:U182)+SUM(U184:U185)</f>
        <v>57325</v>
      </c>
      <c r="V186" s="1034">
        <f>SUM(V178:V179)+SUM(V181:V182)+SUM(V184:V185)</f>
        <v>0</v>
      </c>
      <c r="W186" s="1034"/>
      <c r="X186" s="1034">
        <f>SUM(X178:X179)+SUM(X181:X182)+SUM(X184:X185)</f>
        <v>0</v>
      </c>
      <c r="Y186" s="1034">
        <f>SUM(Y178:Y179)+SUM(Y181:Y182)+SUM(Y184:Y185)</f>
        <v>0</v>
      </c>
      <c r="Z186" s="1034">
        <f>SUM(Z178:Z179)+SUM(Z181:Z182)+SUM(Z184:Z185)</f>
        <v>0</v>
      </c>
      <c r="AA186" s="1034">
        <f>SUM(AA178:AA179)+SUM(AA181:AA182)+SUM(AA184:AA185)</f>
        <v>0</v>
      </c>
      <c r="AB186" s="1034">
        <f>SUM(AB178:AB179)+SUM(AB181:AB182)+SUM(AB184:AB185)</f>
        <v>57325</v>
      </c>
      <c r="AC186" s="1034"/>
      <c r="AD186" s="1034">
        <f>SUM(AD178:AD179)+SUM(AD181:AD182)+SUM(AD184:AD185)</f>
        <v>0</v>
      </c>
      <c r="AE186" s="1034">
        <f>SUM(AE178:AE179)+SUM(AE181:AE182)+SUM(AE184:AE185)</f>
        <v>57325</v>
      </c>
      <c r="AF186" s="1034">
        <f>SUM(AF178:AF179)+SUM(AF181:AF182)+SUM(AF184:AF185)</f>
        <v>57325</v>
      </c>
      <c r="AG186" s="1034">
        <f>SUM(AG178:AG179)+SUM(AG181:AG182)+SUM(AG184:AG185)</f>
        <v>0</v>
      </c>
      <c r="AH186" s="12"/>
      <c r="AI186" s="1034">
        <f>AI177+AI180+AI183</f>
        <v>0</v>
      </c>
      <c r="AJ186" s="1034">
        <f>AJ177+AJ180+AJ183</f>
        <v>57325</v>
      </c>
      <c r="AK186" s="1035">
        <f>AI186+AJ186</f>
        <v>57325</v>
      </c>
      <c r="AL186" s="1518">
        <f>U186-AK186</f>
        <v>0</v>
      </c>
      <c r="AM186" s="12"/>
      <c r="AN186" s="12"/>
      <c r="AO186" s="12"/>
      <c r="AP186" s="12"/>
      <c r="AQ186" s="12"/>
      <c r="AR186" s="12"/>
      <c r="AS186" s="12"/>
      <c r="AT186" s="12"/>
      <c r="AU186" s="12"/>
      <c r="AV186" s="12"/>
      <c r="AW186" s="12"/>
      <c r="AX186" s="12"/>
      <c r="AY186" s="12"/>
      <c r="AZ186" s="12"/>
      <c r="BA186" s="12"/>
      <c r="BB186" s="12"/>
      <c r="BC186" s="12"/>
      <c r="BD186" s="12"/>
    </row>
    <row r="187" spans="1:57" s="184" customFormat="1" ht="17.149999999999999" customHeight="1" x14ac:dyDescent="0.3">
      <c r="A187" s="122"/>
      <c r="B187" s="172">
        <f>IF(B186=0,0,B186/B186)</f>
        <v>1</v>
      </c>
      <c r="C187" s="370">
        <f>IF(B186=0,0,C186/B186)</f>
        <v>0</v>
      </c>
      <c r="D187" s="172"/>
      <c r="E187" s="172">
        <f>IF(B186=0,0,E186/B186)</f>
        <v>0</v>
      </c>
      <c r="F187" s="172">
        <f>IF(B186=0,0,F186/B186)</f>
        <v>0</v>
      </c>
      <c r="G187" s="172"/>
      <c r="H187" s="172"/>
      <c r="I187" s="172">
        <f>IF(B186=0,0,I186/B186)</f>
        <v>1</v>
      </c>
      <c r="J187" s="172"/>
      <c r="K187" s="172">
        <f>IF(B186=0,0,K186/B186)</f>
        <v>0</v>
      </c>
      <c r="L187" s="172">
        <f>IF(B186=0,0,L186/B186)</f>
        <v>1</v>
      </c>
      <c r="M187" s="143"/>
      <c r="N187" s="143"/>
      <c r="O187" s="3"/>
      <c r="P187" s="172">
        <f>IF(B186=0,0,P186/B186)</f>
        <v>0</v>
      </c>
      <c r="Q187" s="370">
        <f>IF(B186=0,0,Q186/B186)</f>
        <v>1</v>
      </c>
      <c r="R187" s="370">
        <f>IF(B186=0,0,R186/B186)</f>
        <v>1</v>
      </c>
      <c r="S187" s="391"/>
      <c r="T187" s="137"/>
      <c r="U187" s="172">
        <f>IF(U186=0,0,U186/U186)</f>
        <v>1</v>
      </c>
      <c r="V187" s="370">
        <f>IF(U186=0,0,V186/U186)</f>
        <v>0</v>
      </c>
      <c r="W187" s="172"/>
      <c r="X187" s="172">
        <f>IF(U186=0,0,X186/U186)</f>
        <v>0</v>
      </c>
      <c r="Y187" s="172">
        <f>IF(U186=0,0,Y186/U186)</f>
        <v>0</v>
      </c>
      <c r="Z187" s="172"/>
      <c r="AA187" s="172"/>
      <c r="AB187" s="172">
        <f>IF(U186=0,0,AB186/U186)</f>
        <v>1</v>
      </c>
      <c r="AC187" s="172"/>
      <c r="AD187" s="172">
        <f>IF(U186=0,0,AD186/U186)</f>
        <v>0</v>
      </c>
      <c r="AE187" s="172">
        <f>IF(U186=0,0,AE186/U186)</f>
        <v>1</v>
      </c>
      <c r="AF187" s="143"/>
      <c r="AG187" s="143"/>
      <c r="AH187" s="3"/>
      <c r="AI187" s="172">
        <f>IF(U186=0,0,AI186/U186)</f>
        <v>0</v>
      </c>
      <c r="AJ187" s="370">
        <f>IF(U186=0,0,AJ186/U186)</f>
        <v>1</v>
      </c>
      <c r="AK187" s="370">
        <f>IF(U186=0,0,AK186/U186)</f>
        <v>1</v>
      </c>
      <c r="AL187" s="391"/>
      <c r="AM187" s="3"/>
      <c r="AN187" s="3"/>
      <c r="AO187" s="3"/>
      <c r="AP187" s="3"/>
      <c r="AQ187" s="3"/>
      <c r="AR187" s="3"/>
      <c r="AS187" s="3"/>
      <c r="AT187" s="3"/>
      <c r="AU187" s="3"/>
      <c r="AV187" s="3"/>
      <c r="AW187" s="3"/>
      <c r="AX187" s="3"/>
      <c r="AY187" s="3"/>
      <c r="AZ187" s="3"/>
      <c r="BA187" s="3"/>
      <c r="BB187" s="3"/>
      <c r="BC187" s="3"/>
      <c r="BD187" s="3"/>
      <c r="BE187" s="3"/>
    </row>
    <row r="188" spans="1:57" s="184" customFormat="1" ht="17.149999999999999" customHeight="1" x14ac:dyDescent="0.3">
      <c r="A188" s="122"/>
      <c r="C188" s="370">
        <f>IF(C186=0,0,C186/C186)</f>
        <v>0</v>
      </c>
      <c r="D188" s="223"/>
      <c r="E188" s="370">
        <f>IF(C186=0,0,E186/C186)</f>
        <v>0</v>
      </c>
      <c r="F188" s="370">
        <f>IF(C186=0,0,F186/C186)</f>
        <v>0</v>
      </c>
      <c r="G188" s="172"/>
      <c r="H188" s="172"/>
      <c r="I188" s="370">
        <f>IF(I186=0,0,I186/I186)</f>
        <v>1</v>
      </c>
      <c r="J188" s="454"/>
      <c r="K188" s="370">
        <f>IF(I186=0,0,K186/I186)</f>
        <v>0</v>
      </c>
      <c r="L188" s="370">
        <f>IF(I186=0,0,L186/I186)</f>
        <v>1</v>
      </c>
      <c r="M188" s="143"/>
      <c r="N188" s="143"/>
      <c r="O188" s="3"/>
      <c r="T188" s="137"/>
      <c r="V188" s="370">
        <f>IF(V186=0,0,V186/V186)</f>
        <v>0</v>
      </c>
      <c r="W188" s="223"/>
      <c r="X188" s="370">
        <f>IF(V186=0,0,X186/V186)</f>
        <v>0</v>
      </c>
      <c r="Y188" s="370">
        <f>IF(V186=0,0,Y186/V186)</f>
        <v>0</v>
      </c>
      <c r="Z188" s="172"/>
      <c r="AA188" s="172"/>
      <c r="AB188" s="370">
        <f>IF(AB186=0,0,AB186/AB186)</f>
        <v>1</v>
      </c>
      <c r="AC188" s="454"/>
      <c r="AD188" s="370">
        <f>IF(AB186=0,0,AD186/AB186)</f>
        <v>0</v>
      </c>
      <c r="AE188" s="370">
        <f>IF(AB186=0,0,AE186/AB186)</f>
        <v>1</v>
      </c>
      <c r="AF188" s="143"/>
      <c r="AG188" s="143"/>
      <c r="AH188" s="3"/>
      <c r="AL188" s="3"/>
      <c r="AM188" s="3"/>
      <c r="AN188" s="3"/>
      <c r="AO188" s="3"/>
      <c r="AP188" s="3"/>
      <c r="AQ188" s="3"/>
      <c r="AR188" s="3"/>
      <c r="AS188" s="3"/>
      <c r="AT188" s="3"/>
      <c r="AU188" s="3"/>
      <c r="AV188" s="3"/>
      <c r="AW188" s="3"/>
      <c r="AX188" s="3"/>
      <c r="AY188" s="3"/>
      <c r="AZ188" s="3"/>
      <c r="BA188" s="3"/>
      <c r="BB188" s="3"/>
      <c r="BC188" s="3"/>
      <c r="BD188" s="3"/>
      <c r="BE188" s="3"/>
    </row>
    <row r="189" spans="1:57" s="184" customFormat="1" ht="17.149999999999999" customHeight="1" x14ac:dyDescent="0.3">
      <c r="A189" s="122"/>
      <c r="F189" s="454">
        <f>IF(F186=0,0,F186/F186)</f>
        <v>0</v>
      </c>
      <c r="G189" s="172">
        <f>IF(F186=0,0,G186/F186)</f>
        <v>0</v>
      </c>
      <c r="H189" s="454">
        <f>IF(F186=0,0,H186/F186)</f>
        <v>0</v>
      </c>
      <c r="I189" s="3"/>
      <c r="J189" s="3"/>
      <c r="K189" s="3"/>
      <c r="L189" s="454">
        <f>IF(L186=0,0,L186/L186)</f>
        <v>1</v>
      </c>
      <c r="M189" s="172">
        <f>IF(L186=0,0,M186/L186)</f>
        <v>1</v>
      </c>
      <c r="N189" s="454">
        <f>IF(L186=0,0,N186/L186)</f>
        <v>0</v>
      </c>
      <c r="O189" s="3"/>
      <c r="T189" s="137"/>
      <c r="Y189" s="454">
        <f>IF(Y186=0,0,Y186/Y186)</f>
        <v>0</v>
      </c>
      <c r="Z189" s="172">
        <f>IF(Y186=0,0,Z186/Y186)</f>
        <v>0</v>
      </c>
      <c r="AA189" s="454">
        <f>IF(Y186=0,0,AA186/Y186)</f>
        <v>0</v>
      </c>
      <c r="AB189" s="3"/>
      <c r="AC189" s="3"/>
      <c r="AD189" s="3"/>
      <c r="AE189" s="454">
        <f>IF(AE186=0,0,AE186/AE186)</f>
        <v>1</v>
      </c>
      <c r="AF189" s="172">
        <f>IF(AE186=0,0,AF186/AE186)</f>
        <v>1</v>
      </c>
      <c r="AG189" s="454">
        <f>IF(AE186=0,0,AG186/AE186)</f>
        <v>0</v>
      </c>
      <c r="AH189" s="3"/>
      <c r="AL189" s="3"/>
      <c r="AM189" s="3"/>
      <c r="AN189" s="3"/>
      <c r="AO189" s="3"/>
      <c r="AP189" s="3"/>
      <c r="AQ189" s="3"/>
      <c r="AR189" s="3"/>
      <c r="AS189" s="3"/>
      <c r="AT189" s="3"/>
      <c r="AU189" s="3"/>
      <c r="AV189" s="3"/>
      <c r="AW189" s="3"/>
      <c r="AX189" s="3"/>
      <c r="AY189" s="3"/>
      <c r="AZ189" s="3"/>
      <c r="BA189" s="3"/>
      <c r="BB189" s="3"/>
    </row>
    <row r="190" spans="1:57" s="184" customFormat="1" ht="17.149999999999999" customHeight="1" x14ac:dyDescent="0.3">
      <c r="A190" s="122"/>
      <c r="E190" s="203"/>
      <c r="F190" s="177"/>
      <c r="G190" s="177"/>
      <c r="H190" s="189"/>
      <c r="I190" s="189"/>
      <c r="J190" s="189"/>
      <c r="K190" s="3"/>
      <c r="L190" s="3"/>
      <c r="M190" s="3"/>
      <c r="N190" s="3"/>
      <c r="O190" s="3"/>
      <c r="P190" s="3"/>
      <c r="Q190" s="3"/>
      <c r="R190" s="3"/>
      <c r="S190" s="3"/>
      <c r="T190" s="137"/>
      <c r="U190" s="43"/>
      <c r="V190" s="83"/>
      <c r="W190" s="95"/>
      <c r="X190" s="95"/>
      <c r="Y190" s="95"/>
      <c r="Z190" s="95"/>
      <c r="AA190" s="96"/>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row>
    <row r="191" spans="1:57" s="184" customFormat="1" ht="17.149999999999999" customHeight="1" x14ac:dyDescent="0.3">
      <c r="A191" s="122"/>
      <c r="E191" s="203"/>
      <c r="F191" s="177"/>
      <c r="G191" s="177"/>
      <c r="H191" s="189"/>
      <c r="I191" s="189"/>
      <c r="J191" s="189"/>
      <c r="K191" s="3"/>
      <c r="L191" s="3"/>
      <c r="M191" s="3"/>
      <c r="N191" s="3"/>
      <c r="O191" s="3"/>
      <c r="P191" s="3"/>
      <c r="Q191" s="3"/>
      <c r="R191" s="3"/>
      <c r="S191" s="3"/>
      <c r="T191" s="137"/>
      <c r="U191" s="43"/>
      <c r="V191" s="83"/>
      <c r="W191" s="95"/>
      <c r="X191" s="95"/>
      <c r="Y191" s="95"/>
      <c r="Z191" s="95"/>
      <c r="AA191" s="96"/>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row>
    <row r="192" spans="1:57" s="140" customFormat="1" ht="17.149999999999999" customHeight="1" x14ac:dyDescent="0.35">
      <c r="A192" s="949" t="s">
        <v>963</v>
      </c>
      <c r="B192" s="1776" t="s">
        <v>9</v>
      </c>
      <c r="C192" s="1776"/>
      <c r="D192" s="1776"/>
      <c r="E192" s="1776"/>
      <c r="F192" s="1776"/>
      <c r="G192" s="1776"/>
      <c r="H192" s="1776"/>
      <c r="I192" s="1776"/>
      <c r="J192" s="1776"/>
      <c r="K192" s="1776"/>
      <c r="L192" s="1776"/>
      <c r="M192" s="1776"/>
      <c r="N192" s="1776"/>
      <c r="O192" s="17"/>
      <c r="P192" s="1777" t="s">
        <v>9</v>
      </c>
      <c r="Q192" s="1777"/>
      <c r="R192" s="1777"/>
      <c r="S192" s="115"/>
      <c r="T192" s="115"/>
      <c r="U192" s="1778" t="s">
        <v>253</v>
      </c>
      <c r="V192" s="1778"/>
      <c r="W192" s="1778"/>
      <c r="X192" s="1778"/>
      <c r="Y192" s="1778"/>
      <c r="Z192" s="1778"/>
      <c r="AA192" s="1778"/>
      <c r="AB192" s="1778"/>
      <c r="AC192" s="1778"/>
      <c r="AD192" s="1778"/>
      <c r="AE192" s="1778"/>
      <c r="AF192" s="1778"/>
      <c r="AG192" s="1778"/>
      <c r="AH192" s="115"/>
      <c r="AI192" s="1779" t="s">
        <v>253</v>
      </c>
      <c r="AJ192" s="1779"/>
      <c r="AK192" s="1779"/>
      <c r="AL192" s="115"/>
      <c r="AM192" s="115"/>
      <c r="AN192" s="115"/>
      <c r="AO192" s="115"/>
      <c r="AP192" s="115"/>
      <c r="AQ192" s="115"/>
      <c r="AR192" s="115"/>
      <c r="AS192" s="115"/>
      <c r="AT192" s="115"/>
      <c r="AU192" s="115"/>
      <c r="AV192" s="115"/>
      <c r="AW192" s="115"/>
      <c r="AX192" s="115"/>
      <c r="AY192" s="115"/>
      <c r="AZ192" s="115"/>
      <c r="BA192" s="115"/>
      <c r="BB192" s="115"/>
    </row>
    <row r="193" spans="1:58" s="27" customFormat="1" ht="17.149999999999999" customHeight="1" x14ac:dyDescent="0.35">
      <c r="A193" s="371"/>
      <c r="F193" s="17"/>
      <c r="G193" s="17"/>
      <c r="H193" s="17"/>
      <c r="I193" s="17"/>
      <c r="J193" s="17"/>
      <c r="K193" s="17"/>
      <c r="L193" s="17"/>
      <c r="M193" s="17"/>
      <c r="N193" s="17"/>
      <c r="O193" s="17"/>
      <c r="P193" s="17"/>
      <c r="Q193" s="17"/>
      <c r="R193" s="115"/>
      <c r="S193" s="115"/>
      <c r="T193" s="17"/>
      <c r="W193" s="17"/>
      <c r="X193" s="17"/>
      <c r="Y193" s="95"/>
      <c r="Z193" s="10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row>
    <row r="194" spans="1:58" s="27" customFormat="1" ht="17.149999999999999" customHeight="1" x14ac:dyDescent="0.35">
      <c r="A194" s="191"/>
      <c r="B194" s="166"/>
      <c r="C194" s="1780" t="s">
        <v>919</v>
      </c>
      <c r="D194" s="1780"/>
      <c r="E194" s="1780"/>
      <c r="F194" s="1780"/>
      <c r="G194" s="1780"/>
      <c r="H194" s="1780"/>
      <c r="I194" s="1781" t="s">
        <v>910</v>
      </c>
      <c r="J194" s="1782"/>
      <c r="K194" s="1782"/>
      <c r="L194" s="1782"/>
      <c r="M194" s="1782"/>
      <c r="N194" s="1783"/>
      <c r="O194" s="17"/>
      <c r="P194" s="1784" t="s">
        <v>920</v>
      </c>
      <c r="Q194" s="1784"/>
      <c r="R194" s="1784"/>
      <c r="S194" s="309"/>
      <c r="T194" s="17"/>
      <c r="U194" s="1794" t="s">
        <v>919</v>
      </c>
      <c r="V194" s="1794"/>
      <c r="W194" s="1794"/>
      <c r="X194" s="1794"/>
      <c r="Y194" s="1794"/>
      <c r="Z194" s="1794"/>
      <c r="AA194" s="1794"/>
      <c r="AB194" s="1794" t="s">
        <v>910</v>
      </c>
      <c r="AC194" s="1794"/>
      <c r="AD194" s="1794"/>
      <c r="AE194" s="1794"/>
      <c r="AF194" s="1794"/>
      <c r="AG194" s="1794"/>
      <c r="AH194" s="17"/>
      <c r="AI194" s="1789" t="s">
        <v>920</v>
      </c>
      <c r="AJ194" s="1789"/>
      <c r="AK194" s="1789"/>
      <c r="AL194" s="300"/>
      <c r="AM194" s="17"/>
      <c r="AN194" s="17"/>
      <c r="AO194" s="17"/>
      <c r="AP194" s="17"/>
      <c r="AQ194" s="17"/>
      <c r="AR194" s="17"/>
      <c r="AS194" s="17"/>
      <c r="AT194" s="17"/>
      <c r="AU194" s="17"/>
      <c r="AV194" s="17"/>
      <c r="AW194" s="17"/>
      <c r="AX194" s="17"/>
      <c r="AY194" s="17"/>
      <c r="AZ194" s="17"/>
      <c r="BA194" s="17"/>
      <c r="BB194" s="17"/>
    </row>
    <row r="195" spans="1:58" s="27" customFormat="1" ht="58" x14ac:dyDescent="0.3">
      <c r="A195" s="355"/>
      <c r="B195" s="1511" t="s">
        <v>899</v>
      </c>
      <c r="C195" s="1513" t="s">
        <v>921</v>
      </c>
      <c r="D195" s="1511" t="s">
        <v>912</v>
      </c>
      <c r="E195" s="1511" t="s">
        <v>905</v>
      </c>
      <c r="F195" s="1511" t="s">
        <v>57</v>
      </c>
      <c r="G195" s="1511" t="s">
        <v>902</v>
      </c>
      <c r="H195" s="1511" t="s">
        <v>914</v>
      </c>
      <c r="I195" s="1511" t="s">
        <v>915</v>
      </c>
      <c r="J195" s="1511" t="s">
        <v>912</v>
      </c>
      <c r="K195" s="1511" t="s">
        <v>905</v>
      </c>
      <c r="L195" s="1511" t="s">
        <v>57</v>
      </c>
      <c r="M195" s="1511" t="s">
        <v>902</v>
      </c>
      <c r="N195" s="1511" t="s">
        <v>903</v>
      </c>
      <c r="O195" s="137"/>
      <c r="P195" s="1511" t="s">
        <v>905</v>
      </c>
      <c r="Q195" s="1511" t="s">
        <v>57</v>
      </c>
      <c r="R195" s="1506" t="s">
        <v>208</v>
      </c>
      <c r="S195" s="390" t="s">
        <v>277</v>
      </c>
      <c r="T195" s="137"/>
      <c r="U195" s="1033" t="s">
        <v>922</v>
      </c>
      <c r="V195" s="1033" t="s">
        <v>921</v>
      </c>
      <c r="W195" s="1033" t="s">
        <v>912</v>
      </c>
      <c r="X195" s="1033" t="s">
        <v>905</v>
      </c>
      <c r="Y195" s="1033" t="s">
        <v>57</v>
      </c>
      <c r="Z195" s="1033" t="s">
        <v>902</v>
      </c>
      <c r="AA195" s="1033" t="s">
        <v>914</v>
      </c>
      <c r="AB195" s="1033" t="s">
        <v>915</v>
      </c>
      <c r="AC195" s="1033" t="s">
        <v>912</v>
      </c>
      <c r="AD195" s="1033" t="s">
        <v>905</v>
      </c>
      <c r="AE195" s="1033" t="s">
        <v>57</v>
      </c>
      <c r="AF195" s="1033" t="s">
        <v>902</v>
      </c>
      <c r="AG195" s="1033" t="s">
        <v>903</v>
      </c>
      <c r="AH195" s="17"/>
      <c r="AI195" s="1033" t="s">
        <v>905</v>
      </c>
      <c r="AJ195" s="1033" t="s">
        <v>57</v>
      </c>
      <c r="AK195" s="1507" t="s">
        <v>208</v>
      </c>
      <c r="AL195" s="390" t="s">
        <v>277</v>
      </c>
      <c r="AM195" s="17"/>
      <c r="AN195" s="17"/>
      <c r="AO195" s="17"/>
      <c r="AP195" s="17"/>
      <c r="AQ195" s="17"/>
      <c r="AR195" s="17"/>
      <c r="AS195" s="17"/>
      <c r="AT195" s="17"/>
      <c r="AU195" s="17"/>
      <c r="AV195" s="17"/>
      <c r="AW195" s="17"/>
      <c r="AX195" s="17"/>
      <c r="AY195" s="17"/>
      <c r="AZ195" s="17"/>
      <c r="BA195" s="17"/>
      <c r="BB195" s="17"/>
      <c r="BC195" s="17"/>
      <c r="BD195" s="17"/>
      <c r="BE195" s="17"/>
      <c r="BF195" s="17"/>
    </row>
    <row r="196" spans="1:58" s="186" customFormat="1" ht="13" x14ac:dyDescent="0.35">
      <c r="A196" s="384"/>
      <c r="B196" s="384"/>
      <c r="C196" s="384"/>
      <c r="D196" s="384"/>
      <c r="E196" s="385"/>
      <c r="F196" s="384"/>
      <c r="G196" s="386"/>
      <c r="H196" s="387"/>
      <c r="I196" s="388"/>
      <c r="J196" s="388"/>
      <c r="K196" s="385"/>
      <c r="L196" s="384"/>
      <c r="M196" s="225"/>
      <c r="N196" s="225"/>
      <c r="O196" s="185"/>
      <c r="P196" s="224"/>
      <c r="Q196" s="225"/>
      <c r="R196" s="143"/>
      <c r="S196" s="155"/>
      <c r="T196" s="185"/>
      <c r="U196" s="356"/>
      <c r="V196" s="1514"/>
      <c r="W196" s="356"/>
      <c r="X196" s="224"/>
      <c r="Y196" s="356"/>
      <c r="Z196" s="321"/>
      <c r="AA196" s="383"/>
      <c r="AB196" s="143"/>
      <c r="AC196" s="143"/>
      <c r="AD196" s="224"/>
      <c r="AE196" s="356"/>
      <c r="AF196" s="225"/>
      <c r="AG196" s="225"/>
      <c r="AH196" s="185"/>
      <c r="AI196" s="224"/>
      <c r="AJ196" s="225"/>
      <c r="AK196" s="143"/>
      <c r="AL196" s="155"/>
      <c r="AM196" s="185"/>
      <c r="AN196" s="185"/>
      <c r="AO196" s="185"/>
      <c r="AP196" s="185"/>
      <c r="AQ196" s="185"/>
      <c r="AR196" s="185"/>
      <c r="AS196" s="185"/>
      <c r="AT196" s="185"/>
      <c r="AU196" s="185"/>
      <c r="AV196" s="185"/>
      <c r="AW196" s="185"/>
      <c r="AX196" s="185"/>
      <c r="AY196" s="185"/>
      <c r="AZ196" s="185"/>
      <c r="BA196" s="185"/>
      <c r="BB196" s="185"/>
      <c r="BC196" s="185"/>
    </row>
    <row r="197" spans="1:58" s="184" customFormat="1" ht="17.149999999999999" customHeight="1" x14ac:dyDescent="0.3">
      <c r="A197" s="1038" t="s">
        <v>824</v>
      </c>
      <c r="B197" s="1039">
        <f>SUM(B198:B200)</f>
        <v>6250</v>
      </c>
      <c r="C197" s="1040">
        <f>SUM(C198:C200)</f>
        <v>5950</v>
      </c>
      <c r="D197" s="1039"/>
      <c r="E197" s="1039">
        <f>SUM(E198:E200)</f>
        <v>0</v>
      </c>
      <c r="F197" s="1039">
        <f>SUM(F198:F200)</f>
        <v>5950</v>
      </c>
      <c r="G197" s="1039">
        <f>SUM(G198:G200)</f>
        <v>5950</v>
      </c>
      <c r="H197" s="1039">
        <f>SUM(H198:H200)</f>
        <v>0</v>
      </c>
      <c r="I197" s="1039">
        <f>SUM(I198:I200)</f>
        <v>300</v>
      </c>
      <c r="J197" s="1039"/>
      <c r="K197" s="1039">
        <f>SUM(K198:K200)</f>
        <v>0</v>
      </c>
      <c r="L197" s="1039">
        <f>SUM(L198:L200)</f>
        <v>300</v>
      </c>
      <c r="M197" s="1039">
        <f>SUM(M198:M200)</f>
        <v>300</v>
      </c>
      <c r="N197" s="1039">
        <f>SUM(N198:N200)</f>
        <v>0</v>
      </c>
      <c r="O197" s="137"/>
      <c r="P197" s="1039">
        <f>SUM(P198:P200)</f>
        <v>0</v>
      </c>
      <c r="Q197" s="1039">
        <f>SUM(Q198:Q200)</f>
        <v>6250</v>
      </c>
      <c r="R197" s="1039">
        <f>SUM(R198:R200)</f>
        <v>6250</v>
      </c>
      <c r="S197" s="1518">
        <f>SUM(S198:S200)</f>
        <v>0</v>
      </c>
      <c r="T197" s="137"/>
      <c r="U197" s="1041">
        <f>SUM(U198:U200)</f>
        <v>12425</v>
      </c>
      <c r="V197" s="1041">
        <f>SUM(V198:V200)</f>
        <v>0</v>
      </c>
      <c r="W197" s="1041"/>
      <c r="X197" s="1041">
        <f>SUM(X198:X200)</f>
        <v>0</v>
      </c>
      <c r="Y197" s="1041">
        <f>SUM(Y198:Y200)</f>
        <v>0</v>
      </c>
      <c r="Z197" s="1041">
        <f>SUM(Z198:Z200)</f>
        <v>0</v>
      </c>
      <c r="AA197" s="1041">
        <f>SUM(AA198:AA200)</f>
        <v>0</v>
      </c>
      <c r="AB197" s="1042">
        <f>SUM(AB198:AB200)</f>
        <v>12425</v>
      </c>
      <c r="AC197" s="1042"/>
      <c r="AD197" s="1042">
        <f>SUM(AD198:AD200)</f>
        <v>0</v>
      </c>
      <c r="AE197" s="1042">
        <f>SUM(AE198:AE200)</f>
        <v>12425</v>
      </c>
      <c r="AF197" s="1042">
        <f>SUM(AF198:AF200)</f>
        <v>12425</v>
      </c>
      <c r="AG197" s="1042">
        <f>SUM(AG198:AG200)</f>
        <v>0</v>
      </c>
      <c r="AH197" s="3"/>
      <c r="AI197" s="1041">
        <f>SUM(AI198:AI200)</f>
        <v>0</v>
      </c>
      <c r="AJ197" s="1041">
        <f>SUM(AJ198:AJ200)</f>
        <v>12425</v>
      </c>
      <c r="AK197" s="1041">
        <f>SUM(AK198:AK200)</f>
        <v>12425</v>
      </c>
      <c r="AL197" s="1518">
        <f>SUM(AL198:AL200)</f>
        <v>0</v>
      </c>
      <c r="AM197" s="3"/>
      <c r="AN197" s="3"/>
      <c r="AO197" s="3"/>
      <c r="AP197" s="3"/>
      <c r="AQ197" s="3"/>
      <c r="AR197" s="3"/>
      <c r="AS197" s="3"/>
      <c r="AT197" s="3"/>
      <c r="AU197" s="3"/>
      <c r="AV197" s="3"/>
      <c r="AW197" s="3"/>
      <c r="AX197" s="3"/>
      <c r="AY197" s="3"/>
      <c r="AZ197" s="3"/>
      <c r="BA197" s="3"/>
      <c r="BB197" s="3"/>
      <c r="BC197" s="3"/>
      <c r="BD197" s="3"/>
    </row>
    <row r="198" spans="1:58" s="1045" customFormat="1" ht="17.149999999999999" customHeight="1" x14ac:dyDescent="0.35">
      <c r="A198" s="155" t="s">
        <v>822</v>
      </c>
      <c r="B198" s="1522">
        <f>'FS_Capture volumes'!E229</f>
        <v>0</v>
      </c>
      <c r="C198" s="1020">
        <f>ROUND((B198*'User interface_Non-RES'!$M$37)/25,0)*25</f>
        <v>0</v>
      </c>
      <c r="D198" s="999">
        <f>'User interface_Non-RES'!L54</f>
        <v>0</v>
      </c>
      <c r="E198" s="1522">
        <f>ROUND((C198*D198)/25,0)*25</f>
        <v>0</v>
      </c>
      <c r="F198" s="1522">
        <f>C198-E198</f>
        <v>0</v>
      </c>
      <c r="G198" s="1522">
        <f>ROUND((F198*'User interface_Non-RES'!O76)/25,0)*25</f>
        <v>0</v>
      </c>
      <c r="H198" s="1522">
        <f>F198-G198</f>
        <v>0</v>
      </c>
      <c r="I198" s="1522">
        <f>B198-C198</f>
        <v>0</v>
      </c>
      <c r="J198" s="999">
        <f>D198</f>
        <v>0</v>
      </c>
      <c r="K198" s="1522">
        <f>ROUND((I198*J198)/25,0)*25</f>
        <v>0</v>
      </c>
      <c r="L198" s="1522">
        <f>I198-K198</f>
        <v>0</v>
      </c>
      <c r="M198" s="1522">
        <f>ROUND((L198*'User interface_Non-RES'!O76)/25,0)*25</f>
        <v>0</v>
      </c>
      <c r="N198" s="1522">
        <f>L198-M198</f>
        <v>0</v>
      </c>
      <c r="O198" s="60"/>
      <c r="P198" s="1020">
        <f>E198+H198+K198</f>
        <v>0</v>
      </c>
      <c r="Q198" s="1020">
        <f>G198+L198</f>
        <v>0</v>
      </c>
      <c r="R198" s="1518">
        <f>SUM(P198:Q198)</f>
        <v>0</v>
      </c>
      <c r="S198" s="1518">
        <f>B198-R198</f>
        <v>0</v>
      </c>
      <c r="T198" s="60"/>
      <c r="U198" s="1522">
        <f>'FS_Capture volumes'!F229</f>
        <v>0</v>
      </c>
      <c r="V198" s="1522">
        <f>ROUND((U198*'User interface_Non-RES'!$M$54)/25,0)*25</f>
        <v>0</v>
      </c>
      <c r="W198" s="956">
        <f>'User interface_Non-RES'!$L$54</f>
        <v>0</v>
      </c>
      <c r="X198" s="1522">
        <f>ROUND((V198*W198)/25,0)*25</f>
        <v>0</v>
      </c>
      <c r="Y198" s="1522">
        <f>V198-X198</f>
        <v>0</v>
      </c>
      <c r="Z198" s="1522">
        <f>ROUND((Y198*'User interface_Non-RES'!O76)/25,0)*25</f>
        <v>0</v>
      </c>
      <c r="AA198" s="1522">
        <f>Y198-Z198</f>
        <v>0</v>
      </c>
      <c r="AB198" s="1522">
        <f>U198-V198</f>
        <v>0</v>
      </c>
      <c r="AC198" s="999">
        <f>W198</f>
        <v>0</v>
      </c>
      <c r="AD198" s="1522">
        <f>ROUND((AB198*AC198)/25,0)*25</f>
        <v>0</v>
      </c>
      <c r="AE198" s="1522">
        <f>AB198-AD198</f>
        <v>0</v>
      </c>
      <c r="AF198" s="1522">
        <f>ROUND((AE198*'User interface_Non-RES'!O76)/25,0)*25</f>
        <v>0</v>
      </c>
      <c r="AG198" s="1522">
        <f>AE198-AF198</f>
        <v>0</v>
      </c>
      <c r="AH198" s="60"/>
      <c r="AI198" s="1020">
        <f>X198+AA198+AD198</f>
        <v>0</v>
      </c>
      <c r="AJ198" s="1020">
        <f>Z198+AE198</f>
        <v>0</v>
      </c>
      <c r="AK198" s="1518">
        <f>SUM(AI198:AJ198)</f>
        <v>0</v>
      </c>
      <c r="AL198" s="1518">
        <f>U198-AK198</f>
        <v>0</v>
      </c>
      <c r="AM198" s="60"/>
      <c r="AN198" s="60"/>
      <c r="AO198" s="60"/>
      <c r="AP198" s="60"/>
      <c r="AQ198" s="60"/>
      <c r="AR198" s="60"/>
      <c r="AS198" s="60"/>
      <c r="AT198" s="60"/>
      <c r="AU198" s="60"/>
      <c r="AV198" s="60"/>
      <c r="AW198" s="60"/>
      <c r="AX198" s="60"/>
      <c r="AY198" s="60"/>
      <c r="AZ198" s="60"/>
      <c r="BA198" s="60"/>
      <c r="BB198" s="60"/>
      <c r="BC198" s="60"/>
    </row>
    <row r="199" spans="1:58" s="1045" customFormat="1" ht="17.149999999999999" customHeight="1" x14ac:dyDescent="0.35">
      <c r="A199" s="155" t="s">
        <v>823</v>
      </c>
      <c r="B199" s="1522">
        <f>'FS_Capture volumes'!E230</f>
        <v>6250</v>
      </c>
      <c r="C199" s="1020">
        <f>ROUND((B199*'User interface_Non-RES'!$M$37)/25,0)*25</f>
        <v>5950</v>
      </c>
      <c r="D199" s="999">
        <f>'User interface_Non-RES'!L54</f>
        <v>0</v>
      </c>
      <c r="E199" s="1522">
        <f>ROUND((C199*D199)/25,0)*25</f>
        <v>0</v>
      </c>
      <c r="F199" s="1522">
        <f>C199-E199</f>
        <v>5950</v>
      </c>
      <c r="G199" s="1522">
        <f>ROUND((F199*'User interface_Non-RES'!O77)/25,0)*25</f>
        <v>5950</v>
      </c>
      <c r="H199" s="1522">
        <f>F199-G199</f>
        <v>0</v>
      </c>
      <c r="I199" s="1522">
        <f>B199-C199</f>
        <v>300</v>
      </c>
      <c r="J199" s="999">
        <f>D199</f>
        <v>0</v>
      </c>
      <c r="K199" s="1522">
        <f>ROUND((I199*J199)/25,0)*25</f>
        <v>0</v>
      </c>
      <c r="L199" s="1522">
        <f>I199-K199</f>
        <v>300</v>
      </c>
      <c r="M199" s="1522">
        <f>ROUND((L199*'User interface_Non-RES'!O77)/25,0)*25</f>
        <v>300</v>
      </c>
      <c r="N199" s="1522">
        <f>L199-M199</f>
        <v>0</v>
      </c>
      <c r="O199" s="60"/>
      <c r="P199" s="1020">
        <f>E199+H199+K199</f>
        <v>0</v>
      </c>
      <c r="Q199" s="1020">
        <f>G199+L199</f>
        <v>6250</v>
      </c>
      <c r="R199" s="1518">
        <f>SUM(P199:Q199)</f>
        <v>6250</v>
      </c>
      <c r="S199" s="1518">
        <f>B199-R199</f>
        <v>0</v>
      </c>
      <c r="T199" s="60"/>
      <c r="U199" s="1522">
        <f>'FS_Capture volumes'!F230</f>
        <v>12425</v>
      </c>
      <c r="V199" s="1522">
        <f>ROUND((U199*'User interface_Non-RES'!$M$54)/25,0)*25</f>
        <v>0</v>
      </c>
      <c r="W199" s="956">
        <f>'User interface_Non-RES'!$L$54</f>
        <v>0</v>
      </c>
      <c r="X199" s="1522">
        <f>ROUND((V199*W199)/25,0)*25</f>
        <v>0</v>
      </c>
      <c r="Y199" s="1522">
        <f>V199-X199</f>
        <v>0</v>
      </c>
      <c r="Z199" s="1522">
        <f>ROUND((Y199*'User interface_Non-RES'!O77)/25,0)*25</f>
        <v>0</v>
      </c>
      <c r="AA199" s="1522">
        <f>Y199-Z199</f>
        <v>0</v>
      </c>
      <c r="AB199" s="1522">
        <f>U199-V199</f>
        <v>12425</v>
      </c>
      <c r="AC199" s="999">
        <f>W199</f>
        <v>0</v>
      </c>
      <c r="AD199" s="1522">
        <f>ROUND((AB199*AC199)/25,0)*25</f>
        <v>0</v>
      </c>
      <c r="AE199" s="1522">
        <f>AB199-AD199</f>
        <v>12425</v>
      </c>
      <c r="AF199" s="1522">
        <f>ROUND((AE199*'User interface_Non-RES'!O77)/25,0)*25</f>
        <v>12425</v>
      </c>
      <c r="AG199" s="1522">
        <f>AE199-AF199</f>
        <v>0</v>
      </c>
      <c r="AH199" s="60"/>
      <c r="AI199" s="1020">
        <f>X199+AA199+AD199</f>
        <v>0</v>
      </c>
      <c r="AJ199" s="1020">
        <f>Z199+AE199</f>
        <v>12425</v>
      </c>
      <c r="AK199" s="1518">
        <f>SUM(AI199:AJ199)</f>
        <v>12425</v>
      </c>
      <c r="AL199" s="1518">
        <f>U199-AK199</f>
        <v>0</v>
      </c>
      <c r="AM199" s="60"/>
      <c r="AN199" s="60"/>
      <c r="AO199" s="60"/>
      <c r="AP199" s="60"/>
      <c r="AQ199" s="60"/>
      <c r="AR199" s="60"/>
      <c r="AS199" s="60"/>
      <c r="AT199" s="60"/>
      <c r="AU199" s="60"/>
      <c r="AV199" s="60"/>
      <c r="AW199" s="60"/>
      <c r="AX199" s="60"/>
      <c r="AY199" s="60"/>
      <c r="AZ199" s="60"/>
      <c r="BA199" s="60"/>
      <c r="BB199" s="60"/>
      <c r="BC199" s="60"/>
    </row>
    <row r="200" spans="1:58" s="1045" customFormat="1" ht="17.149999999999999" customHeight="1" x14ac:dyDescent="0.35">
      <c r="A200" s="155" t="s">
        <v>825</v>
      </c>
      <c r="B200" s="1522">
        <f>'FS_Capture volumes'!E231</f>
        <v>0</v>
      </c>
      <c r="C200" s="1020">
        <f>ROUND((B200*'User interface_Non-RES'!$M$37)/25,0)*25</f>
        <v>0</v>
      </c>
      <c r="D200" s="999">
        <f>'User interface_Non-RES'!L54</f>
        <v>0</v>
      </c>
      <c r="E200" s="1522">
        <f>ROUND((C200*D200)/25,0)*25</f>
        <v>0</v>
      </c>
      <c r="F200" s="1522">
        <f>C200-E200</f>
        <v>0</v>
      </c>
      <c r="G200" s="1522">
        <f>ROUND((F200*'User interface_Non-RES'!O78)/25,0)*25</f>
        <v>0</v>
      </c>
      <c r="H200" s="1522">
        <f>F200-G200</f>
        <v>0</v>
      </c>
      <c r="I200" s="1522">
        <f>B200-C200</f>
        <v>0</v>
      </c>
      <c r="J200" s="999">
        <f>D200</f>
        <v>0</v>
      </c>
      <c r="K200" s="1522">
        <f>ROUND((I200*J200)/25,0)*25</f>
        <v>0</v>
      </c>
      <c r="L200" s="1522">
        <f>I200-K200</f>
        <v>0</v>
      </c>
      <c r="M200" s="1522">
        <f>ROUND((L200*'User interface_Non-RES'!O78)/25,0)*25</f>
        <v>0</v>
      </c>
      <c r="N200" s="1522">
        <f>L200-M200</f>
        <v>0</v>
      </c>
      <c r="O200" s="60"/>
      <c r="P200" s="1020">
        <f>E200+H200+K200</f>
        <v>0</v>
      </c>
      <c r="Q200" s="1020">
        <f>G200+L200</f>
        <v>0</v>
      </c>
      <c r="R200" s="1518">
        <f>SUM(P200:Q200)</f>
        <v>0</v>
      </c>
      <c r="S200" s="1518">
        <f>B200-R200</f>
        <v>0</v>
      </c>
      <c r="T200" s="60"/>
      <c r="U200" s="1522">
        <f>'FS_Capture volumes'!F231</f>
        <v>0</v>
      </c>
      <c r="V200" s="1522">
        <f>ROUND((U200*'User interface_Non-RES'!$M$54)/25,0)*25</f>
        <v>0</v>
      </c>
      <c r="W200" s="956">
        <f>'User interface_Non-RES'!$L$54</f>
        <v>0</v>
      </c>
      <c r="X200" s="1522">
        <f>ROUND((V200*W200)/25,0)*25</f>
        <v>0</v>
      </c>
      <c r="Y200" s="1522">
        <f>V200-X200</f>
        <v>0</v>
      </c>
      <c r="Z200" s="1522">
        <f>ROUND((Y200*'User interface_Non-RES'!O78)/25,0)*25</f>
        <v>0</v>
      </c>
      <c r="AA200" s="1522">
        <f>Y200-Z200</f>
        <v>0</v>
      </c>
      <c r="AB200" s="1522">
        <f>U200-V200</f>
        <v>0</v>
      </c>
      <c r="AC200" s="999">
        <f>W200</f>
        <v>0</v>
      </c>
      <c r="AD200" s="1522">
        <f>ROUND((AB200*AC200)/25,0)*25</f>
        <v>0</v>
      </c>
      <c r="AE200" s="1522">
        <f>AB200-AD200</f>
        <v>0</v>
      </c>
      <c r="AF200" s="1522">
        <f>ROUND((AE200*'User interface_Non-RES'!O78)/25,0)*25</f>
        <v>0</v>
      </c>
      <c r="AG200" s="1522">
        <f>AE200-AF200</f>
        <v>0</v>
      </c>
      <c r="AH200" s="60"/>
      <c r="AI200" s="1020">
        <f>X200+AA200+AD200</f>
        <v>0</v>
      </c>
      <c r="AJ200" s="1020">
        <f>Z200+AE200</f>
        <v>0</v>
      </c>
      <c r="AK200" s="1518">
        <f>SUM(AI200:AJ200)</f>
        <v>0</v>
      </c>
      <c r="AL200" s="1518">
        <f>U200-AK200</f>
        <v>0</v>
      </c>
      <c r="AM200" s="60"/>
      <c r="AN200" s="60"/>
      <c r="AO200" s="60"/>
      <c r="AP200" s="60"/>
      <c r="AQ200" s="60"/>
      <c r="AR200" s="60"/>
      <c r="AS200" s="60"/>
      <c r="AT200" s="60"/>
      <c r="AU200" s="60"/>
      <c r="AV200" s="60"/>
      <c r="AW200" s="60"/>
      <c r="AX200" s="60"/>
      <c r="AY200" s="60"/>
      <c r="AZ200" s="60"/>
      <c r="BA200" s="60"/>
      <c r="BB200" s="60"/>
      <c r="BC200" s="60"/>
    </row>
    <row r="201" spans="1:58" s="184" customFormat="1" ht="17.149999999999999" customHeight="1" x14ac:dyDescent="0.3">
      <c r="A201" s="1038" t="s">
        <v>862</v>
      </c>
      <c r="B201" s="1039">
        <f>SUM(B202:B204)</f>
        <v>0</v>
      </c>
      <c r="C201" s="1040">
        <f>SUM(C202:C204)</f>
        <v>0</v>
      </c>
      <c r="D201" s="1039"/>
      <c r="E201" s="1039">
        <f>SUM(E202:E204)</f>
        <v>0</v>
      </c>
      <c r="F201" s="1039">
        <f>SUM(F202:F204)</f>
        <v>0</v>
      </c>
      <c r="G201" s="1039">
        <f>SUM(G202:G204)</f>
        <v>0</v>
      </c>
      <c r="H201" s="1039">
        <f>SUM(H202:H204)</f>
        <v>0</v>
      </c>
      <c r="I201" s="1039">
        <f>SUM(I202:I204)</f>
        <v>0</v>
      </c>
      <c r="J201" s="1039"/>
      <c r="K201" s="1039">
        <f>SUM(K202:K204)</f>
        <v>0</v>
      </c>
      <c r="L201" s="1039">
        <f>SUM(L202:L204)</f>
        <v>0</v>
      </c>
      <c r="M201" s="1039">
        <f>SUM(M202:M204)</f>
        <v>0</v>
      </c>
      <c r="N201" s="1039">
        <f>SUM(N202:N204)</f>
        <v>0</v>
      </c>
      <c r="O201" s="137"/>
      <c r="P201" s="1039">
        <f>SUM(P202:P204)</f>
        <v>0</v>
      </c>
      <c r="Q201" s="1039">
        <f>SUM(Q202:Q204)</f>
        <v>0</v>
      </c>
      <c r="R201" s="1039">
        <f>SUM(R202:R204)</f>
        <v>0</v>
      </c>
      <c r="S201" s="1518">
        <f>SUM(S202:S204)</f>
        <v>0</v>
      </c>
      <c r="T201" s="137"/>
      <c r="U201" s="1041">
        <f>SUM(U202:U204)</f>
        <v>0</v>
      </c>
      <c r="V201" s="1041">
        <f>SUM(V202:V204)</f>
        <v>0</v>
      </c>
      <c r="W201" s="1041"/>
      <c r="X201" s="1041">
        <f>SUM(X202:X204)</f>
        <v>0</v>
      </c>
      <c r="Y201" s="1041">
        <f>SUM(Y202:Y204)</f>
        <v>0</v>
      </c>
      <c r="Z201" s="1041">
        <f>SUM(Z202:Z204)</f>
        <v>0</v>
      </c>
      <c r="AA201" s="1041">
        <f>SUM(AA202:AA204)</f>
        <v>0</v>
      </c>
      <c r="AB201" s="1042">
        <f>SUM(AB202:AB204)</f>
        <v>0</v>
      </c>
      <c r="AC201" s="1042"/>
      <c r="AD201" s="1042">
        <f>SUM(AD202:AD204)</f>
        <v>0</v>
      </c>
      <c r="AE201" s="1042">
        <f>SUM(AE202:AE204)</f>
        <v>0</v>
      </c>
      <c r="AF201" s="1042">
        <f>SUM(AF202:AF204)</f>
        <v>0</v>
      </c>
      <c r="AG201" s="1042">
        <f>SUM(AG202:AG204)</f>
        <v>0</v>
      </c>
      <c r="AH201" s="3"/>
      <c r="AI201" s="1041">
        <f>SUM(AI202:AI204)</f>
        <v>0</v>
      </c>
      <c r="AJ201" s="1041">
        <f>SUM(AJ202:AJ204)</f>
        <v>0</v>
      </c>
      <c r="AK201" s="1041">
        <f>SUM(AK202:AK204)</f>
        <v>0</v>
      </c>
      <c r="AL201" s="1518">
        <f>SUM(AL202:AL204)</f>
        <v>0</v>
      </c>
      <c r="AM201" s="3"/>
      <c r="AN201" s="3"/>
      <c r="AO201" s="3"/>
      <c r="AP201" s="3"/>
      <c r="AQ201" s="3"/>
      <c r="AR201" s="3"/>
      <c r="AS201" s="3"/>
      <c r="AT201" s="3"/>
      <c r="AU201" s="3"/>
      <c r="AV201" s="3"/>
      <c r="AW201" s="3"/>
      <c r="AX201" s="3"/>
      <c r="AY201" s="3"/>
      <c r="AZ201" s="3"/>
      <c r="BA201" s="3"/>
      <c r="BB201" s="3"/>
      <c r="BC201" s="3"/>
      <c r="BD201" s="3"/>
    </row>
    <row r="202" spans="1:58" s="1045" customFormat="1" ht="17.149999999999999" customHeight="1" x14ac:dyDescent="0.35">
      <c r="A202" s="155" t="s">
        <v>827</v>
      </c>
      <c r="B202" s="1522">
        <f>'FS_Capture volumes'!E239</f>
        <v>0</v>
      </c>
      <c r="C202" s="1020">
        <v>0</v>
      </c>
      <c r="D202" s="999">
        <f>'User interface_Non-RES'!L58</f>
        <v>0</v>
      </c>
      <c r="E202" s="1522">
        <f>ROUND((C202*D202)/25,0)*25</f>
        <v>0</v>
      </c>
      <c r="F202" s="1522">
        <f>C202-E202</f>
        <v>0</v>
      </c>
      <c r="G202" s="1522">
        <f>ROUND((F202*'User interface_Non-RES'!O80)/25,0)*25</f>
        <v>0</v>
      </c>
      <c r="H202" s="1522">
        <f>F202-G202</f>
        <v>0</v>
      </c>
      <c r="I202" s="1522">
        <f>B202-C202</f>
        <v>0</v>
      </c>
      <c r="J202" s="999">
        <f>D202</f>
        <v>0</v>
      </c>
      <c r="K202" s="1522">
        <f>ROUND((I202*J202)/25,0)*25</f>
        <v>0</v>
      </c>
      <c r="L202" s="1522">
        <f>I202-K202</f>
        <v>0</v>
      </c>
      <c r="M202" s="1522">
        <f>ROUND((L202*'User interface_Non-RES'!O80)/25,0)*25</f>
        <v>0</v>
      </c>
      <c r="N202" s="1522">
        <f>L202-M202</f>
        <v>0</v>
      </c>
      <c r="O202" s="60"/>
      <c r="P202" s="1020">
        <f>E202+H202+K202</f>
        <v>0</v>
      </c>
      <c r="Q202" s="1020">
        <f>G202+L202</f>
        <v>0</v>
      </c>
      <c r="R202" s="1518">
        <f>SUM(P202:Q202)</f>
        <v>0</v>
      </c>
      <c r="S202" s="1518">
        <f>B202-R202</f>
        <v>0</v>
      </c>
      <c r="T202" s="60"/>
      <c r="U202" s="1522">
        <f>'FS_Capture volumes'!F239</f>
        <v>0</v>
      </c>
      <c r="V202" s="1522">
        <f>ROUND((U202*'User interface_Non-RES'!$M$58)/25,0)*25</f>
        <v>0</v>
      </c>
      <c r="W202" s="956">
        <f>'User interface_Non-RES'!$L$58</f>
        <v>0</v>
      </c>
      <c r="X202" s="1522">
        <f>ROUND((V202*W202)/25,0)*25</f>
        <v>0</v>
      </c>
      <c r="Y202" s="1522">
        <f>V202-X202</f>
        <v>0</v>
      </c>
      <c r="Z202" s="1522">
        <f>ROUND((Y202*'User interface_Non-RES'!O80)/25,0)*25</f>
        <v>0</v>
      </c>
      <c r="AA202" s="1522">
        <f>Y202-Z202</f>
        <v>0</v>
      </c>
      <c r="AB202" s="1522">
        <f>U202-V202</f>
        <v>0</v>
      </c>
      <c r="AC202" s="999">
        <f>W202</f>
        <v>0</v>
      </c>
      <c r="AD202" s="1522">
        <f>ROUND((AB202*AC202)/25,0)*25</f>
        <v>0</v>
      </c>
      <c r="AE202" s="1522">
        <f>AB202-AD202</f>
        <v>0</v>
      </c>
      <c r="AF202" s="1522">
        <f>ROUND((AE202*'User interface_Non-RES'!O80)/25,0)*25</f>
        <v>0</v>
      </c>
      <c r="AG202" s="1522">
        <f>AE202-AF202</f>
        <v>0</v>
      </c>
      <c r="AH202" s="60"/>
      <c r="AI202" s="1020">
        <f>X202+AA202+AD202</f>
        <v>0</v>
      </c>
      <c r="AJ202" s="1020">
        <f>Z202+AE202</f>
        <v>0</v>
      </c>
      <c r="AK202" s="1518">
        <f>SUM(AI202:AJ202)</f>
        <v>0</v>
      </c>
      <c r="AL202" s="1518">
        <f>U202-AK202</f>
        <v>0</v>
      </c>
      <c r="AM202" s="60"/>
      <c r="AN202" s="60"/>
      <c r="AO202" s="60"/>
      <c r="AP202" s="60"/>
      <c r="AQ202" s="60"/>
      <c r="AR202" s="60"/>
      <c r="AS202" s="60"/>
      <c r="AT202" s="60"/>
      <c r="AU202" s="60"/>
      <c r="AV202" s="60"/>
      <c r="AW202" s="60"/>
      <c r="AX202" s="60"/>
      <c r="AY202" s="60"/>
      <c r="AZ202" s="60"/>
      <c r="BA202" s="60"/>
      <c r="BB202" s="60"/>
      <c r="BC202" s="60"/>
    </row>
    <row r="203" spans="1:58" s="1045" customFormat="1" ht="17.149999999999999" customHeight="1" x14ac:dyDescent="0.35">
      <c r="A203" s="155" t="s">
        <v>828</v>
      </c>
      <c r="B203" s="1522">
        <f>'FS_Capture volumes'!E240</f>
        <v>0</v>
      </c>
      <c r="C203" s="1020">
        <v>0</v>
      </c>
      <c r="D203" s="999">
        <f>'User interface_Non-RES'!L58</f>
        <v>0</v>
      </c>
      <c r="E203" s="1522">
        <f>ROUND((C203*D203)/25,0)*25</f>
        <v>0</v>
      </c>
      <c r="F203" s="1522">
        <f>C203-E203</f>
        <v>0</v>
      </c>
      <c r="G203" s="1522">
        <f>ROUND((F203*'User interface_Non-RES'!O81)/25,0)*25</f>
        <v>0</v>
      </c>
      <c r="H203" s="1522">
        <f>F203-G203</f>
        <v>0</v>
      </c>
      <c r="I203" s="1522">
        <f>B203-C203</f>
        <v>0</v>
      </c>
      <c r="J203" s="999">
        <f>D203</f>
        <v>0</v>
      </c>
      <c r="K203" s="1522">
        <f>ROUND((I203*J203)/25,0)*25</f>
        <v>0</v>
      </c>
      <c r="L203" s="1522">
        <f>I203-K203</f>
        <v>0</v>
      </c>
      <c r="M203" s="1522">
        <f>ROUND((L203*'User interface_Non-RES'!O81)/25,0)*25</f>
        <v>0</v>
      </c>
      <c r="N203" s="1522">
        <f>L203-M203</f>
        <v>0</v>
      </c>
      <c r="O203" s="60"/>
      <c r="P203" s="1020">
        <f>E203+H203+K203</f>
        <v>0</v>
      </c>
      <c r="Q203" s="1020">
        <f>G203+L203</f>
        <v>0</v>
      </c>
      <c r="R203" s="1518">
        <f>SUM(P203:Q203)</f>
        <v>0</v>
      </c>
      <c r="S203" s="1518">
        <f>B203-R203</f>
        <v>0</v>
      </c>
      <c r="T203" s="60"/>
      <c r="U203" s="1522">
        <f>'FS_Capture volumes'!F240</f>
        <v>0</v>
      </c>
      <c r="V203" s="1522">
        <f>ROUND((U203*'User interface_Non-RES'!$M$58)/25,0)*25</f>
        <v>0</v>
      </c>
      <c r="W203" s="956">
        <f>'User interface_Non-RES'!$L$58</f>
        <v>0</v>
      </c>
      <c r="X203" s="1522">
        <f>ROUND((V203*W203)/25,0)*25</f>
        <v>0</v>
      </c>
      <c r="Y203" s="1522">
        <f>V203-X203</f>
        <v>0</v>
      </c>
      <c r="Z203" s="1522">
        <f>ROUND((Y203*'User interface_Non-RES'!O81)/25,0)*25</f>
        <v>0</v>
      </c>
      <c r="AA203" s="1522">
        <f>Y203-Z203</f>
        <v>0</v>
      </c>
      <c r="AB203" s="1522">
        <f>U203-V203</f>
        <v>0</v>
      </c>
      <c r="AC203" s="999">
        <f>W203</f>
        <v>0</v>
      </c>
      <c r="AD203" s="1522">
        <f>ROUND((AB203*AC203)/25,0)*25</f>
        <v>0</v>
      </c>
      <c r="AE203" s="1522">
        <f>AB203-AD203</f>
        <v>0</v>
      </c>
      <c r="AF203" s="1522">
        <f>ROUND((AE203*'User interface_Non-RES'!O81)/25,0)*25</f>
        <v>0</v>
      </c>
      <c r="AG203" s="1522">
        <f>AE203-AF203</f>
        <v>0</v>
      </c>
      <c r="AH203" s="60"/>
      <c r="AI203" s="1020">
        <f>X203+AA203+AD203</f>
        <v>0</v>
      </c>
      <c r="AJ203" s="1020">
        <f>Z203+AE203</f>
        <v>0</v>
      </c>
      <c r="AK203" s="1518">
        <f>SUM(AI203:AJ203)</f>
        <v>0</v>
      </c>
      <c r="AL203" s="1518">
        <f>U203-AK203</f>
        <v>0</v>
      </c>
      <c r="AM203" s="60"/>
      <c r="AN203" s="60"/>
      <c r="AO203" s="60"/>
      <c r="AP203" s="60"/>
      <c r="AQ203" s="60"/>
      <c r="AR203" s="60"/>
      <c r="AS203" s="60"/>
      <c r="AT203" s="60"/>
      <c r="AU203" s="60"/>
      <c r="AV203" s="60"/>
      <c r="AW203" s="60"/>
      <c r="AX203" s="60"/>
      <c r="AY203" s="60"/>
      <c r="AZ203" s="60"/>
      <c r="BA203" s="60"/>
      <c r="BB203" s="60"/>
      <c r="BC203" s="60"/>
    </row>
    <row r="204" spans="1:58" s="1045" customFormat="1" ht="17.149999999999999" customHeight="1" x14ac:dyDescent="0.35">
      <c r="A204" s="155" t="s">
        <v>831</v>
      </c>
      <c r="B204" s="1522">
        <f>'FS_Capture volumes'!E241</f>
        <v>0</v>
      </c>
      <c r="C204" s="1020">
        <v>0</v>
      </c>
      <c r="D204" s="999">
        <f>'User interface_Non-RES'!L58</f>
        <v>0</v>
      </c>
      <c r="E204" s="1522">
        <f>ROUND((C204*D204)/25,0)*25</f>
        <v>0</v>
      </c>
      <c r="F204" s="1522">
        <f>C204-E204</f>
        <v>0</v>
      </c>
      <c r="G204" s="1522">
        <f>ROUND((F204*'User interface_Non-RES'!O82)/25,0)*25</f>
        <v>0</v>
      </c>
      <c r="H204" s="1522">
        <f>F204-G204</f>
        <v>0</v>
      </c>
      <c r="I204" s="1522">
        <f>B204-C204</f>
        <v>0</v>
      </c>
      <c r="J204" s="999">
        <f>D204</f>
        <v>0</v>
      </c>
      <c r="K204" s="1522">
        <f>ROUND((I204*J204)/25,0)*25</f>
        <v>0</v>
      </c>
      <c r="L204" s="1522">
        <f>I204-K204</f>
        <v>0</v>
      </c>
      <c r="M204" s="1522">
        <f>ROUND((L204*'User interface_Non-RES'!O82)/25,0)*25</f>
        <v>0</v>
      </c>
      <c r="N204" s="1522">
        <f>L204-M204</f>
        <v>0</v>
      </c>
      <c r="O204" s="60"/>
      <c r="P204" s="1020">
        <f>E204+H204+K204</f>
        <v>0</v>
      </c>
      <c r="Q204" s="1020">
        <f>G204+L204</f>
        <v>0</v>
      </c>
      <c r="R204" s="1518">
        <f>SUM(P204:Q204)</f>
        <v>0</v>
      </c>
      <c r="S204" s="1518">
        <f>B204-R204</f>
        <v>0</v>
      </c>
      <c r="T204" s="60"/>
      <c r="U204" s="1522">
        <f>'FS_Capture volumes'!F241</f>
        <v>0</v>
      </c>
      <c r="V204" s="1522">
        <f>ROUND((U204*'User interface_Non-RES'!$M$58)/25,0)*25</f>
        <v>0</v>
      </c>
      <c r="W204" s="956">
        <f>'User interface_Non-RES'!$L$58</f>
        <v>0</v>
      </c>
      <c r="X204" s="1522">
        <f>ROUND((V204*W204)/25,0)*25</f>
        <v>0</v>
      </c>
      <c r="Y204" s="1522">
        <f>V204-X204</f>
        <v>0</v>
      </c>
      <c r="Z204" s="1522">
        <f>ROUND((Y204*'User interface_Non-RES'!O82)/25,0)*25</f>
        <v>0</v>
      </c>
      <c r="AA204" s="1522">
        <f>Y204-Z204</f>
        <v>0</v>
      </c>
      <c r="AB204" s="1522">
        <f>U204-V204</f>
        <v>0</v>
      </c>
      <c r="AC204" s="999">
        <f>W204</f>
        <v>0</v>
      </c>
      <c r="AD204" s="1522">
        <f>ROUND((AB204*AC204)/25,0)*25</f>
        <v>0</v>
      </c>
      <c r="AE204" s="1522">
        <f>AB204-AD204</f>
        <v>0</v>
      </c>
      <c r="AF204" s="1522">
        <f>ROUND((AE204*'User interface_Non-RES'!O82)/25,0)*25</f>
        <v>0</v>
      </c>
      <c r="AG204" s="1522">
        <f>AE204-AF204</f>
        <v>0</v>
      </c>
      <c r="AH204" s="60"/>
      <c r="AI204" s="1020">
        <f>X204+AA204+AD204</f>
        <v>0</v>
      </c>
      <c r="AJ204" s="1020">
        <f>Z204+AE204</f>
        <v>0</v>
      </c>
      <c r="AK204" s="1518">
        <f>SUM(AI204:AJ204)</f>
        <v>0</v>
      </c>
      <c r="AL204" s="1518">
        <f>U204-AK204</f>
        <v>0</v>
      </c>
      <c r="AM204" s="60"/>
      <c r="AN204" s="60"/>
      <c r="AO204" s="60"/>
      <c r="AP204" s="60"/>
      <c r="AQ204" s="60"/>
      <c r="AR204" s="60"/>
      <c r="AS204" s="60"/>
      <c r="AT204" s="60"/>
      <c r="AU204" s="60"/>
      <c r="AV204" s="60"/>
      <c r="AW204" s="60"/>
      <c r="AX204" s="60"/>
      <c r="AY204" s="60"/>
      <c r="AZ204" s="60"/>
      <c r="BA204" s="60"/>
      <c r="BB204" s="60"/>
      <c r="BC204" s="60"/>
    </row>
    <row r="205" spans="1:58" s="27" customFormat="1" ht="17.149999999999999" customHeight="1" x14ac:dyDescent="0.3">
      <c r="A205" s="1036" t="s">
        <v>361</v>
      </c>
      <c r="B205" s="1037">
        <f>B201+B197</f>
        <v>6250</v>
      </c>
      <c r="C205" s="1037">
        <f>C201+C197</f>
        <v>5950</v>
      </c>
      <c r="D205" s="1037"/>
      <c r="E205" s="1037">
        <f>E201+E197</f>
        <v>0</v>
      </c>
      <c r="F205" s="1037">
        <f>F201+F197</f>
        <v>5950</v>
      </c>
      <c r="G205" s="1037">
        <f>G201+G197</f>
        <v>5950</v>
      </c>
      <c r="H205" s="1037">
        <f>H201+H197</f>
        <v>0</v>
      </c>
      <c r="I205" s="1037">
        <f>I201+I197</f>
        <v>300</v>
      </c>
      <c r="J205" s="1037"/>
      <c r="K205" s="1037">
        <f>K201+K197</f>
        <v>0</v>
      </c>
      <c r="L205" s="1037">
        <f>L201+L197</f>
        <v>300</v>
      </c>
      <c r="M205" s="1037">
        <f>M201+M197</f>
        <v>300</v>
      </c>
      <c r="N205" s="1037">
        <f>N201+N197</f>
        <v>0</v>
      </c>
      <c r="O205" s="137"/>
      <c r="P205" s="1037">
        <f>P201+P197</f>
        <v>0</v>
      </c>
      <c r="Q205" s="1037">
        <f>Q201+Q197</f>
        <v>6250</v>
      </c>
      <c r="R205" s="1037">
        <f>R201+R197</f>
        <v>6250</v>
      </c>
      <c r="S205" s="1518">
        <f>B205-R205</f>
        <v>0</v>
      </c>
      <c r="T205" s="137"/>
      <c r="U205" s="1034">
        <f>U201+U197</f>
        <v>12425</v>
      </c>
      <c r="V205" s="1034">
        <f>V201+V197</f>
        <v>0</v>
      </c>
      <c r="W205" s="1034"/>
      <c r="X205" s="1034">
        <f>X201+X197</f>
        <v>0</v>
      </c>
      <c r="Y205" s="1034">
        <f>Y201+Y197</f>
        <v>0</v>
      </c>
      <c r="Z205" s="1034">
        <f>Z201+Z197</f>
        <v>0</v>
      </c>
      <c r="AA205" s="1034">
        <f>AA201+AA197</f>
        <v>0</v>
      </c>
      <c r="AB205" s="1034">
        <f>AB201+AB197</f>
        <v>12425</v>
      </c>
      <c r="AC205" s="1034"/>
      <c r="AD205" s="1034">
        <f>AD201+AD197</f>
        <v>0</v>
      </c>
      <c r="AE205" s="1034">
        <f>AE201+AE197</f>
        <v>12425</v>
      </c>
      <c r="AF205" s="1034">
        <f>AF201+AF197</f>
        <v>12425</v>
      </c>
      <c r="AG205" s="1034">
        <f>AG201+AG197</f>
        <v>0</v>
      </c>
      <c r="AH205" s="12"/>
      <c r="AI205" s="1034">
        <f>AI201+AI197</f>
        <v>0</v>
      </c>
      <c r="AJ205" s="1034">
        <f>AJ201+AJ197</f>
        <v>12425</v>
      </c>
      <c r="AK205" s="1035">
        <f>AK201+AK197</f>
        <v>12425</v>
      </c>
      <c r="AL205" s="1518">
        <f>U205-AK205</f>
        <v>0</v>
      </c>
      <c r="AM205" s="12"/>
      <c r="AN205" s="12"/>
      <c r="AO205" s="12"/>
      <c r="AP205" s="12"/>
      <c r="AQ205" s="12"/>
      <c r="AR205" s="12"/>
      <c r="AS205" s="12"/>
      <c r="AT205" s="12"/>
      <c r="AU205" s="12"/>
      <c r="AV205" s="12"/>
      <c r="AW205" s="12"/>
      <c r="AX205" s="12"/>
      <c r="AY205" s="12"/>
      <c r="AZ205" s="12"/>
      <c r="BA205" s="12"/>
      <c r="BB205" s="12"/>
      <c r="BC205" s="12"/>
      <c r="BD205" s="12"/>
    </row>
    <row r="206" spans="1:58" s="184" customFormat="1" ht="17.149999999999999" customHeight="1" x14ac:dyDescent="0.3">
      <c r="A206" s="122"/>
      <c r="B206" s="172">
        <f>IF(B205=0,0,B205/B205)</f>
        <v>1</v>
      </c>
      <c r="C206" s="370">
        <f>IF(B205=0,0,C205/B205)</f>
        <v>0.95199999999999996</v>
      </c>
      <c r="D206" s="172"/>
      <c r="E206" s="172">
        <f>IF(B205=0,0,E205/B205)</f>
        <v>0</v>
      </c>
      <c r="F206" s="172">
        <f>IF(B205=0,0,F205/B205)</f>
        <v>0.95199999999999996</v>
      </c>
      <c r="G206" s="172"/>
      <c r="H206" s="172"/>
      <c r="I206" s="172">
        <f>IF(B205=0,0,I205/B205)</f>
        <v>4.8000000000000001E-2</v>
      </c>
      <c r="J206" s="172"/>
      <c r="K206" s="172">
        <f>IF(B205=0,0,K205/B205)</f>
        <v>0</v>
      </c>
      <c r="L206" s="172">
        <f>IF(B205=0,0,L205/B205)</f>
        <v>4.8000000000000001E-2</v>
      </c>
      <c r="M206" s="143"/>
      <c r="N206" s="143"/>
      <c r="O206" s="3"/>
      <c r="P206" s="172">
        <f>IF(B205=0,0,P205/B205)</f>
        <v>0</v>
      </c>
      <c r="Q206" s="370">
        <f>IF(B205=0,0,Q205/B205)</f>
        <v>1</v>
      </c>
      <c r="R206" s="370">
        <f>IF(B205=0,0,R205/B205)</f>
        <v>1</v>
      </c>
      <c r="S206" s="391"/>
      <c r="T206" s="137"/>
      <c r="U206" s="172">
        <f>IF(U205=0,0,U205/U205)</f>
        <v>1</v>
      </c>
      <c r="V206" s="370">
        <f>IF(U205=0,0,V205/U205)</f>
        <v>0</v>
      </c>
      <c r="W206" s="172"/>
      <c r="X206" s="172">
        <f>IF(U205=0,0,X205/U205)</f>
        <v>0</v>
      </c>
      <c r="Y206" s="172">
        <f>IF(U205=0,0,Y205/U205)</f>
        <v>0</v>
      </c>
      <c r="Z206" s="172"/>
      <c r="AA206" s="172"/>
      <c r="AB206" s="172">
        <f>IF(U205=0,0,AB205/U205)</f>
        <v>1</v>
      </c>
      <c r="AC206" s="172"/>
      <c r="AD206" s="172">
        <f>IF(U205=0,0,AD205/U205)</f>
        <v>0</v>
      </c>
      <c r="AE206" s="172">
        <f>IF(U205=0,0,AE205/U205)</f>
        <v>1</v>
      </c>
      <c r="AF206" s="143"/>
      <c r="AG206" s="143"/>
      <c r="AH206" s="3"/>
      <c r="AI206" s="172">
        <f>IF(U205=0,0,AI205/U205)</f>
        <v>0</v>
      </c>
      <c r="AJ206" s="370">
        <f>IF(U205=0,0,AJ205/U205)</f>
        <v>1</v>
      </c>
      <c r="AK206" s="370">
        <f>IF(U205=0,0,AK205/U205)</f>
        <v>1</v>
      </c>
      <c r="AL206" s="391"/>
      <c r="AM206" s="3"/>
      <c r="AN206" s="3"/>
      <c r="AO206" s="3"/>
      <c r="AP206" s="3"/>
      <c r="AQ206" s="3"/>
      <c r="AR206" s="3"/>
      <c r="AS206" s="3"/>
      <c r="AT206" s="3"/>
      <c r="AU206" s="3"/>
      <c r="AV206" s="3"/>
      <c r="AW206" s="3"/>
      <c r="AX206" s="3"/>
      <c r="AY206" s="3"/>
      <c r="AZ206" s="3"/>
      <c r="BA206" s="3"/>
      <c r="BB206" s="3"/>
      <c r="BC206" s="3"/>
    </row>
    <row r="207" spans="1:58" s="184" customFormat="1" ht="17.149999999999999" customHeight="1" x14ac:dyDescent="0.3">
      <c r="A207" s="122"/>
      <c r="C207" s="370">
        <f>IF(C205=0,0,C205/C205)</f>
        <v>1</v>
      </c>
      <c r="D207" s="223"/>
      <c r="E207" s="370">
        <f>IF(C205=0,0,E205/C205)</f>
        <v>0</v>
      </c>
      <c r="F207" s="370">
        <f>IF(C205=0,0,F205/C205)</f>
        <v>1</v>
      </c>
      <c r="G207" s="172"/>
      <c r="H207" s="172"/>
      <c r="I207" s="370">
        <f>IF(I205=0,0,I205/I205)</f>
        <v>1</v>
      </c>
      <c r="J207" s="454"/>
      <c r="K207" s="370">
        <f>IF(I205=0,0,K205/I205)</f>
        <v>0</v>
      </c>
      <c r="L207" s="370">
        <f>IF(I205=0,0,L205/I205)</f>
        <v>1</v>
      </c>
      <c r="M207" s="143"/>
      <c r="N207" s="143"/>
      <c r="O207" s="3"/>
      <c r="T207" s="137"/>
      <c r="V207" s="370">
        <f>IF(V205=0,0,V205/V205)</f>
        <v>0</v>
      </c>
      <c r="W207" s="223"/>
      <c r="X207" s="370">
        <f>IF(V205=0,0,X205/V205)</f>
        <v>0</v>
      </c>
      <c r="Y207" s="370">
        <f>IF(V205=0,0,Y205/V205)</f>
        <v>0</v>
      </c>
      <c r="Z207" s="172"/>
      <c r="AA207" s="172"/>
      <c r="AB207" s="370">
        <f>IF(AB205=0,0,AB205/AB205)</f>
        <v>1</v>
      </c>
      <c r="AC207" s="454"/>
      <c r="AD207" s="370">
        <f>IF(AB205=0,0,AD205/AB205)</f>
        <v>0</v>
      </c>
      <c r="AE207" s="370">
        <f>IF(AB205=0,0,AE205/AB205)</f>
        <v>1</v>
      </c>
      <c r="AF207" s="143"/>
      <c r="AG207" s="143"/>
      <c r="AH207" s="3"/>
      <c r="AL207" s="3"/>
      <c r="AM207" s="3"/>
      <c r="AN207" s="3"/>
      <c r="AO207" s="3"/>
      <c r="AP207" s="3"/>
      <c r="AQ207" s="3"/>
      <c r="AR207" s="3"/>
      <c r="AS207" s="3"/>
      <c r="AT207" s="3"/>
      <c r="AU207" s="3"/>
      <c r="AV207" s="3"/>
      <c r="AW207" s="3"/>
      <c r="AX207" s="3"/>
      <c r="AY207" s="3"/>
      <c r="AZ207" s="3"/>
      <c r="BA207" s="3"/>
      <c r="BB207" s="3"/>
      <c r="BC207" s="3"/>
    </row>
    <row r="208" spans="1:58" s="3" customFormat="1" ht="17.149999999999999" customHeight="1" x14ac:dyDescent="0.3">
      <c r="A208" s="47"/>
      <c r="B208" s="184"/>
      <c r="C208" s="184"/>
      <c r="D208" s="184"/>
      <c r="E208" s="184"/>
      <c r="F208" s="454">
        <f>IF(F205=0,0,F205/F205)</f>
        <v>1</v>
      </c>
      <c r="G208" s="172">
        <f>IF(F205=0,0,G205/F205)</f>
        <v>1</v>
      </c>
      <c r="H208" s="454">
        <f>IF(F205=0,0,H205/F205)</f>
        <v>0</v>
      </c>
      <c r="L208" s="454">
        <f>IF(L205=0,0,L205/L205)</f>
        <v>1</v>
      </c>
      <c r="M208" s="172">
        <f>IF(L205=0,0,M205/L205)</f>
        <v>1</v>
      </c>
      <c r="N208" s="454">
        <f>IF(L205=0,0,N205/L205)</f>
        <v>0</v>
      </c>
      <c r="P208" s="184"/>
      <c r="Q208" s="184"/>
      <c r="R208" s="184"/>
      <c r="S208" s="184"/>
      <c r="T208" s="137"/>
      <c r="U208" s="184"/>
      <c r="V208" s="184"/>
      <c r="W208" s="184"/>
      <c r="X208" s="184"/>
      <c r="Y208" s="454">
        <f>IF(Y205=0,0,Y205/Y205)</f>
        <v>0</v>
      </c>
      <c r="Z208" s="172">
        <f>IF(Y205=0,0,Z205/Y205)</f>
        <v>0</v>
      </c>
      <c r="AA208" s="454">
        <f>IF(Y205=0,0,AA205/Y205)</f>
        <v>0</v>
      </c>
      <c r="AE208" s="454">
        <f>IF(AE205=0,0,AE205/AE205)</f>
        <v>1</v>
      </c>
      <c r="AF208" s="172">
        <f>IF(AE205=0,0,AF205/AE205)</f>
        <v>1</v>
      </c>
      <c r="AG208" s="454">
        <f>IF(AE205=0,0,AG205/AE205)</f>
        <v>0</v>
      </c>
      <c r="AI208" s="184"/>
      <c r="AJ208" s="184"/>
      <c r="AK208" s="184"/>
    </row>
    <row r="209" spans="1:37" s="3" customFormat="1" ht="17.149999999999999" customHeight="1" x14ac:dyDescent="0.35">
      <c r="A209" s="47"/>
      <c r="B209" s="184"/>
      <c r="C209" s="184"/>
      <c r="D209" s="184"/>
      <c r="E209" s="184"/>
    </row>
    <row r="210" spans="1:37" s="3" customFormat="1" ht="17.149999999999999" customHeight="1" x14ac:dyDescent="0.35">
      <c r="A210" s="47"/>
      <c r="B210" s="184"/>
      <c r="C210" s="184"/>
      <c r="D210" s="184"/>
      <c r="E210" s="184"/>
      <c r="P210" s="381">
        <f>P186+P205</f>
        <v>0</v>
      </c>
      <c r="Q210" s="381">
        <f>Q186+Q205</f>
        <v>37525</v>
      </c>
      <c r="R210" s="381">
        <f>SUM(P210:Q210)</f>
        <v>37525</v>
      </c>
      <c r="AI210" s="190">
        <f>AI186+AI205</f>
        <v>0</v>
      </c>
      <c r="AJ210" s="190">
        <f>AJ186+AJ205</f>
        <v>69750</v>
      </c>
      <c r="AK210" s="190">
        <f>SUM(AI210:AJ210)</f>
        <v>69750</v>
      </c>
    </row>
    <row r="211" spans="1:37" s="12" customFormat="1" ht="17.149999999999999" customHeight="1" x14ac:dyDescent="0.35">
      <c r="A211" s="950" t="s">
        <v>923</v>
      </c>
      <c r="B211" s="1504" t="s">
        <v>9</v>
      </c>
      <c r="C211" s="1508" t="s">
        <v>253</v>
      </c>
      <c r="D211" s="27"/>
      <c r="E211" s="27"/>
    </row>
    <row r="212" spans="1:37" s="3" customFormat="1" ht="17.149999999999999" customHeight="1" x14ac:dyDescent="0.35">
      <c r="A212" s="143" t="s">
        <v>924</v>
      </c>
      <c r="B212" s="204">
        <f>B164</f>
        <v>31275</v>
      </c>
      <c r="C212" s="204">
        <f>'FS_Capture volumes'!F263</f>
        <v>55250</v>
      </c>
      <c r="D212" s="184"/>
      <c r="E212" s="184"/>
      <c r="P212" s="53">
        <f>P79+P210</f>
        <v>2250</v>
      </c>
      <c r="Q212" s="53">
        <f>Q79+Q210</f>
        <v>147700</v>
      </c>
      <c r="R212" s="53">
        <f>R79+R210</f>
        <v>149950</v>
      </c>
    </row>
    <row r="213" spans="1:37" s="3" customFormat="1" ht="17.149999999999999" customHeight="1" x14ac:dyDescent="0.35">
      <c r="A213" s="143" t="s">
        <v>925</v>
      </c>
      <c r="B213" s="204">
        <f>B177</f>
        <v>0</v>
      </c>
      <c r="C213" s="204">
        <f>U177</f>
        <v>0</v>
      </c>
      <c r="D213" s="184"/>
      <c r="E213" s="184"/>
      <c r="P213" s="54"/>
      <c r="Q213" s="54"/>
      <c r="R213" s="54"/>
    </row>
    <row r="214" spans="1:37" s="3" customFormat="1" ht="17.149999999999999" customHeight="1" x14ac:dyDescent="0.35">
      <c r="A214" s="143" t="s">
        <v>926</v>
      </c>
      <c r="B214" s="204">
        <f>B186</f>
        <v>31275</v>
      </c>
      <c r="C214" s="204">
        <f>U186</f>
        <v>57325</v>
      </c>
      <c r="D214" s="184"/>
      <c r="E214" s="184"/>
    </row>
    <row r="215" spans="1:37" s="3" customFormat="1" ht="17.149999999999999" customHeight="1" x14ac:dyDescent="0.35">
      <c r="A215" s="143" t="s">
        <v>927</v>
      </c>
      <c r="B215" s="204">
        <f>B205</f>
        <v>6250</v>
      </c>
      <c r="C215" s="204">
        <f>U205</f>
        <v>12425</v>
      </c>
      <c r="D215" s="184"/>
      <c r="E215" s="184"/>
    </row>
    <row r="216" spans="1:37" s="12" customFormat="1" ht="17.149999999999999" customHeight="1" x14ac:dyDescent="0.35">
      <c r="A216" s="950" t="s">
        <v>928</v>
      </c>
      <c r="B216" s="1021">
        <f>SUM(B212:B215)</f>
        <v>68800</v>
      </c>
      <c r="C216" s="1022">
        <f>SUM(C212:C215)</f>
        <v>125000</v>
      </c>
      <c r="D216" s="27"/>
      <c r="E216" s="27"/>
    </row>
    <row r="217" spans="1:37" s="3" customFormat="1" ht="17.149999999999999" customHeight="1" x14ac:dyDescent="0.35">
      <c r="A217" s="7"/>
      <c r="B217" s="204">
        <f>'FS_Capture volumes'!E262</f>
        <v>68800</v>
      </c>
      <c r="C217" s="204">
        <f>'FS_Capture volumes'!F262</f>
        <v>125000</v>
      </c>
      <c r="D217" s="184"/>
      <c r="E217" s="184"/>
    </row>
    <row r="218" spans="1:37" s="3" customFormat="1" ht="17.149999999999999" customHeight="1" x14ac:dyDescent="0.35">
      <c r="A218" s="7"/>
      <c r="B218" s="1519" t="str">
        <f>IF(B216=B217,"OK","Not OK")</f>
        <v>OK</v>
      </c>
      <c r="C218" s="1519" t="str">
        <f>IF(C216=C217,"OK","Not OK")</f>
        <v>OK</v>
      </c>
      <c r="D218" s="184"/>
      <c r="E218" s="184"/>
    </row>
    <row r="219" spans="1:37" s="3" customFormat="1" ht="17.149999999999999" customHeight="1" x14ac:dyDescent="0.35">
      <c r="A219" s="47"/>
      <c r="B219" s="184"/>
      <c r="C219" s="184"/>
      <c r="D219" s="184"/>
      <c r="E219" s="184"/>
    </row>
    <row r="220" spans="1:37" s="3" customFormat="1" ht="17.149999999999999" customHeight="1" x14ac:dyDescent="0.35">
      <c r="A220" s="47"/>
      <c r="B220" s="184"/>
      <c r="C220" s="184"/>
      <c r="D220" s="184"/>
      <c r="E220" s="184"/>
    </row>
    <row r="221" spans="1:37" s="194" customFormat="1" ht="17.149999999999999" customHeight="1" x14ac:dyDescent="0.35">
      <c r="A221" s="1055" t="s">
        <v>937</v>
      </c>
      <c r="B221" s="1790" t="s">
        <v>9</v>
      </c>
      <c r="C221" s="1790"/>
      <c r="D221" s="1790"/>
      <c r="E221" s="1790"/>
      <c r="F221" s="1790"/>
      <c r="G221" s="1790"/>
      <c r="H221" s="1791" t="s">
        <v>253</v>
      </c>
      <c r="I221" s="1791"/>
      <c r="J221" s="1791"/>
      <c r="K221" s="1791"/>
      <c r="L221" s="1791"/>
      <c r="M221" s="1791"/>
      <c r="N221" s="119"/>
    </row>
    <row r="222" spans="1:37" s="120" customFormat="1" ht="17.149999999999999" customHeight="1" x14ac:dyDescent="0.35">
      <c r="A222" s="404"/>
      <c r="B222" s="405"/>
      <c r="C222" s="405"/>
      <c r="D222" s="405"/>
      <c r="E222" s="405"/>
      <c r="F222" s="405"/>
      <c r="G222" s="405"/>
      <c r="H222" s="405"/>
      <c r="I222" s="405"/>
      <c r="J222" s="405"/>
      <c r="K222" s="405"/>
      <c r="L222" s="405"/>
      <c r="M222" s="405"/>
      <c r="N222" s="406"/>
    </row>
    <row r="223" spans="1:37" s="20" customFormat="1" ht="17.149999999999999" customHeight="1" x14ac:dyDescent="0.35">
      <c r="A223" s="403"/>
      <c r="B223" s="1792" t="s">
        <v>938</v>
      </c>
      <c r="C223" s="1792"/>
      <c r="D223" s="1792"/>
      <c r="E223" s="1792" t="s">
        <v>939</v>
      </c>
      <c r="F223" s="1792"/>
      <c r="G223" s="1792"/>
      <c r="H223" s="1793" t="s">
        <v>938</v>
      </c>
      <c r="I223" s="1793"/>
      <c r="J223" s="1793"/>
      <c r="K223" s="1793" t="s">
        <v>939</v>
      </c>
      <c r="L223" s="1793"/>
      <c r="M223" s="1793"/>
      <c r="N223" s="54"/>
    </row>
    <row r="224" spans="1:37" s="20" customFormat="1" ht="43.5" x14ac:dyDescent="0.35">
      <c r="A224" s="355"/>
      <c r="B224" s="1511" t="s">
        <v>905</v>
      </c>
      <c r="C224" s="1511" t="s">
        <v>914</v>
      </c>
      <c r="D224" s="1511" t="s">
        <v>902</v>
      </c>
      <c r="E224" s="1511" t="s">
        <v>905</v>
      </c>
      <c r="F224" s="1511" t="s">
        <v>902</v>
      </c>
      <c r="G224" s="1511" t="s">
        <v>940</v>
      </c>
      <c r="H224" s="1033" t="s">
        <v>905</v>
      </c>
      <c r="I224" s="1033" t="s">
        <v>914</v>
      </c>
      <c r="J224" s="1033" t="s">
        <v>902</v>
      </c>
      <c r="K224" s="1033" t="s">
        <v>905</v>
      </c>
      <c r="L224" s="1033" t="s">
        <v>902</v>
      </c>
      <c r="M224" s="1033" t="s">
        <v>940</v>
      </c>
      <c r="N224" s="54"/>
    </row>
    <row r="225" spans="1:14" s="255" customFormat="1" ht="10.5" x14ac:dyDescent="0.35">
      <c r="A225" s="402"/>
      <c r="B225" s="387"/>
      <c r="C225" s="387"/>
      <c r="D225" s="386"/>
      <c r="E225" s="387"/>
      <c r="F225" s="386"/>
      <c r="G225" s="386"/>
      <c r="H225" s="387"/>
      <c r="I225" s="387"/>
      <c r="J225" s="386"/>
      <c r="K225" s="387"/>
      <c r="L225" s="386"/>
      <c r="M225" s="386"/>
      <c r="N225" s="254"/>
    </row>
    <row r="226" spans="1:14" s="20" customFormat="1" ht="17.149999999999999" customHeight="1" x14ac:dyDescent="0.35">
      <c r="A226" s="977" t="s">
        <v>941</v>
      </c>
      <c r="B226" s="1023">
        <f>B227</f>
        <v>0</v>
      </c>
      <c r="C226" s="1023">
        <f t="shared" ref="C226:M226" si="25">C227</f>
        <v>0</v>
      </c>
      <c r="D226" s="1023">
        <f t="shared" si="25"/>
        <v>0</v>
      </c>
      <c r="E226" s="1023">
        <f t="shared" si="25"/>
        <v>0</v>
      </c>
      <c r="F226" s="1023">
        <f t="shared" si="25"/>
        <v>0</v>
      </c>
      <c r="G226" s="1023">
        <f t="shared" si="25"/>
        <v>31275</v>
      </c>
      <c r="H226" s="1024">
        <f t="shared" si="25"/>
        <v>0</v>
      </c>
      <c r="I226" s="1024">
        <f t="shared" si="25"/>
        <v>0</v>
      </c>
      <c r="J226" s="1024">
        <f t="shared" si="25"/>
        <v>0</v>
      </c>
      <c r="K226" s="1024">
        <f t="shared" si="25"/>
        <v>0</v>
      </c>
      <c r="L226" s="1024">
        <f t="shared" si="25"/>
        <v>0</v>
      </c>
      <c r="M226" s="1024">
        <f t="shared" si="25"/>
        <v>55250</v>
      </c>
      <c r="N226" s="54"/>
    </row>
    <row r="227" spans="1:14" s="107" customFormat="1" ht="17.149999999999999" customHeight="1" x14ac:dyDescent="0.35">
      <c r="A227" s="168" t="s">
        <v>906</v>
      </c>
      <c r="B227" s="1056">
        <f>E167</f>
        <v>0</v>
      </c>
      <c r="C227" s="1056">
        <v>0</v>
      </c>
      <c r="D227" s="1056">
        <f>G167</f>
        <v>0</v>
      </c>
      <c r="E227" s="1056">
        <f>K167</f>
        <v>0</v>
      </c>
      <c r="F227" s="1056">
        <f>M167</f>
        <v>0</v>
      </c>
      <c r="G227" s="1056">
        <f>N167+H167</f>
        <v>31275</v>
      </c>
      <c r="H227" s="1056">
        <f>X167</f>
        <v>0</v>
      </c>
      <c r="I227" s="1056">
        <v>0</v>
      </c>
      <c r="J227" s="1056">
        <f>Z167</f>
        <v>0</v>
      </c>
      <c r="K227" s="1056">
        <f>AD167</f>
        <v>0</v>
      </c>
      <c r="L227" s="1056">
        <f>AF167</f>
        <v>0</v>
      </c>
      <c r="M227" s="1056">
        <f>AA167+AG167</f>
        <v>55250</v>
      </c>
      <c r="N227" s="10"/>
    </row>
    <row r="228" spans="1:14" s="20" customFormat="1" ht="17.149999999999999" customHeight="1" x14ac:dyDescent="0.35">
      <c r="A228" s="977" t="s">
        <v>942</v>
      </c>
      <c r="B228" s="1023">
        <f>B229</f>
        <v>0</v>
      </c>
      <c r="C228" s="1023">
        <f t="shared" ref="C228:M228" si="26">C229</f>
        <v>0</v>
      </c>
      <c r="D228" s="1023">
        <f t="shared" si="26"/>
        <v>0</v>
      </c>
      <c r="E228" s="1023">
        <f t="shared" si="26"/>
        <v>0</v>
      </c>
      <c r="F228" s="1023">
        <f t="shared" si="26"/>
        <v>0</v>
      </c>
      <c r="G228" s="1023">
        <f t="shared" si="26"/>
        <v>0</v>
      </c>
      <c r="H228" s="1024">
        <f t="shared" si="26"/>
        <v>0</v>
      </c>
      <c r="I228" s="1024">
        <f t="shared" si="26"/>
        <v>0</v>
      </c>
      <c r="J228" s="1024">
        <f t="shared" si="26"/>
        <v>0</v>
      </c>
      <c r="K228" s="1024">
        <f t="shared" si="26"/>
        <v>0</v>
      </c>
      <c r="L228" s="1024">
        <f t="shared" si="26"/>
        <v>0</v>
      </c>
      <c r="M228" s="1024">
        <f t="shared" si="26"/>
        <v>0</v>
      </c>
      <c r="N228" s="54"/>
    </row>
    <row r="229" spans="1:14" s="20" customFormat="1" ht="17.149999999999999" customHeight="1" x14ac:dyDescent="0.35">
      <c r="A229" s="168" t="s">
        <v>434</v>
      </c>
      <c r="B229" s="1056">
        <f>E177</f>
        <v>0</v>
      </c>
      <c r="C229" s="1056">
        <f>H177</f>
        <v>0</v>
      </c>
      <c r="D229" s="1056">
        <f>G177</f>
        <v>0</v>
      </c>
      <c r="E229" s="1056">
        <f>K177</f>
        <v>0</v>
      </c>
      <c r="F229" s="1056">
        <f>M177</f>
        <v>0</v>
      </c>
      <c r="G229" s="1056">
        <f>N177</f>
        <v>0</v>
      </c>
      <c r="H229" s="1056">
        <f>X177</f>
        <v>0</v>
      </c>
      <c r="I229" s="1056">
        <f>AA177</f>
        <v>0</v>
      </c>
      <c r="J229" s="1056">
        <f>Z177</f>
        <v>0</v>
      </c>
      <c r="K229" s="1056">
        <f>AD177</f>
        <v>0</v>
      </c>
      <c r="L229" s="1056">
        <f>AF177</f>
        <v>0</v>
      </c>
      <c r="M229" s="1056">
        <f>AG177</f>
        <v>0</v>
      </c>
      <c r="N229" s="54"/>
    </row>
    <row r="230" spans="1:14" s="20" customFormat="1" ht="17.149999999999999" customHeight="1" x14ac:dyDescent="0.35">
      <c r="A230" s="977" t="s">
        <v>943</v>
      </c>
      <c r="B230" s="1023">
        <f>SUM(B231:B232)</f>
        <v>0</v>
      </c>
      <c r="C230" s="1023">
        <f t="shared" ref="C230:M230" si="27">SUM(C231:C232)</f>
        <v>0</v>
      </c>
      <c r="D230" s="1023">
        <f t="shared" si="27"/>
        <v>0</v>
      </c>
      <c r="E230" s="1023">
        <f t="shared" si="27"/>
        <v>0</v>
      </c>
      <c r="F230" s="1023">
        <f t="shared" si="27"/>
        <v>31275</v>
      </c>
      <c r="G230" s="1023">
        <f t="shared" si="27"/>
        <v>0</v>
      </c>
      <c r="H230" s="1024">
        <f t="shared" si="27"/>
        <v>0</v>
      </c>
      <c r="I230" s="1024">
        <f t="shared" si="27"/>
        <v>0</v>
      </c>
      <c r="J230" s="1024">
        <f t="shared" si="27"/>
        <v>0</v>
      </c>
      <c r="K230" s="1024">
        <f t="shared" si="27"/>
        <v>0</v>
      </c>
      <c r="L230" s="1024">
        <f t="shared" si="27"/>
        <v>57325</v>
      </c>
      <c r="M230" s="1024">
        <f t="shared" si="27"/>
        <v>0</v>
      </c>
      <c r="N230" s="54"/>
    </row>
    <row r="231" spans="1:14" s="20" customFormat="1" ht="17.149999999999999" customHeight="1" x14ac:dyDescent="0.35">
      <c r="A231" s="168" t="s">
        <v>821</v>
      </c>
      <c r="B231" s="1056">
        <f>E180</f>
        <v>0</v>
      </c>
      <c r="C231" s="1056">
        <f>H180</f>
        <v>0</v>
      </c>
      <c r="D231" s="1056">
        <f>G180</f>
        <v>0</v>
      </c>
      <c r="E231" s="1056">
        <f>K180</f>
        <v>0</v>
      </c>
      <c r="F231" s="1056">
        <f>M180</f>
        <v>0</v>
      </c>
      <c r="G231" s="1056">
        <f>N180</f>
        <v>0</v>
      </c>
      <c r="H231" s="1056">
        <f>X180</f>
        <v>0</v>
      </c>
      <c r="I231" s="1056">
        <f>AA180</f>
        <v>0</v>
      </c>
      <c r="J231" s="1056">
        <f>Z180</f>
        <v>0</v>
      </c>
      <c r="K231" s="1056">
        <f>AD180</f>
        <v>0</v>
      </c>
      <c r="L231" s="1056">
        <f>AF180</f>
        <v>2075</v>
      </c>
      <c r="M231" s="1056">
        <f>AG180</f>
        <v>0</v>
      </c>
      <c r="N231" s="54"/>
    </row>
    <row r="232" spans="1:14" s="20" customFormat="1" ht="17.149999999999999" customHeight="1" x14ac:dyDescent="0.35">
      <c r="A232" s="168" t="s">
        <v>829</v>
      </c>
      <c r="B232" s="1056">
        <f>E183</f>
        <v>0</v>
      </c>
      <c r="C232" s="1056">
        <f>H183</f>
        <v>0</v>
      </c>
      <c r="D232" s="1056">
        <f>G183</f>
        <v>0</v>
      </c>
      <c r="E232" s="1056">
        <f>K183</f>
        <v>0</v>
      </c>
      <c r="F232" s="1056">
        <f>M183</f>
        <v>31275</v>
      </c>
      <c r="G232" s="1056">
        <f>N183</f>
        <v>0</v>
      </c>
      <c r="H232" s="1056">
        <f>X183</f>
        <v>0</v>
      </c>
      <c r="I232" s="1056">
        <f>AA183</f>
        <v>0</v>
      </c>
      <c r="J232" s="1056">
        <f>Z183</f>
        <v>0</v>
      </c>
      <c r="K232" s="1056">
        <f>AD183</f>
        <v>0</v>
      </c>
      <c r="L232" s="1056">
        <f>AF183</f>
        <v>55250</v>
      </c>
      <c r="M232" s="1056">
        <f>AG183</f>
        <v>0</v>
      </c>
      <c r="N232" s="54"/>
    </row>
    <row r="233" spans="1:14" s="20" customFormat="1" ht="17.149999999999999" customHeight="1" x14ac:dyDescent="0.35">
      <c r="A233" s="977" t="s">
        <v>927</v>
      </c>
      <c r="B233" s="1023">
        <f t="shared" ref="B233:M233" si="28">SUM(B234:B235)</f>
        <v>0</v>
      </c>
      <c r="C233" s="1023">
        <f t="shared" si="28"/>
        <v>0</v>
      </c>
      <c r="D233" s="1023">
        <f t="shared" si="28"/>
        <v>5950</v>
      </c>
      <c r="E233" s="1023">
        <f t="shared" si="28"/>
        <v>0</v>
      </c>
      <c r="F233" s="1023">
        <f t="shared" si="28"/>
        <v>300</v>
      </c>
      <c r="G233" s="1023">
        <f t="shared" si="28"/>
        <v>0</v>
      </c>
      <c r="H233" s="1024">
        <f t="shared" si="28"/>
        <v>0</v>
      </c>
      <c r="I233" s="1024">
        <f t="shared" si="28"/>
        <v>0</v>
      </c>
      <c r="J233" s="1024">
        <f t="shared" si="28"/>
        <v>0</v>
      </c>
      <c r="K233" s="1024">
        <f t="shared" si="28"/>
        <v>0</v>
      </c>
      <c r="L233" s="1024">
        <f t="shared" si="28"/>
        <v>12425</v>
      </c>
      <c r="M233" s="1024">
        <f t="shared" si="28"/>
        <v>0</v>
      </c>
      <c r="N233" s="54"/>
    </row>
    <row r="234" spans="1:14" s="20" customFormat="1" ht="17.149999999999999" customHeight="1" x14ac:dyDescent="0.35">
      <c r="A234" s="168" t="s">
        <v>824</v>
      </c>
      <c r="B234" s="1056">
        <f>E197</f>
        <v>0</v>
      </c>
      <c r="C234" s="1056">
        <f>H197</f>
        <v>0</v>
      </c>
      <c r="D234" s="1056">
        <f>G197</f>
        <v>5950</v>
      </c>
      <c r="E234" s="1056">
        <f>K197</f>
        <v>0</v>
      </c>
      <c r="F234" s="1056">
        <f>M197</f>
        <v>300</v>
      </c>
      <c r="G234" s="1056">
        <f>N197</f>
        <v>0</v>
      </c>
      <c r="H234" s="1056">
        <f>X197</f>
        <v>0</v>
      </c>
      <c r="I234" s="1056">
        <f>AA197</f>
        <v>0</v>
      </c>
      <c r="J234" s="1056">
        <f>Z197</f>
        <v>0</v>
      </c>
      <c r="K234" s="1056">
        <f>AD197</f>
        <v>0</v>
      </c>
      <c r="L234" s="1056">
        <f>AF197</f>
        <v>12425</v>
      </c>
      <c r="M234" s="1056">
        <f>AG197</f>
        <v>0</v>
      </c>
      <c r="N234" s="54"/>
    </row>
    <row r="235" spans="1:14" s="20" customFormat="1" ht="17.149999999999999" customHeight="1" x14ac:dyDescent="0.35">
      <c r="A235" s="168" t="s">
        <v>830</v>
      </c>
      <c r="B235" s="1056">
        <f>E201</f>
        <v>0</v>
      </c>
      <c r="C235" s="1056">
        <f>H201</f>
        <v>0</v>
      </c>
      <c r="D235" s="1056">
        <f>G201</f>
        <v>0</v>
      </c>
      <c r="E235" s="1056">
        <f>K201</f>
        <v>0</v>
      </c>
      <c r="F235" s="1056">
        <f>M201</f>
        <v>0</v>
      </c>
      <c r="G235" s="1056">
        <f>N201</f>
        <v>0</v>
      </c>
      <c r="H235" s="1056">
        <f>X201</f>
        <v>0</v>
      </c>
      <c r="I235" s="1056">
        <f>AA201</f>
        <v>0</v>
      </c>
      <c r="J235" s="1056">
        <f>Z201</f>
        <v>0</v>
      </c>
      <c r="K235" s="1056">
        <f>AD201</f>
        <v>0</v>
      </c>
      <c r="L235" s="1056">
        <f>AF201</f>
        <v>0</v>
      </c>
      <c r="M235" s="1056">
        <f>AG201</f>
        <v>0</v>
      </c>
      <c r="N235" s="54"/>
    </row>
    <row r="236" spans="1:14" s="80" customFormat="1" ht="17.149999999999999" customHeight="1" x14ac:dyDescent="0.35">
      <c r="A236" s="950" t="s">
        <v>208</v>
      </c>
      <c r="B236" s="1021">
        <f>B226+B228+B230+B233</f>
        <v>0</v>
      </c>
      <c r="C236" s="1021">
        <f t="shared" ref="C236:M236" si="29">C226+C228+C230+C233</f>
        <v>0</v>
      </c>
      <c r="D236" s="1021">
        <f t="shared" si="29"/>
        <v>5950</v>
      </c>
      <c r="E236" s="1021">
        <f t="shared" si="29"/>
        <v>0</v>
      </c>
      <c r="F236" s="1021">
        <f t="shared" si="29"/>
        <v>31575</v>
      </c>
      <c r="G236" s="1021">
        <f t="shared" si="29"/>
        <v>31275</v>
      </c>
      <c r="H236" s="1022">
        <f t="shared" si="29"/>
        <v>0</v>
      </c>
      <c r="I236" s="1022">
        <f t="shared" si="29"/>
        <v>0</v>
      </c>
      <c r="J236" s="1022">
        <f t="shared" si="29"/>
        <v>0</v>
      </c>
      <c r="K236" s="1022">
        <f t="shared" si="29"/>
        <v>0</v>
      </c>
      <c r="L236" s="1022">
        <f t="shared" si="29"/>
        <v>69750</v>
      </c>
      <c r="M236" s="1022">
        <f t="shared" si="29"/>
        <v>55250</v>
      </c>
      <c r="N236" s="24"/>
    </row>
    <row r="237" spans="1:14" s="20" customFormat="1" ht="17.149999999999999" customHeight="1" x14ac:dyDescent="0.35">
      <c r="B237" s="204">
        <f>E186+E205</f>
        <v>0</v>
      </c>
      <c r="C237" s="204">
        <f>H186+H205</f>
        <v>0</v>
      </c>
      <c r="D237" s="1520">
        <f>G186+G205</f>
        <v>5950</v>
      </c>
      <c r="E237" s="1520">
        <f>K186+K205</f>
        <v>0</v>
      </c>
      <c r="F237" s="1520">
        <f>M186+M205</f>
        <v>31575</v>
      </c>
      <c r="G237" s="1520">
        <f>N186+N205</f>
        <v>0</v>
      </c>
      <c r="H237" s="204">
        <f>X186+X205</f>
        <v>0</v>
      </c>
      <c r="I237" s="204">
        <f>AA186+AA205</f>
        <v>0</v>
      </c>
      <c r="J237" s="1520">
        <f>Z186+Z205</f>
        <v>0</v>
      </c>
      <c r="K237" s="1520">
        <f>AD186+AD205</f>
        <v>0</v>
      </c>
      <c r="L237" s="1520">
        <f>AF186+AF205</f>
        <v>69750</v>
      </c>
      <c r="M237" s="1520">
        <f>AG186+AG205</f>
        <v>0</v>
      </c>
      <c r="N237" s="54"/>
    </row>
    <row r="238" spans="1:14" s="20" customFormat="1" ht="17.149999999999999" customHeight="1" x14ac:dyDescent="0.35">
      <c r="B238" s="401">
        <f>B236-B237</f>
        <v>0</v>
      </c>
      <c r="C238" s="401">
        <f t="shared" ref="C238:M238" si="30">C236-C237</f>
        <v>0</v>
      </c>
      <c r="D238" s="401">
        <f t="shared" si="30"/>
        <v>0</v>
      </c>
      <c r="E238" s="401">
        <f t="shared" si="30"/>
        <v>0</v>
      </c>
      <c r="F238" s="401">
        <f t="shared" si="30"/>
        <v>0</v>
      </c>
      <c r="G238" s="401">
        <f t="shared" si="30"/>
        <v>31275</v>
      </c>
      <c r="H238" s="401">
        <f t="shared" si="30"/>
        <v>0</v>
      </c>
      <c r="I238" s="401">
        <f t="shared" si="30"/>
        <v>0</v>
      </c>
      <c r="J238" s="401">
        <f t="shared" si="30"/>
        <v>0</v>
      </c>
      <c r="K238" s="401">
        <f t="shared" si="30"/>
        <v>0</v>
      </c>
      <c r="L238" s="401">
        <f t="shared" si="30"/>
        <v>0</v>
      </c>
      <c r="M238" s="401">
        <f t="shared" si="30"/>
        <v>55250</v>
      </c>
      <c r="N238" s="54"/>
    </row>
    <row r="239" spans="1:14" s="3" customFormat="1" ht="17.149999999999999" customHeight="1" x14ac:dyDescent="0.35">
      <c r="A239" s="47"/>
      <c r="B239" s="184"/>
      <c r="C239" s="184"/>
      <c r="D239" s="184"/>
      <c r="E239" s="184"/>
    </row>
    <row r="240" spans="1:14" s="7" customFormat="1" ht="17.149999999999999" customHeight="1" x14ac:dyDescent="0.35">
      <c r="B240" s="200"/>
      <c r="C240" s="201"/>
      <c r="D240" s="67"/>
      <c r="E240" s="67"/>
      <c r="F240" s="67"/>
      <c r="G240" s="202"/>
      <c r="H240" s="67"/>
      <c r="I240" s="113"/>
      <c r="J240" s="113"/>
      <c r="K240" s="113"/>
      <c r="L240" s="113"/>
      <c r="M240" s="113"/>
      <c r="N240" s="54"/>
    </row>
    <row r="241" spans="1:14" s="20" customFormat="1" ht="17.149999999999999" customHeight="1" x14ac:dyDescent="0.35">
      <c r="A241" s="949" t="s">
        <v>964</v>
      </c>
      <c r="B241" s="1504" t="s">
        <v>9</v>
      </c>
      <c r="C241" s="1508" t="s">
        <v>253</v>
      </c>
      <c r="D241" s="21"/>
      <c r="E241" s="21"/>
      <c r="F241" s="21"/>
      <c r="G241" s="1504" t="s">
        <v>9</v>
      </c>
      <c r="H241" s="1508" t="s">
        <v>253</v>
      </c>
      <c r="I241" s="23"/>
      <c r="J241" s="1504" t="s">
        <v>9</v>
      </c>
      <c r="K241" s="1508" t="s">
        <v>253</v>
      </c>
      <c r="L241" s="7"/>
      <c r="M241" s="113"/>
      <c r="N241" s="54"/>
    </row>
    <row r="242" spans="1:14" s="255" customFormat="1" ht="10.5" x14ac:dyDescent="0.35">
      <c r="A242" s="237"/>
      <c r="B242" s="222"/>
      <c r="C242" s="222"/>
      <c r="D242" s="252"/>
      <c r="E242" s="252"/>
      <c r="F242" s="252"/>
      <c r="G242" s="222"/>
      <c r="H242" s="222"/>
      <c r="I242" s="253"/>
      <c r="J242" s="222"/>
      <c r="K242" s="222"/>
      <c r="M242" s="253"/>
      <c r="N242" s="254"/>
    </row>
    <row r="243" spans="1:14" s="20" customFormat="1" ht="17.149999999999999" customHeight="1" x14ac:dyDescent="0.35">
      <c r="A243" s="80"/>
      <c r="B243" s="1513" t="s">
        <v>841</v>
      </c>
      <c r="C243" s="1508" t="s">
        <v>841</v>
      </c>
      <c r="D243" s="21"/>
      <c r="E243" s="21"/>
      <c r="F243" s="21"/>
      <c r="G243" s="1513" t="s">
        <v>841</v>
      </c>
      <c r="H243" s="1508" t="s">
        <v>841</v>
      </c>
      <c r="I243" s="23"/>
      <c r="J243" s="1513" t="s">
        <v>465</v>
      </c>
      <c r="K243" s="1508" t="s">
        <v>465</v>
      </c>
      <c r="L243" s="7"/>
      <c r="M243" s="113"/>
      <c r="N243" s="54"/>
    </row>
    <row r="244" spans="1:14" s="255" customFormat="1" ht="10.5" x14ac:dyDescent="0.35">
      <c r="A244" s="237"/>
      <c r="B244" s="222"/>
      <c r="C244" s="222"/>
      <c r="D244" s="252"/>
      <c r="E244" s="252"/>
      <c r="F244" s="252"/>
      <c r="G244" s="222"/>
      <c r="H244" s="222"/>
      <c r="I244" s="253"/>
      <c r="J244" s="222"/>
      <c r="K244" s="222"/>
      <c r="M244" s="253"/>
      <c r="N244" s="254"/>
    </row>
    <row r="245" spans="1:14" s="216" customFormat="1" ht="17.149999999999999" customHeight="1" x14ac:dyDescent="0.35">
      <c r="A245" s="206" t="s">
        <v>945</v>
      </c>
      <c r="B245" s="207">
        <f>SUM(B246:B249)</f>
        <v>37525</v>
      </c>
      <c r="C245" s="207">
        <f>SUM(C246:C249)</f>
        <v>69750</v>
      </c>
      <c r="D245" s="214"/>
      <c r="E245" s="1046" t="s">
        <v>946</v>
      </c>
      <c r="F245" s="1047"/>
      <c r="G245" s="1048">
        <f>SUM(G246:G249)</f>
        <v>37525</v>
      </c>
      <c r="H245" s="1052">
        <f>SUM(H246:H249)</f>
        <v>69750</v>
      </c>
      <c r="I245" s="192"/>
      <c r="J245" s="1053">
        <f t="shared" ref="J245:K247" si="31">IF(B245=0,0,G245/B245)</f>
        <v>1</v>
      </c>
      <c r="K245" s="1054">
        <f t="shared" si="31"/>
        <v>1</v>
      </c>
      <c r="L245" s="7"/>
      <c r="M245" s="113"/>
      <c r="N245" s="54"/>
    </row>
    <row r="246" spans="1:14" s="216" customFormat="1" ht="17.149999999999999" customHeight="1" x14ac:dyDescent="0.35">
      <c r="A246" s="135" t="s">
        <v>948</v>
      </c>
      <c r="B246" s="1523">
        <f>D226</f>
        <v>0</v>
      </c>
      <c r="C246" s="1523">
        <f>J226</f>
        <v>0</v>
      </c>
      <c r="D246" s="214"/>
      <c r="E246" s="258" t="s">
        <v>948</v>
      </c>
      <c r="F246" s="259"/>
      <c r="G246" s="260">
        <f>D226</f>
        <v>0</v>
      </c>
      <c r="H246" s="1523">
        <f>J226</f>
        <v>0</v>
      </c>
      <c r="I246" s="23"/>
      <c r="J246" s="261">
        <f t="shared" si="31"/>
        <v>0</v>
      </c>
      <c r="K246" s="261">
        <f t="shared" si="31"/>
        <v>0</v>
      </c>
      <c r="L246" s="7"/>
      <c r="M246" s="113"/>
      <c r="N246" s="54"/>
    </row>
    <row r="247" spans="1:14" s="92" customFormat="1" ht="17.149999999999999" customHeight="1" x14ac:dyDescent="0.35">
      <c r="A247" s="135" t="s">
        <v>949</v>
      </c>
      <c r="B247" s="1523">
        <f>D229+F229+G229</f>
        <v>0</v>
      </c>
      <c r="C247" s="1523">
        <f>J229+L229+M229</f>
        <v>0</v>
      </c>
      <c r="D247" s="213"/>
      <c r="E247" s="258" t="s">
        <v>949</v>
      </c>
      <c r="F247" s="259"/>
      <c r="G247" s="260">
        <f>G177+M177</f>
        <v>0</v>
      </c>
      <c r="H247" s="1523">
        <f>Z177+AF177</f>
        <v>0</v>
      </c>
      <c r="I247" s="23"/>
      <c r="J247" s="261">
        <f t="shared" si="31"/>
        <v>0</v>
      </c>
      <c r="K247" s="261">
        <f t="shared" si="31"/>
        <v>0</v>
      </c>
      <c r="L247" s="7"/>
      <c r="M247" s="113"/>
      <c r="N247" s="54"/>
    </row>
    <row r="248" spans="1:14" s="92" customFormat="1" ht="17.149999999999999" customHeight="1" x14ac:dyDescent="0.35">
      <c r="A248" s="135" t="s">
        <v>950</v>
      </c>
      <c r="B248" s="1523">
        <f>D230+F230+G230</f>
        <v>31275</v>
      </c>
      <c r="C248" s="1523">
        <f>J230+L230+M230</f>
        <v>57325</v>
      </c>
      <c r="D248" s="213"/>
      <c r="E248" s="258" t="s">
        <v>951</v>
      </c>
      <c r="F248" s="259"/>
      <c r="G248" s="260">
        <f>G180+G183+M180+M183</f>
        <v>31275</v>
      </c>
      <c r="H248" s="260">
        <f>Z180+Z183+AF180+AF183</f>
        <v>57325</v>
      </c>
      <c r="I248" s="23"/>
      <c r="J248" s="261">
        <f>IF(B248=0,0,G248/B248)</f>
        <v>1</v>
      </c>
      <c r="K248" s="261">
        <f>IF(C248=0,0,H248/C248)</f>
        <v>1</v>
      </c>
      <c r="L248" s="7"/>
      <c r="M248" s="113"/>
      <c r="N248" s="54"/>
    </row>
    <row r="249" spans="1:14" s="92" customFormat="1" ht="17.149999999999999" customHeight="1" x14ac:dyDescent="0.35">
      <c r="A249" s="135" t="s">
        <v>952</v>
      </c>
      <c r="B249" s="1523">
        <f>D233+F233+G233</f>
        <v>6250</v>
      </c>
      <c r="C249" s="1523">
        <f>J233+L233+M233</f>
        <v>12425</v>
      </c>
      <c r="D249" s="213"/>
      <c r="E249" s="258" t="s">
        <v>952</v>
      </c>
      <c r="F249" s="259"/>
      <c r="G249" s="260">
        <f>G205+M205</f>
        <v>6250</v>
      </c>
      <c r="H249" s="1523">
        <f>Z205+AF205</f>
        <v>12425</v>
      </c>
      <c r="I249" s="23"/>
      <c r="J249" s="261">
        <f>IF(B249=0,0,G249/B249)</f>
        <v>1</v>
      </c>
      <c r="K249" s="261">
        <f>IF(C249=0,0,H249/C249)</f>
        <v>1</v>
      </c>
      <c r="L249" s="7"/>
      <c r="M249" s="113"/>
      <c r="N249" s="54"/>
    </row>
    <row r="250" spans="1:14" s="20" customFormat="1" ht="17.149999999999999" customHeight="1" x14ac:dyDescent="0.35">
      <c r="A250" s="11"/>
      <c r="B250" s="179"/>
      <c r="C250" s="179"/>
      <c r="D250" s="21"/>
      <c r="E250" s="1049" t="s">
        <v>208</v>
      </c>
      <c r="F250" s="1050"/>
      <c r="G250" s="1051">
        <f>SUM(G246:G249)</f>
        <v>37525</v>
      </c>
      <c r="H250" s="1052">
        <f>SUM(H246:H249)</f>
        <v>69750</v>
      </c>
      <c r="I250" s="23"/>
      <c r="J250" s="1053"/>
      <c r="K250" s="1054"/>
      <c r="L250" s="113"/>
      <c r="M250" s="113"/>
      <c r="N250" s="54"/>
    </row>
    <row r="251" spans="1:14" s="20" customFormat="1" ht="17.149999999999999" customHeight="1" x14ac:dyDescent="0.35">
      <c r="A251" s="206" t="s">
        <v>892</v>
      </c>
      <c r="B251" s="207">
        <f>SUM(B252)</f>
        <v>31275</v>
      </c>
      <c r="C251" s="207">
        <f>SUM(C252)</f>
        <v>55250</v>
      </c>
      <c r="D251" s="21"/>
      <c r="E251" s="21"/>
      <c r="F251" s="21"/>
      <c r="G251" s="22"/>
      <c r="H251" s="21"/>
      <c r="I251" s="23"/>
      <c r="J251" s="23"/>
      <c r="K251" s="23"/>
      <c r="L251" s="113"/>
      <c r="M251" s="113"/>
      <c r="N251" s="54"/>
    </row>
    <row r="252" spans="1:14" s="20" customFormat="1" ht="17.149999999999999" customHeight="1" x14ac:dyDescent="0.35">
      <c r="A252" s="135" t="s">
        <v>846</v>
      </c>
      <c r="B252" s="1523">
        <f>'FS_Capture volumes'!E263-B246</f>
        <v>31275</v>
      </c>
      <c r="C252" s="1523">
        <f>'FS_Capture volumes'!F263-C246</f>
        <v>55250</v>
      </c>
      <c r="D252" s="21"/>
      <c r="E252" s="21"/>
      <c r="F252" s="21"/>
      <c r="G252" s="22"/>
      <c r="H252" s="21"/>
      <c r="I252" s="23"/>
      <c r="J252" s="23"/>
      <c r="K252" s="23"/>
      <c r="L252" s="23"/>
      <c r="M252" s="23"/>
      <c r="N252" s="24"/>
    </row>
    <row r="253" spans="1:14" s="20" customFormat="1" ht="17.149999999999999" customHeight="1" x14ac:dyDescent="0.35">
      <c r="A253" s="11"/>
      <c r="B253" s="179"/>
      <c r="C253" s="179"/>
      <c r="D253" s="21"/>
      <c r="E253" s="21"/>
      <c r="F253" s="21"/>
      <c r="G253" s="22"/>
      <c r="H253" s="21"/>
      <c r="I253" s="23"/>
      <c r="J253" s="23"/>
      <c r="K253" s="23"/>
      <c r="L253" s="23"/>
      <c r="M253" s="23"/>
      <c r="N253" s="24"/>
    </row>
    <row r="254" spans="1:14" s="216" customFormat="1" ht="17.149999999999999" customHeight="1" x14ac:dyDescent="0.35">
      <c r="A254" s="208" t="s">
        <v>953</v>
      </c>
      <c r="B254" s="209">
        <f>SUM(B255:B260)</f>
        <v>0</v>
      </c>
      <c r="C254" s="209">
        <f>SUM(C255:C260)</f>
        <v>0</v>
      </c>
      <c r="D254" s="214"/>
      <c r="E254" s="214"/>
      <c r="F254" s="214"/>
      <c r="G254" s="215"/>
      <c r="H254" s="214"/>
      <c r="I254" s="192"/>
      <c r="J254" s="192"/>
      <c r="K254" s="192"/>
      <c r="L254" s="192"/>
      <c r="M254" s="192"/>
      <c r="N254" s="119"/>
    </row>
    <row r="255" spans="1:14" s="216" customFormat="1" ht="17.149999999999999" customHeight="1" x14ac:dyDescent="0.35">
      <c r="A255" s="135" t="s">
        <v>954</v>
      </c>
      <c r="B255" s="211">
        <f>B228+E228</f>
        <v>0</v>
      </c>
      <c r="C255" s="211">
        <f>H228+K228</f>
        <v>0</v>
      </c>
      <c r="D255" s="214"/>
      <c r="E255" s="214"/>
      <c r="F255" s="214"/>
      <c r="G255" s="215"/>
      <c r="H255" s="214"/>
      <c r="I255" s="192"/>
      <c r="J255" s="192"/>
      <c r="K255" s="192"/>
      <c r="L255" s="192"/>
      <c r="M255" s="192"/>
      <c r="N255" s="119"/>
    </row>
    <row r="256" spans="1:14" s="92" customFormat="1" ht="16.5" customHeight="1" x14ac:dyDescent="0.35">
      <c r="A256" s="135" t="s">
        <v>949</v>
      </c>
      <c r="B256" s="211">
        <f>C228</f>
        <v>0</v>
      </c>
      <c r="C256" s="211">
        <f>I228</f>
        <v>0</v>
      </c>
      <c r="D256" s="213"/>
      <c r="E256" s="213"/>
      <c r="F256" s="213"/>
      <c r="G256" s="22"/>
      <c r="H256" s="213"/>
      <c r="I256" s="23"/>
      <c r="J256" s="23"/>
      <c r="K256" s="23"/>
      <c r="L256" s="23"/>
      <c r="M256" s="23"/>
      <c r="N256" s="24"/>
    </row>
    <row r="257" spans="1:21" s="92" customFormat="1" ht="16.5" customHeight="1" x14ac:dyDescent="0.35">
      <c r="A257" s="135" t="s">
        <v>956</v>
      </c>
      <c r="B257" s="211">
        <f>B230+E230</f>
        <v>0</v>
      </c>
      <c r="C257" s="211">
        <f>H230+K230</f>
        <v>0</v>
      </c>
      <c r="D257" s="213"/>
      <c r="E257" s="213"/>
      <c r="F257" s="213"/>
      <c r="G257" s="22"/>
      <c r="H257" s="213"/>
      <c r="I257" s="23"/>
      <c r="J257" s="23"/>
      <c r="K257" s="23"/>
      <c r="L257" s="23"/>
      <c r="M257" s="23"/>
      <c r="N257" s="24"/>
    </row>
    <row r="258" spans="1:21" s="92" customFormat="1" ht="16.5" customHeight="1" x14ac:dyDescent="0.35">
      <c r="A258" s="135" t="s">
        <v>951</v>
      </c>
      <c r="B258" s="211">
        <f>C230</f>
        <v>0</v>
      </c>
      <c r="C258" s="211">
        <f>I230</f>
        <v>0</v>
      </c>
      <c r="D258" s="213"/>
      <c r="E258" s="213"/>
      <c r="F258" s="213"/>
      <c r="G258" s="22"/>
      <c r="H258" s="213"/>
      <c r="I258" s="23"/>
      <c r="J258" s="23"/>
      <c r="K258" s="23"/>
      <c r="L258" s="23"/>
      <c r="M258" s="23"/>
      <c r="N258" s="24"/>
    </row>
    <row r="259" spans="1:21" s="92" customFormat="1" ht="16.5" customHeight="1" x14ac:dyDescent="0.35">
      <c r="A259" s="135" t="s">
        <v>958</v>
      </c>
      <c r="B259" s="211">
        <f>B233+E233</f>
        <v>0</v>
      </c>
      <c r="C259" s="211">
        <f>H233+K233</f>
        <v>0</v>
      </c>
      <c r="D259" s="213"/>
      <c r="E259" s="213"/>
      <c r="F259" s="213"/>
      <c r="G259" s="22"/>
      <c r="H259" s="213"/>
      <c r="I259" s="23"/>
      <c r="J259" s="23"/>
      <c r="K259" s="23"/>
      <c r="L259" s="23"/>
      <c r="M259" s="23"/>
      <c r="N259" s="24"/>
    </row>
    <row r="260" spans="1:21" s="92" customFormat="1" ht="17.149999999999999" customHeight="1" x14ac:dyDescent="0.35">
      <c r="A260" s="135" t="s">
        <v>952</v>
      </c>
      <c r="B260" s="211">
        <f>C233</f>
        <v>0</v>
      </c>
      <c r="C260" s="211">
        <f>I233</f>
        <v>0</v>
      </c>
      <c r="D260" s="213"/>
      <c r="E260" s="213"/>
      <c r="F260" s="213"/>
      <c r="G260" s="22"/>
      <c r="H260" s="213"/>
      <c r="I260" s="23"/>
      <c r="J260" s="23"/>
      <c r="K260" s="23"/>
      <c r="L260" s="23"/>
      <c r="M260" s="23"/>
      <c r="N260" s="24"/>
    </row>
    <row r="261" spans="1:21" s="20" customFormat="1" ht="17.149999999999999" customHeight="1" x14ac:dyDescent="0.35">
      <c r="A261" s="11"/>
      <c r="B261" s="179"/>
      <c r="C261" s="179"/>
      <c r="D261" s="21"/>
      <c r="E261" s="21"/>
      <c r="F261" s="21"/>
      <c r="G261" s="22"/>
      <c r="H261" s="21"/>
      <c r="I261" s="23"/>
      <c r="J261" s="23"/>
      <c r="K261" s="23"/>
      <c r="L261" s="23"/>
      <c r="M261" s="23"/>
      <c r="N261" s="24"/>
    </row>
    <row r="262" spans="1:21" s="216" customFormat="1" ht="17.149999999999999" customHeight="1" x14ac:dyDescent="0.35">
      <c r="A262" s="212" t="s">
        <v>960</v>
      </c>
      <c r="B262" s="28">
        <f>B245+B251+B254</f>
        <v>68800</v>
      </c>
      <c r="C262" s="28">
        <f>C245+C251+C254</f>
        <v>125000</v>
      </c>
      <c r="D262" s="214"/>
      <c r="E262" s="214"/>
      <c r="F262" s="214"/>
      <c r="G262" s="215"/>
      <c r="H262" s="214"/>
      <c r="I262" s="192"/>
      <c r="J262" s="192"/>
      <c r="K262" s="192"/>
      <c r="L262" s="192"/>
      <c r="M262" s="192"/>
      <c r="N262" s="119"/>
    </row>
    <row r="263" spans="1:21" s="216" customFormat="1" ht="17.149999999999999" customHeight="1" x14ac:dyDescent="0.35">
      <c r="A263" s="194"/>
      <c r="B263" s="205">
        <f>'FS_Capture volumes'!E262</f>
        <v>68800</v>
      </c>
      <c r="C263" s="205">
        <f>'FS_Capture volumes'!F262</f>
        <v>125000</v>
      </c>
      <c r="D263" s="214"/>
      <c r="E263" s="214"/>
      <c r="F263" s="214"/>
      <c r="G263" s="215"/>
      <c r="H263" s="214"/>
      <c r="I263" s="192"/>
      <c r="J263" s="192"/>
      <c r="K263" s="192"/>
      <c r="L263" s="192"/>
      <c r="M263" s="192"/>
      <c r="N263" s="119"/>
    </row>
    <row r="264" spans="1:21" s="20" customFormat="1" ht="17.149999999999999" customHeight="1" x14ac:dyDescent="0.35">
      <c r="A264" s="11"/>
      <c r="B264" s="1519" t="str">
        <f>IF(B262=B263,"OK","Not OK")</f>
        <v>OK</v>
      </c>
      <c r="C264" s="1519" t="str">
        <f>IF(C262=C263,"OK","Not OK")</f>
        <v>OK</v>
      </c>
      <c r="D264" s="21"/>
      <c r="E264" s="21"/>
      <c r="F264" s="21"/>
      <c r="G264" s="22"/>
      <c r="H264" s="21"/>
      <c r="I264" s="23"/>
      <c r="J264" s="23"/>
      <c r="K264" s="23"/>
      <c r="L264" s="23"/>
      <c r="M264" s="23"/>
      <c r="N264" s="24"/>
    </row>
    <row r="265" spans="1:21" s="20" customFormat="1" ht="17.149999999999999" customHeight="1" x14ac:dyDescent="0.35">
      <c r="B265" s="30"/>
      <c r="C265" s="30"/>
      <c r="D265" s="30"/>
      <c r="E265" s="31"/>
      <c r="F265" s="21"/>
      <c r="G265" s="21"/>
      <c r="H265" s="21"/>
      <c r="I265" s="22"/>
      <c r="J265" s="22"/>
      <c r="K265" s="21"/>
      <c r="L265" s="23"/>
      <c r="M265" s="23"/>
      <c r="N265" s="23"/>
      <c r="O265" s="23"/>
      <c r="P265" s="23"/>
      <c r="Q265" s="23"/>
      <c r="R265" s="23"/>
      <c r="S265" s="23"/>
      <c r="T265" s="23"/>
      <c r="U265" s="24"/>
    </row>
    <row r="266" spans="1:21" s="20" customFormat="1" ht="17.149999999999999" customHeight="1" x14ac:dyDescent="0.35">
      <c r="B266" s="30"/>
      <c r="C266" s="30"/>
      <c r="D266" s="30"/>
      <c r="E266" s="31"/>
      <c r="F266" s="21"/>
      <c r="G266" s="21"/>
      <c r="H266" s="21"/>
      <c r="I266" s="22"/>
      <c r="J266" s="22"/>
      <c r="K266" s="21"/>
      <c r="L266" s="23"/>
      <c r="M266" s="23"/>
      <c r="N266" s="23"/>
      <c r="O266" s="23"/>
      <c r="P266" s="23"/>
      <c r="Q266" s="23"/>
      <c r="R266" s="23"/>
      <c r="S266" s="23"/>
      <c r="T266" s="23"/>
      <c r="U266" s="24"/>
    </row>
    <row r="267" spans="1:21" ht="17.149999999999999" customHeight="1" x14ac:dyDescent="0.35">
      <c r="A267" s="13" t="s">
        <v>965</v>
      </c>
      <c r="C267" s="392"/>
    </row>
    <row r="269" spans="1:21" s="194" customFormat="1" ht="17.149999999999999" customHeight="1" x14ac:dyDescent="0.35">
      <c r="A269" s="1055" t="s">
        <v>937</v>
      </c>
      <c r="B269" s="1790" t="s">
        <v>9</v>
      </c>
      <c r="C269" s="1790"/>
      <c r="D269" s="1790"/>
      <c r="E269" s="1790"/>
      <c r="F269" s="1790"/>
      <c r="G269" s="1790"/>
      <c r="H269" s="1791" t="s">
        <v>253</v>
      </c>
      <c r="I269" s="1791"/>
      <c r="J269" s="1791"/>
      <c r="K269" s="1791"/>
      <c r="L269" s="1791"/>
      <c r="M269" s="1791"/>
      <c r="N269" s="119"/>
    </row>
    <row r="270" spans="1:21" s="120" customFormat="1" ht="17.149999999999999" customHeight="1" x14ac:dyDescent="0.35">
      <c r="A270" s="404"/>
      <c r="B270" s="405"/>
      <c r="C270" s="405"/>
      <c r="D270" s="405"/>
      <c r="E270" s="405"/>
      <c r="F270" s="405"/>
      <c r="G270" s="405"/>
      <c r="H270" s="405"/>
      <c r="I270" s="405"/>
      <c r="J270" s="405"/>
      <c r="K270" s="405"/>
      <c r="L270" s="405"/>
      <c r="M270" s="405"/>
      <c r="N270" s="406"/>
    </row>
    <row r="271" spans="1:21" s="20" customFormat="1" ht="17.149999999999999" customHeight="1" x14ac:dyDescent="0.35">
      <c r="A271" s="403"/>
      <c r="B271" s="1792" t="s">
        <v>938</v>
      </c>
      <c r="C271" s="1792"/>
      <c r="D271" s="1792"/>
      <c r="E271" s="1792" t="s">
        <v>939</v>
      </c>
      <c r="F271" s="1792"/>
      <c r="G271" s="1792"/>
      <c r="H271" s="1793" t="s">
        <v>938</v>
      </c>
      <c r="I271" s="1793"/>
      <c r="J271" s="1793"/>
      <c r="K271" s="1793" t="s">
        <v>939</v>
      </c>
      <c r="L271" s="1793"/>
      <c r="M271" s="1793"/>
      <c r="N271" s="54"/>
    </row>
    <row r="272" spans="1:21" s="20" customFormat="1" ht="43.5" x14ac:dyDescent="0.35">
      <c r="A272" s="355"/>
      <c r="B272" s="1511" t="s">
        <v>905</v>
      </c>
      <c r="C272" s="1511" t="s">
        <v>914</v>
      </c>
      <c r="D272" s="1511" t="s">
        <v>902</v>
      </c>
      <c r="E272" s="1511" t="s">
        <v>905</v>
      </c>
      <c r="F272" s="1511" t="s">
        <v>902</v>
      </c>
      <c r="G272" s="1511" t="s">
        <v>940</v>
      </c>
      <c r="H272" s="1033" t="s">
        <v>905</v>
      </c>
      <c r="I272" s="1033" t="s">
        <v>914</v>
      </c>
      <c r="J272" s="1033" t="s">
        <v>902</v>
      </c>
      <c r="K272" s="1033" t="s">
        <v>905</v>
      </c>
      <c r="L272" s="1033" t="s">
        <v>902</v>
      </c>
      <c r="M272" s="1033" t="s">
        <v>940</v>
      </c>
      <c r="N272" s="54"/>
    </row>
    <row r="273" spans="1:14" s="255" customFormat="1" ht="10.5" x14ac:dyDescent="0.35">
      <c r="A273" s="402"/>
      <c r="B273" s="387"/>
      <c r="C273" s="387"/>
      <c r="D273" s="386"/>
      <c r="E273" s="387"/>
      <c r="F273" s="386"/>
      <c r="G273" s="386"/>
      <c r="H273" s="387"/>
      <c r="I273" s="387"/>
      <c r="J273" s="386"/>
      <c r="K273" s="387"/>
      <c r="L273" s="386"/>
      <c r="M273" s="386"/>
      <c r="N273" s="254"/>
    </row>
    <row r="274" spans="1:14" s="20" customFormat="1" ht="17.149999999999999" customHeight="1" x14ac:dyDescent="0.35">
      <c r="A274" s="977" t="s">
        <v>942</v>
      </c>
      <c r="B274" s="1023">
        <f>B275</f>
        <v>0</v>
      </c>
      <c r="C274" s="1023">
        <f t="shared" ref="C274:M274" si="32">C275</f>
        <v>0</v>
      </c>
      <c r="D274" s="1023">
        <f t="shared" si="32"/>
        <v>0</v>
      </c>
      <c r="E274" s="1023">
        <f t="shared" si="32"/>
        <v>0</v>
      </c>
      <c r="F274" s="1023">
        <f t="shared" si="32"/>
        <v>0</v>
      </c>
      <c r="G274" s="1023">
        <f t="shared" si="32"/>
        <v>0</v>
      </c>
      <c r="H274" s="1024">
        <f t="shared" si="32"/>
        <v>0</v>
      </c>
      <c r="I274" s="1024">
        <f t="shared" si="32"/>
        <v>0</v>
      </c>
      <c r="J274" s="1024">
        <f t="shared" si="32"/>
        <v>0</v>
      </c>
      <c r="K274" s="1024">
        <f t="shared" si="32"/>
        <v>0</v>
      </c>
      <c r="L274" s="1024">
        <f t="shared" si="32"/>
        <v>0</v>
      </c>
      <c r="M274" s="1024">
        <f t="shared" si="32"/>
        <v>0</v>
      </c>
      <c r="N274" s="54"/>
    </row>
    <row r="275" spans="1:14" s="20" customFormat="1" ht="17.149999999999999" customHeight="1" x14ac:dyDescent="0.35">
      <c r="A275" s="168" t="s">
        <v>434</v>
      </c>
      <c r="B275" s="1056">
        <f t="shared" ref="B275:M275" si="33">B118+B229</f>
        <v>0</v>
      </c>
      <c r="C275" s="1056">
        <f t="shared" si="33"/>
        <v>0</v>
      </c>
      <c r="D275" s="1056">
        <f t="shared" si="33"/>
        <v>0</v>
      </c>
      <c r="E275" s="1056">
        <f t="shared" si="33"/>
        <v>0</v>
      </c>
      <c r="F275" s="1056">
        <f t="shared" si="33"/>
        <v>0</v>
      </c>
      <c r="G275" s="1056">
        <f t="shared" si="33"/>
        <v>0</v>
      </c>
      <c r="H275" s="1056">
        <f t="shared" si="33"/>
        <v>0</v>
      </c>
      <c r="I275" s="1056">
        <f t="shared" si="33"/>
        <v>0</v>
      </c>
      <c r="J275" s="1056">
        <f t="shared" si="33"/>
        <v>0</v>
      </c>
      <c r="K275" s="1056">
        <f t="shared" si="33"/>
        <v>0</v>
      </c>
      <c r="L275" s="1056">
        <f t="shared" si="33"/>
        <v>0</v>
      </c>
      <c r="M275" s="1056">
        <f t="shared" si="33"/>
        <v>0</v>
      </c>
      <c r="N275" s="54"/>
    </row>
    <row r="276" spans="1:14" s="20" customFormat="1" ht="17.149999999999999" customHeight="1" x14ac:dyDescent="0.35">
      <c r="A276" s="977" t="s">
        <v>943</v>
      </c>
      <c r="B276" s="1023">
        <f>SUM(B277:B278)</f>
        <v>0</v>
      </c>
      <c r="C276" s="1023">
        <f t="shared" ref="C276:M276" si="34">SUM(C277:C278)</f>
        <v>0</v>
      </c>
      <c r="D276" s="1023">
        <f t="shared" si="34"/>
        <v>9350</v>
      </c>
      <c r="E276" s="1023">
        <f t="shared" si="34"/>
        <v>0</v>
      </c>
      <c r="F276" s="1023">
        <f t="shared" si="34"/>
        <v>89225</v>
      </c>
      <c r="G276" s="1023">
        <f t="shared" si="34"/>
        <v>0</v>
      </c>
      <c r="H276" s="1024">
        <f t="shared" si="34"/>
        <v>0</v>
      </c>
      <c r="I276" s="1024">
        <f t="shared" si="34"/>
        <v>0</v>
      </c>
      <c r="J276" s="1024">
        <f t="shared" si="34"/>
        <v>0</v>
      </c>
      <c r="K276" s="1024">
        <f t="shared" si="34"/>
        <v>0</v>
      </c>
      <c r="L276" s="1024">
        <f t="shared" si="34"/>
        <v>98250</v>
      </c>
      <c r="M276" s="1024">
        <f t="shared" si="34"/>
        <v>0</v>
      </c>
      <c r="N276" s="54"/>
    </row>
    <row r="277" spans="1:14" s="20" customFormat="1" ht="17.149999999999999" customHeight="1" x14ac:dyDescent="0.35">
      <c r="A277" s="168" t="s">
        <v>821</v>
      </c>
      <c r="B277" s="1056">
        <f t="shared" ref="B277:M277" si="35">B120+B231</f>
        <v>0</v>
      </c>
      <c r="C277" s="1056">
        <f t="shared" si="35"/>
        <v>0</v>
      </c>
      <c r="D277" s="1056">
        <f t="shared" si="35"/>
        <v>9350</v>
      </c>
      <c r="E277" s="1056">
        <f t="shared" si="35"/>
        <v>0</v>
      </c>
      <c r="F277" s="1056">
        <f t="shared" si="35"/>
        <v>53000</v>
      </c>
      <c r="G277" s="1056">
        <f t="shared" si="35"/>
        <v>0</v>
      </c>
      <c r="H277" s="1056">
        <f t="shared" si="35"/>
        <v>0</v>
      </c>
      <c r="I277" s="1056">
        <f t="shared" si="35"/>
        <v>0</v>
      </c>
      <c r="J277" s="1056">
        <f t="shared" si="35"/>
        <v>0</v>
      </c>
      <c r="K277" s="1056">
        <f t="shared" si="35"/>
        <v>0</v>
      </c>
      <c r="L277" s="1056">
        <f t="shared" si="35"/>
        <v>43000</v>
      </c>
      <c r="M277" s="1056">
        <f t="shared" si="35"/>
        <v>0</v>
      </c>
      <c r="N277" s="54"/>
    </row>
    <row r="278" spans="1:14" s="20" customFormat="1" ht="17.149999999999999" customHeight="1" x14ac:dyDescent="0.35">
      <c r="A278" s="168" t="s">
        <v>829</v>
      </c>
      <c r="B278" s="1056">
        <f t="shared" ref="B278:M278" si="36">B121+B232</f>
        <v>0</v>
      </c>
      <c r="C278" s="1056">
        <f t="shared" si="36"/>
        <v>0</v>
      </c>
      <c r="D278" s="1056">
        <f t="shared" si="36"/>
        <v>0</v>
      </c>
      <c r="E278" s="1056">
        <f t="shared" si="36"/>
        <v>0</v>
      </c>
      <c r="F278" s="1056">
        <f t="shared" si="36"/>
        <v>36225</v>
      </c>
      <c r="G278" s="1056">
        <f t="shared" si="36"/>
        <v>0</v>
      </c>
      <c r="H278" s="1056">
        <f t="shared" si="36"/>
        <v>0</v>
      </c>
      <c r="I278" s="1056">
        <f t="shared" si="36"/>
        <v>0</v>
      </c>
      <c r="J278" s="1056">
        <f t="shared" si="36"/>
        <v>0</v>
      </c>
      <c r="K278" s="1056">
        <f t="shared" si="36"/>
        <v>0</v>
      </c>
      <c r="L278" s="1056">
        <f t="shared" si="36"/>
        <v>55250</v>
      </c>
      <c r="M278" s="1056">
        <f t="shared" si="36"/>
        <v>0</v>
      </c>
      <c r="N278" s="54"/>
    </row>
    <row r="279" spans="1:14" s="20" customFormat="1" ht="17.149999999999999" customHeight="1" x14ac:dyDescent="0.35">
      <c r="A279" s="977" t="s">
        <v>927</v>
      </c>
      <c r="B279" s="1023">
        <f t="shared" ref="B279:M279" si="37">SUM(B280:B281)</f>
        <v>1125</v>
      </c>
      <c r="C279" s="1023">
        <f t="shared" si="37"/>
        <v>0</v>
      </c>
      <c r="D279" s="1023">
        <f t="shared" si="37"/>
        <v>27400</v>
      </c>
      <c r="E279" s="1023">
        <f t="shared" si="37"/>
        <v>1125</v>
      </c>
      <c r="F279" s="1023">
        <f t="shared" si="37"/>
        <v>21725</v>
      </c>
      <c r="G279" s="1023">
        <f t="shared" si="37"/>
        <v>0</v>
      </c>
      <c r="H279" s="1024">
        <f t="shared" si="37"/>
        <v>0</v>
      </c>
      <c r="I279" s="1024">
        <f t="shared" si="37"/>
        <v>0</v>
      </c>
      <c r="J279" s="1024">
        <f t="shared" si="37"/>
        <v>0</v>
      </c>
      <c r="K279" s="1024">
        <f t="shared" si="37"/>
        <v>0</v>
      </c>
      <c r="L279" s="1024">
        <f t="shared" si="37"/>
        <v>53350</v>
      </c>
      <c r="M279" s="1024">
        <f t="shared" si="37"/>
        <v>0</v>
      </c>
      <c r="N279" s="54"/>
    </row>
    <row r="280" spans="1:14" s="20" customFormat="1" ht="17.149999999999999" customHeight="1" x14ac:dyDescent="0.35">
      <c r="A280" s="168" t="s">
        <v>824</v>
      </c>
      <c r="B280" s="1056">
        <f t="shared" ref="B280:M280" si="38">B123+B234</f>
        <v>1125</v>
      </c>
      <c r="C280" s="1056">
        <f t="shared" si="38"/>
        <v>0</v>
      </c>
      <c r="D280" s="1056">
        <f t="shared" si="38"/>
        <v>27400</v>
      </c>
      <c r="E280" s="1056">
        <f t="shared" si="38"/>
        <v>1125</v>
      </c>
      <c r="F280" s="1056">
        <f t="shared" si="38"/>
        <v>21725</v>
      </c>
      <c r="G280" s="1056">
        <f t="shared" si="38"/>
        <v>0</v>
      </c>
      <c r="H280" s="1056">
        <f t="shared" si="38"/>
        <v>0</v>
      </c>
      <c r="I280" s="1056">
        <f t="shared" si="38"/>
        <v>0</v>
      </c>
      <c r="J280" s="1056">
        <f t="shared" si="38"/>
        <v>0</v>
      </c>
      <c r="K280" s="1056">
        <f t="shared" si="38"/>
        <v>0</v>
      </c>
      <c r="L280" s="1056">
        <f t="shared" si="38"/>
        <v>53350</v>
      </c>
      <c r="M280" s="1056">
        <f t="shared" si="38"/>
        <v>0</v>
      </c>
      <c r="N280" s="54"/>
    </row>
    <row r="281" spans="1:14" s="20" customFormat="1" ht="17.149999999999999" customHeight="1" x14ac:dyDescent="0.35">
      <c r="A281" s="168" t="s">
        <v>830</v>
      </c>
      <c r="B281" s="1056">
        <f t="shared" ref="B281:M281" si="39">B124+B235</f>
        <v>0</v>
      </c>
      <c r="C281" s="1056">
        <f t="shared" si="39"/>
        <v>0</v>
      </c>
      <c r="D281" s="1056">
        <f t="shared" si="39"/>
        <v>0</v>
      </c>
      <c r="E281" s="1056">
        <f t="shared" si="39"/>
        <v>0</v>
      </c>
      <c r="F281" s="1056">
        <f t="shared" si="39"/>
        <v>0</v>
      </c>
      <c r="G281" s="1056">
        <f t="shared" si="39"/>
        <v>0</v>
      </c>
      <c r="H281" s="1056">
        <f t="shared" si="39"/>
        <v>0</v>
      </c>
      <c r="I281" s="1056">
        <f t="shared" si="39"/>
        <v>0</v>
      </c>
      <c r="J281" s="1056">
        <f t="shared" si="39"/>
        <v>0</v>
      </c>
      <c r="K281" s="1056">
        <f t="shared" si="39"/>
        <v>0</v>
      </c>
      <c r="L281" s="1056">
        <f t="shared" si="39"/>
        <v>0</v>
      </c>
      <c r="M281" s="1056">
        <f t="shared" si="39"/>
        <v>0</v>
      </c>
      <c r="N281" s="54"/>
    </row>
    <row r="282" spans="1:14" s="80" customFormat="1" ht="17.149999999999999" customHeight="1" x14ac:dyDescent="0.35">
      <c r="A282" s="950" t="s">
        <v>208</v>
      </c>
      <c r="B282" s="1021">
        <f>B274+B276+B279</f>
        <v>1125</v>
      </c>
      <c r="C282" s="1021">
        <f t="shared" ref="C282:M282" si="40">C274+C276+C279</f>
        <v>0</v>
      </c>
      <c r="D282" s="1021">
        <f t="shared" si="40"/>
        <v>36750</v>
      </c>
      <c r="E282" s="1021">
        <f t="shared" si="40"/>
        <v>1125</v>
      </c>
      <c r="F282" s="1021">
        <f t="shared" si="40"/>
        <v>110950</v>
      </c>
      <c r="G282" s="1021">
        <f t="shared" si="40"/>
        <v>0</v>
      </c>
      <c r="H282" s="1022">
        <f t="shared" si="40"/>
        <v>0</v>
      </c>
      <c r="I282" s="1022">
        <f t="shared" si="40"/>
        <v>0</v>
      </c>
      <c r="J282" s="1022">
        <f t="shared" si="40"/>
        <v>0</v>
      </c>
      <c r="K282" s="1022">
        <f t="shared" si="40"/>
        <v>0</v>
      </c>
      <c r="L282" s="1022">
        <f t="shared" si="40"/>
        <v>151600</v>
      </c>
      <c r="M282" s="1022">
        <f t="shared" si="40"/>
        <v>0</v>
      </c>
      <c r="N282" s="24"/>
    </row>
    <row r="286" spans="1:14" ht="17.149999999999999" customHeight="1" x14ac:dyDescent="0.35">
      <c r="A286" s="949" t="s">
        <v>966</v>
      </c>
      <c r="B286" s="1057" t="s">
        <v>877</v>
      </c>
      <c r="C286" s="1502" t="s">
        <v>877</v>
      </c>
    </row>
    <row r="287" spans="1:14" ht="17.149999999999999" customHeight="1" x14ac:dyDescent="0.35">
      <c r="A287" s="977" t="s">
        <v>433</v>
      </c>
      <c r="B287" s="1023">
        <f>SUM(B288:B291)</f>
        <v>36225</v>
      </c>
      <c r="C287" s="1024">
        <f>SUM(C288:C291)</f>
        <v>240750</v>
      </c>
    </row>
    <row r="288" spans="1:14" ht="17.149999999999999" customHeight="1" x14ac:dyDescent="0.35">
      <c r="A288" s="155" t="s">
        <v>228</v>
      </c>
      <c r="B288" s="1020">
        <f>'FS_Capture volumes'!B340</f>
        <v>0</v>
      </c>
      <c r="C288" s="1020">
        <f>'FS_Capture volumes'!C340</f>
        <v>185500</v>
      </c>
    </row>
    <row r="289" spans="1:3" ht="17.149999999999999" customHeight="1" x14ac:dyDescent="0.35">
      <c r="A289" s="155" t="s">
        <v>878</v>
      </c>
      <c r="B289" s="1020">
        <f>'FS_Capture volumes'!B341</f>
        <v>0</v>
      </c>
      <c r="C289" s="1020">
        <f>'FS_Capture volumes'!C341</f>
        <v>0</v>
      </c>
    </row>
    <row r="290" spans="1:3" ht="17.149999999999999" customHeight="1" x14ac:dyDescent="0.35">
      <c r="A290" s="929" t="s">
        <v>881</v>
      </c>
      <c r="B290" s="1020">
        <f>'FS_Capture volumes'!B342</f>
        <v>4950</v>
      </c>
      <c r="C290" s="1020">
        <f>'FS_Capture volumes'!C342</f>
        <v>0</v>
      </c>
    </row>
    <row r="291" spans="1:3" ht="17.149999999999999" customHeight="1" x14ac:dyDescent="0.35">
      <c r="A291" s="929" t="s">
        <v>882</v>
      </c>
      <c r="B291" s="1020">
        <f>'FS_Capture volumes'!B343</f>
        <v>31275</v>
      </c>
      <c r="C291" s="1020">
        <f>'FS_Capture volumes'!C343</f>
        <v>55250</v>
      </c>
    </row>
    <row r="292" spans="1:3" ht="17.149999999999999" customHeight="1" x14ac:dyDescent="0.35">
      <c r="A292" s="977" t="s">
        <v>434</v>
      </c>
      <c r="B292" s="1023">
        <f>SUM(B293:B294)</f>
        <v>0</v>
      </c>
      <c r="C292" s="1024">
        <f>SUM(C293:C294)</f>
        <v>0</v>
      </c>
    </row>
    <row r="293" spans="1:3" ht="17.149999999999999" customHeight="1" x14ac:dyDescent="0.35">
      <c r="A293" s="155" t="s">
        <v>228</v>
      </c>
      <c r="B293" s="1020">
        <f>G117</f>
        <v>0</v>
      </c>
      <c r="C293" s="1020">
        <f>'Capture volumes'!C345</f>
        <v>0</v>
      </c>
    </row>
    <row r="294" spans="1:3" ht="17.149999999999999" customHeight="1" x14ac:dyDescent="0.35">
      <c r="A294" s="155" t="s">
        <v>878</v>
      </c>
      <c r="B294" s="1020">
        <f>G228</f>
        <v>0</v>
      </c>
      <c r="C294" s="1020">
        <f>'Capture volumes'!C346</f>
        <v>0</v>
      </c>
    </row>
    <row r="295" spans="1:3" ht="17.149999999999999" customHeight="1" x14ac:dyDescent="0.35">
      <c r="A295" s="977" t="s">
        <v>821</v>
      </c>
      <c r="B295" s="1023">
        <f>SUM(B296:B297)</f>
        <v>0</v>
      </c>
      <c r="C295" s="1024">
        <f>SUM(C296:C297)</f>
        <v>0</v>
      </c>
    </row>
    <row r="296" spans="1:3" ht="17.149999999999999" customHeight="1" x14ac:dyDescent="0.35">
      <c r="A296" s="155" t="s">
        <v>228</v>
      </c>
      <c r="B296" s="1020">
        <f>G120</f>
        <v>0</v>
      </c>
      <c r="C296" s="1020">
        <f>C266</f>
        <v>0</v>
      </c>
    </row>
    <row r="297" spans="1:3" ht="17.149999999999999" customHeight="1" x14ac:dyDescent="0.35">
      <c r="A297" s="155" t="s">
        <v>878</v>
      </c>
      <c r="B297" s="1020">
        <f>G231</f>
        <v>0</v>
      </c>
      <c r="C297" s="1020">
        <f>C278</f>
        <v>0</v>
      </c>
    </row>
    <row r="298" spans="1:3" ht="17.149999999999999" customHeight="1" x14ac:dyDescent="0.35">
      <c r="A298" s="977" t="s">
        <v>861</v>
      </c>
      <c r="B298" s="1023">
        <f>SUM(B299:B300)</f>
        <v>0</v>
      </c>
      <c r="C298" s="1024">
        <f>SUM(C299:C300)</f>
        <v>0</v>
      </c>
    </row>
    <row r="299" spans="1:3" ht="17.149999999999999" customHeight="1" x14ac:dyDescent="0.35">
      <c r="A299" s="155" t="s">
        <v>881</v>
      </c>
      <c r="B299" s="1020">
        <f>G121</f>
        <v>0</v>
      </c>
      <c r="C299" s="1020">
        <f>C269</f>
        <v>0</v>
      </c>
    </row>
    <row r="300" spans="1:3" ht="17.149999999999999" customHeight="1" x14ac:dyDescent="0.35">
      <c r="A300" s="155" t="s">
        <v>882</v>
      </c>
      <c r="B300" s="1020">
        <f>G232</f>
        <v>0</v>
      </c>
      <c r="C300" s="1020">
        <f>C280</f>
        <v>0</v>
      </c>
    </row>
    <row r="301" spans="1:3" ht="17.149999999999999" customHeight="1" x14ac:dyDescent="0.35">
      <c r="A301" s="949" t="s">
        <v>883</v>
      </c>
      <c r="B301" s="1058">
        <f>B287+B292+B295+B298</f>
        <v>36225</v>
      </c>
      <c r="C301" s="1059">
        <f>C287+C292+C295+C298</f>
        <v>240750</v>
      </c>
    </row>
  </sheetData>
  <sheetProtection password="C8C1" sheet="1" objects="1" scenarios="1" selectLockedCells="1"/>
  <mergeCells count="78">
    <mergeCell ref="B159:N159"/>
    <mergeCell ref="P159:R159"/>
    <mergeCell ref="U159:AG159"/>
    <mergeCell ref="AI159:AK159"/>
    <mergeCell ref="C161:H161"/>
    <mergeCell ref="I161:N161"/>
    <mergeCell ref="P161:R161"/>
    <mergeCell ref="V161:AA161"/>
    <mergeCell ref="AB161:AG161"/>
    <mergeCell ref="AI161:AK161"/>
    <mergeCell ref="B28:N28"/>
    <mergeCell ref="P28:R28"/>
    <mergeCell ref="U28:AG28"/>
    <mergeCell ref="AI28:AK28"/>
    <mergeCell ref="C30:H30"/>
    <mergeCell ref="I30:N30"/>
    <mergeCell ref="P30:R30"/>
    <mergeCell ref="V30:AA30"/>
    <mergeCell ref="AB30:AG30"/>
    <mergeCell ref="AI30:AK30"/>
    <mergeCell ref="B41:N41"/>
    <mergeCell ref="P41:R41"/>
    <mergeCell ref="U41:AG41"/>
    <mergeCell ref="AI41:AK41"/>
    <mergeCell ref="C43:H43"/>
    <mergeCell ref="I43:N43"/>
    <mergeCell ref="P43:R43"/>
    <mergeCell ref="U43:AA43"/>
    <mergeCell ref="AB43:AG43"/>
    <mergeCell ref="AI43:AK43"/>
    <mergeCell ref="B61:N61"/>
    <mergeCell ref="P61:R61"/>
    <mergeCell ref="U61:AG61"/>
    <mergeCell ref="AI61:AK61"/>
    <mergeCell ref="C63:H63"/>
    <mergeCell ref="I63:N63"/>
    <mergeCell ref="P63:R63"/>
    <mergeCell ref="U63:AA63"/>
    <mergeCell ref="AB63:AG63"/>
    <mergeCell ref="AI63:AK63"/>
    <mergeCell ref="B110:G110"/>
    <mergeCell ref="H110:M110"/>
    <mergeCell ref="B112:D112"/>
    <mergeCell ref="E112:G112"/>
    <mergeCell ref="H112:J112"/>
    <mergeCell ref="K112:M112"/>
    <mergeCell ref="B172:N172"/>
    <mergeCell ref="P172:R172"/>
    <mergeCell ref="U172:AG172"/>
    <mergeCell ref="AI172:AK172"/>
    <mergeCell ref="C174:H174"/>
    <mergeCell ref="I174:N174"/>
    <mergeCell ref="P174:R174"/>
    <mergeCell ref="U174:AA174"/>
    <mergeCell ref="AB174:AG174"/>
    <mergeCell ref="AI174:AK174"/>
    <mergeCell ref="B192:N192"/>
    <mergeCell ref="P192:R192"/>
    <mergeCell ref="U192:AG192"/>
    <mergeCell ref="AI192:AK192"/>
    <mergeCell ref="C194:H194"/>
    <mergeCell ref="I194:N194"/>
    <mergeCell ref="P194:R194"/>
    <mergeCell ref="U194:AA194"/>
    <mergeCell ref="AB194:AG194"/>
    <mergeCell ref="AI194:AK194"/>
    <mergeCell ref="B221:G221"/>
    <mergeCell ref="H221:M221"/>
    <mergeCell ref="B223:D223"/>
    <mergeCell ref="E223:G223"/>
    <mergeCell ref="H223:J223"/>
    <mergeCell ref="K223:M223"/>
    <mergeCell ref="B269:G269"/>
    <mergeCell ref="H269:M269"/>
    <mergeCell ref="B271:D271"/>
    <mergeCell ref="E271:G271"/>
    <mergeCell ref="H271:J271"/>
    <mergeCell ref="K271:M271"/>
  </mergeCells>
  <conditionalFormatting sqref="B153:C153">
    <cfRule type="expression" dxfId="121" priority="19">
      <formula>B152&lt;B151</formula>
    </cfRule>
    <cfRule type="expression" dxfId="120" priority="20">
      <formula>B152&gt;B151</formula>
    </cfRule>
    <cfRule type="expression" dxfId="119" priority="21">
      <formula>B152=B151</formula>
    </cfRule>
  </conditionalFormatting>
  <conditionalFormatting sqref="B218:C218">
    <cfRule type="expression" dxfId="118" priority="10">
      <formula>B217&lt;B216</formula>
    </cfRule>
    <cfRule type="expression" dxfId="117" priority="11">
      <formula>B217&gt;B216</formula>
    </cfRule>
    <cfRule type="expression" dxfId="116" priority="12">
      <formula>B217=B216</formula>
    </cfRule>
  </conditionalFormatting>
  <conditionalFormatting sqref="B264:C264">
    <cfRule type="expression" dxfId="115" priority="7">
      <formula>B263&lt;B262</formula>
    </cfRule>
    <cfRule type="expression" dxfId="114" priority="8">
      <formula>B263&gt;B262</formula>
    </cfRule>
    <cfRule type="expression" dxfId="113" priority="9">
      <formula>B263=B262</formula>
    </cfRule>
  </conditionalFormatting>
  <conditionalFormatting sqref="H10:I10">
    <cfRule type="expression" dxfId="112" priority="4">
      <formula>H9&lt;0</formula>
    </cfRule>
    <cfRule type="expression" dxfId="111" priority="5">
      <formula>H9&gt;0</formula>
    </cfRule>
    <cfRule type="expression" dxfId="110" priority="6">
      <formula>H9=0</formula>
    </cfRule>
  </conditionalFormatting>
  <conditionalFormatting sqref="B87:C87">
    <cfRule type="expression" dxfId="109" priority="1">
      <formula>B86&lt;B85</formula>
    </cfRule>
    <cfRule type="expression" dxfId="108" priority="2">
      <formula>B86&gt;B85</formula>
    </cfRule>
    <cfRule type="expression" dxfId="107" priority="3">
      <formula>B86=B85</formula>
    </cfRule>
  </conditionalFormatting>
  <pageMargins left="0.7" right="0.7" top="0.75" bottom="0.75" header="0.3" footer="0.3"/>
  <pageSetup paperSize="9" orientation="portrait" r:id="rId1"/>
  <ignoredErrors>
    <ignoredError sqref="E49:N49 E52:N52 F50 H50:J50 F51 H51:J51 N50 N51 P49:S53 X49:AG49 X52:AG52 AA50:AC50 AA51:AC51 AG50 AG51 AI49:AL52 E70:AN70 L50 L51 C118:J126 B145:C145 B146:C146 E180:AP180 E201:AL201 E183:AP183 F181 H181:J181 F182 H182:J182 N181:T181 N182:T182 AA181:AC181 AA182:AC182 AG181:AP181 AG182:AP182 W181 W182 C229:J235 B256:C256 B276:L279 B257:C257 AG68 L181 L182 B116:M116 I227 C227 B227 D227:H227 J227:M227 C237:J237" formula="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5"/>
  </sheetPr>
  <dimension ref="A1:AA157"/>
  <sheetViews>
    <sheetView zoomScale="90" zoomScaleNormal="90" workbookViewId="0">
      <selection activeCell="A3" sqref="A3"/>
    </sheetView>
  </sheetViews>
  <sheetFormatPr defaultColWidth="9.1796875" defaultRowHeight="14.5" x14ac:dyDescent="0.35"/>
  <cols>
    <col min="1" max="1" width="60.7265625" style="17" customWidth="1"/>
    <col min="2" max="25" width="16.7265625" style="17" customWidth="1"/>
    <col min="26" max="27" width="16.7265625" style="98" customWidth="1"/>
    <col min="28" max="28" width="16.7265625" style="17" customWidth="1"/>
    <col min="29" max="29" width="13.26953125" style="17" customWidth="1"/>
    <col min="30" max="16384" width="9.1796875" style="17"/>
  </cols>
  <sheetData>
    <row r="1" spans="1:27" s="63" customFormat="1" ht="18.5" x14ac:dyDescent="0.35">
      <c r="A1" s="13" t="str">
        <f>'User interface_RES'!AJ11</f>
        <v>Any city in , the world</v>
      </c>
      <c r="B1" s="13"/>
      <c r="C1" s="13"/>
      <c r="D1" s="13"/>
      <c r="E1" s="13"/>
      <c r="F1" s="13"/>
      <c r="G1" s="13"/>
      <c r="Z1" s="1312"/>
      <c r="AA1" s="1312"/>
    </row>
    <row r="2" spans="1:27" s="185" customFormat="1" ht="11.25" customHeight="1" x14ac:dyDescent="0.35">
      <c r="B2" s="237"/>
      <c r="C2" s="237"/>
      <c r="D2" s="237"/>
      <c r="E2" s="237"/>
      <c r="F2" s="237"/>
      <c r="G2" s="237"/>
      <c r="Z2" s="247"/>
      <c r="AA2" s="247"/>
    </row>
    <row r="3" spans="1:27" ht="26" x14ac:dyDescent="0.35">
      <c r="A3" s="182" t="s">
        <v>1179</v>
      </c>
      <c r="B3" s="2"/>
      <c r="C3" s="2"/>
      <c r="D3" s="2"/>
      <c r="E3" s="2"/>
      <c r="F3" s="2"/>
      <c r="G3" s="2"/>
    </row>
    <row r="4" spans="1:27" s="3" customFormat="1" ht="17.149999999999999" customHeight="1" x14ac:dyDescent="0.35">
      <c r="B4" s="1320"/>
      <c r="Z4" s="4"/>
      <c r="AA4" s="4"/>
    </row>
    <row r="5" spans="1:27" s="3" customFormat="1" ht="17.149999999999999" customHeight="1" x14ac:dyDescent="0.3">
      <c r="A5" s="137"/>
      <c r="B5" s="1319"/>
      <c r="C5" s="137"/>
      <c r="D5" s="137"/>
      <c r="E5" s="137"/>
      <c r="Z5" s="4"/>
      <c r="AA5" s="4"/>
    </row>
    <row r="6" spans="1:27" ht="18" customHeight="1" x14ac:dyDescent="0.35">
      <c r="A6" s="137"/>
      <c r="B6" s="1505" t="s">
        <v>9</v>
      </c>
      <c r="C6" s="1313"/>
      <c r="D6"/>
      <c r="E6"/>
      <c r="F6" s="2"/>
      <c r="G6" s="2"/>
    </row>
    <row r="7" spans="1:27" s="185" customFormat="1" ht="10.5" x14ac:dyDescent="0.25">
      <c r="A7" s="237"/>
      <c r="B7" s="222"/>
      <c r="C7" s="287"/>
      <c r="D7" s="287"/>
      <c r="E7" s="287"/>
      <c r="F7" s="237"/>
      <c r="G7" s="237"/>
      <c r="Z7" s="247"/>
      <c r="AA7" s="247"/>
    </row>
    <row r="8" spans="1:27" ht="18" customHeight="1" x14ac:dyDescent="0.35">
      <c r="A8" s="230" t="s">
        <v>968</v>
      </c>
      <c r="B8" s="288">
        <f>B10+B14+B19+B23+B26</f>
        <v>183925</v>
      </c>
      <c r="D8" s="231" t="s">
        <v>793</v>
      </c>
      <c r="E8"/>
      <c r="F8" s="2"/>
      <c r="G8" s="2"/>
      <c r="H8" s="205">
        <f>'FS_Containment volumes'!B10+'FS_Containment volumes'!B16</f>
        <v>183925</v>
      </c>
    </row>
    <row r="9" spans="1:27" ht="17.149999999999999" customHeight="1" x14ac:dyDescent="0.35">
      <c r="A9" s="256"/>
      <c r="B9" s="257"/>
      <c r="C9"/>
      <c r="D9"/>
      <c r="E9"/>
      <c r="F9" s="2"/>
      <c r="G9" s="2"/>
      <c r="H9" s="53">
        <f>B8-H8</f>
        <v>0</v>
      </c>
    </row>
    <row r="10" spans="1:27" ht="18" customHeight="1" x14ac:dyDescent="0.35">
      <c r="A10" s="206" t="s">
        <v>58</v>
      </c>
      <c r="B10" s="207">
        <f>SUM(B11:B12)</f>
        <v>147700</v>
      </c>
      <c r="C10"/>
      <c r="D10"/>
      <c r="E10"/>
      <c r="F10" s="2"/>
      <c r="G10" s="2"/>
      <c r="H10" s="1519" t="str">
        <f>IF(H9=0,"OK","Not OK")</f>
        <v>OK</v>
      </c>
    </row>
    <row r="11" spans="1:27" ht="18" customHeight="1" x14ac:dyDescent="0.35">
      <c r="A11" s="212" t="s">
        <v>969</v>
      </c>
      <c r="B11" s="118">
        <f>B133</f>
        <v>0</v>
      </c>
      <c r="C11"/>
      <c r="D11"/>
      <c r="E11"/>
      <c r="F11" s="2"/>
      <c r="G11" s="2"/>
    </row>
    <row r="12" spans="1:27" ht="18" customHeight="1" x14ac:dyDescent="0.35">
      <c r="A12" s="212" t="s">
        <v>970</v>
      </c>
      <c r="B12" s="118">
        <f>IF(B134&gt;'FS_Containment volumes'!B10,'FS_Containment volumes'!B10,B134)</f>
        <v>147700</v>
      </c>
      <c r="E12" s="2"/>
      <c r="F12" s="2"/>
      <c r="G12" s="2"/>
    </row>
    <row r="13" spans="1:27" ht="18" customHeight="1" x14ac:dyDescent="0.35">
      <c r="A13" s="2"/>
      <c r="B13" s="236"/>
      <c r="C13" s="35"/>
      <c r="D13" s="35"/>
      <c r="E13" s="35"/>
      <c r="F13" s="35"/>
      <c r="G13" s="20"/>
    </row>
    <row r="14" spans="1:27" ht="18" customHeight="1" x14ac:dyDescent="0.35">
      <c r="A14" s="206" t="s">
        <v>79</v>
      </c>
      <c r="B14" s="207">
        <f>SUM(B15:B17)</f>
        <v>36225</v>
      </c>
      <c r="C14" s="35"/>
      <c r="D14" s="35"/>
      <c r="E14" s="35"/>
      <c r="F14" s="35"/>
      <c r="G14" s="20"/>
    </row>
    <row r="15" spans="1:27" ht="18" customHeight="1" x14ac:dyDescent="0.35">
      <c r="A15" s="212" t="s">
        <v>796</v>
      </c>
      <c r="B15" s="118">
        <f>B137</f>
        <v>36225</v>
      </c>
      <c r="C15" s="35"/>
      <c r="D15" s="35"/>
      <c r="E15" s="35"/>
      <c r="F15" s="35"/>
      <c r="G15" s="20"/>
    </row>
    <row r="16" spans="1:27" ht="18" customHeight="1" x14ac:dyDescent="0.35">
      <c r="A16" s="212" t="s">
        <v>971</v>
      </c>
      <c r="B16" s="118">
        <f>B138</f>
        <v>0</v>
      </c>
      <c r="C16" s="35"/>
      <c r="D16" s="35"/>
      <c r="E16" s="35"/>
      <c r="F16" s="35"/>
      <c r="G16" s="20"/>
    </row>
    <row r="17" spans="1:27" ht="18" customHeight="1" x14ac:dyDescent="0.35">
      <c r="A17" s="212" t="s">
        <v>972</v>
      </c>
      <c r="B17" s="118">
        <f>B139</f>
        <v>0</v>
      </c>
      <c r="C17" s="35"/>
      <c r="D17" s="35"/>
      <c r="E17" s="35"/>
      <c r="F17" s="35"/>
      <c r="G17" s="20"/>
    </row>
    <row r="18" spans="1:27" ht="18" customHeight="1" x14ac:dyDescent="0.35">
      <c r="A18" s="2"/>
      <c r="B18" s="236"/>
      <c r="C18" s="35"/>
      <c r="D18" s="35"/>
      <c r="E18" s="35"/>
      <c r="F18" s="35"/>
      <c r="G18" s="20"/>
    </row>
    <row r="19" spans="1:27" ht="18" customHeight="1" x14ac:dyDescent="0.35">
      <c r="A19" s="208" t="s">
        <v>87</v>
      </c>
      <c r="B19" s="209">
        <f>SUM(B20:B21)</f>
        <v>0</v>
      </c>
      <c r="C19" s="35"/>
      <c r="D19" s="35"/>
      <c r="E19" s="35"/>
      <c r="F19" s="35"/>
      <c r="G19" s="20"/>
    </row>
    <row r="20" spans="1:27" ht="18" customHeight="1" x14ac:dyDescent="0.35">
      <c r="A20" s="212" t="s">
        <v>973</v>
      </c>
      <c r="B20" s="118">
        <f>B142</f>
        <v>0</v>
      </c>
      <c r="C20" s="35"/>
      <c r="D20" s="35"/>
      <c r="E20" s="35"/>
      <c r="F20" s="35"/>
      <c r="G20" s="20"/>
    </row>
    <row r="21" spans="1:27" ht="18" customHeight="1" x14ac:dyDescent="0.35">
      <c r="A21" s="212" t="s">
        <v>974</v>
      </c>
      <c r="B21" s="118">
        <f>B143</f>
        <v>0</v>
      </c>
      <c r="C21" s="35"/>
      <c r="D21" s="35"/>
      <c r="E21" s="35"/>
      <c r="F21" s="35"/>
      <c r="G21" s="20"/>
    </row>
    <row r="22" spans="1:27" ht="18" customHeight="1" x14ac:dyDescent="0.35">
      <c r="A22" s="2"/>
      <c r="B22" s="236"/>
      <c r="C22" s="35"/>
      <c r="D22" s="35"/>
      <c r="E22" s="35"/>
      <c r="F22" s="35"/>
      <c r="G22" s="20"/>
    </row>
    <row r="23" spans="1:27" ht="18" customHeight="1" x14ac:dyDescent="0.35">
      <c r="A23" s="208" t="s">
        <v>99</v>
      </c>
      <c r="B23" s="209">
        <f>SUM(B24:B24)</f>
        <v>0</v>
      </c>
      <c r="C23" s="35"/>
      <c r="D23" s="35"/>
      <c r="E23" s="35"/>
      <c r="F23" s="35"/>
      <c r="G23" s="20"/>
    </row>
    <row r="24" spans="1:27" ht="18" customHeight="1" x14ac:dyDescent="0.35">
      <c r="A24" s="212" t="s">
        <v>975</v>
      </c>
      <c r="B24" s="118">
        <f>IF(B146&lt;0,0,B146)</f>
        <v>0</v>
      </c>
      <c r="C24" s="35"/>
      <c r="D24" s="35"/>
      <c r="E24" s="35"/>
      <c r="F24" s="35"/>
      <c r="G24" s="20"/>
    </row>
    <row r="25" spans="1:27" s="3" customFormat="1" ht="18" customHeight="1" x14ac:dyDescent="0.35">
      <c r="A25" s="161"/>
      <c r="B25" s="161"/>
      <c r="C25" s="161"/>
      <c r="D25" s="161"/>
      <c r="E25" s="161"/>
      <c r="F25" s="161"/>
      <c r="G25" s="7"/>
      <c r="Z25" s="4"/>
      <c r="AA25" s="4"/>
    </row>
    <row r="26" spans="1:27" s="3" customFormat="1" ht="18" customHeight="1" x14ac:dyDescent="0.35">
      <c r="A26" s="208" t="s">
        <v>101</v>
      </c>
      <c r="B26" s="209">
        <f>SUM(B27:B27)</f>
        <v>0</v>
      </c>
      <c r="C26" s="161"/>
      <c r="D26" s="161"/>
      <c r="E26" s="161"/>
      <c r="F26" s="161"/>
      <c r="G26" s="7"/>
      <c r="Z26" s="4"/>
      <c r="AA26" s="4"/>
    </row>
    <row r="27" spans="1:27" s="3" customFormat="1" ht="18" customHeight="1" x14ac:dyDescent="0.35">
      <c r="A27" s="212" t="s">
        <v>976</v>
      </c>
      <c r="B27" s="118">
        <f>B149</f>
        <v>0</v>
      </c>
      <c r="C27" s="161"/>
      <c r="D27" s="161"/>
      <c r="E27" s="161"/>
      <c r="F27" s="161"/>
      <c r="G27" s="7"/>
      <c r="Z27" s="4"/>
      <c r="AA27" s="4"/>
    </row>
    <row r="28" spans="1:27" s="3" customFormat="1" ht="17.149999999999999" customHeight="1" x14ac:dyDescent="0.35">
      <c r="A28" s="161"/>
      <c r="B28" s="161"/>
      <c r="C28" s="161"/>
      <c r="D28" s="161"/>
      <c r="E28" s="161"/>
      <c r="F28" s="161"/>
      <c r="G28" s="7"/>
      <c r="Z28" s="4"/>
      <c r="AA28" s="4"/>
    </row>
    <row r="29" spans="1:27" s="3" customFormat="1" ht="17.149999999999999" customHeight="1" x14ac:dyDescent="0.35">
      <c r="A29" s="161"/>
      <c r="B29" s="161"/>
      <c r="C29" s="161"/>
      <c r="D29" s="161"/>
      <c r="E29" s="161"/>
      <c r="F29" s="161"/>
      <c r="G29" s="7"/>
      <c r="Z29" s="4"/>
      <c r="AA29" s="4"/>
    </row>
    <row r="30" spans="1:27" s="3" customFormat="1" ht="17.149999999999999" customHeight="1" x14ac:dyDescent="0.35">
      <c r="A30" s="161"/>
      <c r="B30" s="161"/>
      <c r="C30" s="161"/>
      <c r="D30" s="161"/>
      <c r="E30" s="161"/>
      <c r="F30" s="161"/>
      <c r="G30" s="7"/>
      <c r="Z30" s="4"/>
      <c r="AA30" s="4"/>
    </row>
    <row r="31" spans="1:27" ht="17.149999999999999" customHeight="1" x14ac:dyDescent="0.35">
      <c r="A31" s="183" t="s">
        <v>977</v>
      </c>
      <c r="B31" s="35"/>
      <c r="C31" s="35"/>
      <c r="D31" s="35"/>
      <c r="E31" s="35"/>
      <c r="F31" s="35"/>
      <c r="G31" s="20"/>
    </row>
    <row r="32" spans="1:27" ht="17.149999999999999" customHeight="1" x14ac:dyDescent="0.35">
      <c r="A32" s="35"/>
      <c r="B32" s="35"/>
      <c r="C32" s="35"/>
      <c r="D32" s="35"/>
      <c r="E32" s="35"/>
      <c r="F32" s="35"/>
      <c r="G32" s="20"/>
    </row>
    <row r="33" spans="1:27" s="115" customFormat="1" ht="17.149999999999999" customHeight="1" x14ac:dyDescent="0.35">
      <c r="A33" s="949" t="s">
        <v>978</v>
      </c>
      <c r="B33" s="1505" t="s">
        <v>9</v>
      </c>
      <c r="C33" s="1502" t="s">
        <v>253</v>
      </c>
      <c r="D33" s="249"/>
      <c r="E33" s="249"/>
      <c r="F33" s="249"/>
      <c r="G33" s="216"/>
      <c r="Z33" s="226"/>
      <c r="AA33" s="226"/>
    </row>
    <row r="34" spans="1:27" ht="17.149999999999999" customHeight="1" x14ac:dyDescent="0.35">
      <c r="A34" s="984" t="s">
        <v>193</v>
      </c>
      <c r="B34" s="1032">
        <f>SUM(B35:B38)</f>
        <v>110175</v>
      </c>
      <c r="C34" s="1460">
        <f>SUM(C35:C38)</f>
        <v>81850</v>
      </c>
      <c r="D34" s="35"/>
      <c r="E34" s="35"/>
      <c r="F34" s="35"/>
      <c r="G34" s="20"/>
    </row>
    <row r="35" spans="1:27" ht="17.149999999999999" customHeight="1" x14ac:dyDescent="0.35">
      <c r="A35" s="250" t="s">
        <v>979</v>
      </c>
      <c r="B35" s="251">
        <f>'FS_Containment volumes'!G135</f>
        <v>0</v>
      </c>
      <c r="C35" s="251">
        <f>'FS_Containment volumes'!H135</f>
        <v>0</v>
      </c>
      <c r="D35" s="35"/>
      <c r="E35" s="35"/>
      <c r="F35" s="35"/>
      <c r="G35" s="20"/>
    </row>
    <row r="36" spans="1:27" ht="17.149999999999999" customHeight="1" x14ac:dyDescent="0.35">
      <c r="A36" s="250" t="s">
        <v>980</v>
      </c>
      <c r="B36" s="251">
        <f>'FS_Containment volumes'!G136</f>
        <v>0</v>
      </c>
      <c r="C36" s="251">
        <f>'FS_Containment volumes'!H136</f>
        <v>0</v>
      </c>
      <c r="D36" s="35"/>
      <c r="E36" s="35"/>
      <c r="F36" s="35"/>
      <c r="G36" s="20"/>
    </row>
    <row r="37" spans="1:27" ht="17.149999999999999" customHeight="1" x14ac:dyDescent="0.35">
      <c r="A37" s="250" t="s">
        <v>981</v>
      </c>
      <c r="B37" s="251">
        <f>'FS_Containment volumes'!G137</f>
        <v>67300</v>
      </c>
      <c r="C37" s="251">
        <f>'FS_Containment volumes'!H137</f>
        <v>40925</v>
      </c>
      <c r="D37" s="35"/>
      <c r="E37" s="35"/>
      <c r="F37" s="35"/>
      <c r="G37" s="20"/>
    </row>
    <row r="38" spans="1:27" ht="17.149999999999999" customHeight="1" x14ac:dyDescent="0.35">
      <c r="A38" s="250" t="s">
        <v>982</v>
      </c>
      <c r="B38" s="251">
        <f>'FS_Containment volumes'!G138</f>
        <v>42875</v>
      </c>
      <c r="C38" s="251">
        <f>'FS_Containment volumes'!H138</f>
        <v>40925</v>
      </c>
      <c r="D38" s="35"/>
      <c r="E38" s="35"/>
      <c r="F38" s="35"/>
      <c r="G38" s="20"/>
    </row>
    <row r="39" spans="1:27" ht="17.149999999999999" customHeight="1" x14ac:dyDescent="0.35">
      <c r="A39" s="984" t="s">
        <v>259</v>
      </c>
      <c r="B39" s="1032">
        <f>SUM(B40:B43)</f>
        <v>37525</v>
      </c>
      <c r="C39" s="1460">
        <f>SUM(C40:C43)</f>
        <v>69750</v>
      </c>
      <c r="D39" s="35"/>
      <c r="E39" s="35"/>
      <c r="F39" s="35"/>
      <c r="G39" s="20"/>
    </row>
    <row r="40" spans="1:27" ht="17.149999999999999" customHeight="1" x14ac:dyDescent="0.35">
      <c r="A40" s="250" t="s">
        <v>979</v>
      </c>
      <c r="B40" s="251">
        <f>'FS_Containment volumes'!G246</f>
        <v>0</v>
      </c>
      <c r="C40" s="251">
        <f>'FS_Containment volumes'!H246</f>
        <v>0</v>
      </c>
      <c r="D40" s="35"/>
      <c r="E40" s="35"/>
      <c r="F40" s="35"/>
      <c r="G40" s="20"/>
    </row>
    <row r="41" spans="1:27" ht="17.149999999999999" customHeight="1" x14ac:dyDescent="0.35">
      <c r="A41" s="250" t="s">
        <v>980</v>
      </c>
      <c r="B41" s="251">
        <f>'FS_Containment volumes'!G247</f>
        <v>0</v>
      </c>
      <c r="C41" s="251">
        <f>'FS_Containment volumes'!H247</f>
        <v>0</v>
      </c>
      <c r="D41" s="35"/>
      <c r="E41" s="35"/>
      <c r="F41" s="35"/>
      <c r="G41" s="20"/>
    </row>
    <row r="42" spans="1:27" ht="17.149999999999999" customHeight="1" x14ac:dyDescent="0.35">
      <c r="A42" s="250" t="s">
        <v>981</v>
      </c>
      <c r="B42" s="251">
        <f>'FS_Containment volumes'!G248</f>
        <v>31275</v>
      </c>
      <c r="C42" s="251">
        <f>'FS_Containment volumes'!H248</f>
        <v>57325</v>
      </c>
      <c r="D42" s="35"/>
      <c r="E42" s="35"/>
      <c r="F42" s="35"/>
      <c r="G42" s="20"/>
    </row>
    <row r="43" spans="1:27" ht="17.149999999999999" customHeight="1" x14ac:dyDescent="0.35">
      <c r="A43" s="250" t="s">
        <v>982</v>
      </c>
      <c r="B43" s="251">
        <f>'FS_Containment volumes'!G249</f>
        <v>6250</v>
      </c>
      <c r="C43" s="251">
        <f>'FS_Containment volumes'!H249</f>
        <v>12425</v>
      </c>
      <c r="D43" s="35"/>
      <c r="E43" s="35"/>
      <c r="F43" s="35"/>
      <c r="G43" s="20"/>
    </row>
    <row r="44" spans="1:27" s="12" customFormat="1" ht="17.149999999999999" customHeight="1" x14ac:dyDescent="0.35">
      <c r="A44" s="959" t="s">
        <v>983</v>
      </c>
      <c r="B44" s="989">
        <f>B34+B39</f>
        <v>147700</v>
      </c>
      <c r="C44" s="990">
        <f>C34+C39</f>
        <v>151600</v>
      </c>
      <c r="D44" s="248"/>
      <c r="E44" s="248"/>
      <c r="F44" s="248"/>
      <c r="G44" s="92"/>
      <c r="Z44" s="109"/>
      <c r="AA44" s="109"/>
    </row>
    <row r="45" spans="1:27" ht="17.149999999999999" customHeight="1" x14ac:dyDescent="0.35">
      <c r="A45" s="35"/>
      <c r="B45" s="35"/>
      <c r="C45" s="35"/>
      <c r="D45" s="35"/>
      <c r="E45" s="35"/>
      <c r="F45" s="35"/>
      <c r="G45" s="20"/>
    </row>
    <row r="46" spans="1:27" ht="17.149999999999999" customHeight="1" x14ac:dyDescent="0.35">
      <c r="A46" s="35"/>
      <c r="B46" s="35"/>
      <c r="C46" s="35"/>
      <c r="D46" s="35"/>
      <c r="E46" s="35"/>
      <c r="F46" s="35"/>
      <c r="G46" s="20"/>
    </row>
    <row r="47" spans="1:27" ht="17.149999999999999" customHeight="1" x14ac:dyDescent="0.35">
      <c r="A47" s="949" t="s">
        <v>984</v>
      </c>
      <c r="B47" s="1776" t="s">
        <v>9</v>
      </c>
      <c r="C47" s="1776"/>
      <c r="D47" s="35"/>
      <c r="E47" s="35"/>
      <c r="F47" s="35"/>
      <c r="G47" s="20"/>
    </row>
    <row r="48" spans="1:27" s="107" customFormat="1" ht="17.149999999999999" customHeight="1" x14ac:dyDescent="0.35">
      <c r="A48" s="188"/>
      <c r="B48" s="267"/>
      <c r="C48" s="36"/>
      <c r="D48" s="36"/>
      <c r="E48" s="36"/>
      <c r="F48" s="36"/>
      <c r="Z48" s="196"/>
      <c r="AA48" s="196"/>
    </row>
    <row r="49" spans="1:27" s="12" customFormat="1" ht="17.149999999999999" customHeight="1" x14ac:dyDescent="0.35">
      <c r="A49" s="265"/>
      <c r="B49" s="1511" t="s">
        <v>279</v>
      </c>
      <c r="C49" s="1511" t="s">
        <v>280</v>
      </c>
      <c r="D49" s="109"/>
      <c r="E49" s="198"/>
      <c r="F49" s="198"/>
      <c r="Z49" s="109"/>
      <c r="AA49" s="109"/>
    </row>
    <row r="50" spans="1:27" s="3" customFormat="1" ht="17.149999999999999" customHeight="1" x14ac:dyDescent="0.35">
      <c r="A50" s="155" t="s">
        <v>282</v>
      </c>
      <c r="B50" s="994">
        <f>'Interface_Emptying &amp; Transport'!C10</f>
        <v>2100</v>
      </c>
      <c r="C50" s="994">
        <f>'Interface_Emptying &amp; Transport'!D10</f>
        <v>700</v>
      </c>
      <c r="D50" s="58"/>
      <c r="E50" s="266"/>
      <c r="F50" s="262"/>
      <c r="Z50" s="4"/>
      <c r="AA50" s="4"/>
    </row>
    <row r="51" spans="1:27" s="3" customFormat="1" ht="17.149999999999999" customHeight="1" x14ac:dyDescent="0.35">
      <c r="A51" s="155" t="s">
        <v>985</v>
      </c>
      <c r="B51" s="1002">
        <f>B50/1000</f>
        <v>2.1</v>
      </c>
      <c r="C51" s="1002">
        <f>C50/1000</f>
        <v>0.7</v>
      </c>
      <c r="D51" s="58"/>
      <c r="E51" s="99"/>
      <c r="F51" s="99"/>
      <c r="Z51" s="4"/>
      <c r="AA51" s="4"/>
    </row>
    <row r="52" spans="1:27" s="3" customFormat="1" ht="17.149999999999999" customHeight="1" x14ac:dyDescent="0.35">
      <c r="A52" s="996" t="s">
        <v>283</v>
      </c>
      <c r="B52" s="278">
        <f>'Interface_Emptying &amp; Transport'!C11</f>
        <v>0.65</v>
      </c>
      <c r="C52" s="278">
        <f>'Interface_Emptying &amp; Transport'!D11</f>
        <v>0.65</v>
      </c>
      <c r="D52" s="58"/>
      <c r="E52" s="266" t="s">
        <v>986</v>
      </c>
      <c r="F52" s="46"/>
      <c r="Z52" s="4"/>
      <c r="AA52" s="4"/>
    </row>
    <row r="53" spans="1:27" s="3" customFormat="1" ht="17.149999999999999" customHeight="1" x14ac:dyDescent="0.35">
      <c r="A53" s="168" t="s">
        <v>987</v>
      </c>
      <c r="B53" s="995">
        <f>B51*B52</f>
        <v>1.3650000000000002</v>
      </c>
      <c r="C53" s="995">
        <f>C51*C52</f>
        <v>0.45499999999999996</v>
      </c>
      <c r="D53" s="58"/>
      <c r="E53" s="263"/>
      <c r="F53" s="263"/>
      <c r="H53" s="264"/>
      <c r="Z53" s="4"/>
      <c r="AA53" s="4"/>
    </row>
    <row r="54" spans="1:27" s="3" customFormat="1" ht="17.149999999999999" customHeight="1" x14ac:dyDescent="0.35">
      <c r="A54" s="1001" t="s">
        <v>988</v>
      </c>
      <c r="B54" s="997">
        <f>'User interface_RES'!D43</f>
        <v>0.27229999999999999</v>
      </c>
      <c r="C54" s="997">
        <f>'User interface_RES'!D44</f>
        <v>0.1827</v>
      </c>
      <c r="D54" s="998">
        <f>SUM(B54:C54)</f>
        <v>0.45499999999999996</v>
      </c>
      <c r="E54" s="263"/>
      <c r="F54" s="263"/>
      <c r="H54" s="264"/>
      <c r="Z54" s="4"/>
      <c r="AA54" s="4"/>
    </row>
    <row r="55" spans="1:27" s="3" customFormat="1" ht="17.149999999999999" customHeight="1" x14ac:dyDescent="0.35">
      <c r="A55" s="953" t="s">
        <v>988</v>
      </c>
      <c r="B55" s="999">
        <f>IF(D54=0,0,(B54/D54)*1)</f>
        <v>0.59846153846153849</v>
      </c>
      <c r="C55" s="999">
        <f>IF(D54=0,0,(C54/D54)*1)</f>
        <v>0.40153846153846157</v>
      </c>
      <c r="D55" s="998">
        <f>SUM(B55:C55)</f>
        <v>1</v>
      </c>
      <c r="E55" s="263"/>
      <c r="F55" s="263"/>
      <c r="Z55" s="4"/>
      <c r="AA55" s="4"/>
    </row>
    <row r="56" spans="1:27" ht="17.149999999999999" customHeight="1" x14ac:dyDescent="0.35">
      <c r="A56" s="991" t="s">
        <v>1180</v>
      </c>
      <c r="B56" s="992">
        <f>B53*B55</f>
        <v>0.81690000000000018</v>
      </c>
      <c r="C56" s="992">
        <f>C53*C55</f>
        <v>0.1827</v>
      </c>
      <c r="D56" s="993">
        <f>ROUND((B56+C56)/0.01,0)*0.01</f>
        <v>1</v>
      </c>
      <c r="E56" s="107"/>
      <c r="F56" s="128"/>
    </row>
    <row r="57" spans="1:27" ht="17.149999999999999" customHeight="1" x14ac:dyDescent="0.35">
      <c r="A57" s="76"/>
      <c r="B57" s="76"/>
      <c r="C57" s="76"/>
      <c r="D57" s="74"/>
      <c r="E57" s="77"/>
      <c r="F57" s="77"/>
      <c r="G57" s="74"/>
    </row>
    <row r="58" spans="1:27" ht="17.149999999999999" customHeight="1" x14ac:dyDescent="0.35">
      <c r="A58" s="76"/>
      <c r="B58" s="76"/>
      <c r="C58" s="76"/>
      <c r="D58" s="74"/>
      <c r="E58" s="77"/>
      <c r="F58" s="77"/>
      <c r="G58" s="74"/>
    </row>
    <row r="59" spans="1:27" ht="17.149999999999999" customHeight="1" x14ac:dyDescent="0.35">
      <c r="A59" s="949" t="s">
        <v>990</v>
      </c>
      <c r="B59" s="1818" t="s">
        <v>9</v>
      </c>
      <c r="C59" s="1819"/>
      <c r="D59" s="1819"/>
      <c r="E59" s="1819"/>
      <c r="F59" s="1819"/>
      <c r="G59" s="1819"/>
      <c r="H59" s="1819"/>
      <c r="I59" s="1819"/>
      <c r="J59" s="1820"/>
    </row>
    <row r="60" spans="1:27" ht="17.149999999999999" customHeight="1" x14ac:dyDescent="0.35">
      <c r="A60" s="11"/>
      <c r="B60" s="220"/>
      <c r="C60" s="220"/>
      <c r="D60" s="220"/>
      <c r="E60" s="275"/>
      <c r="F60" s="347"/>
      <c r="G60" s="347"/>
    </row>
    <row r="61" spans="1:27" ht="17.149999999999999" customHeight="1" x14ac:dyDescent="0.35">
      <c r="A61" s="279"/>
      <c r="B61" s="1814" t="s">
        <v>290</v>
      </c>
      <c r="C61" s="1815"/>
      <c r="D61" s="1815"/>
      <c r="E61" s="1815"/>
      <c r="F61" s="1815"/>
      <c r="G61" s="1815"/>
      <c r="H61" s="1815"/>
      <c r="I61" s="1815"/>
      <c r="J61" s="1816"/>
      <c r="K61" s="198"/>
      <c r="L61" s="198"/>
      <c r="M61" s="198"/>
      <c r="N61" s="1797" t="s">
        <v>291</v>
      </c>
      <c r="O61" s="1805"/>
      <c r="P61" s="1805"/>
      <c r="Q61" s="1798"/>
      <c r="R61" s="1503" t="s">
        <v>332</v>
      </c>
      <c r="T61" s="1784" t="s">
        <v>292</v>
      </c>
      <c r="U61" s="1784"/>
      <c r="V61" s="1784"/>
      <c r="W61" s="1784"/>
      <c r="X61" s="98"/>
      <c r="Z61" s="17"/>
      <c r="AA61" s="17"/>
    </row>
    <row r="62" spans="1:27" ht="66" customHeight="1" x14ac:dyDescent="0.35">
      <c r="A62" s="1506" t="s">
        <v>295</v>
      </c>
      <c r="B62" s="1814" t="s">
        <v>296</v>
      </c>
      <c r="C62" s="1816"/>
      <c r="D62" s="1501" t="s">
        <v>297</v>
      </c>
      <c r="E62" s="1501" t="s">
        <v>298</v>
      </c>
      <c r="F62" s="1003" t="s">
        <v>991</v>
      </c>
      <c r="G62" s="1501" t="s">
        <v>992</v>
      </c>
      <c r="H62" s="1501" t="s">
        <v>299</v>
      </c>
      <c r="I62" s="1003" t="s">
        <v>993</v>
      </c>
      <c r="J62" s="1003" t="s">
        <v>994</v>
      </c>
      <c r="K62" s="123"/>
      <c r="L62" s="123"/>
      <c r="M62" s="123"/>
      <c r="N62" s="1513" t="s">
        <v>300</v>
      </c>
      <c r="O62" s="1513" t="s">
        <v>301</v>
      </c>
      <c r="P62" s="1513" t="s">
        <v>302</v>
      </c>
      <c r="Q62" s="1513" t="s">
        <v>303</v>
      </c>
      <c r="R62" s="1513" t="s">
        <v>995</v>
      </c>
      <c r="S62" s="11"/>
      <c r="T62" s="1513" t="s">
        <v>996</v>
      </c>
      <c r="U62" s="1809" t="s">
        <v>306</v>
      </c>
      <c r="V62" s="1809"/>
      <c r="W62" s="1809"/>
      <c r="X62" s="98"/>
      <c r="Z62" s="17"/>
      <c r="AA62" s="17"/>
    </row>
    <row r="63" spans="1:27" s="60" customFormat="1" ht="13" x14ac:dyDescent="0.35">
      <c r="A63" s="268"/>
      <c r="B63" s="269"/>
      <c r="C63" s="270"/>
      <c r="D63" s="173"/>
      <c r="E63" s="173"/>
      <c r="F63" s="271"/>
      <c r="G63" s="173"/>
      <c r="H63" s="173"/>
      <c r="I63" s="272"/>
      <c r="J63" s="273"/>
      <c r="K63" s="101"/>
      <c r="L63" s="101"/>
      <c r="M63" s="101"/>
      <c r="N63" s="1514"/>
      <c r="O63" s="1514"/>
      <c r="P63" s="1514"/>
      <c r="Q63" s="1514"/>
      <c r="R63" s="1514"/>
      <c r="S63" s="117"/>
      <c r="T63" s="1514"/>
      <c r="U63" s="1810"/>
      <c r="V63" s="1810"/>
      <c r="W63" s="1810"/>
      <c r="X63" s="58"/>
    </row>
    <row r="64" spans="1:27" ht="17.149999999999999" customHeight="1" x14ac:dyDescent="0.35">
      <c r="A64" s="959" t="s">
        <v>320</v>
      </c>
      <c r="B64" s="1008"/>
      <c r="C64" s="1009"/>
      <c r="D64" s="1010"/>
      <c r="E64" s="1010"/>
      <c r="F64" s="985"/>
      <c r="G64" s="985"/>
      <c r="H64" s="985"/>
      <c r="I64" s="985"/>
      <c r="J64" s="985"/>
      <c r="K64" s="107"/>
      <c r="L64" s="107"/>
      <c r="M64" s="107"/>
      <c r="N64" s="1515"/>
      <c r="O64" s="1515"/>
      <c r="P64" s="1515"/>
      <c r="Q64" s="1515"/>
      <c r="R64" s="1515"/>
      <c r="S64" s="61"/>
      <c r="T64" s="1515"/>
      <c r="U64" s="1811"/>
      <c r="V64" s="1811"/>
      <c r="W64" s="1811"/>
      <c r="X64" s="98"/>
      <c r="Z64" s="17"/>
      <c r="AA64" s="17"/>
    </row>
    <row r="65" spans="1:27" s="3" customFormat="1" ht="17.149999999999999" customHeight="1" x14ac:dyDescent="0.35">
      <c r="A65" s="155" t="s">
        <v>997</v>
      </c>
      <c r="B65" s="1817" t="s">
        <v>322</v>
      </c>
      <c r="C65" s="1817"/>
      <c r="D65" s="1522">
        <v>1</v>
      </c>
      <c r="E65" s="1522">
        <f>'Interface_Emptying &amp; Transport'!F21</f>
        <v>0</v>
      </c>
      <c r="F65" s="988">
        <f>D65*E65*$D$56</f>
        <v>0</v>
      </c>
      <c r="G65" s="1522">
        <f>ROUND((F65*365)/25,0)*25</f>
        <v>0</v>
      </c>
      <c r="H65" s="1007">
        <f>'Interface_Emptying &amp; Transport'!G21</f>
        <v>1</v>
      </c>
      <c r="I65" s="1518">
        <f>ROUND((G65*(1-H65))/25,0)*25</f>
        <v>0</v>
      </c>
      <c r="J65" s="1518">
        <f>ROUND((G65*H65)/25,0)*25</f>
        <v>0</v>
      </c>
      <c r="K65" s="10"/>
      <c r="L65" s="10"/>
      <c r="M65" s="10"/>
      <c r="N65" s="1015">
        <f>'Interface_Emptying &amp; Transport'!K21</f>
        <v>0</v>
      </c>
      <c r="O65" s="1015">
        <f>'Interface_Emptying &amp; Transport'!L21</f>
        <v>0</v>
      </c>
      <c r="P65" s="1015">
        <f>'Interface_Emptying &amp; Transport'!M21</f>
        <v>0</v>
      </c>
      <c r="Q65" s="1015">
        <f>'Interface_Emptying &amp; Transport'!N21</f>
        <v>0</v>
      </c>
      <c r="R65" s="1015">
        <f>'Interface_Emptying &amp; Transport'!O21</f>
        <v>0</v>
      </c>
      <c r="S65" s="60"/>
      <c r="T65" s="1510">
        <f>'Interface_Emptying &amp; Transport'!R21</f>
        <v>0</v>
      </c>
      <c r="U65" s="1806">
        <f>'Interface_Emptying &amp; Transport'!S21</f>
        <v>0</v>
      </c>
      <c r="V65" s="1812"/>
      <c r="W65" s="1807"/>
      <c r="X65" s="4"/>
    </row>
    <row r="66" spans="1:27" s="3" customFormat="1" ht="17.149999999999999" customHeight="1" x14ac:dyDescent="0.35">
      <c r="A66" s="155" t="s">
        <v>998</v>
      </c>
      <c r="B66" s="1817" t="s">
        <v>322</v>
      </c>
      <c r="C66" s="1817"/>
      <c r="D66" s="1522">
        <f>'Interface_Emptying &amp; Transport'!E23</f>
        <v>0</v>
      </c>
      <c r="E66" s="1522">
        <f>'Interface_Emptying &amp; Transport'!F23</f>
        <v>0</v>
      </c>
      <c r="F66" s="988">
        <f>D66*E66*$D$56</f>
        <v>0</v>
      </c>
      <c r="G66" s="1522">
        <f>ROUND((F66*365)/25,0)*25</f>
        <v>0</v>
      </c>
      <c r="H66" s="1007">
        <f>'Interface_Emptying &amp; Transport'!G23</f>
        <v>1</v>
      </c>
      <c r="I66" s="1518">
        <f>ROUND((G66*(1-H66))/25,0)*25</f>
        <v>0</v>
      </c>
      <c r="J66" s="1518">
        <f>ROUND((G66*H66)/25,0)*25</f>
        <v>0</v>
      </c>
      <c r="K66" s="10"/>
      <c r="L66" s="10"/>
      <c r="M66" s="10"/>
      <c r="N66" s="1015">
        <f>'Interface_Emptying &amp; Transport'!K23</f>
        <v>0</v>
      </c>
      <c r="O66" s="1015">
        <f>'Interface_Emptying &amp; Transport'!L23</f>
        <v>0</v>
      </c>
      <c r="P66" s="1015">
        <f>'Interface_Emptying &amp; Transport'!M23</f>
        <v>0</v>
      </c>
      <c r="Q66" s="1015">
        <f>'Interface_Emptying &amp; Transport'!N23</f>
        <v>0</v>
      </c>
      <c r="R66" s="1015">
        <f>'Interface_Emptying &amp; Transport'!O23</f>
        <v>0</v>
      </c>
      <c r="S66" s="60"/>
      <c r="T66" s="1510">
        <f>'Interface_Emptying &amp; Transport'!R23</f>
        <v>0</v>
      </c>
      <c r="U66" s="1806">
        <f>'Interface_Emptying &amp; Transport'!S23</f>
        <v>0</v>
      </c>
      <c r="V66" s="1812"/>
      <c r="W66" s="1807"/>
      <c r="X66" s="4"/>
    </row>
    <row r="67" spans="1:27" s="3" customFormat="1" ht="17.149999999999999" customHeight="1" x14ac:dyDescent="0.35">
      <c r="A67" s="155" t="s">
        <v>998</v>
      </c>
      <c r="B67" s="1817" t="s">
        <v>327</v>
      </c>
      <c r="C67" s="1817"/>
      <c r="D67" s="1522">
        <f>'Interface_Emptying &amp; Transport'!E25</f>
        <v>0</v>
      </c>
      <c r="E67" s="1522">
        <f>'Interface_Emptying &amp; Transport'!F25</f>
        <v>0</v>
      </c>
      <c r="F67" s="988">
        <f>D67*E67*$D$56</f>
        <v>0</v>
      </c>
      <c r="G67" s="1522">
        <f>ROUND((F67*365)/25,0)*25</f>
        <v>0</v>
      </c>
      <c r="H67" s="1007">
        <f>'Interface_Emptying &amp; Transport'!G25</f>
        <v>1</v>
      </c>
      <c r="I67" s="1518">
        <f>ROUND((G67*(1-H67))/25,0)*25</f>
        <v>0</v>
      </c>
      <c r="J67" s="1518">
        <f>ROUND((G67*H67)/25,0)*25</f>
        <v>0</v>
      </c>
      <c r="K67" s="10"/>
      <c r="L67" s="10"/>
      <c r="M67" s="10"/>
      <c r="N67" s="1015">
        <f>'Interface_Emptying &amp; Transport'!K25</f>
        <v>0</v>
      </c>
      <c r="O67" s="1015">
        <f>'Interface_Emptying &amp; Transport'!L25</f>
        <v>0</v>
      </c>
      <c r="P67" s="1015">
        <f>'Interface_Emptying &amp; Transport'!M25</f>
        <v>0</v>
      </c>
      <c r="Q67" s="1015">
        <f>'Interface_Emptying &amp; Transport'!N25</f>
        <v>0</v>
      </c>
      <c r="R67" s="1015">
        <f>'Interface_Emptying &amp; Transport'!O25</f>
        <v>0</v>
      </c>
      <c r="S67" s="60"/>
      <c r="T67" s="1510">
        <f>'Interface_Emptying &amp; Transport'!R25</f>
        <v>0</v>
      </c>
      <c r="U67" s="1806">
        <f>'Interface_Emptying &amp; Transport'!S25</f>
        <v>0</v>
      </c>
      <c r="V67" s="1812"/>
      <c r="W67" s="1807"/>
      <c r="X67" s="4"/>
    </row>
    <row r="68" spans="1:27" s="3" customFormat="1" ht="17.149999999999999" customHeight="1" x14ac:dyDescent="0.35">
      <c r="A68" s="155" t="s">
        <v>999</v>
      </c>
      <c r="B68" s="1817">
        <f>'Interface_Emptying &amp; Transport'!C27</f>
        <v>0</v>
      </c>
      <c r="C68" s="1817"/>
      <c r="D68" s="1522">
        <f>'Interface_Emptying &amp; Transport'!E27</f>
        <v>0</v>
      </c>
      <c r="E68" s="1522">
        <f>'Interface_Emptying &amp; Transport'!F27</f>
        <v>0</v>
      </c>
      <c r="F68" s="988">
        <f>D68*E68*$D$56</f>
        <v>0</v>
      </c>
      <c r="G68" s="1522">
        <f>ROUND((F68*365)/25,0)*25</f>
        <v>0</v>
      </c>
      <c r="H68" s="1007">
        <f>'Interface_Emptying &amp; Transport'!G27</f>
        <v>1</v>
      </c>
      <c r="I68" s="1518">
        <f>ROUND((G68*(1-H68))/25,0)*25</f>
        <v>0</v>
      </c>
      <c r="J68" s="1518">
        <f>ROUND((G68*H68)/25,0)*25</f>
        <v>0</v>
      </c>
      <c r="K68" s="10"/>
      <c r="L68" s="10"/>
      <c r="M68" s="10"/>
      <c r="N68" s="1015">
        <f>'Interface_Emptying &amp; Transport'!K27</f>
        <v>0</v>
      </c>
      <c r="O68" s="1015">
        <f>'Interface_Emptying &amp; Transport'!L27</f>
        <v>0</v>
      </c>
      <c r="P68" s="1015">
        <f>'Interface_Emptying &amp; Transport'!M27</f>
        <v>0</v>
      </c>
      <c r="Q68" s="1015">
        <f>'Interface_Emptying &amp; Transport'!N27</f>
        <v>0</v>
      </c>
      <c r="R68" s="1015">
        <f>'Interface_Emptying &amp; Transport'!O27</f>
        <v>0</v>
      </c>
      <c r="S68" s="60"/>
      <c r="T68" s="1510">
        <f>'Interface_Emptying &amp; Transport'!R27</f>
        <v>0</v>
      </c>
      <c r="U68" s="1806">
        <f>'Interface_Emptying &amp; Transport'!S27</f>
        <v>0</v>
      </c>
      <c r="V68" s="1812"/>
      <c r="W68" s="1807"/>
      <c r="X68" s="4"/>
    </row>
    <row r="69" spans="1:27" s="11" customFormat="1" ht="17.149999999999999" customHeight="1" x14ac:dyDescent="0.35">
      <c r="A69" s="950" t="s">
        <v>361</v>
      </c>
      <c r="B69" s="1004"/>
      <c r="C69" s="1005"/>
      <c r="D69" s="948">
        <f>SUM(D65:D68)</f>
        <v>1</v>
      </c>
      <c r="E69" s="948">
        <f>SUM(E65:E68)</f>
        <v>0</v>
      </c>
      <c r="F69" s="1006">
        <f>SUM(F65:F68)</f>
        <v>0</v>
      </c>
      <c r="G69" s="948">
        <f>SUM(G65:G68)</f>
        <v>0</v>
      </c>
      <c r="H69" s="950"/>
      <c r="I69" s="948">
        <f>SUM(I65:I68)</f>
        <v>0</v>
      </c>
      <c r="J69" s="951">
        <f>SUM(J65:J68)</f>
        <v>0</v>
      </c>
      <c r="K69" s="274"/>
      <c r="L69" s="274"/>
      <c r="M69" s="274"/>
      <c r="N69" s="950"/>
      <c r="O69" s="950"/>
      <c r="P69" s="950"/>
      <c r="Q69" s="950"/>
      <c r="R69" s="950"/>
      <c r="T69" s="1513"/>
      <c r="U69" s="1809"/>
      <c r="V69" s="1809"/>
      <c r="W69" s="1809"/>
      <c r="X69" s="134"/>
      <c r="Y69" s="134"/>
    </row>
    <row r="70" spans="1:27" s="3" customFormat="1" ht="17.149999999999999" customHeight="1" x14ac:dyDescent="0.35">
      <c r="A70" s="83"/>
      <c r="B70" s="83"/>
      <c r="C70" s="83"/>
      <c r="D70" s="276"/>
      <c r="E70" s="277"/>
      <c r="F70" s="277"/>
      <c r="G70" s="278">
        <f>IF($G$69=0,0,G69/$G$69)</f>
        <v>0</v>
      </c>
      <c r="H70" s="176"/>
      <c r="I70" s="278">
        <f>IF($G$69=0,0,I69/$G$69)</f>
        <v>0</v>
      </c>
      <c r="J70" s="278">
        <f>IF($G$69=0,0,J69/$G$69)</f>
        <v>0</v>
      </c>
      <c r="K70" s="46"/>
      <c r="L70" s="46"/>
      <c r="M70" s="46"/>
      <c r="Z70" s="4"/>
      <c r="AA70" s="4"/>
    </row>
    <row r="71" spans="1:27" ht="17.149999999999999" customHeight="1" x14ac:dyDescent="0.35">
      <c r="A71" s="76"/>
      <c r="B71" s="76"/>
      <c r="C71" s="76"/>
      <c r="D71" s="74"/>
      <c r="E71" s="77"/>
      <c r="F71" s="77"/>
      <c r="G71" s="74"/>
      <c r="I71" s="80"/>
    </row>
    <row r="72" spans="1:27" ht="17.149999999999999" customHeight="1" x14ac:dyDescent="0.35">
      <c r="A72" s="11"/>
      <c r="B72" s="11"/>
      <c r="C72" s="11"/>
      <c r="D72" s="11"/>
      <c r="E72" s="11"/>
      <c r="F72" s="11"/>
    </row>
    <row r="73" spans="1:27" ht="17.149999999999999" customHeight="1" x14ac:dyDescent="0.35">
      <c r="A73" s="11"/>
      <c r="B73" s="1004" t="s">
        <v>331</v>
      </c>
      <c r="C73" s="1011"/>
      <c r="D73" s="1011"/>
      <c r="E73" s="1011"/>
      <c r="F73" s="1011"/>
      <c r="G73" s="1011"/>
      <c r="H73" s="1011"/>
      <c r="I73" s="1011"/>
      <c r="J73" s="1011"/>
      <c r="K73" s="1011"/>
      <c r="L73" s="1005"/>
      <c r="N73" s="1784" t="s">
        <v>291</v>
      </c>
      <c r="O73" s="1784"/>
      <c r="P73" s="1784"/>
      <c r="Q73" s="1784"/>
      <c r="R73" s="1503" t="s">
        <v>332</v>
      </c>
      <c r="T73" s="1784" t="s">
        <v>292</v>
      </c>
      <c r="U73" s="1784"/>
      <c r="V73" s="1784"/>
      <c r="W73" s="1784"/>
      <c r="X73" s="1797" t="s">
        <v>333</v>
      </c>
      <c r="Y73" s="1798"/>
      <c r="Z73" s="17"/>
      <c r="AA73" s="17"/>
    </row>
    <row r="74" spans="1:27" ht="58" x14ac:dyDescent="0.35">
      <c r="A74" s="1511" t="s">
        <v>1000</v>
      </c>
      <c r="B74" s="1808" t="s">
        <v>296</v>
      </c>
      <c r="C74" s="1808"/>
      <c r="D74" s="1501" t="s">
        <v>297</v>
      </c>
      <c r="E74" s="1511" t="s">
        <v>1001</v>
      </c>
      <c r="F74" s="1511" t="s">
        <v>1002</v>
      </c>
      <c r="G74" s="1511" t="s">
        <v>1003</v>
      </c>
      <c r="H74" s="1511" t="s">
        <v>1004</v>
      </c>
      <c r="I74" s="1501" t="s">
        <v>992</v>
      </c>
      <c r="J74" s="1501" t="s">
        <v>299</v>
      </c>
      <c r="K74" s="1003" t="s">
        <v>993</v>
      </c>
      <c r="L74" s="1003" t="s">
        <v>994</v>
      </c>
      <c r="M74" s="38"/>
      <c r="N74" s="1513" t="s">
        <v>300</v>
      </c>
      <c r="O74" s="1513" t="s">
        <v>301</v>
      </c>
      <c r="P74" s="1513" t="s">
        <v>302</v>
      </c>
      <c r="Q74" s="1513" t="s">
        <v>303</v>
      </c>
      <c r="R74" s="1511" t="s">
        <v>1005</v>
      </c>
      <c r="S74" s="79"/>
      <c r="T74" s="1513" t="s">
        <v>1006</v>
      </c>
      <c r="U74" s="1513" t="s">
        <v>996</v>
      </c>
      <c r="V74" s="1030" t="s">
        <v>306</v>
      </c>
      <c r="W74" s="1031"/>
      <c r="X74" s="1513" t="s">
        <v>342</v>
      </c>
      <c r="Y74" s="1513" t="s">
        <v>1007</v>
      </c>
      <c r="Z74" s="17"/>
      <c r="AA74" s="17"/>
    </row>
    <row r="75" spans="1:27" s="3" customFormat="1" ht="13" x14ac:dyDescent="0.35">
      <c r="A75" s="356"/>
      <c r="B75" s="938"/>
      <c r="C75" s="939"/>
      <c r="D75" s="173"/>
      <c r="E75" s="356"/>
      <c r="F75" s="356"/>
      <c r="G75" s="356"/>
      <c r="H75" s="356"/>
      <c r="I75" s="173"/>
      <c r="J75" s="173"/>
      <c r="K75" s="272"/>
      <c r="L75" s="273"/>
      <c r="M75" s="280"/>
      <c r="N75" s="1514"/>
      <c r="O75" s="1514"/>
      <c r="P75" s="1514"/>
      <c r="Q75" s="1514"/>
      <c r="R75" s="356"/>
      <c r="S75" s="281"/>
      <c r="T75" s="1514"/>
      <c r="U75" s="1514"/>
      <c r="V75" s="1801"/>
      <c r="W75" s="1802"/>
      <c r="X75" s="1514"/>
      <c r="Y75" s="1514"/>
    </row>
    <row r="76" spans="1:27" s="3" customFormat="1" ht="17.149999999999999" customHeight="1" x14ac:dyDescent="0.35">
      <c r="A76" s="959" t="s">
        <v>320</v>
      </c>
      <c r="B76" s="1516"/>
      <c r="C76" s="1517"/>
      <c r="D76" s="1012"/>
      <c r="E76" s="1013"/>
      <c r="F76" s="1013"/>
      <c r="G76" s="1013"/>
      <c r="H76" s="1013"/>
      <c r="I76" s="1012"/>
      <c r="J76" s="1012"/>
      <c r="K76" s="1014"/>
      <c r="L76" s="1014"/>
      <c r="M76" s="280"/>
      <c r="N76" s="1029"/>
      <c r="O76" s="1029"/>
      <c r="P76" s="1029"/>
      <c r="Q76" s="1029"/>
      <c r="R76" s="1013"/>
      <c r="S76" s="281"/>
      <c r="T76" s="1029"/>
      <c r="U76" s="1029"/>
      <c r="V76" s="1803"/>
      <c r="W76" s="1804"/>
      <c r="X76" s="1029"/>
      <c r="Y76" s="1029"/>
    </row>
    <row r="77" spans="1:27" s="60" customFormat="1" ht="17.149999999999999" customHeight="1" x14ac:dyDescent="0.35">
      <c r="A77" s="953" t="str">
        <f>'Interface_Emptying &amp; Transport'!B35</f>
        <v>Public provider [Name]</v>
      </c>
      <c r="B77" s="1806">
        <f>'Interface_Emptying &amp; Transport'!C35</f>
        <v>0</v>
      </c>
      <c r="C77" s="1807"/>
      <c r="D77" s="1522">
        <f>'Interface_Emptying &amp; Transport'!E35</f>
        <v>0</v>
      </c>
      <c r="E77" s="1522">
        <f>'Interface_Emptying &amp; Transport'!F35</f>
        <v>0</v>
      </c>
      <c r="F77" s="1522">
        <f>'Interface_Emptying &amp; Transport'!G35</f>
        <v>0</v>
      </c>
      <c r="G77" s="988">
        <f>'Interface_Emptying &amp; Transport'!H35</f>
        <v>0</v>
      </c>
      <c r="H77" s="988">
        <f>D77*$D$56</f>
        <v>0</v>
      </c>
      <c r="I77" s="1522">
        <f>ROUND((H77*365)/25,0)*25</f>
        <v>0</v>
      </c>
      <c r="J77" s="956">
        <f>'Interface_Emptying &amp; Transport'!I35</f>
        <v>1</v>
      </c>
      <c r="K77" s="1518">
        <f t="shared" ref="K77:K84" si="0">ROUND((I77*(1-J77))/25,0)*25</f>
        <v>0</v>
      </c>
      <c r="L77" s="1518">
        <f t="shared" ref="L77:L84" si="1">ROUND((I77*J77)/25,0)*25</f>
        <v>0</v>
      </c>
      <c r="M77" s="129"/>
      <c r="N77" s="1015">
        <f>'Interface_Emptying &amp; Transport'!K35</f>
        <v>0</v>
      </c>
      <c r="O77" s="1015">
        <f>'Interface_Emptying &amp; Transport'!L35</f>
        <v>0</v>
      </c>
      <c r="P77" s="1015">
        <f>'Interface_Emptying &amp; Transport'!M35</f>
        <v>0</v>
      </c>
      <c r="Q77" s="1015">
        <f>'Interface_Emptying &amp; Transport'!N35</f>
        <v>0</v>
      </c>
      <c r="R77" s="1015">
        <f>'Interface_Emptying &amp; Transport'!O35</f>
        <v>0</v>
      </c>
      <c r="T77" s="1510">
        <f>'Interface_Emptying &amp; Transport'!Q35</f>
        <v>0</v>
      </c>
      <c r="U77" s="1510">
        <f>'Interface_Emptying &amp; Transport'!R35</f>
        <v>0</v>
      </c>
      <c r="V77" s="1795">
        <f>'Interface_Emptying &amp; Transport'!S35</f>
        <v>0</v>
      </c>
      <c r="W77" s="1796"/>
      <c r="X77" s="1016">
        <f>'Interface_Emptying &amp; Transport'!W35</f>
        <v>0</v>
      </c>
      <c r="Y77" s="947">
        <f>'Interface_Emptying &amp; Transport'!X35</f>
        <v>0</v>
      </c>
    </row>
    <row r="78" spans="1:27" s="60" customFormat="1" ht="17.149999999999999" customHeight="1" x14ac:dyDescent="0.35">
      <c r="A78" s="953" t="str">
        <f>'Interface_Emptying &amp; Transport'!B36</f>
        <v>Public provider [Name]</v>
      </c>
      <c r="B78" s="1806">
        <f>'Interface_Emptying &amp; Transport'!C36</f>
        <v>0</v>
      </c>
      <c r="C78" s="1807"/>
      <c r="D78" s="1522">
        <f>'Interface_Emptying &amp; Transport'!E36</f>
        <v>0</v>
      </c>
      <c r="E78" s="1522">
        <f>'Interface_Emptying &amp; Transport'!F36</f>
        <v>0</v>
      </c>
      <c r="F78" s="1522">
        <f>'Interface_Emptying &amp; Transport'!G36</f>
        <v>0</v>
      </c>
      <c r="G78" s="988">
        <f>'Interface_Emptying &amp; Transport'!H36</f>
        <v>0</v>
      </c>
      <c r="H78" s="988">
        <f t="shared" ref="H78:H84" si="2">D78*$D$56</f>
        <v>0</v>
      </c>
      <c r="I78" s="1522">
        <f t="shared" ref="I78:I84" si="3">ROUND((H78*365)/25,0)*25</f>
        <v>0</v>
      </c>
      <c r="J78" s="956">
        <f>'Interface_Emptying &amp; Transport'!I36</f>
        <v>1</v>
      </c>
      <c r="K78" s="1518">
        <f t="shared" si="0"/>
        <v>0</v>
      </c>
      <c r="L78" s="1518">
        <f t="shared" si="1"/>
        <v>0</v>
      </c>
      <c r="M78" s="130"/>
      <c r="N78" s="1015">
        <f>'Interface_Emptying &amp; Transport'!K36</f>
        <v>0</v>
      </c>
      <c r="O78" s="1015">
        <f>'Interface_Emptying &amp; Transport'!L36</f>
        <v>0</v>
      </c>
      <c r="P78" s="1015">
        <f>'Interface_Emptying &amp; Transport'!M36</f>
        <v>0</v>
      </c>
      <c r="Q78" s="1015">
        <f>'Interface_Emptying &amp; Transport'!N36</f>
        <v>0</v>
      </c>
      <c r="R78" s="1015">
        <f>'Interface_Emptying &amp; Transport'!O36</f>
        <v>0</v>
      </c>
      <c r="T78" s="1510">
        <f>'Interface_Emptying &amp; Transport'!Q36</f>
        <v>0</v>
      </c>
      <c r="U78" s="1510">
        <f>'Interface_Emptying &amp; Transport'!R36</f>
        <v>0</v>
      </c>
      <c r="V78" s="1795">
        <f>'Interface_Emptying &amp; Transport'!S36</f>
        <v>0</v>
      </c>
      <c r="W78" s="1796"/>
      <c r="X78" s="1016">
        <f>'Interface_Emptying &amp; Transport'!W36</f>
        <v>0</v>
      </c>
      <c r="Y78" s="947">
        <f>'Interface_Emptying &amp; Transport'!X36</f>
        <v>0</v>
      </c>
    </row>
    <row r="79" spans="1:27" s="60" customFormat="1" ht="17.149999999999999" customHeight="1" x14ac:dyDescent="0.35">
      <c r="A79" s="953" t="str">
        <f>'Interface_Emptying &amp; Transport'!B37</f>
        <v>300 providers (approx)</v>
      </c>
      <c r="B79" s="1806" t="str">
        <f>'Interface_Emptying &amp; Transport'!C37</f>
        <v>Vehicle-mounted vacuum pump</v>
      </c>
      <c r="C79" s="1807"/>
      <c r="D79" s="1522">
        <f>'Interface_Emptying &amp; Transport'!E37</f>
        <v>405.17500000000001</v>
      </c>
      <c r="E79" s="1522" t="str">
        <f>'Interface_Emptying &amp; Transport'!F37</f>
        <v>PRIVATE</v>
      </c>
      <c r="F79" s="1522">
        <f>'Interface_Emptying &amp; Transport'!G37</f>
        <v>0</v>
      </c>
      <c r="G79" s="988">
        <f>'Interface_Emptying &amp; Transport'!H37</f>
        <v>0</v>
      </c>
      <c r="H79" s="988">
        <f t="shared" si="2"/>
        <v>405.17500000000001</v>
      </c>
      <c r="I79" s="1522">
        <f t="shared" si="3"/>
        <v>147900</v>
      </c>
      <c r="J79" s="956">
        <f>'Interface_Emptying &amp; Transport'!I37</f>
        <v>1</v>
      </c>
      <c r="K79" s="1518">
        <f t="shared" si="0"/>
        <v>0</v>
      </c>
      <c r="L79" s="1518">
        <f t="shared" si="1"/>
        <v>147900</v>
      </c>
      <c r="M79" s="129"/>
      <c r="N79" s="1015">
        <f>'Interface_Emptying &amp; Transport'!K37</f>
        <v>300</v>
      </c>
      <c r="O79" s="1015">
        <f>'Interface_Emptying &amp; Transport'!L37</f>
        <v>1500</v>
      </c>
      <c r="P79" s="1015">
        <f>'Interface_Emptying &amp; Transport'!M37</f>
        <v>500</v>
      </c>
      <c r="Q79" s="1015" t="str">
        <f>'Interface_Emptying &amp; Transport'!N37</f>
        <v>NO</v>
      </c>
      <c r="R79" s="1015" t="str">
        <f>'Interface_Emptying &amp; Transport'!O37</f>
        <v>SO SO</v>
      </c>
      <c r="T79" s="1510" t="str">
        <f>'Interface_Emptying &amp; Transport'!Q37</f>
        <v>YES</v>
      </c>
      <c r="U79" s="1510" t="str">
        <f>'Interface_Emptying &amp; Transport'!R37</f>
        <v>YES</v>
      </c>
      <c r="V79" s="1795" t="str">
        <f>'Interface_Emptying &amp; Transport'!S37</f>
        <v>Some of the areas are densely populated and difficult for the vehicle to reach.</v>
      </c>
      <c r="W79" s="1796"/>
      <c r="X79" s="1016" t="str">
        <f>'Interface_Emptying &amp; Transport'!W37</f>
        <v>ON CALL</v>
      </c>
      <c r="Y79" s="947">
        <f>'Interface_Emptying &amp; Transport'!X37</f>
        <v>600</v>
      </c>
    </row>
    <row r="80" spans="1:27" s="60" customFormat="1" ht="17.149999999999999" customHeight="1" x14ac:dyDescent="0.35">
      <c r="A80" s="953" t="str">
        <f>'Interface_Emptying &amp; Transport'!B38</f>
        <v>Private provider 2 [Name]</v>
      </c>
      <c r="B80" s="1806">
        <f>'Interface_Emptying &amp; Transport'!C38</f>
        <v>0</v>
      </c>
      <c r="C80" s="1807"/>
      <c r="D80" s="1522">
        <f>'Interface_Emptying &amp; Transport'!E38</f>
        <v>0</v>
      </c>
      <c r="E80" s="1522">
        <f>'Interface_Emptying &amp; Transport'!F38</f>
        <v>0</v>
      </c>
      <c r="F80" s="1522">
        <f>'Interface_Emptying &amp; Transport'!G38</f>
        <v>0</v>
      </c>
      <c r="G80" s="988">
        <f>'Interface_Emptying &amp; Transport'!H38</f>
        <v>0</v>
      </c>
      <c r="H80" s="988">
        <f t="shared" si="2"/>
        <v>0</v>
      </c>
      <c r="I80" s="1522">
        <f t="shared" si="3"/>
        <v>0</v>
      </c>
      <c r="J80" s="956">
        <f>'Interface_Emptying &amp; Transport'!I38</f>
        <v>1</v>
      </c>
      <c r="K80" s="1518">
        <f t="shared" si="0"/>
        <v>0</v>
      </c>
      <c r="L80" s="1518">
        <f t="shared" si="1"/>
        <v>0</v>
      </c>
      <c r="M80" s="130"/>
      <c r="N80" s="1015">
        <f>'Interface_Emptying &amp; Transport'!K38</f>
        <v>0</v>
      </c>
      <c r="O80" s="1015">
        <f>'Interface_Emptying &amp; Transport'!L38</f>
        <v>0</v>
      </c>
      <c r="P80" s="1015">
        <f>'Interface_Emptying &amp; Transport'!M38</f>
        <v>0</v>
      </c>
      <c r="Q80" s="1015">
        <f>'Interface_Emptying &amp; Transport'!N38</f>
        <v>0</v>
      </c>
      <c r="R80" s="1015">
        <f>'Interface_Emptying &amp; Transport'!O38</f>
        <v>0</v>
      </c>
      <c r="T80" s="1510">
        <f>'Interface_Emptying &amp; Transport'!Q38</f>
        <v>0</v>
      </c>
      <c r="U80" s="1510">
        <f>'Interface_Emptying &amp; Transport'!R38</f>
        <v>0</v>
      </c>
      <c r="V80" s="1795">
        <f>'Interface_Emptying &amp; Transport'!S38</f>
        <v>0</v>
      </c>
      <c r="W80" s="1796"/>
      <c r="X80" s="1016">
        <f>'Interface_Emptying &amp; Transport'!W38</f>
        <v>0</v>
      </c>
      <c r="Y80" s="947">
        <f>'Interface_Emptying &amp; Transport'!X38</f>
        <v>0</v>
      </c>
    </row>
    <row r="81" spans="1:27" s="60" customFormat="1" ht="17.149999999999999" customHeight="1" x14ac:dyDescent="0.35">
      <c r="A81" s="953" t="str">
        <f>'Interface_Emptying &amp; Transport'!B39</f>
        <v>Private provider 3 [Name]</v>
      </c>
      <c r="B81" s="1806">
        <f>'Interface_Emptying &amp; Transport'!C39</f>
        <v>0</v>
      </c>
      <c r="C81" s="1807"/>
      <c r="D81" s="1522">
        <f>'Interface_Emptying &amp; Transport'!E39</f>
        <v>0</v>
      </c>
      <c r="E81" s="1522">
        <f>'Interface_Emptying &amp; Transport'!F39</f>
        <v>0</v>
      </c>
      <c r="F81" s="1522">
        <f>'Interface_Emptying &amp; Transport'!G39</f>
        <v>0</v>
      </c>
      <c r="G81" s="988">
        <f>'Interface_Emptying &amp; Transport'!H39</f>
        <v>0</v>
      </c>
      <c r="H81" s="988">
        <f t="shared" si="2"/>
        <v>0</v>
      </c>
      <c r="I81" s="1522">
        <f t="shared" si="3"/>
        <v>0</v>
      </c>
      <c r="J81" s="956">
        <f>'Interface_Emptying &amp; Transport'!I39</f>
        <v>1</v>
      </c>
      <c r="K81" s="1518">
        <f t="shared" si="0"/>
        <v>0</v>
      </c>
      <c r="L81" s="1518">
        <f t="shared" si="1"/>
        <v>0</v>
      </c>
      <c r="M81" s="129"/>
      <c r="N81" s="1015">
        <f>'Interface_Emptying &amp; Transport'!K39</f>
        <v>0</v>
      </c>
      <c r="O81" s="1015">
        <f>'Interface_Emptying &amp; Transport'!L39</f>
        <v>0</v>
      </c>
      <c r="P81" s="1015">
        <f>'Interface_Emptying &amp; Transport'!M39</f>
        <v>0</v>
      </c>
      <c r="Q81" s="1015">
        <f>'Interface_Emptying &amp; Transport'!N39</f>
        <v>0</v>
      </c>
      <c r="R81" s="1015">
        <f>'Interface_Emptying &amp; Transport'!O39</f>
        <v>0</v>
      </c>
      <c r="T81" s="1510">
        <f>'Interface_Emptying &amp; Transport'!Q39</f>
        <v>0</v>
      </c>
      <c r="U81" s="1510">
        <f>'Interface_Emptying &amp; Transport'!R39</f>
        <v>0</v>
      </c>
      <c r="V81" s="1795">
        <f>'Interface_Emptying &amp; Transport'!S39</f>
        <v>0</v>
      </c>
      <c r="W81" s="1796"/>
      <c r="X81" s="1016">
        <f>'Interface_Emptying &amp; Transport'!W39</f>
        <v>0</v>
      </c>
      <c r="Y81" s="947">
        <f>'Interface_Emptying &amp; Transport'!X39</f>
        <v>0</v>
      </c>
    </row>
    <row r="82" spans="1:27" s="60" customFormat="1" ht="17.149999999999999" customHeight="1" x14ac:dyDescent="0.35">
      <c r="A82" s="953" t="str">
        <f>'Interface_Emptying &amp; Transport'!B40</f>
        <v>Private provider 4 [Name]</v>
      </c>
      <c r="B82" s="1806">
        <f>'Interface_Emptying &amp; Transport'!C40</f>
        <v>0</v>
      </c>
      <c r="C82" s="1807"/>
      <c r="D82" s="1522">
        <f>'Interface_Emptying &amp; Transport'!E40</f>
        <v>0</v>
      </c>
      <c r="E82" s="1522">
        <f>'Interface_Emptying &amp; Transport'!F40</f>
        <v>0</v>
      </c>
      <c r="F82" s="1522">
        <f>'Interface_Emptying &amp; Transport'!G40</f>
        <v>0</v>
      </c>
      <c r="G82" s="988">
        <f>'Interface_Emptying &amp; Transport'!H40</f>
        <v>0</v>
      </c>
      <c r="H82" s="988">
        <f t="shared" si="2"/>
        <v>0</v>
      </c>
      <c r="I82" s="1522">
        <f t="shared" si="3"/>
        <v>0</v>
      </c>
      <c r="J82" s="956">
        <f>'Interface_Emptying &amp; Transport'!I40</f>
        <v>1</v>
      </c>
      <c r="K82" s="1518">
        <f t="shared" si="0"/>
        <v>0</v>
      </c>
      <c r="L82" s="1518">
        <f t="shared" si="1"/>
        <v>0</v>
      </c>
      <c r="M82" s="130"/>
      <c r="N82" s="1015">
        <f>'Interface_Emptying &amp; Transport'!K40</f>
        <v>0</v>
      </c>
      <c r="O82" s="1015">
        <f>'Interface_Emptying &amp; Transport'!L40</f>
        <v>0</v>
      </c>
      <c r="P82" s="1015">
        <f>'Interface_Emptying &amp; Transport'!M40</f>
        <v>0</v>
      </c>
      <c r="Q82" s="1015">
        <f>'Interface_Emptying &amp; Transport'!N40</f>
        <v>0</v>
      </c>
      <c r="R82" s="1015">
        <f>'Interface_Emptying &amp; Transport'!O40</f>
        <v>0</v>
      </c>
      <c r="T82" s="1510">
        <f>'Interface_Emptying &amp; Transport'!Q40</f>
        <v>0</v>
      </c>
      <c r="U82" s="1510">
        <f>'Interface_Emptying &amp; Transport'!R40</f>
        <v>0</v>
      </c>
      <c r="V82" s="1795">
        <f>'Interface_Emptying &amp; Transport'!S40</f>
        <v>0</v>
      </c>
      <c r="W82" s="1796"/>
      <c r="X82" s="1016">
        <f>'Interface_Emptying &amp; Transport'!W40</f>
        <v>0</v>
      </c>
      <c r="Y82" s="947">
        <f>'Interface_Emptying &amp; Transport'!X40</f>
        <v>0</v>
      </c>
    </row>
    <row r="83" spans="1:27" s="60" customFormat="1" ht="17.149999999999999" customHeight="1" x14ac:dyDescent="0.35">
      <c r="A83" s="953" t="str">
        <f>'Interface_Emptying &amp; Transport'!B41</f>
        <v>Private provider 5 [Name]</v>
      </c>
      <c r="B83" s="1806">
        <f>'Interface_Emptying &amp; Transport'!C41</f>
        <v>0</v>
      </c>
      <c r="C83" s="1807"/>
      <c r="D83" s="1522">
        <f>'Interface_Emptying &amp; Transport'!E41</f>
        <v>0</v>
      </c>
      <c r="E83" s="1522">
        <f>'Interface_Emptying &amp; Transport'!F41</f>
        <v>0</v>
      </c>
      <c r="F83" s="1522">
        <f>'Interface_Emptying &amp; Transport'!G41</f>
        <v>0</v>
      </c>
      <c r="G83" s="988">
        <f>'Interface_Emptying &amp; Transport'!H41</f>
        <v>0</v>
      </c>
      <c r="H83" s="988">
        <f t="shared" si="2"/>
        <v>0</v>
      </c>
      <c r="I83" s="1522">
        <f t="shared" si="3"/>
        <v>0</v>
      </c>
      <c r="J83" s="956">
        <f>'Interface_Emptying &amp; Transport'!I41</f>
        <v>1</v>
      </c>
      <c r="K83" s="1518">
        <f t="shared" si="0"/>
        <v>0</v>
      </c>
      <c r="L83" s="1518">
        <f t="shared" si="1"/>
        <v>0</v>
      </c>
      <c r="M83" s="129"/>
      <c r="N83" s="1015">
        <f>'Interface_Emptying &amp; Transport'!K41</f>
        <v>0</v>
      </c>
      <c r="O83" s="1015">
        <f>'Interface_Emptying &amp; Transport'!L41</f>
        <v>0</v>
      </c>
      <c r="P83" s="1015">
        <f>'Interface_Emptying &amp; Transport'!M41</f>
        <v>0</v>
      </c>
      <c r="Q83" s="1015">
        <f>'Interface_Emptying &amp; Transport'!N41</f>
        <v>0</v>
      </c>
      <c r="R83" s="1015">
        <f>'Interface_Emptying &amp; Transport'!O41</f>
        <v>0</v>
      </c>
      <c r="T83" s="1510">
        <f>'Interface_Emptying &amp; Transport'!Q41</f>
        <v>0</v>
      </c>
      <c r="U83" s="1510">
        <f>'Interface_Emptying &amp; Transport'!R41</f>
        <v>0</v>
      </c>
      <c r="V83" s="1795">
        <f>'Interface_Emptying &amp; Transport'!S41</f>
        <v>0</v>
      </c>
      <c r="W83" s="1796"/>
      <c r="X83" s="1016">
        <f>'Interface_Emptying &amp; Transport'!W41</f>
        <v>0</v>
      </c>
      <c r="Y83" s="947">
        <f>'Interface_Emptying &amp; Transport'!X41</f>
        <v>0</v>
      </c>
    </row>
    <row r="84" spans="1:27" s="60" customFormat="1" ht="17.149999999999999" customHeight="1" x14ac:dyDescent="0.35">
      <c r="A84" s="953" t="str">
        <f>'Interface_Emptying &amp; Transport'!B42</f>
        <v>Private provider 6 [Name]</v>
      </c>
      <c r="B84" s="1806">
        <f>'Interface_Emptying &amp; Transport'!C42</f>
        <v>0</v>
      </c>
      <c r="C84" s="1807"/>
      <c r="D84" s="1522">
        <f>'Interface_Emptying &amp; Transport'!E42</f>
        <v>0</v>
      </c>
      <c r="E84" s="1522">
        <f>'Interface_Emptying &amp; Transport'!F42</f>
        <v>0</v>
      </c>
      <c r="F84" s="1522">
        <f>'Interface_Emptying &amp; Transport'!G42</f>
        <v>0</v>
      </c>
      <c r="G84" s="988">
        <f>'Interface_Emptying &amp; Transport'!H42</f>
        <v>0</v>
      </c>
      <c r="H84" s="988">
        <f t="shared" si="2"/>
        <v>0</v>
      </c>
      <c r="I84" s="1522">
        <f t="shared" si="3"/>
        <v>0</v>
      </c>
      <c r="J84" s="956">
        <f>'Interface_Emptying &amp; Transport'!I42</f>
        <v>1</v>
      </c>
      <c r="K84" s="1518">
        <f t="shared" si="0"/>
        <v>0</v>
      </c>
      <c r="L84" s="1518">
        <f t="shared" si="1"/>
        <v>0</v>
      </c>
      <c r="M84" s="130"/>
      <c r="N84" s="1015">
        <f>'Interface_Emptying &amp; Transport'!K42</f>
        <v>0</v>
      </c>
      <c r="O84" s="1015">
        <f>'Interface_Emptying &amp; Transport'!L42</f>
        <v>0</v>
      </c>
      <c r="P84" s="1015">
        <f>'Interface_Emptying &amp; Transport'!M42</f>
        <v>0</v>
      </c>
      <c r="Q84" s="1015">
        <f>'Interface_Emptying &amp; Transport'!N42</f>
        <v>0</v>
      </c>
      <c r="R84" s="1015">
        <f>'Interface_Emptying &amp; Transport'!O42</f>
        <v>0</v>
      </c>
      <c r="T84" s="1510">
        <f>'Interface_Emptying &amp; Transport'!Q42</f>
        <v>0</v>
      </c>
      <c r="U84" s="1510">
        <f>'Interface_Emptying &amp; Transport'!R42</f>
        <v>0</v>
      </c>
      <c r="V84" s="1795">
        <f>'Interface_Emptying &amp; Transport'!S42</f>
        <v>0</v>
      </c>
      <c r="W84" s="1796"/>
      <c r="X84" s="1016">
        <f>'Interface_Emptying &amp; Transport'!W42</f>
        <v>0</v>
      </c>
      <c r="Y84" s="947">
        <f>'Interface_Emptying &amp; Transport'!X42</f>
        <v>0</v>
      </c>
    </row>
    <row r="85" spans="1:27" s="12" customFormat="1" ht="17.149999999999999" customHeight="1" x14ac:dyDescent="0.35">
      <c r="A85" s="950" t="s">
        <v>361</v>
      </c>
      <c r="B85" s="1797"/>
      <c r="C85" s="1798"/>
      <c r="D85" s="948">
        <f>SUM(D77:D84)</f>
        <v>405.17500000000001</v>
      </c>
      <c r="E85" s="1503"/>
      <c r="F85" s="948">
        <f>SUM(F77:F84)</f>
        <v>0</v>
      </c>
      <c r="G85" s="963"/>
      <c r="H85" s="1006">
        <f>SUM(H77:H84)</f>
        <v>405.17500000000001</v>
      </c>
      <c r="I85" s="948">
        <f>SUM(I77:I84)</f>
        <v>147900</v>
      </c>
      <c r="J85" s="1006"/>
      <c r="K85" s="948">
        <f>SUM(K77:K84)</f>
        <v>0</v>
      </c>
      <c r="L85" s="948">
        <f>SUM(L77:L84)</f>
        <v>147900</v>
      </c>
      <c r="M85" s="81"/>
      <c r="N85" s="950"/>
      <c r="O85" s="950"/>
      <c r="P85" s="950"/>
      <c r="Q85" s="950"/>
      <c r="R85" s="950"/>
      <c r="T85" s="963"/>
      <c r="U85" s="963"/>
      <c r="V85" s="1799"/>
      <c r="W85" s="1800"/>
      <c r="X85" s="963"/>
      <c r="Y85" s="963"/>
    </row>
    <row r="86" spans="1:27" s="107" customFormat="1" ht="17.149999999999999" customHeight="1" x14ac:dyDescent="0.35">
      <c r="A86" s="78"/>
      <c r="B86" s="78"/>
      <c r="C86" s="78"/>
      <c r="D86" s="347"/>
      <c r="E86" s="347"/>
      <c r="F86" s="347"/>
      <c r="G86" s="347"/>
      <c r="H86" s="196"/>
      <c r="I86" s="278">
        <f>IF($I$85=0,0,I85/$I$85)</f>
        <v>1</v>
      </c>
      <c r="J86" s="422"/>
      <c r="K86" s="278">
        <f>IF($I$85=0,0,K85/$I$85)</f>
        <v>0</v>
      </c>
      <c r="L86" s="278">
        <f>IF($I$85=0,0,L85/$I$85)</f>
        <v>1</v>
      </c>
      <c r="O86" s="196"/>
      <c r="P86" s="32"/>
      <c r="Q86" s="196"/>
      <c r="V86" s="196"/>
      <c r="Z86" s="196"/>
      <c r="AA86" s="196"/>
    </row>
    <row r="87" spans="1:27" s="107" customFormat="1" ht="17.149999999999999" customHeight="1" x14ac:dyDescent="0.35">
      <c r="A87" s="78"/>
      <c r="B87" s="78"/>
      <c r="C87" s="78"/>
      <c r="D87" s="347"/>
      <c r="E87" s="347"/>
      <c r="F87" s="347"/>
      <c r="G87" s="347"/>
      <c r="H87" s="196"/>
      <c r="I87" s="196"/>
      <c r="J87" s="196"/>
      <c r="K87" s="196"/>
      <c r="L87" s="196"/>
      <c r="M87" s="196"/>
      <c r="N87" s="196"/>
      <c r="O87" s="196"/>
      <c r="P87" s="32"/>
      <c r="Q87" s="196"/>
      <c r="U87" s="196"/>
      <c r="Z87" s="196"/>
      <c r="AA87" s="196"/>
    </row>
    <row r="88" spans="1:27" s="107" customFormat="1" ht="17.149999999999999" customHeight="1" x14ac:dyDescent="0.35">
      <c r="A88" s="78"/>
      <c r="B88" s="78"/>
      <c r="C88" s="78"/>
      <c r="D88" s="347"/>
      <c r="E88" s="347"/>
      <c r="F88" s="347"/>
      <c r="G88" s="347"/>
      <c r="H88" s="196"/>
      <c r="I88" s="196"/>
      <c r="J88" s="196"/>
      <c r="K88" s="196"/>
      <c r="L88" s="196"/>
      <c r="M88" s="196"/>
      <c r="N88" s="196"/>
      <c r="O88" s="196"/>
      <c r="P88" s="32"/>
      <c r="Q88" s="196"/>
      <c r="R88" s="17"/>
      <c r="S88" s="17"/>
      <c r="U88" s="196"/>
      <c r="Z88" s="196"/>
      <c r="AA88" s="196"/>
    </row>
    <row r="89" spans="1:27" s="107" customFormat="1" ht="17.149999999999999" customHeight="1" x14ac:dyDescent="0.35">
      <c r="A89" s="949" t="s">
        <v>1008</v>
      </c>
      <c r="B89" s="1506" t="s">
        <v>9</v>
      </c>
      <c r="C89" s="78"/>
      <c r="D89" s="347"/>
      <c r="E89" s="347"/>
      <c r="F89" s="347"/>
      <c r="G89" s="347"/>
      <c r="H89" s="196"/>
      <c r="I89" s="196"/>
      <c r="J89" s="196"/>
      <c r="K89" s="196"/>
      <c r="L89" s="196"/>
      <c r="M89" s="196"/>
      <c r="N89" s="196"/>
      <c r="O89" s="196"/>
      <c r="P89" s="32"/>
      <c r="Q89" s="196"/>
      <c r="R89" s="17"/>
      <c r="S89" s="17"/>
      <c r="U89" s="196"/>
      <c r="Z89" s="196"/>
      <c r="AA89" s="196"/>
    </row>
    <row r="90" spans="1:27" s="43" customFormat="1" ht="17.149999999999999" customHeight="1" x14ac:dyDescent="0.35">
      <c r="A90" s="155" t="s">
        <v>1009</v>
      </c>
      <c r="B90" s="1020">
        <f>'FS_Containment volumes'!B99+'FS_Containment volumes'!B100+'FS_Containment volumes'!B101+'FS_Containment volumes'!B103+'FS_Containment volumes'!B104</f>
        <v>154070</v>
      </c>
      <c r="C90" s="122"/>
      <c r="D90" s="97"/>
      <c r="E90" s="97"/>
      <c r="F90" s="97"/>
      <c r="G90" s="97"/>
      <c r="H90" s="44"/>
      <c r="I90" s="44"/>
      <c r="J90" s="44"/>
      <c r="K90" s="44"/>
      <c r="L90" s="44"/>
      <c r="M90" s="44"/>
      <c r="N90" s="44"/>
      <c r="O90" s="44"/>
      <c r="P90" s="10"/>
      <c r="Q90" s="44"/>
      <c r="R90" s="3"/>
      <c r="S90" s="3"/>
      <c r="U90" s="44"/>
      <c r="Z90" s="44"/>
      <c r="AA90" s="44"/>
    </row>
    <row r="91" spans="1:27" s="43" customFormat="1" ht="17.149999999999999" customHeight="1" x14ac:dyDescent="0.35">
      <c r="A91" s="155" t="s">
        <v>1010</v>
      </c>
      <c r="B91" s="1020">
        <f>ROUND((((D69*E69)+D85)*365)/25,0)*25</f>
        <v>147900</v>
      </c>
      <c r="C91" s="122"/>
      <c r="D91" s="97"/>
      <c r="E91" s="97"/>
      <c r="F91" s="97"/>
      <c r="G91" s="97"/>
      <c r="H91" s="44"/>
      <c r="I91" s="44"/>
      <c r="J91" s="44"/>
      <c r="K91" s="44"/>
      <c r="L91" s="44"/>
      <c r="M91" s="44"/>
      <c r="N91" s="44"/>
      <c r="O91" s="44"/>
      <c r="P91" s="10"/>
      <c r="Q91" s="44"/>
      <c r="R91" s="3"/>
      <c r="S91" s="3"/>
      <c r="U91" s="44"/>
      <c r="Z91" s="44"/>
      <c r="AA91" s="44"/>
    </row>
    <row r="92" spans="1:27" s="107" customFormat="1" ht="17.149999999999999" customHeight="1" x14ac:dyDescent="0.35">
      <c r="A92" s="1017" t="s">
        <v>1011</v>
      </c>
      <c r="B92" s="1018">
        <f>IF(B90=0,0,B91/B90)</f>
        <v>0.95995326799506719</v>
      </c>
      <c r="C92" s="78"/>
      <c r="D92" s="424" t="s">
        <v>1181</v>
      </c>
      <c r="E92" s="347"/>
      <c r="F92" s="347"/>
      <c r="G92" s="347"/>
      <c r="H92" s="196"/>
      <c r="I92" s="196"/>
      <c r="J92" s="196"/>
      <c r="K92" s="196"/>
      <c r="L92" s="196"/>
      <c r="M92" s="196"/>
      <c r="N92" s="196"/>
      <c r="O92" s="196"/>
      <c r="P92" s="32"/>
      <c r="Q92" s="196"/>
      <c r="R92" s="17"/>
      <c r="S92" s="17"/>
      <c r="U92" s="196"/>
      <c r="Z92" s="196"/>
      <c r="AA92" s="196"/>
    </row>
    <row r="93" spans="1:27" s="107" customFormat="1" ht="17.149999999999999" customHeight="1" x14ac:dyDescent="0.35">
      <c r="A93" s="78"/>
      <c r="B93" s="78"/>
      <c r="C93" s="78"/>
      <c r="D93" s="347"/>
      <c r="E93" s="347"/>
      <c r="F93" s="347"/>
      <c r="G93" s="347"/>
      <c r="H93" s="196"/>
      <c r="I93" s="196"/>
      <c r="J93" s="196"/>
      <c r="K93" s="196"/>
      <c r="L93" s="196"/>
      <c r="M93" s="196"/>
      <c r="N93" s="196"/>
      <c r="O93" s="196"/>
      <c r="P93" s="32"/>
      <c r="Q93" s="196"/>
      <c r="R93" s="17"/>
      <c r="S93" s="17"/>
      <c r="U93" s="196"/>
      <c r="Z93" s="196"/>
      <c r="AA93" s="196"/>
    </row>
    <row r="94" spans="1:27" s="107" customFormat="1" ht="17.149999999999999" customHeight="1" x14ac:dyDescent="0.35">
      <c r="A94" s="949" t="s">
        <v>1012</v>
      </c>
      <c r="B94" s="1506" t="s">
        <v>9</v>
      </c>
      <c r="C94" s="78"/>
      <c r="D94" s="347"/>
      <c r="E94" s="347"/>
      <c r="F94" s="347"/>
      <c r="G94" s="347"/>
      <c r="H94" s="196"/>
      <c r="I94" s="196"/>
      <c r="J94" s="196"/>
      <c r="K94" s="196"/>
      <c r="L94" s="196"/>
      <c r="M94" s="196"/>
      <c r="N94" s="196"/>
      <c r="O94" s="196"/>
      <c r="P94" s="32"/>
      <c r="Q94" s="196"/>
      <c r="R94" s="17"/>
      <c r="S94" s="17"/>
      <c r="U94" s="196"/>
      <c r="Z94" s="196"/>
      <c r="AA94" s="196"/>
    </row>
    <row r="95" spans="1:27" s="107" customFormat="1" ht="17.149999999999999" customHeight="1" x14ac:dyDescent="0.35">
      <c r="A95" s="155" t="s">
        <v>1013</v>
      </c>
      <c r="B95" s="1020">
        <f>B44</f>
        <v>147700</v>
      </c>
      <c r="C95" s="78"/>
      <c r="D95" s="347"/>
      <c r="E95" s="347"/>
      <c r="F95" s="347"/>
      <c r="G95" s="347"/>
      <c r="H95" s="196"/>
      <c r="I95" s="196"/>
      <c r="J95" s="196"/>
      <c r="K95" s="196"/>
      <c r="L95" s="196"/>
      <c r="M95" s="196"/>
      <c r="N95" s="196"/>
      <c r="O95" s="196"/>
      <c r="P95" s="32"/>
      <c r="Q95" s="196"/>
      <c r="R95" s="17"/>
      <c r="S95" s="17"/>
      <c r="U95" s="196"/>
      <c r="Z95" s="196"/>
      <c r="AA95" s="196"/>
    </row>
    <row r="96" spans="1:27" s="107" customFormat="1" ht="17.149999999999999" customHeight="1" x14ac:dyDescent="0.35">
      <c r="A96" s="155" t="s">
        <v>1014</v>
      </c>
      <c r="B96" s="1020">
        <f>G69+I85</f>
        <v>147900</v>
      </c>
      <c r="C96" s="78"/>
      <c r="D96" s="347"/>
      <c r="E96" s="347"/>
      <c r="F96" s="347"/>
      <c r="G96" s="347"/>
      <c r="H96" s="196"/>
      <c r="I96" s="196"/>
      <c r="J96" s="196"/>
      <c r="K96" s="196"/>
      <c r="L96" s="196"/>
      <c r="M96" s="196"/>
      <c r="N96" s="196"/>
      <c r="O96" s="196"/>
      <c r="P96" s="32"/>
      <c r="Q96" s="196"/>
      <c r="R96" s="17"/>
      <c r="S96" s="17"/>
      <c r="U96" s="196"/>
      <c r="Z96" s="196"/>
      <c r="AA96" s="196"/>
    </row>
    <row r="97" spans="1:27" s="107" customFormat="1" ht="17.149999999999999" customHeight="1" x14ac:dyDescent="0.35">
      <c r="A97" s="1017" t="s">
        <v>251</v>
      </c>
      <c r="B97" s="1019">
        <f>B95-B96</f>
        <v>-200</v>
      </c>
      <c r="C97" s="78"/>
      <c r="D97" s="347"/>
      <c r="E97" s="347"/>
      <c r="F97" s="347"/>
      <c r="G97" s="347"/>
      <c r="H97" s="196"/>
      <c r="I97" s="196"/>
      <c r="J97" s="196"/>
      <c r="K97" s="196"/>
      <c r="L97" s="196"/>
      <c r="M97" s="196"/>
      <c r="N97" s="196"/>
      <c r="O97" s="196"/>
      <c r="P97" s="32"/>
      <c r="Q97" s="196"/>
      <c r="R97" s="17"/>
      <c r="S97" s="17"/>
      <c r="U97" s="196"/>
      <c r="Z97" s="196"/>
      <c r="AA97" s="196"/>
    </row>
    <row r="98" spans="1:27" s="107" customFormat="1" ht="17.149999999999999" customHeight="1" x14ac:dyDescent="0.35">
      <c r="A98" s="1017" t="s">
        <v>1015</v>
      </c>
      <c r="B98" s="1018">
        <f>IF(B95=0,0,B96/B95)</f>
        <v>1.001354096140826</v>
      </c>
      <c r="C98" s="78"/>
      <c r="D98" s="347"/>
      <c r="E98" s="347"/>
      <c r="F98" s="347"/>
      <c r="G98" s="347"/>
      <c r="H98" s="196"/>
      <c r="I98" s="196"/>
      <c r="J98" s="196"/>
      <c r="K98" s="196"/>
      <c r="L98" s="196"/>
      <c r="M98" s="196"/>
      <c r="N98" s="196"/>
      <c r="O98" s="196"/>
      <c r="P98" s="32"/>
      <c r="Q98" s="196"/>
      <c r="R98" s="17"/>
      <c r="S98" s="17"/>
      <c r="U98" s="196"/>
      <c r="Z98" s="196"/>
      <c r="AA98" s="196"/>
    </row>
    <row r="99" spans="1:27" s="43" customFormat="1" ht="17.149999999999999" customHeight="1" x14ac:dyDescent="0.35">
      <c r="A99" s="394"/>
      <c r="B99" s="395"/>
      <c r="C99" s="122"/>
      <c r="D99" s="97"/>
      <c r="E99" s="97"/>
      <c r="F99" s="97"/>
      <c r="G99" s="97"/>
      <c r="H99" s="44"/>
      <c r="I99" s="44"/>
      <c r="J99" s="44"/>
      <c r="K99" s="44"/>
      <c r="L99" s="44"/>
      <c r="M99" s="44"/>
      <c r="N99" s="44"/>
      <c r="O99" s="44"/>
      <c r="P99" s="10"/>
      <c r="Q99" s="44"/>
      <c r="U99" s="44"/>
      <c r="Z99" s="44"/>
      <c r="AA99" s="44"/>
    </row>
    <row r="100" spans="1:27" s="43" customFormat="1" ht="17.149999999999999" customHeight="1" x14ac:dyDescent="0.35">
      <c r="A100" s="398"/>
      <c r="B100" s="399"/>
      <c r="C100" s="122"/>
      <c r="D100" s="97"/>
      <c r="E100" s="97"/>
      <c r="F100" s="97"/>
      <c r="G100" s="97"/>
      <c r="H100" s="44"/>
      <c r="I100" s="44"/>
      <c r="J100" s="44"/>
      <c r="K100" s="44"/>
      <c r="L100" s="44"/>
      <c r="M100" s="44"/>
      <c r="N100" s="44"/>
      <c r="O100" s="44"/>
      <c r="P100" s="10"/>
      <c r="Q100" s="44"/>
      <c r="U100" s="44"/>
      <c r="Z100" s="44"/>
      <c r="AA100" s="44"/>
    </row>
    <row r="101" spans="1:27" s="43" customFormat="1" ht="17.149999999999999" customHeight="1" x14ac:dyDescent="0.35">
      <c r="A101" s="950" t="s">
        <v>1016</v>
      </c>
      <c r="B101" s="1504" t="s">
        <v>9</v>
      </c>
      <c r="C101" s="1508" t="s">
        <v>253</v>
      </c>
      <c r="D101" s="97"/>
      <c r="E101" s="97"/>
      <c r="F101" s="97"/>
      <c r="G101" s="97"/>
      <c r="H101" s="44"/>
      <c r="I101" s="44"/>
      <c r="J101" s="44"/>
      <c r="K101" s="44"/>
      <c r="L101" s="44"/>
      <c r="M101" s="44"/>
      <c r="N101" s="44"/>
      <c r="O101" s="44"/>
      <c r="P101" s="10"/>
      <c r="Q101" s="44"/>
      <c r="U101" s="44"/>
      <c r="Z101" s="44"/>
      <c r="AA101" s="44"/>
    </row>
    <row r="102" spans="1:27" s="43" customFormat="1" ht="17.149999999999999" customHeight="1" x14ac:dyDescent="0.35">
      <c r="A102" s="977" t="s">
        <v>924</v>
      </c>
      <c r="B102" s="1023">
        <f>SUM(B103:B104)</f>
        <v>36225</v>
      </c>
      <c r="C102" s="1024">
        <f>SUM(C103:C104)</f>
        <v>240750</v>
      </c>
      <c r="D102" s="97"/>
      <c r="E102" s="97"/>
      <c r="F102" s="97"/>
      <c r="G102" s="97"/>
      <c r="H102" s="44"/>
      <c r="I102" s="44"/>
      <c r="J102" s="44"/>
      <c r="K102" s="44"/>
      <c r="L102" s="44"/>
      <c r="M102" s="44"/>
      <c r="N102" s="44"/>
      <c r="O102" s="44"/>
      <c r="P102" s="10"/>
      <c r="Q102" s="44"/>
      <c r="U102" s="44"/>
      <c r="Z102" s="44"/>
      <c r="AA102" s="44"/>
    </row>
    <row r="103" spans="1:27" s="43" customFormat="1" ht="17.149999999999999" customHeight="1" x14ac:dyDescent="0.35">
      <c r="A103" s="410" t="s">
        <v>1017</v>
      </c>
      <c r="B103" s="105">
        <f>('FS_Containment volumes'!B141-'FS_Containment volumes'!G141)+('FS_Containment volumes'!B252-'FS_Containment volumes'!G252)</f>
        <v>36225</v>
      </c>
      <c r="C103" s="105">
        <f>('FS_Containment volumes'!C141-'FS_Containment volumes'!H141)+('FS_Containment volumes'!C252-'FS_Containment volumes'!H252)</f>
        <v>240750</v>
      </c>
      <c r="D103" s="97"/>
      <c r="E103" s="97"/>
      <c r="F103" s="97"/>
      <c r="G103" s="97"/>
      <c r="H103" s="44"/>
      <c r="I103" s="44"/>
      <c r="J103" s="44"/>
      <c r="K103" s="44"/>
      <c r="L103" s="44"/>
      <c r="M103" s="44"/>
      <c r="N103" s="44"/>
      <c r="O103" s="44"/>
      <c r="P103" s="10"/>
      <c r="Q103" s="44"/>
      <c r="U103" s="44"/>
      <c r="Z103" s="44"/>
      <c r="AA103" s="44"/>
    </row>
    <row r="104" spans="1:27" s="43" customFormat="1" ht="17.149999999999999" customHeight="1" x14ac:dyDescent="0.35">
      <c r="A104" s="410" t="s">
        <v>1019</v>
      </c>
      <c r="B104" s="105">
        <f>'FS_Containment volumes'!G135+'FS_Containment volumes'!G246</f>
        <v>0</v>
      </c>
      <c r="C104" s="139">
        <f>'FS_Containment volumes'!H135+'FS_Containment volumes'!H246</f>
        <v>0</v>
      </c>
      <c r="D104" s="97"/>
      <c r="E104" s="97"/>
      <c r="F104" s="97"/>
      <c r="G104" s="97"/>
      <c r="H104" s="44"/>
      <c r="I104" s="44"/>
      <c r="J104" s="44"/>
      <c r="K104" s="44"/>
      <c r="L104" s="44"/>
      <c r="M104" s="44"/>
      <c r="N104" s="44"/>
      <c r="O104" s="44"/>
      <c r="P104" s="10"/>
      <c r="Q104" s="44"/>
      <c r="U104" s="44"/>
      <c r="Z104" s="44"/>
      <c r="AA104" s="44"/>
    </row>
    <row r="105" spans="1:27" s="43" customFormat="1" ht="17.149999999999999" customHeight="1" x14ac:dyDescent="0.35">
      <c r="A105" s="977" t="s">
        <v>980</v>
      </c>
      <c r="B105" s="1023">
        <f>SUM(B106:B107)</f>
        <v>0</v>
      </c>
      <c r="C105" s="1024">
        <f>SUM(C106:C107)</f>
        <v>0</v>
      </c>
      <c r="D105" s="97"/>
      <c r="E105" s="97"/>
      <c r="F105" s="97"/>
      <c r="G105" s="97"/>
      <c r="H105" s="44"/>
      <c r="I105" s="44"/>
      <c r="J105" s="44"/>
      <c r="K105" s="44"/>
      <c r="L105" s="44"/>
      <c r="M105" s="44"/>
      <c r="N105" s="44"/>
      <c r="O105" s="44"/>
      <c r="P105" s="10"/>
      <c r="Q105" s="44"/>
      <c r="U105" s="44"/>
      <c r="Z105" s="44"/>
      <c r="AA105" s="44"/>
    </row>
    <row r="106" spans="1:27" s="43" customFormat="1" ht="17.149999999999999" customHeight="1" x14ac:dyDescent="0.35">
      <c r="A106" s="410" t="s">
        <v>1017</v>
      </c>
      <c r="B106" s="105">
        <f>('FS_Containment volumes'!B136-'FS_Containment volumes'!G136)+('FS_Containment volumes'!B247-'FS_Containment volumes'!G247)</f>
        <v>0</v>
      </c>
      <c r="C106" s="139">
        <f>('FS_Containment volumes'!C136-'FS_Containment volumes'!H136)+('FS_Containment volumes'!C247-'FS_Containment volumes'!H247)</f>
        <v>0</v>
      </c>
      <c r="D106" s="97"/>
      <c r="E106" s="97"/>
      <c r="F106" s="97"/>
      <c r="G106" s="97"/>
      <c r="H106" s="44"/>
      <c r="I106" s="44"/>
      <c r="J106" s="44"/>
      <c r="K106" s="44"/>
      <c r="L106" s="44"/>
      <c r="M106" s="44"/>
      <c r="N106" s="44"/>
      <c r="O106" s="44"/>
      <c r="P106" s="10"/>
      <c r="Q106" s="44"/>
      <c r="U106" s="44"/>
      <c r="Z106" s="44"/>
      <c r="AA106" s="44"/>
    </row>
    <row r="107" spans="1:27" s="43" customFormat="1" ht="17.149999999999999" customHeight="1" x14ac:dyDescent="0.35">
      <c r="A107" s="410" t="s">
        <v>1019</v>
      </c>
      <c r="B107" s="105">
        <f>'FS_Containment volumes'!G136+'FS_Containment volumes'!G247</f>
        <v>0</v>
      </c>
      <c r="C107" s="139">
        <f>'FS_Containment volumes'!H136+'FS_Containment volumes'!H247</f>
        <v>0</v>
      </c>
      <c r="D107" s="97"/>
      <c r="E107" s="97"/>
      <c r="F107" s="97"/>
      <c r="G107" s="97"/>
      <c r="H107" s="44"/>
      <c r="I107" s="44"/>
      <c r="J107" s="44"/>
      <c r="K107" s="44"/>
      <c r="L107" s="44"/>
      <c r="M107" s="44"/>
      <c r="N107" s="44"/>
      <c r="O107" s="44"/>
      <c r="P107" s="10"/>
      <c r="Q107" s="44"/>
      <c r="U107" s="44"/>
      <c r="Z107" s="44"/>
      <c r="AA107" s="44"/>
    </row>
    <row r="108" spans="1:27" s="43" customFormat="1" ht="17.149999999999999" customHeight="1" x14ac:dyDescent="0.35">
      <c r="A108" s="977" t="s">
        <v>1020</v>
      </c>
      <c r="B108" s="1023">
        <f>SUM(B109:B110)</f>
        <v>98575</v>
      </c>
      <c r="C108" s="1024">
        <f>SUM(C109:C110)</f>
        <v>98250</v>
      </c>
      <c r="D108" s="97"/>
      <c r="E108" s="97"/>
      <c r="F108" s="97"/>
      <c r="G108" s="97"/>
      <c r="H108" s="44"/>
      <c r="I108" s="44"/>
      <c r="J108" s="44"/>
      <c r="K108" s="44"/>
      <c r="L108" s="44"/>
      <c r="M108" s="44"/>
      <c r="N108" s="44"/>
      <c r="O108" s="44"/>
      <c r="P108" s="10"/>
      <c r="Q108" s="44"/>
      <c r="U108" s="44"/>
      <c r="Z108" s="44"/>
      <c r="AA108" s="44"/>
    </row>
    <row r="109" spans="1:27" s="43" customFormat="1" ht="17.149999999999999" customHeight="1" x14ac:dyDescent="0.35">
      <c r="A109" s="410" t="s">
        <v>1017</v>
      </c>
      <c r="B109" s="105">
        <f>('FS_Containment volumes'!B137-'FS_Containment volumes'!G137)+('FS_Containment volumes'!B248-'FS_Containment volumes'!G248)</f>
        <v>0</v>
      </c>
      <c r="C109" s="139">
        <f>('FS_Containment volumes'!C137-'FS_Containment volumes'!H137)+('FS_Containment volumes'!C248-'FS_Containment volumes'!H248)</f>
        <v>0</v>
      </c>
      <c r="D109" s="97"/>
      <c r="E109" s="97"/>
      <c r="F109" s="97"/>
      <c r="G109" s="97"/>
      <c r="H109" s="44"/>
      <c r="I109" s="44"/>
      <c r="J109" s="44"/>
      <c r="K109" s="44"/>
      <c r="L109" s="44"/>
      <c r="M109" s="44"/>
      <c r="N109" s="44"/>
      <c r="O109" s="44"/>
      <c r="P109" s="10"/>
      <c r="Q109" s="44"/>
      <c r="U109" s="44"/>
      <c r="Z109" s="44"/>
      <c r="AA109" s="44"/>
    </row>
    <row r="110" spans="1:27" s="43" customFormat="1" ht="17.149999999999999" customHeight="1" x14ac:dyDescent="0.35">
      <c r="A110" s="410" t="s">
        <v>1019</v>
      </c>
      <c r="B110" s="105">
        <f>'FS_Containment volumes'!G137+'FS_Containment volumes'!G248</f>
        <v>98575</v>
      </c>
      <c r="C110" s="139">
        <f>'FS_Containment volumes'!H137+'FS_Containment volumes'!H248</f>
        <v>98250</v>
      </c>
      <c r="D110" s="97"/>
      <c r="E110" s="97"/>
      <c r="F110" s="97"/>
      <c r="G110" s="97"/>
      <c r="H110" s="44"/>
      <c r="I110" s="44"/>
      <c r="J110" s="44"/>
      <c r="K110" s="44"/>
      <c r="L110" s="44"/>
      <c r="M110" s="44"/>
      <c r="N110" s="44"/>
      <c r="O110" s="44"/>
      <c r="P110" s="10"/>
      <c r="Q110" s="44"/>
      <c r="U110" s="44"/>
      <c r="Z110" s="44"/>
      <c r="AA110" s="44"/>
    </row>
    <row r="111" spans="1:27" s="43" customFormat="1" ht="17.149999999999999" customHeight="1" x14ac:dyDescent="0.35">
      <c r="A111" s="977" t="s">
        <v>1021</v>
      </c>
      <c r="B111" s="1023">
        <f>SUM(B112:B113)</f>
        <v>49125</v>
      </c>
      <c r="C111" s="1024">
        <f>SUM(C112:C113)</f>
        <v>53350</v>
      </c>
      <c r="D111" s="97"/>
      <c r="E111" s="97"/>
      <c r="F111" s="97"/>
      <c r="G111" s="97"/>
      <c r="H111" s="44"/>
      <c r="I111" s="44"/>
      <c r="J111" s="44"/>
      <c r="K111" s="44"/>
      <c r="L111" s="44"/>
      <c r="M111" s="44"/>
      <c r="N111" s="44"/>
      <c r="O111" s="44"/>
      <c r="P111" s="10"/>
      <c r="Q111" s="44"/>
      <c r="U111" s="44"/>
      <c r="Z111" s="44"/>
      <c r="AA111" s="44"/>
    </row>
    <row r="112" spans="1:27" s="43" customFormat="1" ht="17.149999999999999" customHeight="1" x14ac:dyDescent="0.35">
      <c r="A112" s="410" t="s">
        <v>1017</v>
      </c>
      <c r="B112" s="105">
        <f>('FS_Containment volumes'!B138-'FS_Containment volumes'!G138)+('FS_Containment volumes'!B249-'FS_Containment volumes'!G249)</f>
        <v>0</v>
      </c>
      <c r="C112" s="139">
        <f>('FS_Containment volumes'!C138-'FS_Containment volumes'!H138)+('FS_Containment volumes'!C249-'FS_Containment volumes'!H249)</f>
        <v>0</v>
      </c>
      <c r="D112" s="97"/>
      <c r="E112" s="97"/>
      <c r="F112" s="97"/>
      <c r="G112" s="97"/>
      <c r="H112" s="44"/>
      <c r="I112" s="44"/>
      <c r="J112" s="44"/>
      <c r="K112" s="44"/>
      <c r="L112" s="44"/>
      <c r="M112" s="44"/>
      <c r="N112" s="44"/>
      <c r="O112" s="44"/>
      <c r="P112" s="10"/>
      <c r="Q112" s="44"/>
      <c r="U112" s="44"/>
      <c r="Z112" s="44"/>
      <c r="AA112" s="44"/>
    </row>
    <row r="113" spans="1:27" s="43" customFormat="1" ht="17.149999999999999" customHeight="1" x14ac:dyDescent="0.35">
      <c r="A113" s="410" t="s">
        <v>1019</v>
      </c>
      <c r="B113" s="105">
        <f>'FS_Containment volumes'!G138+'FS_Containment volumes'!G249</f>
        <v>49125</v>
      </c>
      <c r="C113" s="139">
        <f>'FS_Containment volumes'!H138+'FS_Containment volumes'!H249</f>
        <v>53350</v>
      </c>
      <c r="D113" s="97"/>
      <c r="E113" s="97"/>
      <c r="F113" s="97"/>
      <c r="G113" s="97"/>
      <c r="H113" s="44"/>
      <c r="I113" s="44"/>
      <c r="J113" s="44"/>
      <c r="K113" s="44"/>
      <c r="L113" s="44"/>
      <c r="M113" s="44"/>
      <c r="N113" s="44"/>
      <c r="O113" s="44"/>
      <c r="P113" s="10"/>
      <c r="Q113" s="44"/>
      <c r="U113" s="44"/>
      <c r="Z113" s="44"/>
      <c r="AA113" s="44"/>
    </row>
    <row r="114" spans="1:27" s="43" customFormat="1" ht="17.149999999999999" customHeight="1" x14ac:dyDescent="0.35">
      <c r="A114" s="950" t="s">
        <v>928</v>
      </c>
      <c r="B114" s="1021">
        <f>B102+B105+B108+B111</f>
        <v>183925</v>
      </c>
      <c r="C114" s="1022">
        <f>C102+C105+C108+C111</f>
        <v>392350</v>
      </c>
      <c r="D114" s="97"/>
      <c r="E114" s="97"/>
      <c r="F114" s="97"/>
      <c r="G114" s="97"/>
      <c r="H114" s="44"/>
      <c r="I114" s="44"/>
      <c r="J114" s="44"/>
      <c r="K114" s="44"/>
      <c r="L114" s="44"/>
      <c r="M114" s="44"/>
      <c r="N114" s="44"/>
      <c r="O114" s="44"/>
      <c r="P114" s="10"/>
      <c r="Q114" s="44"/>
      <c r="U114" s="44"/>
      <c r="Z114" s="44"/>
      <c r="AA114" s="44"/>
    </row>
    <row r="115" spans="1:27" s="43" customFormat="1" ht="17.149999999999999" customHeight="1" x14ac:dyDescent="0.35">
      <c r="A115" s="7"/>
      <c r="B115" s="204">
        <f>'FS_Containment volumes'!B134+'FS_Containment volumes'!B140+'FS_Containment volumes'!B245+'FS_Containment volumes'!B251</f>
        <v>183925</v>
      </c>
      <c r="C115" s="204">
        <f>'FS_Containment volumes'!C134+'FS_Containment volumes'!C140+'FS_Containment volumes'!C245+'FS_Containment volumes'!C251</f>
        <v>392350</v>
      </c>
      <c r="D115" s="97"/>
      <c r="E115" s="97"/>
      <c r="F115" s="97"/>
      <c r="G115" s="97"/>
      <c r="H115" s="44"/>
      <c r="I115" s="44"/>
      <c r="J115" s="44"/>
      <c r="K115" s="44"/>
      <c r="L115" s="44"/>
      <c r="M115" s="44"/>
      <c r="N115" s="44"/>
      <c r="O115" s="44"/>
      <c r="P115" s="10"/>
      <c r="Q115" s="44"/>
      <c r="U115" s="44"/>
      <c r="Z115" s="44"/>
      <c r="AA115" s="44"/>
    </row>
    <row r="116" spans="1:27" s="43" customFormat="1" ht="17.149999999999999" customHeight="1" x14ac:dyDescent="0.35">
      <c r="A116" s="7"/>
      <c r="B116" s="1519" t="str">
        <f>IF(B114=B115,"OK","Not OK")</f>
        <v>OK</v>
      </c>
      <c r="C116" s="1519" t="str">
        <f>IF(C114=C115,"OK","Not OK")</f>
        <v>OK</v>
      </c>
      <c r="D116" s="97"/>
      <c r="E116" s="97"/>
      <c r="F116" s="97"/>
      <c r="G116" s="97"/>
      <c r="H116" s="44"/>
      <c r="I116" s="44"/>
      <c r="J116" s="44"/>
      <c r="K116" s="44"/>
      <c r="L116" s="44"/>
      <c r="M116" s="44"/>
      <c r="N116" s="44"/>
      <c r="O116" s="44"/>
      <c r="P116" s="10"/>
      <c r="Q116" s="44"/>
      <c r="U116" s="44"/>
      <c r="Z116" s="44"/>
      <c r="AA116" s="44"/>
    </row>
    <row r="117" spans="1:27" s="43" customFormat="1" ht="17.149999999999999" customHeight="1" x14ac:dyDescent="0.35">
      <c r="A117" s="398"/>
      <c r="B117" s="399"/>
      <c r="C117" s="122"/>
      <c r="D117" s="97"/>
      <c r="E117" s="97"/>
      <c r="F117" s="97"/>
      <c r="G117" s="97"/>
      <c r="H117" s="44"/>
      <c r="I117" s="44"/>
      <c r="J117" s="44"/>
      <c r="K117" s="44"/>
      <c r="L117" s="44"/>
      <c r="M117" s="44"/>
      <c r="N117" s="44"/>
      <c r="O117" s="44"/>
      <c r="P117" s="10"/>
      <c r="Q117" s="44"/>
      <c r="U117" s="44"/>
      <c r="Z117" s="44"/>
      <c r="AA117" s="44"/>
    </row>
    <row r="118" spans="1:27" s="43" customFormat="1" ht="17.149999999999999" customHeight="1" x14ac:dyDescent="0.35">
      <c r="A118" s="398"/>
      <c r="B118" s="399"/>
      <c r="C118" s="122"/>
      <c r="D118" s="97"/>
      <c r="E118" s="97"/>
      <c r="F118" s="97"/>
      <c r="G118" s="97"/>
      <c r="H118" s="44"/>
      <c r="I118" s="44"/>
      <c r="J118" s="44"/>
      <c r="K118" s="44"/>
      <c r="L118" s="44"/>
      <c r="M118" s="44"/>
      <c r="N118" s="44"/>
      <c r="O118" s="44"/>
      <c r="P118" s="10"/>
      <c r="Q118" s="44"/>
      <c r="U118" s="44"/>
      <c r="Z118" s="44"/>
      <c r="AA118" s="44"/>
    </row>
    <row r="119" spans="1:27" s="294" customFormat="1" ht="17.149999999999999" customHeight="1" x14ac:dyDescent="0.35">
      <c r="A119" s="1025" t="s">
        <v>1022</v>
      </c>
      <c r="B119" s="1813" t="s">
        <v>9</v>
      </c>
      <c r="C119" s="1813"/>
      <c r="D119" s="323"/>
      <c r="E119" s="323"/>
      <c r="F119" s="323"/>
      <c r="G119" s="323"/>
      <c r="H119" s="293"/>
      <c r="I119" s="293"/>
      <c r="J119" s="293"/>
      <c r="K119" s="293"/>
      <c r="L119" s="293"/>
      <c r="M119" s="293"/>
      <c r="N119" s="293"/>
      <c r="O119" s="293"/>
      <c r="P119" s="406"/>
      <c r="Q119" s="293"/>
      <c r="U119" s="293"/>
      <c r="Z119" s="293"/>
      <c r="AA119" s="293"/>
    </row>
    <row r="120" spans="1:27" s="294" customFormat="1" ht="17.149999999999999" customHeight="1" x14ac:dyDescent="0.35">
      <c r="A120" s="1027"/>
      <c r="B120" s="1028"/>
      <c r="C120" s="1028"/>
      <c r="D120" s="323"/>
      <c r="E120" s="323"/>
      <c r="F120" s="323"/>
      <c r="G120" s="323"/>
      <c r="H120" s="293"/>
      <c r="I120" s="293"/>
      <c r="J120" s="293"/>
      <c r="K120" s="293"/>
      <c r="L120" s="293"/>
      <c r="M120" s="293"/>
      <c r="N120" s="293"/>
      <c r="O120" s="293"/>
      <c r="P120" s="406"/>
      <c r="Q120" s="293"/>
      <c r="U120" s="293"/>
      <c r="Z120" s="293"/>
      <c r="AA120" s="293"/>
    </row>
    <row r="121" spans="1:27" s="43" customFormat="1" ht="43.5" x14ac:dyDescent="0.35">
      <c r="A121" s="1017" t="s">
        <v>1023</v>
      </c>
      <c r="B121" s="1513" t="s">
        <v>993</v>
      </c>
      <c r="C121" s="1513" t="s">
        <v>994</v>
      </c>
      <c r="D121" s="97"/>
      <c r="E121" s="97"/>
      <c r="F121" s="97"/>
      <c r="G121" s="97"/>
      <c r="H121" s="44"/>
      <c r="I121" s="44"/>
      <c r="J121" s="44"/>
      <c r="K121" s="44"/>
      <c r="L121" s="44"/>
      <c r="M121" s="44"/>
      <c r="N121" s="44"/>
      <c r="O121" s="44"/>
      <c r="P121" s="10"/>
      <c r="Q121" s="44"/>
      <c r="U121" s="44"/>
      <c r="Z121" s="44"/>
      <c r="AA121" s="44"/>
    </row>
    <row r="122" spans="1:27" s="285" customFormat="1" ht="10.5" x14ac:dyDescent="0.35">
      <c r="A122" s="407"/>
      <c r="B122" s="408"/>
      <c r="C122" s="409"/>
      <c r="D122" s="282"/>
      <c r="E122" s="282"/>
      <c r="F122" s="282"/>
      <c r="G122" s="282"/>
      <c r="H122" s="283"/>
      <c r="I122" s="283"/>
      <c r="J122" s="283"/>
      <c r="K122" s="283"/>
      <c r="L122" s="283"/>
      <c r="M122" s="283"/>
      <c r="N122" s="283"/>
      <c r="O122" s="283"/>
      <c r="P122" s="284"/>
      <c r="Q122" s="283"/>
      <c r="U122" s="283"/>
      <c r="Z122" s="283"/>
      <c r="AA122" s="283"/>
    </row>
    <row r="123" spans="1:27" s="43" customFormat="1" ht="17.149999999999999" customHeight="1" x14ac:dyDescent="0.35">
      <c r="A123" s="1000" t="s">
        <v>1024</v>
      </c>
      <c r="B123" s="1026">
        <f>I69</f>
        <v>0</v>
      </c>
      <c r="C123" s="1026">
        <f>J69</f>
        <v>0</v>
      </c>
      <c r="D123" s="97"/>
      <c r="E123" s="97"/>
      <c r="F123" s="97"/>
      <c r="G123" s="97"/>
      <c r="H123" s="44"/>
      <c r="I123" s="44"/>
      <c r="J123" s="44"/>
      <c r="K123" s="44"/>
      <c r="L123" s="44"/>
      <c r="M123" s="44"/>
      <c r="N123" s="44"/>
      <c r="O123" s="44"/>
      <c r="P123" s="10"/>
      <c r="Q123" s="44"/>
      <c r="U123" s="44"/>
      <c r="Z123" s="44"/>
      <c r="AA123" s="44"/>
    </row>
    <row r="124" spans="1:27" s="43" customFormat="1" ht="17.149999999999999" customHeight="1" x14ac:dyDescent="0.35">
      <c r="A124" s="1000" t="s">
        <v>1025</v>
      </c>
      <c r="B124" s="1026">
        <f>K85</f>
        <v>0</v>
      </c>
      <c r="C124" s="1026">
        <f>L85</f>
        <v>147900</v>
      </c>
      <c r="D124" s="97"/>
      <c r="E124" s="97"/>
      <c r="F124" s="97"/>
      <c r="G124" s="97"/>
      <c r="H124" s="44"/>
      <c r="I124" s="44"/>
      <c r="J124" s="44"/>
      <c r="K124" s="44"/>
      <c r="L124" s="44"/>
      <c r="M124" s="44"/>
      <c r="N124" s="44"/>
      <c r="O124" s="44"/>
      <c r="P124" s="10"/>
      <c r="Q124" s="44"/>
      <c r="U124" s="44"/>
      <c r="Z124" s="44"/>
      <c r="AA124" s="44"/>
    </row>
    <row r="125" spans="1:27" s="93" customFormat="1" ht="17.149999999999999" customHeight="1" x14ac:dyDescent="0.35">
      <c r="A125" s="1017" t="s">
        <v>208</v>
      </c>
      <c r="B125" s="1019">
        <f>SUM(B123:B124)</f>
        <v>0</v>
      </c>
      <c r="C125" s="1019">
        <f>SUM(C123:C124)</f>
        <v>147900</v>
      </c>
      <c r="D125" s="347"/>
      <c r="E125" s="347"/>
      <c r="F125" s="347"/>
      <c r="G125" s="347"/>
      <c r="H125" s="108"/>
      <c r="I125" s="108"/>
      <c r="J125" s="108"/>
      <c r="K125" s="108"/>
      <c r="L125" s="108"/>
      <c r="M125" s="108"/>
      <c r="N125" s="108"/>
      <c r="O125" s="108"/>
      <c r="P125" s="32"/>
      <c r="Q125" s="108"/>
      <c r="U125" s="108"/>
      <c r="Z125" s="108"/>
      <c r="AA125" s="108"/>
    </row>
    <row r="126" spans="1:27" s="43" customFormat="1" ht="17.149999999999999" customHeight="1" x14ac:dyDescent="0.35">
      <c r="A126" s="398"/>
      <c r="B126" s="399"/>
      <c r="C126" s="122"/>
      <c r="D126" s="97"/>
      <c r="E126" s="97"/>
      <c r="F126" s="97"/>
      <c r="G126" s="97"/>
      <c r="H126" s="44"/>
      <c r="I126" s="44"/>
      <c r="J126" s="44"/>
      <c r="K126" s="44"/>
      <c r="L126" s="44"/>
      <c r="M126" s="44"/>
      <c r="N126" s="44"/>
      <c r="O126" s="44"/>
      <c r="P126" s="10"/>
      <c r="Q126" s="44"/>
      <c r="U126" s="44"/>
      <c r="Z126" s="44"/>
      <c r="AA126" s="44"/>
    </row>
    <row r="127" spans="1:27" s="43" customFormat="1" ht="17.149999999999999" customHeight="1" x14ac:dyDescent="0.35">
      <c r="A127" s="396"/>
      <c r="B127" s="397"/>
      <c r="C127" s="122"/>
      <c r="D127" s="97"/>
      <c r="E127" s="97"/>
      <c r="F127" s="97"/>
      <c r="G127" s="97"/>
      <c r="H127" s="44"/>
      <c r="I127" s="44"/>
      <c r="J127" s="44"/>
      <c r="K127" s="44"/>
      <c r="L127" s="44"/>
      <c r="M127" s="44"/>
      <c r="N127" s="44"/>
      <c r="O127" s="44"/>
      <c r="P127" s="10"/>
      <c r="Q127" s="44"/>
      <c r="U127" s="44"/>
      <c r="Z127" s="44"/>
      <c r="AA127" s="44"/>
    </row>
    <row r="128" spans="1:27" s="107" customFormat="1" ht="17.149999999999999" customHeight="1" x14ac:dyDescent="0.3">
      <c r="A128" s="949" t="s">
        <v>968</v>
      </c>
      <c r="B128" s="1504" t="s">
        <v>9</v>
      </c>
      <c r="C128" s="137"/>
      <c r="D128" s="137"/>
      <c r="E128" s="137"/>
      <c r="F128" s="137"/>
      <c r="G128" s="137"/>
      <c r="H128" s="196"/>
      <c r="I128" s="196"/>
      <c r="J128" s="196"/>
      <c r="K128" s="196"/>
      <c r="L128" s="196"/>
      <c r="M128" s="196"/>
      <c r="N128" s="196"/>
      <c r="O128" s="196"/>
      <c r="P128" s="32"/>
      <c r="Q128" s="196"/>
      <c r="R128" s="17"/>
      <c r="S128" s="17"/>
      <c r="U128" s="196"/>
      <c r="Z128" s="196"/>
      <c r="AA128" s="196"/>
    </row>
    <row r="129" spans="1:27" s="285" customFormat="1" ht="10.5" x14ac:dyDescent="0.25">
      <c r="A129" s="237"/>
      <c r="B129" s="222"/>
      <c r="C129" s="287"/>
      <c r="D129" s="287"/>
      <c r="E129" s="287"/>
      <c r="F129" s="287"/>
      <c r="G129" s="287"/>
      <c r="H129" s="283"/>
      <c r="I129" s="283"/>
      <c r="J129" s="283"/>
      <c r="K129" s="283"/>
      <c r="L129" s="283"/>
      <c r="M129" s="283"/>
      <c r="N129" s="283"/>
      <c r="O129" s="283"/>
      <c r="P129" s="284"/>
      <c r="Q129" s="283"/>
      <c r="R129" s="185"/>
      <c r="S129" s="185"/>
      <c r="U129" s="283"/>
      <c r="Z129" s="283"/>
      <c r="AA129" s="283"/>
    </row>
    <row r="130" spans="1:27" s="107" customFormat="1" ht="17.149999999999999" customHeight="1" x14ac:dyDescent="0.3">
      <c r="A130" s="80"/>
      <c r="B130" s="1513" t="s">
        <v>841</v>
      </c>
      <c r="C130" s="137"/>
      <c r="D130" s="137"/>
      <c r="E130" s="137"/>
      <c r="F130" s="137"/>
      <c r="G130" s="137"/>
      <c r="H130" s="196"/>
      <c r="I130" s="196"/>
      <c r="J130" s="196"/>
      <c r="K130" s="196"/>
      <c r="L130" s="196"/>
      <c r="M130" s="196"/>
      <c r="N130" s="196"/>
      <c r="O130" s="196"/>
      <c r="P130" s="32"/>
      <c r="Q130" s="196"/>
      <c r="R130" s="17"/>
      <c r="S130" s="17"/>
      <c r="U130" s="196"/>
      <c r="Z130" s="196"/>
      <c r="AA130" s="196"/>
    </row>
    <row r="131" spans="1:27" s="285" customFormat="1" ht="10.5" x14ac:dyDescent="0.25">
      <c r="A131" s="237"/>
      <c r="B131" s="222"/>
      <c r="C131" s="287"/>
      <c r="D131" s="287"/>
      <c r="E131" s="287"/>
      <c r="F131" s="287"/>
      <c r="G131" s="287"/>
      <c r="H131" s="283"/>
      <c r="I131" s="283"/>
      <c r="J131" s="283"/>
      <c r="K131" s="283"/>
      <c r="L131" s="283"/>
      <c r="M131" s="283"/>
      <c r="N131" s="283"/>
      <c r="O131" s="283"/>
      <c r="P131" s="284"/>
      <c r="Q131" s="283"/>
      <c r="R131" s="185"/>
      <c r="S131" s="185"/>
      <c r="U131" s="283"/>
      <c r="Z131" s="283"/>
      <c r="AA131" s="283"/>
    </row>
    <row r="132" spans="1:27" s="107" customFormat="1" ht="17.149999999999999" customHeight="1" x14ac:dyDescent="0.3">
      <c r="A132" s="206" t="s">
        <v>58</v>
      </c>
      <c r="B132" s="207">
        <f>SUM(B133:B134)</f>
        <v>147900</v>
      </c>
      <c r="C132" s="137"/>
      <c r="D132" s="137"/>
      <c r="E132" s="137"/>
      <c r="F132" s="137"/>
      <c r="G132" s="137"/>
      <c r="H132" s="196"/>
      <c r="I132" s="196"/>
      <c r="J132" s="196"/>
      <c r="K132" s="196"/>
      <c r="L132" s="196"/>
      <c r="M132" s="196"/>
      <c r="N132" s="196"/>
      <c r="O132" s="196"/>
      <c r="P132" s="32"/>
      <c r="Q132" s="196"/>
      <c r="R132" s="17"/>
      <c r="S132" s="17"/>
      <c r="U132" s="196"/>
      <c r="Z132" s="196"/>
      <c r="AA132" s="196"/>
    </row>
    <row r="133" spans="1:27" s="107" customFormat="1" ht="17.149999999999999" customHeight="1" x14ac:dyDescent="0.3">
      <c r="A133" s="135" t="s">
        <v>1026</v>
      </c>
      <c r="B133" s="1523">
        <f>C123</f>
        <v>0</v>
      </c>
      <c r="C133" s="137"/>
      <c r="D133" s="137"/>
      <c r="E133" s="137"/>
      <c r="F133" s="137"/>
      <c r="G133" s="137"/>
      <c r="H133" s="196"/>
      <c r="I133" s="196"/>
      <c r="J133" s="196"/>
      <c r="K133" s="196"/>
      <c r="L133" s="196"/>
      <c r="M133" s="196"/>
      <c r="N133" s="196"/>
      <c r="O133" s="196"/>
      <c r="P133" s="32"/>
      <c r="Q133" s="196"/>
      <c r="R133" s="17"/>
      <c r="S133" s="17"/>
      <c r="U133" s="196"/>
      <c r="Z133" s="196"/>
      <c r="AA133" s="196"/>
    </row>
    <row r="134" spans="1:27" s="107" customFormat="1" ht="17.149999999999999" customHeight="1" x14ac:dyDescent="0.3">
      <c r="A134" s="135" t="s">
        <v>1027</v>
      </c>
      <c r="B134" s="1523">
        <f>C124</f>
        <v>147900</v>
      </c>
      <c r="C134" s="137"/>
      <c r="D134" s="137"/>
      <c r="E134" s="137"/>
      <c r="F134" s="137"/>
      <c r="G134" s="137"/>
      <c r="H134" s="196"/>
      <c r="I134" s="196"/>
      <c r="J134" s="196"/>
      <c r="K134" s="196"/>
      <c r="L134" s="196"/>
      <c r="M134" s="196"/>
      <c r="N134" s="196"/>
      <c r="O134" s="196"/>
      <c r="P134" s="32"/>
      <c r="Q134" s="196"/>
      <c r="R134" s="17"/>
      <c r="S134" s="17"/>
      <c r="U134" s="196"/>
      <c r="Z134" s="196"/>
      <c r="AA134" s="196"/>
    </row>
    <row r="135" spans="1:27" s="107" customFormat="1" ht="17.149999999999999" customHeight="1" x14ac:dyDescent="0.3">
      <c r="A135" s="11"/>
      <c r="B135" s="179"/>
      <c r="C135" s="137"/>
      <c r="D135" s="137"/>
      <c r="E135" s="137"/>
      <c r="F135" s="137"/>
      <c r="G135" s="137"/>
      <c r="H135" s="196"/>
      <c r="I135" s="196"/>
      <c r="J135" s="196"/>
      <c r="K135" s="196"/>
      <c r="L135" s="196"/>
      <c r="M135" s="196"/>
      <c r="N135" s="196"/>
      <c r="O135" s="196"/>
      <c r="P135" s="32"/>
      <c r="Q135" s="196"/>
      <c r="R135" s="17"/>
      <c r="S135" s="17"/>
      <c r="U135" s="196"/>
      <c r="Z135" s="196"/>
      <c r="AA135" s="196"/>
    </row>
    <row r="136" spans="1:27" s="107" customFormat="1" ht="17.149999999999999" customHeight="1" x14ac:dyDescent="0.3">
      <c r="A136" s="206" t="s">
        <v>79</v>
      </c>
      <c r="B136" s="207">
        <f>SUM(B137:B139)</f>
        <v>36225</v>
      </c>
      <c r="C136" s="137"/>
      <c r="D136" s="137"/>
      <c r="E136" s="137"/>
      <c r="F136" s="137"/>
      <c r="G136" s="137"/>
      <c r="H136" s="196"/>
      <c r="I136" s="196"/>
      <c r="J136" s="196"/>
      <c r="K136" s="196"/>
      <c r="L136" s="196"/>
      <c r="M136" s="196"/>
      <c r="N136" s="196"/>
      <c r="O136" s="196"/>
      <c r="P136" s="32"/>
      <c r="Q136" s="196"/>
      <c r="R136" s="17"/>
      <c r="S136" s="17"/>
      <c r="U136" s="196"/>
      <c r="Z136" s="196"/>
      <c r="AA136" s="196"/>
    </row>
    <row r="137" spans="1:27" s="107" customFormat="1" ht="17.149999999999999" customHeight="1" x14ac:dyDescent="0.3">
      <c r="A137" s="135" t="s">
        <v>846</v>
      </c>
      <c r="B137" s="1523">
        <f>B103</f>
        <v>36225</v>
      </c>
      <c r="C137" s="137"/>
      <c r="D137" s="137"/>
      <c r="E137" s="137"/>
      <c r="F137" s="137"/>
      <c r="G137" s="137"/>
      <c r="H137" s="196"/>
      <c r="I137" s="196"/>
      <c r="J137" s="196"/>
      <c r="K137" s="196"/>
      <c r="L137" s="196"/>
      <c r="M137" s="196"/>
      <c r="N137" s="196"/>
      <c r="O137" s="196"/>
      <c r="P137" s="32"/>
      <c r="Q137" s="196"/>
      <c r="R137" s="17"/>
      <c r="S137" s="17"/>
      <c r="U137" s="196"/>
      <c r="Z137" s="196"/>
      <c r="AA137" s="196"/>
    </row>
    <row r="138" spans="1:27" s="107" customFormat="1" ht="17.149999999999999" customHeight="1" x14ac:dyDescent="0.3">
      <c r="A138" s="135" t="s">
        <v>1028</v>
      </c>
      <c r="B138" s="1523">
        <f>B106</f>
        <v>0</v>
      </c>
      <c r="C138" s="137"/>
      <c r="D138" s="137"/>
      <c r="E138" s="137"/>
      <c r="F138" s="137"/>
      <c r="G138" s="137"/>
      <c r="H138" s="196"/>
      <c r="I138" s="196"/>
      <c r="J138" s="196"/>
      <c r="K138" s="196"/>
      <c r="L138" s="196"/>
      <c r="M138" s="196"/>
      <c r="N138" s="196"/>
      <c r="O138" s="196"/>
      <c r="P138" s="32"/>
      <c r="Q138" s="196"/>
      <c r="R138" s="17"/>
      <c r="S138" s="17"/>
      <c r="U138" s="196"/>
      <c r="Z138" s="196"/>
      <c r="AA138" s="196"/>
    </row>
    <row r="139" spans="1:27" s="107" customFormat="1" ht="17.149999999999999" customHeight="1" x14ac:dyDescent="0.3">
      <c r="A139" s="135" t="s">
        <v>1029</v>
      </c>
      <c r="B139" s="1523">
        <f>B109</f>
        <v>0</v>
      </c>
      <c r="C139" s="137"/>
      <c r="D139" s="137"/>
      <c r="E139" s="137"/>
      <c r="F139" s="137"/>
      <c r="G139" s="137"/>
      <c r="H139" s="196"/>
      <c r="I139" s="196"/>
      <c r="J139" s="196"/>
      <c r="K139" s="196"/>
      <c r="L139" s="196"/>
      <c r="M139" s="196"/>
      <c r="N139" s="196"/>
      <c r="O139" s="196"/>
      <c r="P139" s="32"/>
      <c r="Q139" s="196"/>
      <c r="R139" s="17"/>
      <c r="S139" s="17"/>
      <c r="U139" s="196"/>
      <c r="Z139" s="196"/>
      <c r="AA139" s="196"/>
    </row>
    <row r="140" spans="1:27" s="107" customFormat="1" ht="17.149999999999999" customHeight="1" x14ac:dyDescent="0.3">
      <c r="A140" s="11"/>
      <c r="B140" s="179"/>
      <c r="C140" s="137"/>
      <c r="D140" s="137"/>
      <c r="E140" s="137"/>
      <c r="F140" s="137"/>
      <c r="G140" s="137"/>
      <c r="H140" s="196"/>
      <c r="I140" s="196"/>
      <c r="J140" s="196"/>
      <c r="K140" s="196"/>
      <c r="L140" s="196"/>
      <c r="M140" s="196"/>
      <c r="N140" s="196"/>
      <c r="O140" s="196"/>
      <c r="P140" s="32"/>
      <c r="Q140" s="196"/>
      <c r="R140" s="17"/>
      <c r="S140" s="17"/>
      <c r="U140" s="196"/>
      <c r="Z140" s="196"/>
      <c r="AA140" s="196"/>
    </row>
    <row r="141" spans="1:27" s="107" customFormat="1" ht="17.149999999999999" customHeight="1" x14ac:dyDescent="0.3">
      <c r="A141" s="208" t="s">
        <v>87</v>
      </c>
      <c r="B141" s="209">
        <f>SUM(B142:B143)</f>
        <v>0</v>
      </c>
      <c r="C141" s="137"/>
      <c r="D141" s="137"/>
      <c r="E141" s="137"/>
      <c r="F141" s="137"/>
      <c r="G141" s="137"/>
      <c r="H141" s="196"/>
      <c r="I141" s="196"/>
      <c r="J141" s="196"/>
      <c r="K141" s="196"/>
      <c r="L141" s="196"/>
      <c r="M141" s="196"/>
      <c r="N141" s="196"/>
      <c r="O141" s="196"/>
      <c r="P141" s="32"/>
      <c r="Q141" s="196"/>
      <c r="R141" s="17"/>
      <c r="S141" s="17"/>
      <c r="U141" s="196"/>
      <c r="Z141" s="196"/>
      <c r="AA141" s="196"/>
    </row>
    <row r="142" spans="1:27" s="107" customFormat="1" ht="17.149999999999999" customHeight="1" x14ac:dyDescent="0.3">
      <c r="A142" s="135" t="s">
        <v>1030</v>
      </c>
      <c r="B142" s="211">
        <f>B123</f>
        <v>0</v>
      </c>
      <c r="C142" s="137"/>
      <c r="D142" s="137"/>
      <c r="E142" s="137"/>
      <c r="F142" s="137"/>
      <c r="G142" s="137"/>
      <c r="H142" s="196"/>
      <c r="I142" s="196"/>
      <c r="J142" s="196"/>
      <c r="K142" s="196"/>
      <c r="L142" s="196"/>
      <c r="M142" s="196"/>
      <c r="N142" s="196"/>
      <c r="O142" s="196"/>
      <c r="P142" s="32"/>
      <c r="Q142" s="196"/>
      <c r="R142" s="17"/>
      <c r="S142" s="17"/>
      <c r="U142" s="196"/>
      <c r="Z142" s="196"/>
      <c r="AA142" s="196"/>
    </row>
    <row r="143" spans="1:27" s="107" customFormat="1" ht="17.149999999999999" customHeight="1" x14ac:dyDescent="0.3">
      <c r="A143" s="135" t="s">
        <v>1031</v>
      </c>
      <c r="B143" s="211">
        <f>B124</f>
        <v>0</v>
      </c>
      <c r="C143" s="137"/>
      <c r="D143" s="137"/>
      <c r="E143" s="137"/>
      <c r="F143" s="137"/>
      <c r="G143" s="137"/>
      <c r="H143" s="196"/>
      <c r="I143" s="196"/>
      <c r="J143" s="196"/>
      <c r="K143" s="196"/>
      <c r="L143" s="196"/>
      <c r="M143" s="196"/>
      <c r="N143" s="196"/>
      <c r="O143" s="196"/>
      <c r="P143" s="32"/>
      <c r="Q143" s="196"/>
      <c r="R143" s="17"/>
      <c r="S143" s="17"/>
      <c r="U143" s="196"/>
      <c r="Z143" s="196"/>
      <c r="AA143" s="196"/>
    </row>
    <row r="144" spans="1:27" s="107" customFormat="1" ht="17.149999999999999" customHeight="1" x14ac:dyDescent="0.3">
      <c r="A144" s="11"/>
      <c r="B144" s="179"/>
      <c r="C144" s="137"/>
      <c r="D144" s="137"/>
      <c r="E144" s="137"/>
      <c r="F144" s="137"/>
      <c r="G144" s="137"/>
      <c r="H144" s="196"/>
      <c r="I144" s="196"/>
      <c r="J144" s="196"/>
      <c r="K144" s="196"/>
      <c r="L144" s="196"/>
      <c r="M144" s="196"/>
      <c r="N144" s="196"/>
      <c r="O144" s="196"/>
      <c r="P144" s="32"/>
      <c r="Q144" s="196"/>
      <c r="R144" s="17"/>
      <c r="S144" s="17"/>
      <c r="U144" s="196"/>
      <c r="Z144" s="196"/>
      <c r="AA144" s="196"/>
    </row>
    <row r="145" spans="1:27" s="107" customFormat="1" ht="17.149999999999999" customHeight="1" x14ac:dyDescent="0.3">
      <c r="A145" s="208" t="s">
        <v>99</v>
      </c>
      <c r="B145" s="209">
        <f>SUM(B146:B146)</f>
        <v>-200</v>
      </c>
      <c r="C145" s="137"/>
      <c r="D145" s="137"/>
      <c r="E145" s="137"/>
      <c r="F145" s="137"/>
      <c r="G145" s="137"/>
      <c r="H145" s="196"/>
      <c r="I145" s="196"/>
      <c r="J145" s="196"/>
      <c r="K145" s="196"/>
      <c r="L145" s="196"/>
      <c r="M145" s="196"/>
      <c r="N145" s="196"/>
      <c r="O145" s="196"/>
      <c r="P145" s="32"/>
      <c r="Q145" s="196"/>
      <c r="R145" s="17"/>
      <c r="S145" s="17"/>
      <c r="U145" s="196"/>
      <c r="Z145" s="196"/>
      <c r="AA145" s="196"/>
    </row>
    <row r="146" spans="1:27" s="107" customFormat="1" ht="17.149999999999999" customHeight="1" x14ac:dyDescent="0.3">
      <c r="A146" s="135" t="s">
        <v>1032</v>
      </c>
      <c r="B146" s="1500">
        <f>B97</f>
        <v>-200</v>
      </c>
      <c r="C146" s="137"/>
      <c r="D146" s="137"/>
      <c r="E146" s="137"/>
      <c r="F146" s="137"/>
      <c r="G146" s="137"/>
      <c r="H146" s="196"/>
      <c r="I146" s="196"/>
      <c r="J146" s="196"/>
      <c r="K146" s="196"/>
      <c r="L146" s="196"/>
      <c r="M146" s="196"/>
      <c r="N146" s="196"/>
      <c r="O146" s="196"/>
      <c r="P146" s="32"/>
      <c r="Q146" s="196"/>
      <c r="R146" s="17"/>
      <c r="S146" s="17"/>
      <c r="U146" s="196"/>
      <c r="Z146" s="196"/>
      <c r="AA146" s="196"/>
    </row>
    <row r="147" spans="1:27" s="107" customFormat="1" ht="17.149999999999999" customHeight="1" x14ac:dyDescent="0.3">
      <c r="A147" s="11"/>
      <c r="B147" s="179"/>
      <c r="C147" s="137"/>
      <c r="D147" s="137"/>
      <c r="E147" s="137"/>
      <c r="F147" s="137"/>
      <c r="G147" s="137"/>
      <c r="H147" s="196"/>
      <c r="I147" s="196"/>
      <c r="J147" s="196"/>
      <c r="K147" s="196"/>
      <c r="L147" s="196"/>
      <c r="M147" s="196"/>
      <c r="N147" s="196"/>
      <c r="O147" s="196"/>
      <c r="P147" s="32"/>
      <c r="Q147" s="196"/>
      <c r="R147" s="17"/>
      <c r="S147" s="17"/>
      <c r="U147" s="196"/>
      <c r="Z147" s="196"/>
      <c r="AA147" s="196"/>
    </row>
    <row r="148" spans="1:27" s="107" customFormat="1" ht="17.149999999999999" customHeight="1" x14ac:dyDescent="0.3">
      <c r="A148" s="208" t="s">
        <v>101</v>
      </c>
      <c r="B148" s="209">
        <f>SUM(B149:B149)</f>
        <v>0</v>
      </c>
      <c r="C148" s="137"/>
      <c r="D148" s="137"/>
      <c r="E148" s="137"/>
      <c r="F148" s="137"/>
      <c r="G148" s="137"/>
      <c r="H148" s="196"/>
      <c r="I148" s="196"/>
      <c r="J148" s="196"/>
      <c r="K148" s="196"/>
      <c r="L148" s="196"/>
      <c r="M148" s="196"/>
      <c r="N148" s="196"/>
      <c r="O148" s="196"/>
      <c r="P148" s="32"/>
      <c r="Q148" s="196"/>
      <c r="R148" s="17"/>
      <c r="S148" s="17"/>
      <c r="U148" s="196"/>
      <c r="Z148" s="196"/>
      <c r="AA148" s="196"/>
    </row>
    <row r="149" spans="1:27" s="107" customFormat="1" ht="17.149999999999999" customHeight="1" x14ac:dyDescent="0.3">
      <c r="A149" s="135" t="s">
        <v>976</v>
      </c>
      <c r="B149" s="211">
        <f>B112</f>
        <v>0</v>
      </c>
      <c r="C149" s="137"/>
      <c r="D149" s="137"/>
      <c r="E149" s="137"/>
      <c r="F149" s="137"/>
      <c r="G149" s="137"/>
      <c r="H149" s="196"/>
      <c r="I149" s="196"/>
      <c r="J149" s="196"/>
      <c r="K149" s="196"/>
      <c r="L149" s="196"/>
      <c r="M149" s="196"/>
      <c r="N149" s="196"/>
      <c r="O149" s="196"/>
      <c r="P149" s="32"/>
      <c r="Q149" s="196"/>
      <c r="R149" s="17"/>
      <c r="S149" s="17"/>
      <c r="U149" s="196"/>
      <c r="Z149" s="196"/>
      <c r="AA149" s="196"/>
    </row>
    <row r="150" spans="1:27" s="107" customFormat="1" ht="17.149999999999999" customHeight="1" x14ac:dyDescent="0.3">
      <c r="A150" s="11"/>
      <c r="B150" s="179"/>
      <c r="C150" s="137"/>
      <c r="D150" s="137"/>
      <c r="E150" s="137"/>
      <c r="F150" s="137"/>
      <c r="G150" s="137"/>
      <c r="H150" s="196"/>
      <c r="I150" s="196"/>
      <c r="J150" s="196"/>
      <c r="K150" s="196"/>
      <c r="L150" s="196"/>
      <c r="M150" s="196"/>
      <c r="N150" s="196"/>
      <c r="O150" s="196"/>
      <c r="P150" s="32"/>
      <c r="Q150" s="196"/>
      <c r="R150" s="17"/>
      <c r="S150" s="17"/>
      <c r="U150" s="196"/>
      <c r="Z150" s="196"/>
      <c r="AA150" s="196"/>
    </row>
    <row r="151" spans="1:27" s="107" customFormat="1" ht="17.149999999999999" customHeight="1" x14ac:dyDescent="0.3">
      <c r="A151" s="212" t="s">
        <v>1033</v>
      </c>
      <c r="B151" s="28">
        <f>B132+B136+B141+B145+B148</f>
        <v>183925</v>
      </c>
      <c r="C151" s="137"/>
      <c r="D151" s="137"/>
      <c r="E151" s="137"/>
      <c r="F151" s="137"/>
      <c r="G151" s="137"/>
      <c r="H151" s="196"/>
      <c r="I151" s="196"/>
      <c r="J151" s="196"/>
      <c r="K151" s="196"/>
      <c r="L151" s="196"/>
      <c r="M151" s="196"/>
      <c r="N151" s="196"/>
      <c r="O151" s="196"/>
      <c r="P151" s="32"/>
      <c r="Q151" s="196"/>
      <c r="R151" s="17"/>
      <c r="S151" s="17"/>
      <c r="U151" s="196"/>
      <c r="Z151" s="196"/>
      <c r="AA151" s="196"/>
    </row>
    <row r="152" spans="1:27" s="107" customFormat="1" ht="17.149999999999999" customHeight="1" x14ac:dyDescent="0.3">
      <c r="A152" s="194"/>
      <c r="B152" s="205">
        <f>'FS_Containment volumes'!B10+'FS_Containment volumes'!B16</f>
        <v>183925</v>
      </c>
      <c r="C152" s="137"/>
      <c r="D152" s="137"/>
      <c r="E152" s="137"/>
      <c r="F152" s="137"/>
      <c r="G152" s="137"/>
      <c r="H152" s="196"/>
      <c r="I152" s="196"/>
      <c r="J152" s="196"/>
      <c r="K152" s="196"/>
      <c r="L152" s="196"/>
      <c r="M152" s="196"/>
      <c r="N152" s="196"/>
      <c r="O152" s="196"/>
      <c r="P152" s="32"/>
      <c r="Q152" s="196"/>
      <c r="R152" s="17"/>
      <c r="S152" s="17"/>
      <c r="U152" s="196"/>
      <c r="Z152" s="196"/>
      <c r="AA152" s="196"/>
    </row>
    <row r="153" spans="1:27" s="107" customFormat="1" ht="17.149999999999999" customHeight="1" x14ac:dyDescent="0.3">
      <c r="A153" s="11"/>
      <c r="B153" s="1519" t="str">
        <f>IF(B151=B152,"OK","Not OK")</f>
        <v>OK</v>
      </c>
      <c r="C153" s="137"/>
      <c r="D153" s="137"/>
      <c r="E153" s="137"/>
      <c r="F153" s="137"/>
      <c r="G153" s="137"/>
      <c r="H153" s="196"/>
      <c r="I153" s="196"/>
      <c r="J153" s="196"/>
      <c r="K153" s="196"/>
      <c r="L153" s="196"/>
      <c r="M153" s="196"/>
      <c r="N153" s="196"/>
      <c r="O153" s="196"/>
      <c r="P153" s="32"/>
      <c r="Q153" s="196"/>
      <c r="R153" s="17"/>
      <c r="S153" s="17"/>
      <c r="U153" s="196"/>
      <c r="Z153" s="196"/>
      <c r="AA153" s="196"/>
    </row>
    <row r="154" spans="1:27" s="107" customFormat="1" ht="16.5" customHeight="1" x14ac:dyDescent="0.35">
      <c r="A154" s="78"/>
      <c r="B154" s="78"/>
      <c r="C154" s="179"/>
      <c r="D154" s="347"/>
      <c r="E154" s="347"/>
      <c r="F154" s="347"/>
      <c r="G154" s="347"/>
      <c r="H154" s="196"/>
      <c r="I154" s="196"/>
      <c r="J154" s="196"/>
      <c r="K154" s="196"/>
      <c r="L154" s="196"/>
      <c r="M154" s="196"/>
      <c r="N154" s="196"/>
      <c r="O154" s="196"/>
      <c r="P154" s="32"/>
      <c r="Q154" s="196"/>
      <c r="R154" s="17"/>
      <c r="S154" s="17"/>
      <c r="U154" s="196"/>
      <c r="Z154" s="196"/>
      <c r="AA154" s="196"/>
    </row>
    <row r="155" spans="1:27" s="107" customFormat="1" ht="16.5" customHeight="1" x14ac:dyDescent="0.35">
      <c r="A155" s="78"/>
      <c r="B155" s="393"/>
      <c r="C155" s="179"/>
      <c r="D155" s="347"/>
      <c r="E155" s="347"/>
      <c r="F155" s="347"/>
      <c r="G155" s="347"/>
      <c r="H155" s="196"/>
      <c r="I155" s="196"/>
      <c r="J155" s="196"/>
      <c r="K155" s="196"/>
      <c r="L155" s="196"/>
      <c r="M155" s="196"/>
      <c r="N155" s="196"/>
      <c r="O155" s="196"/>
      <c r="P155" s="32"/>
      <c r="Q155" s="196"/>
      <c r="R155" s="17"/>
      <c r="S155" s="17"/>
      <c r="U155" s="196"/>
      <c r="Z155" s="196"/>
      <c r="AA155" s="196"/>
    </row>
    <row r="156" spans="1:27" x14ac:dyDescent="0.35">
      <c r="A156" s="20"/>
      <c r="B156" s="20"/>
      <c r="C156" s="20"/>
      <c r="D156" s="20"/>
      <c r="E156" s="20"/>
      <c r="F156" s="20"/>
      <c r="G156" s="20"/>
      <c r="H156" s="20"/>
      <c r="I156" s="20"/>
      <c r="J156" s="20"/>
      <c r="K156" s="20"/>
      <c r="L156" s="20"/>
      <c r="M156" s="20"/>
      <c r="N156" s="20"/>
    </row>
    <row r="157" spans="1:27" x14ac:dyDescent="0.35">
      <c r="B157" s="19"/>
    </row>
  </sheetData>
  <sheetProtection password="C8C1" sheet="1" objects="1" scenarios="1" selectLockedCells="1"/>
  <mergeCells count="43">
    <mergeCell ref="B62:C62"/>
    <mergeCell ref="U62:W62"/>
    <mergeCell ref="B47:C47"/>
    <mergeCell ref="B59:J59"/>
    <mergeCell ref="B61:J61"/>
    <mergeCell ref="N61:Q61"/>
    <mergeCell ref="T61:W61"/>
    <mergeCell ref="U63:W63"/>
    <mergeCell ref="U64:W64"/>
    <mergeCell ref="B65:C65"/>
    <mergeCell ref="U65:W65"/>
    <mergeCell ref="B66:C66"/>
    <mergeCell ref="U66:W66"/>
    <mergeCell ref="B67:C67"/>
    <mergeCell ref="U67:W67"/>
    <mergeCell ref="B68:C68"/>
    <mergeCell ref="U68:W68"/>
    <mergeCell ref="U69:W69"/>
    <mergeCell ref="X73:Y73"/>
    <mergeCell ref="B74:C74"/>
    <mergeCell ref="V75:W75"/>
    <mergeCell ref="V76:W76"/>
    <mergeCell ref="B77:C77"/>
    <mergeCell ref="V77:W77"/>
    <mergeCell ref="N73:Q73"/>
    <mergeCell ref="T73:W73"/>
    <mergeCell ref="B78:C78"/>
    <mergeCell ref="V78:W78"/>
    <mergeCell ref="B79:C79"/>
    <mergeCell ref="V79:W79"/>
    <mergeCell ref="B80:C80"/>
    <mergeCell ref="V80:W80"/>
    <mergeCell ref="B81:C81"/>
    <mergeCell ref="V81:W81"/>
    <mergeCell ref="B82:C82"/>
    <mergeCell ref="V82:W82"/>
    <mergeCell ref="B83:C83"/>
    <mergeCell ref="V83:W83"/>
    <mergeCell ref="B84:C84"/>
    <mergeCell ref="V84:W84"/>
    <mergeCell ref="B85:C85"/>
    <mergeCell ref="V85:W85"/>
    <mergeCell ref="B119:C119"/>
  </mergeCells>
  <conditionalFormatting sqref="B153">
    <cfRule type="expression" dxfId="106" priority="7">
      <formula>B152&lt;B151</formula>
    </cfRule>
    <cfRule type="expression" dxfId="105" priority="8">
      <formula>B152&gt;B151</formula>
    </cfRule>
    <cfRule type="expression" dxfId="104" priority="9">
      <formula>B152=B151</formula>
    </cfRule>
  </conditionalFormatting>
  <conditionalFormatting sqref="B116:C116">
    <cfRule type="expression" dxfId="103" priority="4">
      <formula>B115&lt;B114</formula>
    </cfRule>
    <cfRule type="expression" dxfId="102" priority="5">
      <formula>B115&gt;B114</formula>
    </cfRule>
    <cfRule type="expression" dxfId="101" priority="6">
      <formula>B115=B114</formula>
    </cfRule>
  </conditionalFormatting>
  <conditionalFormatting sqref="H10">
    <cfRule type="expression" dxfId="100" priority="1">
      <formula>H9&lt;0</formula>
    </cfRule>
    <cfRule type="expression" dxfId="99" priority="2">
      <formula>H9&gt;0</formula>
    </cfRule>
    <cfRule type="expression" dxfId="98" priority="3">
      <formula>H9=0</formula>
    </cfRule>
  </conditionalFormatting>
  <pageMargins left="0.7" right="0.7" top="0.75" bottom="0.75" header="0.3" footer="0.3"/>
  <pageSetup paperSize="9" orientation="portrait" horizontalDpi="4294967293"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5"/>
  </sheetPr>
  <dimension ref="A1:XFC166"/>
  <sheetViews>
    <sheetView zoomScale="90" zoomScaleNormal="90" workbookViewId="0">
      <selection activeCell="A3" sqref="A3"/>
    </sheetView>
  </sheetViews>
  <sheetFormatPr defaultColWidth="9.1796875" defaultRowHeight="14.5" x14ac:dyDescent="0.35"/>
  <cols>
    <col min="1" max="1" width="60.7265625" style="17" customWidth="1"/>
    <col min="2" max="17" width="16.7265625" style="98" customWidth="1"/>
    <col min="18" max="20" width="32.7265625" style="98" customWidth="1"/>
    <col min="21" max="22" width="16.7265625" style="98" customWidth="1"/>
    <col min="23" max="26" width="16.7265625" style="17" customWidth="1"/>
    <col min="27" max="32" width="9.1796875" style="17"/>
    <col min="33" max="33" width="34.453125" style="17" bestFit="1" customWidth="1"/>
    <col min="34" max="16384" width="9.1796875" style="17"/>
  </cols>
  <sheetData>
    <row r="1" spans="1:22" s="63" customFormat="1" ht="18.5" x14ac:dyDescent="0.35">
      <c r="A1" s="13" t="str">
        <f>'User interface_RES'!AJ11</f>
        <v>Any city in , the world</v>
      </c>
      <c r="B1" s="1312"/>
      <c r="C1" s="1312"/>
      <c r="D1" s="1312"/>
      <c r="E1" s="1312"/>
      <c r="F1" s="1312"/>
      <c r="G1" s="1312"/>
      <c r="H1" s="1312"/>
      <c r="I1" s="1312"/>
      <c r="J1" s="1312"/>
      <c r="K1" s="1312"/>
      <c r="L1" s="1312"/>
      <c r="M1" s="1312"/>
      <c r="N1" s="1312"/>
      <c r="O1" s="1312"/>
      <c r="P1" s="1312"/>
      <c r="Q1" s="1312"/>
      <c r="R1" s="1312"/>
      <c r="S1" s="1312"/>
      <c r="T1" s="1312"/>
      <c r="U1" s="1312"/>
      <c r="V1" s="1312"/>
    </row>
    <row r="2" spans="1:22" s="185" customFormat="1" ht="11.25" customHeight="1" x14ac:dyDescent="0.35">
      <c r="B2" s="247"/>
      <c r="C2" s="247"/>
      <c r="D2" s="247"/>
      <c r="E2" s="247"/>
      <c r="F2" s="247"/>
      <c r="G2" s="247"/>
      <c r="H2" s="247"/>
      <c r="I2" s="247"/>
      <c r="J2" s="247"/>
      <c r="K2" s="247"/>
      <c r="L2" s="247"/>
      <c r="M2" s="247"/>
      <c r="N2" s="247"/>
      <c r="O2" s="247"/>
      <c r="P2" s="247"/>
      <c r="Q2" s="247"/>
      <c r="R2" s="247"/>
      <c r="S2" s="247"/>
      <c r="T2" s="247"/>
      <c r="U2" s="247"/>
      <c r="V2" s="247"/>
    </row>
    <row r="3" spans="1:22" ht="26" x14ac:dyDescent="0.35">
      <c r="A3" s="182" t="s">
        <v>1182</v>
      </c>
    </row>
    <row r="4" spans="1:22" s="3" customFormat="1" ht="17.149999999999999" customHeight="1" x14ac:dyDescent="0.35">
      <c r="B4" s="1320"/>
      <c r="C4" s="4"/>
      <c r="D4" s="4"/>
      <c r="E4" s="4"/>
      <c r="F4" s="4"/>
      <c r="G4" s="4"/>
      <c r="H4" s="4"/>
      <c r="I4" s="4"/>
      <c r="J4" s="4"/>
      <c r="K4" s="4"/>
      <c r="L4" s="4"/>
      <c r="M4" s="4"/>
      <c r="N4" s="4"/>
      <c r="O4" s="4"/>
      <c r="P4" s="4"/>
      <c r="Q4" s="4"/>
      <c r="R4" s="4"/>
      <c r="S4" s="4"/>
      <c r="T4" s="4"/>
      <c r="U4" s="4"/>
      <c r="V4" s="4"/>
    </row>
    <row r="5" spans="1:22" s="3" customFormat="1" ht="17.149999999999999" customHeight="1" x14ac:dyDescent="0.35">
      <c r="B5" s="52"/>
      <c r="C5" s="4"/>
      <c r="D5" s="4"/>
      <c r="E5" s="4"/>
      <c r="F5" s="4"/>
      <c r="G5" s="4"/>
      <c r="H5" s="4"/>
      <c r="I5" s="4"/>
      <c r="J5" s="4"/>
      <c r="K5" s="4"/>
      <c r="L5" s="4"/>
      <c r="M5" s="4"/>
      <c r="N5" s="4"/>
      <c r="O5" s="4"/>
      <c r="P5" s="4"/>
      <c r="Q5" s="4"/>
      <c r="R5" s="4"/>
      <c r="S5" s="4"/>
      <c r="T5" s="4"/>
      <c r="U5" s="4"/>
      <c r="V5" s="4"/>
    </row>
    <row r="6" spans="1:22" ht="18" customHeight="1" x14ac:dyDescent="0.3">
      <c r="A6" s="137"/>
      <c r="B6" s="1505" t="s">
        <v>9</v>
      </c>
      <c r="C6" s="1314"/>
    </row>
    <row r="7" spans="1:22" s="185" customFormat="1" ht="10.5" x14ac:dyDescent="0.25">
      <c r="A7" s="237"/>
      <c r="B7" s="222"/>
      <c r="C7" s="247"/>
      <c r="D7" s="247"/>
      <c r="E7" s="287"/>
      <c r="F7" s="287"/>
      <c r="G7" s="287"/>
      <c r="H7" s="287"/>
      <c r="I7" s="287"/>
      <c r="J7" s="287"/>
      <c r="K7" s="287"/>
      <c r="L7" s="247"/>
      <c r="M7" s="247"/>
      <c r="N7" s="247"/>
      <c r="O7" s="247"/>
      <c r="P7" s="247"/>
      <c r="Q7" s="247"/>
      <c r="R7" s="247"/>
      <c r="S7" s="247"/>
      <c r="T7" s="247"/>
      <c r="U7" s="247"/>
      <c r="V7" s="247"/>
    </row>
    <row r="8" spans="1:22" ht="18" customHeight="1" x14ac:dyDescent="0.3">
      <c r="A8" s="230" t="s">
        <v>1035</v>
      </c>
      <c r="B8" s="288">
        <f>B10+B13+B18+B22</f>
        <v>184125</v>
      </c>
      <c r="D8" s="231" t="s">
        <v>793</v>
      </c>
      <c r="E8" s="137"/>
      <c r="F8" s="137"/>
      <c r="G8" s="137"/>
      <c r="H8" s="205">
        <f>'FS_Emptying volumes'!B10+'FS_Emptying volumes'!B14</f>
        <v>183925</v>
      </c>
      <c r="I8" s="137"/>
      <c r="J8" s="137"/>
      <c r="K8" s="137"/>
    </row>
    <row r="9" spans="1:22" ht="18" customHeight="1" x14ac:dyDescent="0.3">
      <c r="A9" s="71"/>
      <c r="B9" s="72"/>
      <c r="E9" s="137"/>
      <c r="F9" s="137"/>
      <c r="G9" s="137"/>
      <c r="H9" s="53">
        <f>B8-H8</f>
        <v>200</v>
      </c>
      <c r="I9" s="137"/>
      <c r="J9" s="137"/>
      <c r="K9" s="137"/>
    </row>
    <row r="10" spans="1:22" ht="18" customHeight="1" x14ac:dyDescent="0.3">
      <c r="A10" s="206" t="s">
        <v>1036</v>
      </c>
      <c r="B10" s="207">
        <f>B11</f>
        <v>0</v>
      </c>
      <c r="E10" s="137"/>
      <c r="F10" s="137"/>
      <c r="G10" s="137"/>
      <c r="H10" s="1519" t="str">
        <f>IF(H9=0,"OK","Not OK")</f>
        <v>Not OK</v>
      </c>
      <c r="I10" s="137"/>
      <c r="J10" s="137"/>
      <c r="K10" s="137"/>
    </row>
    <row r="11" spans="1:22" ht="18" customHeight="1" x14ac:dyDescent="0.3">
      <c r="A11" s="300" t="s">
        <v>1037</v>
      </c>
      <c r="B11" s="303">
        <f>B116</f>
        <v>0</v>
      </c>
      <c r="E11" s="137"/>
      <c r="F11" s="137"/>
      <c r="G11" s="137"/>
      <c r="H11" s="137"/>
      <c r="I11" s="137"/>
      <c r="J11" s="137"/>
      <c r="K11" s="137"/>
    </row>
    <row r="12" spans="1:22" ht="18" customHeight="1" x14ac:dyDescent="0.3">
      <c r="A12" s="304"/>
      <c r="B12" s="305"/>
      <c r="E12" s="137"/>
      <c r="F12" s="137"/>
      <c r="G12" s="137"/>
      <c r="H12" s="137"/>
      <c r="I12" s="137"/>
      <c r="J12" s="137"/>
      <c r="K12" s="137"/>
    </row>
    <row r="13" spans="1:22" ht="18" customHeight="1" x14ac:dyDescent="0.35">
      <c r="A13" s="206" t="s">
        <v>1038</v>
      </c>
      <c r="B13" s="207">
        <f>SUM(B14:B16)</f>
        <v>32600</v>
      </c>
      <c r="G13" s="124"/>
      <c r="J13" s="112"/>
      <c r="K13" s="112"/>
    </row>
    <row r="14" spans="1:22" ht="18" customHeight="1" x14ac:dyDescent="0.35">
      <c r="A14" s="300" t="s">
        <v>1039</v>
      </c>
      <c r="B14" s="303">
        <f>B119</f>
        <v>32600</v>
      </c>
      <c r="C14" s="72"/>
      <c r="D14" s="72"/>
      <c r="G14" s="124"/>
      <c r="J14" s="112"/>
      <c r="K14" s="112"/>
    </row>
    <row r="15" spans="1:22" ht="18" customHeight="1" x14ac:dyDescent="0.35">
      <c r="A15" s="300" t="s">
        <v>1040</v>
      </c>
      <c r="B15" s="303">
        <f>B120</f>
        <v>0</v>
      </c>
      <c r="C15" s="72"/>
      <c r="D15" s="72"/>
      <c r="G15" s="124"/>
      <c r="J15" s="112"/>
      <c r="K15" s="112"/>
    </row>
    <row r="16" spans="1:22" ht="18" customHeight="1" x14ac:dyDescent="0.35">
      <c r="A16" s="300" t="s">
        <v>1041</v>
      </c>
      <c r="B16" s="303">
        <f>B121</f>
        <v>0</v>
      </c>
      <c r="C16" s="72"/>
      <c r="D16" s="72"/>
      <c r="G16" s="124"/>
      <c r="J16" s="112"/>
      <c r="K16" s="112"/>
    </row>
    <row r="17" spans="1:25" ht="18" customHeight="1" x14ac:dyDescent="0.35">
      <c r="A17" s="306"/>
      <c r="B17" s="307"/>
      <c r="C17" s="72"/>
      <c r="D17" s="72"/>
      <c r="G17" s="124"/>
      <c r="J17" s="112"/>
      <c r="K17" s="112"/>
    </row>
    <row r="18" spans="1:25" ht="18" customHeight="1" x14ac:dyDescent="0.35">
      <c r="A18" s="208" t="s">
        <v>1042</v>
      </c>
      <c r="B18" s="209">
        <f>SUM(B19:B20)</f>
        <v>147900</v>
      </c>
      <c r="C18" s="72"/>
      <c r="D18" s="72"/>
      <c r="G18" s="124"/>
      <c r="J18" s="112"/>
      <c r="K18" s="112"/>
    </row>
    <row r="19" spans="1:25" ht="18" customHeight="1" x14ac:dyDescent="0.35">
      <c r="A19" s="308" t="s">
        <v>1043</v>
      </c>
      <c r="B19" s="303">
        <f>B124</f>
        <v>0</v>
      </c>
      <c r="C19" s="72"/>
      <c r="D19" s="72"/>
      <c r="G19" s="124"/>
      <c r="J19" s="112"/>
      <c r="K19" s="112"/>
    </row>
    <row r="20" spans="1:25" ht="18" customHeight="1" x14ac:dyDescent="0.35">
      <c r="A20" s="309" t="s">
        <v>1044</v>
      </c>
      <c r="B20" s="303">
        <f>B125</f>
        <v>147900</v>
      </c>
      <c r="C20" s="72"/>
      <c r="D20" s="72"/>
      <c r="G20" s="124"/>
      <c r="J20" s="112"/>
      <c r="K20" s="112"/>
    </row>
    <row r="21" spans="1:25" ht="18" customHeight="1" x14ac:dyDescent="0.35">
      <c r="A21" s="306"/>
      <c r="B21" s="307"/>
      <c r="C21" s="72"/>
      <c r="D21" s="72"/>
      <c r="G21" s="124"/>
      <c r="J21" s="112"/>
      <c r="K21" s="112"/>
    </row>
    <row r="22" spans="1:25" ht="18" customHeight="1" x14ac:dyDescent="0.35">
      <c r="A22" s="208" t="s">
        <v>1045</v>
      </c>
      <c r="B22" s="209">
        <f>SUM(B23:B24)</f>
        <v>3625</v>
      </c>
      <c r="C22" s="72"/>
      <c r="D22" s="72"/>
      <c r="G22" s="124"/>
      <c r="J22" s="112"/>
      <c r="K22" s="112"/>
    </row>
    <row r="23" spans="1:25" ht="18" customHeight="1" x14ac:dyDescent="0.35">
      <c r="A23" s="300" t="s">
        <v>1046</v>
      </c>
      <c r="B23" s="303">
        <f>B128</f>
        <v>3625</v>
      </c>
      <c r="C23" s="72"/>
      <c r="D23" s="72"/>
      <c r="G23" s="124"/>
      <c r="J23" s="112"/>
      <c r="K23" s="112"/>
    </row>
    <row r="24" spans="1:25" ht="18" customHeight="1" x14ac:dyDescent="0.35">
      <c r="A24" s="300" t="s">
        <v>1047</v>
      </c>
      <c r="B24" s="303">
        <f>B129</f>
        <v>0</v>
      </c>
      <c r="C24" s="72"/>
      <c r="D24" s="72"/>
      <c r="G24" s="124"/>
      <c r="J24" s="112"/>
      <c r="K24" s="112"/>
    </row>
    <row r="25" spans="1:25" ht="17.149999999999999" customHeight="1" x14ac:dyDescent="0.35">
      <c r="A25" s="71"/>
      <c r="B25" s="72"/>
      <c r="C25" s="72"/>
      <c r="D25" s="72"/>
      <c r="G25" s="124"/>
      <c r="J25" s="112"/>
      <c r="K25" s="112"/>
    </row>
    <row r="26" spans="1:25" ht="17.149999999999999" customHeight="1" x14ac:dyDescent="0.35">
      <c r="A26" s="71"/>
      <c r="B26" s="72"/>
      <c r="C26" s="72"/>
      <c r="D26" s="72"/>
      <c r="G26" s="124"/>
      <c r="J26" s="112"/>
      <c r="K26" s="112"/>
    </row>
    <row r="27" spans="1:25" ht="17.149999999999999" customHeight="1" x14ac:dyDescent="0.35">
      <c r="A27" s="71"/>
      <c r="B27" s="72"/>
      <c r="C27" s="72"/>
      <c r="D27" s="72"/>
      <c r="G27" s="124"/>
      <c r="J27" s="112"/>
      <c r="K27" s="112"/>
    </row>
    <row r="28" spans="1:25" ht="17.149999999999999" customHeight="1" x14ac:dyDescent="0.35">
      <c r="A28" s="183" t="s">
        <v>977</v>
      </c>
      <c r="B28" s="35"/>
      <c r="C28" s="72"/>
      <c r="D28" s="72"/>
      <c r="G28" s="124"/>
      <c r="J28" s="112"/>
      <c r="K28" s="112"/>
    </row>
    <row r="29" spans="1:25" ht="17.149999999999999" customHeight="1" x14ac:dyDescent="0.35">
      <c r="A29" s="35"/>
      <c r="B29" s="35"/>
      <c r="C29" s="72"/>
      <c r="D29" s="72"/>
      <c r="G29" s="124"/>
      <c r="J29" s="112"/>
      <c r="K29" s="112"/>
    </row>
    <row r="30" spans="1:25" s="115" customFormat="1" ht="17.149999999999999" customHeight="1" x14ac:dyDescent="0.35">
      <c r="A30" s="949" t="s">
        <v>1048</v>
      </c>
      <c r="B30" s="1776" t="s">
        <v>9</v>
      </c>
      <c r="C30" s="1776"/>
      <c r="D30" s="1776"/>
      <c r="E30" s="1776"/>
      <c r="F30" s="1776"/>
      <c r="G30" s="1776"/>
      <c r="H30" s="1776"/>
      <c r="I30" s="1776"/>
      <c r="J30" s="1776"/>
      <c r="K30" s="1776"/>
      <c r="L30" s="1776"/>
      <c r="M30" s="1776"/>
      <c r="N30" s="1776"/>
      <c r="O30" s="1776"/>
      <c r="P30" s="1776"/>
      <c r="Q30" s="1776"/>
      <c r="R30" s="1776"/>
      <c r="S30" s="1776"/>
      <c r="T30" s="1776"/>
      <c r="U30" s="1776"/>
      <c r="V30" s="1776"/>
      <c r="W30" s="1776"/>
      <c r="X30" s="1776"/>
      <c r="Y30" s="1776"/>
    </row>
    <row r="31" spans="1:25" ht="17.149999999999999" customHeight="1" x14ac:dyDescent="0.35">
      <c r="A31" s="71"/>
      <c r="B31" s="72"/>
      <c r="C31" s="72"/>
      <c r="D31" s="82"/>
      <c r="F31" s="124"/>
      <c r="J31" s="124"/>
      <c r="K31" s="124"/>
      <c r="L31" s="124"/>
      <c r="M31" s="124"/>
    </row>
    <row r="32" spans="1:25" s="12" customFormat="1" ht="43.5" x14ac:dyDescent="0.35">
      <c r="A32" s="1511" t="s">
        <v>1049</v>
      </c>
      <c r="B32" s="1511" t="s">
        <v>1050</v>
      </c>
      <c r="C32" s="1511" t="s">
        <v>1051</v>
      </c>
      <c r="D32" s="1511" t="s">
        <v>1052</v>
      </c>
      <c r="E32" s="1511" t="s">
        <v>311</v>
      </c>
      <c r="F32" s="1511" t="s">
        <v>1053</v>
      </c>
      <c r="G32" s="1511" t="s">
        <v>1054</v>
      </c>
      <c r="H32" s="1814" t="s">
        <v>1055</v>
      </c>
      <c r="I32" s="1816"/>
      <c r="J32" s="1814" t="s">
        <v>1056</v>
      </c>
      <c r="K32" s="1816"/>
      <c r="L32" s="1814" t="s">
        <v>1057</v>
      </c>
      <c r="M32" s="1816"/>
      <c r="N32" s="1503" t="s">
        <v>1058</v>
      </c>
      <c r="O32" s="1511" t="s">
        <v>355</v>
      </c>
      <c r="P32" s="1511" t="s">
        <v>1059</v>
      </c>
      <c r="Q32" s="1511" t="s">
        <v>1053</v>
      </c>
      <c r="R32" s="1511" t="s">
        <v>1055</v>
      </c>
      <c r="S32" s="1511" t="s">
        <v>1056</v>
      </c>
      <c r="T32" s="1511" t="s">
        <v>1057</v>
      </c>
      <c r="U32" s="1503" t="s">
        <v>1058</v>
      </c>
      <c r="V32" s="1511" t="s">
        <v>355</v>
      </c>
      <c r="X32" s="1511" t="s">
        <v>1060</v>
      </c>
      <c r="Y32" s="1511" t="s">
        <v>1061</v>
      </c>
    </row>
    <row r="33" spans="1:16383" s="426" customFormat="1" ht="10.5" x14ac:dyDescent="0.35">
      <c r="A33" s="384"/>
      <c r="B33" s="384"/>
      <c r="C33" s="384"/>
      <c r="D33" s="384"/>
      <c r="E33" s="384"/>
      <c r="F33" s="384"/>
      <c r="G33" s="384"/>
      <c r="H33" s="1826"/>
      <c r="I33" s="1827"/>
      <c r="J33" s="1826"/>
      <c r="K33" s="1827"/>
      <c r="L33" s="1826"/>
      <c r="M33" s="1827"/>
      <c r="N33" s="425"/>
      <c r="O33" s="385"/>
      <c r="P33" s="384"/>
      <c r="Q33" s="384"/>
      <c r="R33" s="384"/>
      <c r="S33" s="384"/>
      <c r="T33" s="384"/>
      <c r="U33" s="425"/>
      <c r="V33" s="385"/>
      <c r="X33" s="427"/>
      <c r="Y33" s="389"/>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C33" s="185"/>
      <c r="CD33" s="185"/>
      <c r="CE33" s="185"/>
      <c r="CF33" s="185"/>
      <c r="CG33" s="185"/>
      <c r="CH33" s="185"/>
      <c r="CI33" s="185"/>
    </row>
    <row r="34" spans="1:16383" ht="17.149999999999999" customHeight="1" x14ac:dyDescent="0.35">
      <c r="A34" s="959" t="s">
        <v>1062</v>
      </c>
      <c r="B34" s="983"/>
      <c r="C34" s="983"/>
      <c r="D34" s="983"/>
      <c r="E34" s="983"/>
      <c r="F34" s="983"/>
      <c r="G34" s="983"/>
      <c r="H34" s="1832"/>
      <c r="I34" s="1833"/>
      <c r="J34" s="1828"/>
      <c r="K34" s="1829"/>
      <c r="L34" s="1828"/>
      <c r="M34" s="1829"/>
      <c r="N34" s="983"/>
      <c r="O34" s="983"/>
      <c r="P34" s="983"/>
      <c r="Q34" s="983"/>
      <c r="R34" s="983"/>
      <c r="S34" s="983"/>
      <c r="T34" s="983"/>
      <c r="U34" s="983"/>
      <c r="V34" s="983"/>
      <c r="W34" s="60"/>
      <c r="X34" s="26"/>
      <c r="Y34" s="26"/>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c r="CC34" s="12"/>
      <c r="CD34" s="12"/>
      <c r="CE34" s="12"/>
      <c r="CF34" s="12"/>
      <c r="CG34" s="12"/>
      <c r="CH34" s="12"/>
      <c r="CI34" s="12"/>
    </row>
    <row r="35" spans="1:16383" s="60" customFormat="1" ht="17.149999999999999" customHeight="1" x14ac:dyDescent="0.35">
      <c r="A35" s="155" t="s">
        <v>1063</v>
      </c>
      <c r="B35" s="964" t="s">
        <v>323</v>
      </c>
      <c r="C35" s="965">
        <f>'Interface_Emptying &amp; Transport'!AB21</f>
        <v>0</v>
      </c>
      <c r="D35" s="966">
        <f>'FS_Emptying volumes'!J65*'FS_Transport volumes'!C35</f>
        <v>0</v>
      </c>
      <c r="E35" s="967"/>
      <c r="F35" s="967"/>
      <c r="G35" s="968"/>
      <c r="H35" s="1830">
        <f>'Interface_Emptying &amp; Transport'!AF21</f>
        <v>0</v>
      </c>
      <c r="I35" s="1831"/>
      <c r="J35" s="1830">
        <f>'Interface_Emptying &amp; Transport'!AH21</f>
        <v>0</v>
      </c>
      <c r="K35" s="1831"/>
      <c r="L35" s="1830">
        <f>'Interface_Emptying &amp; Transport'!AJ21</f>
        <v>0</v>
      </c>
      <c r="M35" s="1831"/>
      <c r="N35" s="1522">
        <f t="shared" ref="N35:N42" si="0">ROUND((IF(J35="Sub-station",0,IF(L35="Legal",D35,IF(L35="Partly legal - partly illegal",D35/2,0))))/5,0)*5</f>
        <v>0</v>
      </c>
      <c r="O35" s="1522">
        <f t="shared" ref="O35:O42" si="1">ROUND((IF(J35="Sub-station",0,IF(L35="Illegal",D35,IF(L35="Partly legal - partly illegal",D35/2,0))))/5,0)*5</f>
        <v>0</v>
      </c>
      <c r="P35" s="969">
        <f>'Interface_Emptying &amp; Transport'!AL21</f>
        <v>0</v>
      </c>
      <c r="Q35" s="969">
        <f>'Interface_Emptying &amp; Transport'!AM21</f>
        <v>0</v>
      </c>
      <c r="R35" s="1510">
        <f>'Interface_Emptying &amp; Transport'!AN21</f>
        <v>0</v>
      </c>
      <c r="S35" s="1510">
        <f>'Interface_Emptying &amp; Transport'!AP21</f>
        <v>0</v>
      </c>
      <c r="T35" s="1510">
        <f>'Interface_Emptying &amp; Transport'!AR21</f>
        <v>0</v>
      </c>
      <c r="U35" s="1522">
        <f>ROUND((IF(T35="Legal",D35,IF(T35="Partly legal - partly illegal",D35/2,0)))/5,0)*5</f>
        <v>0</v>
      </c>
      <c r="V35" s="1522">
        <f>ROUND((IF(T35="Illegal",D35,IF(T35="Partly legal - partly illegal",D35/2,0)))/5,0)*5</f>
        <v>0</v>
      </c>
      <c r="X35" s="1518">
        <f t="shared" ref="X35:X42" si="2">ROUND((O35+V35)/5,0)*5</f>
        <v>0</v>
      </c>
      <c r="Y35" s="1518">
        <f t="shared" ref="Y35:Y42" si="3">ROUND((N35+U35)/5,0)*5</f>
        <v>0</v>
      </c>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6"/>
      <c r="BA35" s="136"/>
      <c r="BB35" s="136"/>
      <c r="BC35" s="136"/>
      <c r="BD35" s="136"/>
      <c r="BE35" s="136"/>
      <c r="BF35" s="136"/>
      <c r="BG35" s="136"/>
      <c r="BH35" s="136"/>
      <c r="BI35" s="136"/>
      <c r="BJ35" s="136"/>
      <c r="BK35" s="136"/>
      <c r="BL35" s="136"/>
      <c r="BM35" s="136"/>
      <c r="BN35" s="136"/>
      <c r="BO35" s="136"/>
      <c r="BP35" s="136"/>
      <c r="BQ35" s="136"/>
      <c r="BR35" s="136"/>
      <c r="BS35" s="136"/>
      <c r="BT35" s="136"/>
      <c r="BU35" s="136"/>
      <c r="BV35" s="136"/>
      <c r="BW35" s="136"/>
      <c r="BX35" s="136"/>
      <c r="BY35" s="136"/>
      <c r="BZ35" s="136"/>
      <c r="CA35" s="136"/>
      <c r="CB35" s="136"/>
      <c r="CC35" s="136"/>
      <c r="CD35" s="136"/>
      <c r="CE35" s="136"/>
      <c r="CF35" s="136"/>
      <c r="CG35" s="136"/>
      <c r="CH35" s="136"/>
      <c r="CI35" s="136"/>
    </row>
    <row r="36" spans="1:16383" s="60" customFormat="1" ht="17.149999999999999" customHeight="1" x14ac:dyDescent="0.35">
      <c r="A36" s="155" t="s">
        <v>1063</v>
      </c>
      <c r="B36" s="964" t="s">
        <v>324</v>
      </c>
      <c r="C36" s="965">
        <f>'Interface_Emptying &amp; Transport'!AC22</f>
        <v>1</v>
      </c>
      <c r="D36" s="970"/>
      <c r="E36" s="971">
        <f>'Interface_Emptying &amp; Transport'!AD22</f>
        <v>0</v>
      </c>
      <c r="F36" s="971">
        <f>'Interface_Emptying &amp; Transport'!AE22</f>
        <v>0</v>
      </c>
      <c r="G36" s="968">
        <f>'FS_Emptying volumes'!J65*'FS_Transport volumes'!C36</f>
        <v>0</v>
      </c>
      <c r="H36" s="1830">
        <f>'Interface_Emptying &amp; Transport'!AF22</f>
        <v>0</v>
      </c>
      <c r="I36" s="1831"/>
      <c r="J36" s="1830">
        <f>'Interface_Emptying &amp; Transport'!AH22</f>
        <v>0</v>
      </c>
      <c r="K36" s="1831"/>
      <c r="L36" s="1830">
        <f>'Interface_Emptying &amp; Transport'!AJ22</f>
        <v>0</v>
      </c>
      <c r="M36" s="1831"/>
      <c r="N36" s="1522">
        <f t="shared" si="0"/>
        <v>0</v>
      </c>
      <c r="O36" s="1522">
        <f t="shared" si="1"/>
        <v>0</v>
      </c>
      <c r="P36" s="969">
        <f>'Interface_Emptying &amp; Transport'!AL22</f>
        <v>0</v>
      </c>
      <c r="Q36" s="969">
        <f>'Interface_Emptying &amp; Transport'!AM22</f>
        <v>0</v>
      </c>
      <c r="R36" s="1510">
        <f>'Interface_Emptying &amp; Transport'!AN22</f>
        <v>0</v>
      </c>
      <c r="S36" s="1510">
        <f>'Interface_Emptying &amp; Transport'!AP22</f>
        <v>0</v>
      </c>
      <c r="T36" s="1510">
        <f>'Interface_Emptying &amp; Transport'!AR22</f>
        <v>0</v>
      </c>
      <c r="U36" s="1522">
        <f>ROUND((IF(T36="Legal",G36,IF(T36="Partly - legal partly illegal",G36/2,0)))/5,0)*5</f>
        <v>0</v>
      </c>
      <c r="V36" s="1522">
        <f>ROUND((IF(T36="Illegal",G36,IF(T36="Partly legal - partly illegal",G36/2,0)))/5,0)*5</f>
        <v>0</v>
      </c>
      <c r="X36" s="1518">
        <f t="shared" si="2"/>
        <v>0</v>
      </c>
      <c r="Y36" s="1518">
        <f t="shared" si="3"/>
        <v>0</v>
      </c>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6"/>
      <c r="BA36" s="136"/>
      <c r="BB36" s="136"/>
      <c r="BC36" s="136"/>
      <c r="BD36" s="136"/>
      <c r="BE36" s="136"/>
      <c r="BF36" s="136"/>
      <c r="BG36" s="136"/>
      <c r="BH36" s="136"/>
      <c r="BI36" s="136"/>
      <c r="BJ36" s="136"/>
      <c r="BK36" s="136"/>
      <c r="BL36" s="136"/>
      <c r="BM36" s="136"/>
      <c r="BN36" s="136"/>
      <c r="BO36" s="136"/>
      <c r="BP36" s="136"/>
      <c r="BQ36" s="136"/>
      <c r="BR36" s="136"/>
      <c r="BS36" s="136"/>
      <c r="BT36" s="136"/>
      <c r="BU36" s="136"/>
      <c r="BV36" s="136"/>
      <c r="BW36" s="136"/>
      <c r="BX36" s="136"/>
      <c r="BY36" s="136"/>
      <c r="BZ36" s="136"/>
      <c r="CA36" s="136"/>
      <c r="CB36" s="136"/>
      <c r="CC36" s="136"/>
      <c r="CD36" s="136"/>
      <c r="CE36" s="136"/>
      <c r="CF36" s="136"/>
      <c r="CG36" s="136"/>
      <c r="CH36" s="136"/>
      <c r="CI36" s="136"/>
    </row>
    <row r="37" spans="1:16383" s="60" customFormat="1" ht="17.149999999999999" customHeight="1" x14ac:dyDescent="0.35">
      <c r="A37" s="155" t="s">
        <v>1064</v>
      </c>
      <c r="B37" s="964" t="s">
        <v>323</v>
      </c>
      <c r="C37" s="965">
        <f>'Interface_Emptying &amp; Transport'!AB23</f>
        <v>0</v>
      </c>
      <c r="D37" s="966">
        <f>'FS_Emptying volumes'!J66*'FS_Transport volumes'!C37</f>
        <v>0</v>
      </c>
      <c r="E37" s="967"/>
      <c r="F37" s="967"/>
      <c r="G37" s="968"/>
      <c r="H37" s="1830">
        <f>'Interface_Emptying &amp; Transport'!AF23</f>
        <v>0</v>
      </c>
      <c r="I37" s="1831"/>
      <c r="J37" s="1830">
        <f>'Interface_Emptying &amp; Transport'!AH23</f>
        <v>0</v>
      </c>
      <c r="K37" s="1831"/>
      <c r="L37" s="1830">
        <f>'Interface_Emptying &amp; Transport'!AJ23</f>
        <v>0</v>
      </c>
      <c r="M37" s="1831"/>
      <c r="N37" s="1522">
        <f t="shared" si="0"/>
        <v>0</v>
      </c>
      <c r="O37" s="1522">
        <f t="shared" si="1"/>
        <v>0</v>
      </c>
      <c r="P37" s="969">
        <f>'Interface_Emptying &amp; Transport'!AL23</f>
        <v>0</v>
      </c>
      <c r="Q37" s="969">
        <f>'Interface_Emptying &amp; Transport'!AM23</f>
        <v>0</v>
      </c>
      <c r="R37" s="1510">
        <f>'Interface_Emptying &amp; Transport'!AN23</f>
        <v>0</v>
      </c>
      <c r="S37" s="1510">
        <f>'Interface_Emptying &amp; Transport'!AP23</f>
        <v>0</v>
      </c>
      <c r="T37" s="1510">
        <f>'Interface_Emptying &amp; Transport'!AR23</f>
        <v>0</v>
      </c>
      <c r="U37" s="1522">
        <f>ROUND((IF(T37="Legal",D37,IF(T37="Partly legal - partly illegal",D37/2,0)))/5,0)*5</f>
        <v>0</v>
      </c>
      <c r="V37" s="1522">
        <f>ROUND((IF(T37="Illegal",D37,IF(T37="Partly legal - partly illegal",D37/2,0)))/5,0)*5</f>
        <v>0</v>
      </c>
      <c r="X37" s="1518">
        <f t="shared" si="2"/>
        <v>0</v>
      </c>
      <c r="Y37" s="1518">
        <f t="shared" si="3"/>
        <v>0</v>
      </c>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6"/>
      <c r="BA37" s="136"/>
      <c r="BB37" s="136"/>
      <c r="BC37" s="136"/>
      <c r="BD37" s="136"/>
      <c r="BE37" s="136"/>
      <c r="BF37" s="136"/>
      <c r="BG37" s="136"/>
      <c r="BH37" s="136"/>
      <c r="BI37" s="136"/>
      <c r="BJ37" s="136"/>
      <c r="BK37" s="136"/>
      <c r="BL37" s="136"/>
      <c r="BM37" s="136"/>
      <c r="BN37" s="136"/>
      <c r="BO37" s="136"/>
      <c r="BP37" s="136"/>
      <c r="BQ37" s="136"/>
      <c r="BR37" s="136"/>
      <c r="BS37" s="136"/>
      <c r="BT37" s="136"/>
      <c r="BU37" s="136"/>
      <c r="BV37" s="136"/>
      <c r="BW37" s="136"/>
      <c r="BX37" s="136"/>
      <c r="BY37" s="136"/>
      <c r="BZ37" s="136"/>
      <c r="CA37" s="136"/>
      <c r="CB37" s="136"/>
      <c r="CC37" s="136"/>
      <c r="CD37" s="136"/>
      <c r="CE37" s="136"/>
      <c r="CF37" s="136"/>
      <c r="CG37" s="136"/>
      <c r="CH37" s="136"/>
      <c r="CI37" s="136"/>
    </row>
    <row r="38" spans="1:16383" s="60" customFormat="1" ht="17.149999999999999" customHeight="1" x14ac:dyDescent="0.35">
      <c r="A38" s="155" t="s">
        <v>1064</v>
      </c>
      <c r="B38" s="964" t="s">
        <v>324</v>
      </c>
      <c r="C38" s="965">
        <f>'Interface_Emptying &amp; Transport'!AC24</f>
        <v>1</v>
      </c>
      <c r="D38" s="970"/>
      <c r="E38" s="971">
        <f>'Interface_Emptying &amp; Transport'!AD24</f>
        <v>0</v>
      </c>
      <c r="F38" s="971">
        <f>'Interface_Emptying &amp; Transport'!AE24</f>
        <v>0</v>
      </c>
      <c r="G38" s="968">
        <f>'FS_Emptying volumes'!J66*'FS_Transport volumes'!C38</f>
        <v>0</v>
      </c>
      <c r="H38" s="1830">
        <f>'Interface_Emptying &amp; Transport'!AF24</f>
        <v>0</v>
      </c>
      <c r="I38" s="1831"/>
      <c r="J38" s="1830">
        <f>'Interface_Emptying &amp; Transport'!AH24</f>
        <v>0</v>
      </c>
      <c r="K38" s="1831"/>
      <c r="L38" s="1830">
        <f>'Interface_Emptying &amp; Transport'!AJ24</f>
        <v>0</v>
      </c>
      <c r="M38" s="1831"/>
      <c r="N38" s="1522">
        <f t="shared" si="0"/>
        <v>0</v>
      </c>
      <c r="O38" s="1522">
        <f t="shared" si="1"/>
        <v>0</v>
      </c>
      <c r="P38" s="969">
        <f>'Interface_Emptying &amp; Transport'!AL24</f>
        <v>0</v>
      </c>
      <c r="Q38" s="969">
        <f>'Interface_Emptying &amp; Transport'!AM24</f>
        <v>0</v>
      </c>
      <c r="R38" s="1510">
        <f>'Interface_Emptying &amp; Transport'!AN24</f>
        <v>0</v>
      </c>
      <c r="S38" s="1510">
        <f>'Interface_Emptying &amp; Transport'!AP24</f>
        <v>0</v>
      </c>
      <c r="T38" s="1510">
        <f>'Interface_Emptying &amp; Transport'!AR24</f>
        <v>0</v>
      </c>
      <c r="U38" s="1522">
        <f>ROUND((IF(T38="Legal",G38,IF(T38="Partly - legal partly illegal",G38/2,0)))/5,0)*5</f>
        <v>0</v>
      </c>
      <c r="V38" s="1522">
        <f>ROUND((IF(T38="Illegal",G38,IF(T38="Partly legal - partly illegal",G38/2,0)))/5,0)*5</f>
        <v>0</v>
      </c>
      <c r="X38" s="1518">
        <f t="shared" si="2"/>
        <v>0</v>
      </c>
      <c r="Y38" s="1518">
        <f t="shared" si="3"/>
        <v>0</v>
      </c>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6"/>
      <c r="BA38" s="136"/>
      <c r="BB38" s="136"/>
      <c r="BC38" s="136"/>
      <c r="BD38" s="136"/>
      <c r="BE38" s="136"/>
      <c r="BF38" s="136"/>
      <c r="BG38" s="136"/>
      <c r="BH38" s="136"/>
      <c r="BI38" s="136"/>
      <c r="BJ38" s="136"/>
      <c r="BK38" s="136"/>
      <c r="BL38" s="136"/>
      <c r="BM38" s="136"/>
      <c r="BN38" s="136"/>
      <c r="BO38" s="136"/>
      <c r="BP38" s="136"/>
      <c r="BQ38" s="136"/>
      <c r="BR38" s="136"/>
      <c r="BS38" s="136"/>
      <c r="BT38" s="136"/>
      <c r="BU38" s="136"/>
      <c r="BV38" s="136"/>
      <c r="BW38" s="136"/>
      <c r="BX38" s="136"/>
      <c r="BY38" s="136"/>
      <c r="BZ38" s="136"/>
      <c r="CA38" s="136"/>
      <c r="CB38" s="136"/>
      <c r="CC38" s="136"/>
      <c r="CD38" s="136"/>
      <c r="CE38" s="136"/>
      <c r="CF38" s="136"/>
      <c r="CG38" s="136"/>
      <c r="CH38" s="136"/>
      <c r="CI38" s="136"/>
    </row>
    <row r="39" spans="1:16383" s="60" customFormat="1" ht="17.149999999999999" customHeight="1" x14ac:dyDescent="0.35">
      <c r="A39" s="155" t="s">
        <v>1065</v>
      </c>
      <c r="B39" s="964" t="s">
        <v>323</v>
      </c>
      <c r="C39" s="965">
        <f>'Interface_Emptying &amp; Transport'!AB25</f>
        <v>0</v>
      </c>
      <c r="D39" s="966">
        <f>'FS_Emptying volumes'!J67*'FS_Transport volumes'!C39</f>
        <v>0</v>
      </c>
      <c r="E39" s="967"/>
      <c r="F39" s="967"/>
      <c r="G39" s="968"/>
      <c r="H39" s="1830">
        <f>'Interface_Emptying &amp; Transport'!AF25</f>
        <v>0</v>
      </c>
      <c r="I39" s="1831"/>
      <c r="J39" s="1830">
        <f>'Interface_Emptying &amp; Transport'!AH25</f>
        <v>0</v>
      </c>
      <c r="K39" s="1831"/>
      <c r="L39" s="1830">
        <f>'Interface_Emptying &amp; Transport'!AJ25</f>
        <v>0</v>
      </c>
      <c r="M39" s="1831"/>
      <c r="N39" s="1522">
        <f t="shared" si="0"/>
        <v>0</v>
      </c>
      <c r="O39" s="1522">
        <f t="shared" si="1"/>
        <v>0</v>
      </c>
      <c r="P39" s="969">
        <f>'Interface_Emptying &amp; Transport'!AL25</f>
        <v>0</v>
      </c>
      <c r="Q39" s="969">
        <f>'Interface_Emptying &amp; Transport'!AM25</f>
        <v>0</v>
      </c>
      <c r="R39" s="1510">
        <f>'Interface_Emptying &amp; Transport'!AN25</f>
        <v>0</v>
      </c>
      <c r="S39" s="1510">
        <f>'Interface_Emptying &amp; Transport'!AP25</f>
        <v>0</v>
      </c>
      <c r="T39" s="1510">
        <f>'Interface_Emptying &amp; Transport'!AR25</f>
        <v>0</v>
      </c>
      <c r="U39" s="1522">
        <f>ROUND((IF(T39="Legal",D39,IF(T39="Partly legal - partly illegal",D39/2,0)))/5,0)*5</f>
        <v>0</v>
      </c>
      <c r="V39" s="1522">
        <f>ROUND((IF(T39="Illegal",D39,IF(T39="Partly legal - partly illegal",D39/2,0)))/5,0)*5</f>
        <v>0</v>
      </c>
      <c r="X39" s="1518">
        <f t="shared" si="2"/>
        <v>0</v>
      </c>
      <c r="Y39" s="1518">
        <f t="shared" si="3"/>
        <v>0</v>
      </c>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6"/>
      <c r="BA39" s="136"/>
      <c r="BB39" s="136"/>
      <c r="BC39" s="136"/>
      <c r="BD39" s="136"/>
      <c r="BE39" s="136"/>
      <c r="BF39" s="136"/>
      <c r="BG39" s="136"/>
      <c r="BH39" s="136"/>
      <c r="BI39" s="136"/>
      <c r="BJ39" s="136"/>
      <c r="BK39" s="136"/>
      <c r="BL39" s="136"/>
      <c r="BM39" s="136"/>
      <c r="BN39" s="136"/>
      <c r="BO39" s="136"/>
      <c r="BP39" s="136"/>
      <c r="BQ39" s="136"/>
      <c r="BR39" s="136"/>
      <c r="BS39" s="136"/>
      <c r="BT39" s="136"/>
      <c r="BU39" s="136"/>
      <c r="BV39" s="136"/>
      <c r="BW39" s="136"/>
      <c r="BX39" s="136"/>
      <c r="BY39" s="136"/>
      <c r="BZ39" s="136"/>
      <c r="CA39" s="136"/>
      <c r="CB39" s="136"/>
      <c r="CC39" s="136"/>
      <c r="CD39" s="136"/>
      <c r="CE39" s="136"/>
      <c r="CF39" s="136"/>
      <c r="CG39" s="136"/>
      <c r="CH39" s="136"/>
      <c r="CI39" s="136"/>
    </row>
    <row r="40" spans="1:16383" s="60" customFormat="1" ht="17.149999999999999" customHeight="1" x14ac:dyDescent="0.35">
      <c r="A40" s="155" t="s">
        <v>1065</v>
      </c>
      <c r="B40" s="964" t="s">
        <v>324</v>
      </c>
      <c r="C40" s="965">
        <f>'Interface_Emptying &amp; Transport'!AC26</f>
        <v>1</v>
      </c>
      <c r="D40" s="970"/>
      <c r="E40" s="971">
        <f>'Interface_Emptying &amp; Transport'!AD26</f>
        <v>0</v>
      </c>
      <c r="F40" s="971">
        <f>'Interface_Emptying &amp; Transport'!AE26</f>
        <v>0</v>
      </c>
      <c r="G40" s="968">
        <f>'FS_Emptying volumes'!J67*'FS_Transport volumes'!C40</f>
        <v>0</v>
      </c>
      <c r="H40" s="1830">
        <f>'Interface_Emptying &amp; Transport'!AF26</f>
        <v>0</v>
      </c>
      <c r="I40" s="1831"/>
      <c r="J40" s="1830">
        <f>'Interface_Emptying &amp; Transport'!AH26</f>
        <v>0</v>
      </c>
      <c r="K40" s="1831"/>
      <c r="L40" s="1830">
        <f>'Interface_Emptying &amp; Transport'!AJ26</f>
        <v>0</v>
      </c>
      <c r="M40" s="1831"/>
      <c r="N40" s="1522">
        <f t="shared" si="0"/>
        <v>0</v>
      </c>
      <c r="O40" s="1522">
        <f t="shared" si="1"/>
        <v>0</v>
      </c>
      <c r="P40" s="969">
        <f>'Interface_Emptying &amp; Transport'!AL26</f>
        <v>0</v>
      </c>
      <c r="Q40" s="969">
        <f>'Interface_Emptying &amp; Transport'!AM26</f>
        <v>0</v>
      </c>
      <c r="R40" s="1510">
        <f>'Interface_Emptying &amp; Transport'!AN26</f>
        <v>0</v>
      </c>
      <c r="S40" s="1510">
        <f>'Interface_Emptying &amp; Transport'!AP26</f>
        <v>0</v>
      </c>
      <c r="T40" s="1510">
        <f>'Interface_Emptying &amp; Transport'!AR26</f>
        <v>0</v>
      </c>
      <c r="U40" s="1522">
        <f>ROUND((IF(T40="Legal",G40,IF(T40="Partly - legal partly illegal",G40/2,0)))/5,0)*5</f>
        <v>0</v>
      </c>
      <c r="V40" s="1522">
        <f>ROUND((IF(T40="Illegal",G40,IF(T40="Partly legal - partly illegal",G40/2,0)))/5,0)*5</f>
        <v>0</v>
      </c>
      <c r="X40" s="1518">
        <f t="shared" si="2"/>
        <v>0</v>
      </c>
      <c r="Y40" s="1518">
        <f t="shared" si="3"/>
        <v>0</v>
      </c>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6"/>
      <c r="BA40" s="136"/>
      <c r="BB40" s="136"/>
      <c r="BC40" s="136"/>
      <c r="BD40" s="136"/>
      <c r="BE40" s="136"/>
      <c r="BF40" s="136"/>
      <c r="BG40" s="136"/>
      <c r="BH40" s="136"/>
      <c r="BI40" s="136"/>
      <c r="BJ40" s="136"/>
      <c r="BK40" s="136"/>
      <c r="BL40" s="136"/>
      <c r="BM40" s="136"/>
      <c r="BN40" s="136"/>
      <c r="BO40" s="136"/>
      <c r="BP40" s="136"/>
      <c r="BQ40" s="136"/>
      <c r="BR40" s="136"/>
      <c r="BS40" s="136"/>
      <c r="BT40" s="136"/>
      <c r="BU40" s="136"/>
      <c r="BV40" s="136"/>
      <c r="BW40" s="136"/>
      <c r="BX40" s="136"/>
      <c r="BY40" s="136"/>
      <c r="BZ40" s="136"/>
      <c r="CA40" s="136"/>
      <c r="CB40" s="136"/>
      <c r="CC40" s="136"/>
      <c r="CD40" s="136"/>
      <c r="CE40" s="136"/>
      <c r="CF40" s="136"/>
      <c r="CG40" s="136"/>
      <c r="CH40" s="136"/>
      <c r="CI40" s="136"/>
    </row>
    <row r="41" spans="1:16383" s="60" customFormat="1" ht="17.149999999999999" customHeight="1" x14ac:dyDescent="0.35">
      <c r="A41" s="155" t="s">
        <v>537</v>
      </c>
      <c r="B41" s="964" t="s">
        <v>323</v>
      </c>
      <c r="C41" s="965">
        <f>'Interface_Emptying &amp; Transport'!AB27</f>
        <v>0</v>
      </c>
      <c r="D41" s="966">
        <f>'FS_Emptying volumes'!J68*'FS_Transport volumes'!C41</f>
        <v>0</v>
      </c>
      <c r="E41" s="967"/>
      <c r="F41" s="967"/>
      <c r="G41" s="968"/>
      <c r="H41" s="1830">
        <f>'Interface_Emptying &amp; Transport'!AF27</f>
        <v>0</v>
      </c>
      <c r="I41" s="1831"/>
      <c r="J41" s="1830">
        <f>'Interface_Emptying &amp; Transport'!AH27</f>
        <v>0</v>
      </c>
      <c r="K41" s="1831"/>
      <c r="L41" s="1830">
        <f>'Interface_Emptying &amp; Transport'!AJ27</f>
        <v>0</v>
      </c>
      <c r="M41" s="1831"/>
      <c r="N41" s="1522">
        <f t="shared" si="0"/>
        <v>0</v>
      </c>
      <c r="O41" s="1522">
        <f t="shared" si="1"/>
        <v>0</v>
      </c>
      <c r="P41" s="969">
        <f>'Interface_Emptying &amp; Transport'!AL27</f>
        <v>0</v>
      </c>
      <c r="Q41" s="969">
        <f>'Interface_Emptying &amp; Transport'!AM27</f>
        <v>0</v>
      </c>
      <c r="R41" s="1510">
        <f>'Interface_Emptying &amp; Transport'!AN27</f>
        <v>0</v>
      </c>
      <c r="S41" s="1510">
        <f>'Interface_Emptying &amp; Transport'!AP27</f>
        <v>0</v>
      </c>
      <c r="T41" s="1510">
        <f>'Interface_Emptying &amp; Transport'!AR27</f>
        <v>0</v>
      </c>
      <c r="U41" s="1522">
        <f>ROUND((IF(T41="Legal",D41,IF(T41="Partly legal - partly illegal",D41/2,0)))/5,0)*5</f>
        <v>0</v>
      </c>
      <c r="V41" s="1522">
        <f>ROUND((IF(T41="Illegal",D41,IF(T41="Partly legal - partly illegal",D41/2,0)))/5,0)*5</f>
        <v>0</v>
      </c>
      <c r="X41" s="1518">
        <f t="shared" si="2"/>
        <v>0</v>
      </c>
      <c r="Y41" s="1518">
        <f t="shared" si="3"/>
        <v>0</v>
      </c>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6"/>
      <c r="BA41" s="136"/>
      <c r="BB41" s="136"/>
      <c r="BC41" s="136"/>
      <c r="BD41" s="136"/>
      <c r="BE41" s="136"/>
      <c r="BF41" s="136"/>
      <c r="BG41" s="136"/>
      <c r="BH41" s="136"/>
      <c r="BI41" s="136"/>
      <c r="BJ41" s="136"/>
      <c r="BK41" s="136"/>
      <c r="BL41" s="136"/>
      <c r="BM41" s="136"/>
      <c r="BN41" s="136"/>
      <c r="BO41" s="136"/>
      <c r="BP41" s="136"/>
      <c r="BQ41" s="136"/>
      <c r="BR41" s="136"/>
      <c r="BS41" s="136"/>
      <c r="BT41" s="136"/>
      <c r="BU41" s="136"/>
      <c r="BV41" s="136"/>
      <c r="BW41" s="136"/>
      <c r="BX41" s="136"/>
      <c r="BY41" s="136"/>
      <c r="BZ41" s="136"/>
      <c r="CA41" s="136"/>
      <c r="CB41" s="136"/>
      <c r="CC41" s="136"/>
      <c r="CD41" s="136"/>
      <c r="CE41" s="136"/>
      <c r="CF41" s="136"/>
      <c r="CG41" s="136"/>
      <c r="CH41" s="136"/>
      <c r="CI41" s="136"/>
    </row>
    <row r="42" spans="1:16383" s="60" customFormat="1" ht="17.149999999999999" customHeight="1" x14ac:dyDescent="0.35">
      <c r="A42" s="972" t="s">
        <v>537</v>
      </c>
      <c r="B42" s="973" t="s">
        <v>324</v>
      </c>
      <c r="C42" s="965">
        <f>'Interface_Emptying &amp; Transport'!AC28</f>
        <v>1</v>
      </c>
      <c r="D42" s="970"/>
      <c r="E42" s="971">
        <f>'Interface_Emptying &amp; Transport'!AD28</f>
        <v>0</v>
      </c>
      <c r="F42" s="971">
        <f>'Interface_Emptying &amp; Transport'!AE28</f>
        <v>0</v>
      </c>
      <c r="G42" s="974">
        <f>'FS_Emptying volumes'!J68*'FS_Transport volumes'!C42</f>
        <v>0</v>
      </c>
      <c r="H42" s="1830">
        <f>'Interface_Emptying &amp; Transport'!AF28</f>
        <v>0</v>
      </c>
      <c r="I42" s="1831"/>
      <c r="J42" s="1830">
        <f>'Interface_Emptying &amp; Transport'!AH28</f>
        <v>0</v>
      </c>
      <c r="K42" s="1831"/>
      <c r="L42" s="1830">
        <f>'Interface_Emptying &amp; Transport'!AJ28</f>
        <v>0</v>
      </c>
      <c r="M42" s="1831"/>
      <c r="N42" s="1522">
        <f t="shared" si="0"/>
        <v>0</v>
      </c>
      <c r="O42" s="1522">
        <f t="shared" si="1"/>
        <v>0</v>
      </c>
      <c r="P42" s="969">
        <f>'Interface_Emptying &amp; Transport'!AL28</f>
        <v>0</v>
      </c>
      <c r="Q42" s="969">
        <f>'Interface_Emptying &amp; Transport'!AM28</f>
        <v>0</v>
      </c>
      <c r="R42" s="1510">
        <f>'Interface_Emptying &amp; Transport'!AN28</f>
        <v>0</v>
      </c>
      <c r="S42" s="1510">
        <f>'Interface_Emptying &amp; Transport'!AP28</f>
        <v>0</v>
      </c>
      <c r="T42" s="1510">
        <f>'Interface_Emptying &amp; Transport'!AR28</f>
        <v>0</v>
      </c>
      <c r="U42" s="1522">
        <f>ROUND((IF(T42="Legal",G42,IF(T42="Partly - legal partly illegal",G42/2,0)))/5,0)*5</f>
        <v>0</v>
      </c>
      <c r="V42" s="1522">
        <f>ROUND((IF(T42="Illegal",G42,IF(T42="Partly legal - partly illegal",G42/2,0)))/5,0)*5</f>
        <v>0</v>
      </c>
      <c r="X42" s="1518">
        <f t="shared" si="2"/>
        <v>0</v>
      </c>
      <c r="Y42" s="1518">
        <f t="shared" si="3"/>
        <v>0</v>
      </c>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6"/>
      <c r="BA42" s="136"/>
      <c r="BB42" s="136"/>
      <c r="BC42" s="136"/>
      <c r="BD42" s="136"/>
      <c r="BE42" s="136"/>
      <c r="BF42" s="136"/>
      <c r="BG42" s="136"/>
      <c r="BH42" s="136"/>
      <c r="BI42" s="136"/>
      <c r="BJ42" s="136"/>
      <c r="BK42" s="136"/>
      <c r="BL42" s="136"/>
      <c r="BM42" s="136"/>
      <c r="BN42" s="136"/>
      <c r="BO42" s="136"/>
      <c r="BP42" s="136"/>
      <c r="BQ42" s="136"/>
      <c r="BR42" s="136"/>
      <c r="BS42" s="136"/>
      <c r="BT42" s="136"/>
      <c r="BU42" s="136"/>
      <c r="BV42" s="136"/>
      <c r="BW42" s="136"/>
      <c r="BX42" s="136"/>
      <c r="BY42" s="136"/>
      <c r="BZ42" s="136"/>
      <c r="CA42" s="136"/>
      <c r="CB42" s="136"/>
      <c r="CC42" s="136"/>
      <c r="CD42" s="136"/>
      <c r="CE42" s="136"/>
      <c r="CF42" s="136"/>
      <c r="CG42" s="136"/>
      <c r="CH42" s="136"/>
      <c r="CI42" s="136"/>
    </row>
    <row r="43" spans="1:16383" s="299" customFormat="1" ht="17.149999999999999" customHeight="1" x14ac:dyDescent="0.35">
      <c r="A43" s="977" t="s">
        <v>1066</v>
      </c>
      <c r="B43" s="978"/>
      <c r="C43" s="979"/>
      <c r="D43" s="980">
        <f>SUM(D35:D42)</f>
        <v>0</v>
      </c>
      <c r="E43" s="981"/>
      <c r="F43" s="981"/>
      <c r="G43" s="980">
        <f>SUM(G35:G42)</f>
        <v>0</v>
      </c>
      <c r="H43" s="1824"/>
      <c r="I43" s="1825"/>
      <c r="J43" s="1824"/>
      <c r="K43" s="1825"/>
      <c r="L43" s="1824"/>
      <c r="M43" s="1825"/>
      <c r="N43" s="980">
        <f>SUM(N35:N42)</f>
        <v>0</v>
      </c>
      <c r="O43" s="980">
        <f>SUM(O35:O42)</f>
        <v>0</v>
      </c>
      <c r="P43" s="982"/>
      <c r="Q43" s="982"/>
      <c r="R43" s="982"/>
      <c r="S43" s="982"/>
      <c r="T43" s="982"/>
      <c r="U43" s="980">
        <f>SUM(U35:U42)</f>
        <v>0</v>
      </c>
      <c r="V43" s="980">
        <f>SUM(V35:V42)</f>
        <v>0</v>
      </c>
      <c r="W43" s="60"/>
      <c r="X43" s="980">
        <f>SUM(X35:X42)</f>
        <v>0</v>
      </c>
      <c r="Y43" s="980">
        <f>SUM(Y35:Y42)</f>
        <v>0</v>
      </c>
      <c r="Z43" s="980">
        <f>SUM(X43:Y43)</f>
        <v>0</v>
      </c>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6"/>
      <c r="BA43" s="136"/>
      <c r="BB43" s="136"/>
      <c r="BC43" s="136"/>
      <c r="BD43" s="136"/>
      <c r="BE43" s="136"/>
      <c r="BF43" s="136"/>
      <c r="BG43" s="136"/>
      <c r="BH43" s="136"/>
      <c r="BI43" s="136"/>
      <c r="BJ43" s="136"/>
      <c r="BK43" s="136"/>
      <c r="BL43" s="136"/>
      <c r="BM43" s="136"/>
      <c r="BN43" s="136"/>
      <c r="BO43" s="136"/>
      <c r="BP43" s="136"/>
      <c r="BQ43" s="136"/>
      <c r="BR43" s="136"/>
      <c r="BS43" s="136"/>
      <c r="BT43" s="136"/>
      <c r="BU43" s="136"/>
      <c r="BV43" s="136"/>
      <c r="BW43" s="136"/>
      <c r="BX43" s="136"/>
      <c r="BY43" s="136"/>
      <c r="BZ43" s="136"/>
      <c r="CA43" s="136"/>
      <c r="CB43" s="136"/>
      <c r="CC43" s="136"/>
      <c r="CD43" s="136"/>
      <c r="CE43" s="136"/>
      <c r="CF43" s="136"/>
      <c r="CG43" s="136"/>
      <c r="CH43" s="136"/>
      <c r="CI43" s="136"/>
      <c r="CJ43" s="60"/>
      <c r="CK43" s="60"/>
      <c r="CL43" s="60"/>
      <c r="CM43" s="60"/>
      <c r="CN43" s="60"/>
      <c r="CO43" s="60"/>
      <c r="CP43" s="60"/>
      <c r="CQ43" s="60"/>
      <c r="CR43" s="60"/>
      <c r="CS43" s="60"/>
      <c r="CT43" s="60"/>
      <c r="CU43" s="60"/>
      <c r="CV43" s="60"/>
      <c r="CW43" s="60"/>
      <c r="CX43" s="60"/>
      <c r="CY43" s="60"/>
      <c r="CZ43" s="60"/>
      <c r="DA43" s="60"/>
      <c r="DB43" s="60"/>
      <c r="DC43" s="60"/>
      <c r="DD43" s="60"/>
      <c r="DE43" s="60"/>
      <c r="DF43" s="60"/>
      <c r="DG43" s="60"/>
      <c r="DH43" s="60"/>
      <c r="DI43" s="60"/>
      <c r="DJ43" s="60"/>
      <c r="DK43" s="60"/>
      <c r="DL43" s="60"/>
      <c r="DM43" s="60"/>
      <c r="DN43" s="60"/>
      <c r="DO43" s="60"/>
      <c r="DP43" s="60"/>
      <c r="DQ43" s="60"/>
      <c r="DR43" s="60"/>
      <c r="DS43" s="60"/>
      <c r="DT43" s="60"/>
      <c r="DU43" s="60"/>
      <c r="DV43" s="60"/>
      <c r="DW43" s="60"/>
      <c r="DX43" s="60"/>
      <c r="DY43" s="60"/>
      <c r="DZ43" s="60"/>
      <c r="EA43" s="60"/>
      <c r="EB43" s="60"/>
      <c r="EC43" s="60"/>
      <c r="ED43" s="60"/>
      <c r="EE43" s="60"/>
      <c r="EF43" s="60"/>
      <c r="EG43" s="60"/>
      <c r="EH43" s="60"/>
      <c r="EI43" s="60"/>
      <c r="EJ43" s="60"/>
      <c r="EK43" s="60"/>
      <c r="EL43" s="60"/>
      <c r="EM43" s="60"/>
      <c r="EN43" s="60"/>
      <c r="EO43" s="60"/>
      <c r="EP43" s="60"/>
      <c r="EQ43" s="60"/>
      <c r="ER43" s="60"/>
      <c r="ES43" s="60"/>
      <c r="ET43" s="60"/>
      <c r="EU43" s="60"/>
      <c r="EV43" s="60"/>
      <c r="EW43" s="60"/>
      <c r="EX43" s="60"/>
      <c r="EY43" s="60"/>
      <c r="EZ43" s="60"/>
      <c r="FA43" s="60"/>
      <c r="FB43" s="60"/>
      <c r="FC43" s="60"/>
      <c r="FD43" s="60"/>
      <c r="FE43" s="60"/>
      <c r="FF43" s="60"/>
      <c r="FG43" s="60"/>
      <c r="FH43" s="60"/>
      <c r="FI43" s="60"/>
      <c r="FJ43" s="60"/>
      <c r="FK43" s="60"/>
      <c r="FL43" s="60"/>
      <c r="FM43" s="60"/>
      <c r="FN43" s="60"/>
      <c r="FO43" s="60"/>
      <c r="FP43" s="60"/>
      <c r="FQ43" s="60"/>
      <c r="FR43" s="60"/>
      <c r="FS43" s="60"/>
      <c r="FT43" s="60"/>
      <c r="FU43" s="60"/>
      <c r="FV43" s="60"/>
      <c r="FW43" s="60"/>
      <c r="FX43" s="60"/>
      <c r="FY43" s="60"/>
      <c r="FZ43" s="60"/>
      <c r="GA43" s="60"/>
      <c r="GB43" s="60"/>
      <c r="GC43" s="60"/>
      <c r="GD43" s="60"/>
      <c r="GE43" s="60"/>
      <c r="GF43" s="60"/>
      <c r="GG43" s="60"/>
      <c r="GH43" s="60"/>
      <c r="GI43" s="60"/>
      <c r="GJ43" s="60"/>
      <c r="GK43" s="60"/>
      <c r="GL43" s="60"/>
      <c r="GM43" s="60"/>
      <c r="GN43" s="60"/>
      <c r="GO43" s="60"/>
      <c r="GP43" s="60"/>
      <c r="GQ43" s="60"/>
      <c r="GR43" s="60"/>
      <c r="GS43" s="60"/>
      <c r="GT43" s="60"/>
      <c r="GU43" s="60"/>
      <c r="GV43" s="60"/>
      <c r="GW43" s="60"/>
      <c r="GX43" s="60"/>
      <c r="GY43" s="60"/>
      <c r="GZ43" s="60"/>
      <c r="HA43" s="60"/>
      <c r="HB43" s="60"/>
      <c r="HC43" s="60"/>
      <c r="HD43" s="60"/>
      <c r="HE43" s="60"/>
      <c r="HF43" s="60"/>
      <c r="HG43" s="60"/>
      <c r="HH43" s="60"/>
      <c r="HI43" s="60"/>
      <c r="HJ43" s="60"/>
      <c r="HK43" s="60"/>
      <c r="HL43" s="60"/>
      <c r="HM43" s="60"/>
      <c r="HN43" s="60"/>
      <c r="HO43" s="60"/>
      <c r="HP43" s="60"/>
      <c r="HQ43" s="60"/>
      <c r="HR43" s="60"/>
      <c r="HS43" s="60"/>
      <c r="HT43" s="60"/>
      <c r="HU43" s="60"/>
      <c r="HV43" s="60"/>
      <c r="HW43" s="60"/>
      <c r="HX43" s="60"/>
      <c r="HY43" s="60"/>
      <c r="HZ43" s="60"/>
      <c r="IA43" s="60"/>
      <c r="IB43" s="60"/>
      <c r="IC43" s="60"/>
      <c r="ID43" s="60"/>
      <c r="IE43" s="60"/>
      <c r="IF43" s="60"/>
      <c r="IG43" s="60"/>
      <c r="IH43" s="60"/>
      <c r="II43" s="60"/>
      <c r="IJ43" s="60"/>
      <c r="IK43" s="60"/>
      <c r="IL43" s="60"/>
      <c r="IM43" s="60"/>
      <c r="IN43" s="60"/>
      <c r="IO43" s="60"/>
      <c r="IP43" s="60"/>
      <c r="IQ43" s="60"/>
      <c r="IR43" s="60"/>
      <c r="IS43" s="60"/>
      <c r="IT43" s="60"/>
      <c r="IU43" s="60"/>
      <c r="IV43" s="60"/>
      <c r="IW43" s="60"/>
      <c r="IX43" s="60"/>
      <c r="IY43" s="60"/>
      <c r="IZ43" s="60"/>
      <c r="JA43" s="60"/>
      <c r="JB43" s="60"/>
      <c r="JC43" s="60"/>
      <c r="JD43" s="60"/>
      <c r="JE43" s="60"/>
      <c r="JF43" s="60"/>
      <c r="JG43" s="60"/>
      <c r="JH43" s="60"/>
      <c r="JI43" s="60"/>
      <c r="JJ43" s="60"/>
      <c r="JK43" s="60"/>
      <c r="JL43" s="60"/>
      <c r="JM43" s="60"/>
      <c r="JN43" s="60"/>
      <c r="JO43" s="60"/>
      <c r="JP43" s="60"/>
      <c r="JQ43" s="60"/>
      <c r="JR43" s="60"/>
      <c r="JS43" s="60"/>
      <c r="JT43" s="60"/>
      <c r="JU43" s="60"/>
      <c r="JV43" s="60"/>
      <c r="JW43" s="60"/>
      <c r="JX43" s="60"/>
      <c r="JY43" s="60"/>
      <c r="JZ43" s="60"/>
      <c r="KA43" s="60"/>
      <c r="KB43" s="60"/>
      <c r="KC43" s="60"/>
      <c r="KD43" s="60"/>
      <c r="KE43" s="60"/>
      <c r="KF43" s="60"/>
      <c r="KG43" s="60"/>
      <c r="KH43" s="60"/>
      <c r="KI43" s="60"/>
      <c r="KJ43" s="60"/>
      <c r="KK43" s="60"/>
      <c r="KL43" s="60"/>
      <c r="KM43" s="60"/>
      <c r="KN43" s="60"/>
      <c r="KO43" s="60"/>
      <c r="KP43" s="60"/>
      <c r="KQ43" s="60"/>
      <c r="KR43" s="60"/>
      <c r="KS43" s="60"/>
      <c r="KT43" s="60"/>
      <c r="KU43" s="60"/>
      <c r="KV43" s="60"/>
      <c r="KW43" s="60"/>
      <c r="KX43" s="60"/>
      <c r="KY43" s="60"/>
      <c r="KZ43" s="60"/>
      <c r="LA43" s="60"/>
      <c r="LB43" s="60"/>
      <c r="LC43" s="60"/>
      <c r="LD43" s="60"/>
      <c r="LE43" s="60"/>
      <c r="LF43" s="60"/>
      <c r="LG43" s="60"/>
      <c r="LH43" s="60"/>
      <c r="LI43" s="60"/>
      <c r="LJ43" s="60"/>
      <c r="LK43" s="60"/>
      <c r="LL43" s="60"/>
      <c r="LM43" s="60"/>
      <c r="LN43" s="60"/>
      <c r="LO43" s="60"/>
      <c r="LP43" s="60"/>
      <c r="LQ43" s="60"/>
      <c r="LR43" s="60"/>
      <c r="LS43" s="60"/>
      <c r="LT43" s="60"/>
      <c r="LU43" s="60"/>
      <c r="LV43" s="60"/>
      <c r="LW43" s="60"/>
      <c r="LX43" s="60"/>
      <c r="LY43" s="60"/>
      <c r="LZ43" s="60"/>
      <c r="MA43" s="60"/>
      <c r="MB43" s="60"/>
      <c r="MC43" s="60"/>
      <c r="MD43" s="60"/>
      <c r="ME43" s="60"/>
      <c r="MF43" s="60"/>
      <c r="MG43" s="60"/>
      <c r="MH43" s="60"/>
      <c r="MI43" s="60"/>
      <c r="MJ43" s="60"/>
      <c r="MK43" s="60"/>
      <c r="ML43" s="60"/>
      <c r="MM43" s="60"/>
      <c r="MN43" s="60"/>
      <c r="MO43" s="60"/>
      <c r="MP43" s="60"/>
      <c r="MQ43" s="60"/>
      <c r="MR43" s="60"/>
      <c r="MS43" s="60"/>
      <c r="MT43" s="60"/>
      <c r="MU43" s="60"/>
      <c r="MV43" s="60"/>
      <c r="MW43" s="60"/>
      <c r="MX43" s="60"/>
      <c r="MY43" s="60"/>
      <c r="MZ43" s="60"/>
      <c r="NA43" s="60"/>
      <c r="NB43" s="60"/>
      <c r="NC43" s="60"/>
      <c r="ND43" s="60"/>
      <c r="NE43" s="60"/>
      <c r="NF43" s="60"/>
      <c r="NG43" s="60"/>
      <c r="NH43" s="60"/>
      <c r="NI43" s="60"/>
      <c r="NJ43" s="60"/>
      <c r="NK43" s="60"/>
      <c r="NL43" s="60"/>
      <c r="NM43" s="60"/>
      <c r="NN43" s="60"/>
      <c r="NO43" s="60"/>
      <c r="NP43" s="60"/>
      <c r="NQ43" s="60"/>
      <c r="NR43" s="60"/>
      <c r="NS43" s="60"/>
      <c r="NT43" s="60"/>
      <c r="NU43" s="60"/>
      <c r="NV43" s="60"/>
      <c r="NW43" s="60"/>
      <c r="NX43" s="60"/>
      <c r="NY43" s="60"/>
      <c r="NZ43" s="60"/>
      <c r="OA43" s="60"/>
      <c r="OB43" s="60"/>
      <c r="OC43" s="60"/>
      <c r="OD43" s="60"/>
      <c r="OE43" s="60"/>
      <c r="OF43" s="60"/>
      <c r="OG43" s="60"/>
      <c r="OH43" s="60"/>
      <c r="OI43" s="60"/>
      <c r="OJ43" s="60"/>
      <c r="OK43" s="60"/>
      <c r="OL43" s="60"/>
      <c r="OM43" s="60"/>
      <c r="ON43" s="60"/>
      <c r="OO43" s="60"/>
      <c r="OP43" s="60"/>
      <c r="OQ43" s="60"/>
      <c r="OR43" s="60"/>
      <c r="OS43" s="60"/>
      <c r="OT43" s="60"/>
      <c r="OU43" s="60"/>
      <c r="OV43" s="60"/>
      <c r="OW43" s="60"/>
      <c r="OX43" s="60"/>
      <c r="OY43" s="60"/>
      <c r="OZ43" s="60"/>
      <c r="PA43" s="60"/>
      <c r="PB43" s="60"/>
      <c r="PC43" s="60"/>
      <c r="PD43" s="60"/>
      <c r="PE43" s="60"/>
      <c r="PF43" s="60"/>
      <c r="PG43" s="60"/>
      <c r="PH43" s="60"/>
      <c r="PI43" s="60"/>
      <c r="PJ43" s="60"/>
      <c r="PK43" s="60"/>
      <c r="PL43" s="60"/>
      <c r="PM43" s="60"/>
      <c r="PN43" s="60"/>
      <c r="PO43" s="60"/>
      <c r="PP43" s="60"/>
      <c r="PQ43" s="60"/>
      <c r="PR43" s="60"/>
      <c r="PS43" s="60"/>
      <c r="PT43" s="60"/>
      <c r="PU43" s="60"/>
      <c r="PV43" s="60"/>
      <c r="PW43" s="60"/>
      <c r="PX43" s="60"/>
      <c r="PY43" s="60"/>
      <c r="PZ43" s="60"/>
      <c r="QA43" s="60"/>
      <c r="QB43" s="60"/>
      <c r="QC43" s="60"/>
      <c r="QD43" s="60"/>
      <c r="QE43" s="60"/>
      <c r="QF43" s="60"/>
      <c r="QG43" s="60"/>
      <c r="QH43" s="60"/>
      <c r="QI43" s="60"/>
      <c r="QJ43" s="60"/>
      <c r="QK43" s="60"/>
      <c r="QL43" s="60"/>
      <c r="QM43" s="60"/>
      <c r="QN43" s="60"/>
      <c r="QO43" s="60"/>
      <c r="QP43" s="60"/>
      <c r="QQ43" s="60"/>
      <c r="QR43" s="60"/>
      <c r="QS43" s="60"/>
      <c r="QT43" s="60"/>
      <c r="QU43" s="60"/>
      <c r="QV43" s="60"/>
      <c r="QW43" s="60"/>
      <c r="QX43" s="60"/>
      <c r="QY43" s="60"/>
      <c r="QZ43" s="60"/>
      <c r="RA43" s="60"/>
      <c r="RB43" s="60"/>
      <c r="RC43" s="60"/>
      <c r="RD43" s="60"/>
      <c r="RE43" s="60"/>
      <c r="RF43" s="60"/>
      <c r="RG43" s="60"/>
      <c r="RH43" s="60"/>
      <c r="RI43" s="60"/>
      <c r="RJ43" s="60"/>
      <c r="RK43" s="60"/>
      <c r="RL43" s="60"/>
      <c r="RM43" s="60"/>
      <c r="RN43" s="60"/>
      <c r="RO43" s="60"/>
      <c r="RP43" s="60"/>
      <c r="RQ43" s="60"/>
      <c r="RR43" s="60"/>
      <c r="RS43" s="60"/>
      <c r="RT43" s="60"/>
      <c r="RU43" s="60"/>
      <c r="RV43" s="60"/>
      <c r="RW43" s="60"/>
      <c r="RX43" s="60"/>
      <c r="RY43" s="60"/>
      <c r="RZ43" s="60"/>
      <c r="SA43" s="60"/>
      <c r="SB43" s="60"/>
      <c r="SC43" s="60"/>
      <c r="SD43" s="60"/>
      <c r="SE43" s="60"/>
      <c r="SF43" s="60"/>
      <c r="SG43" s="60"/>
      <c r="SH43" s="60"/>
      <c r="SI43" s="60"/>
      <c r="SJ43" s="60"/>
      <c r="SK43" s="60"/>
      <c r="SL43" s="60"/>
      <c r="SM43" s="60"/>
      <c r="SN43" s="60"/>
      <c r="SO43" s="60"/>
      <c r="SP43" s="60"/>
      <c r="SQ43" s="60"/>
      <c r="SR43" s="60"/>
      <c r="SS43" s="60"/>
      <c r="ST43" s="60"/>
      <c r="SU43" s="60"/>
      <c r="SV43" s="60"/>
      <c r="SW43" s="60"/>
      <c r="SX43" s="60"/>
      <c r="SY43" s="60"/>
      <c r="SZ43" s="60"/>
      <c r="TA43" s="60"/>
      <c r="TB43" s="60"/>
      <c r="TC43" s="60"/>
      <c r="TD43" s="60"/>
      <c r="TE43" s="60"/>
      <c r="TF43" s="60"/>
      <c r="TG43" s="60"/>
      <c r="TH43" s="60"/>
      <c r="TI43" s="60"/>
      <c r="TJ43" s="60"/>
      <c r="TK43" s="60"/>
      <c r="TL43" s="60"/>
      <c r="TM43" s="60"/>
      <c r="TN43" s="60"/>
      <c r="TO43" s="60"/>
      <c r="TP43" s="60"/>
      <c r="TQ43" s="60"/>
      <c r="TR43" s="60"/>
      <c r="TS43" s="60"/>
      <c r="TT43" s="60"/>
      <c r="TU43" s="60"/>
      <c r="TV43" s="60"/>
      <c r="TW43" s="60"/>
      <c r="TX43" s="60"/>
      <c r="TY43" s="60"/>
      <c r="TZ43" s="60"/>
      <c r="UA43" s="60"/>
      <c r="UB43" s="60"/>
      <c r="UC43" s="60"/>
      <c r="UD43" s="60"/>
      <c r="UE43" s="60"/>
      <c r="UF43" s="60"/>
      <c r="UG43" s="60"/>
      <c r="UH43" s="60"/>
      <c r="UI43" s="60"/>
      <c r="UJ43" s="60"/>
      <c r="UK43" s="60"/>
      <c r="UL43" s="60"/>
      <c r="UM43" s="60"/>
      <c r="UN43" s="60"/>
      <c r="UO43" s="60"/>
      <c r="UP43" s="60"/>
      <c r="UQ43" s="60"/>
      <c r="UR43" s="60"/>
      <c r="US43" s="60"/>
      <c r="UT43" s="60"/>
      <c r="UU43" s="60"/>
      <c r="UV43" s="60"/>
      <c r="UW43" s="60"/>
      <c r="UX43" s="60"/>
      <c r="UY43" s="60"/>
      <c r="UZ43" s="60"/>
      <c r="VA43" s="60"/>
      <c r="VB43" s="60"/>
      <c r="VC43" s="60"/>
      <c r="VD43" s="60"/>
      <c r="VE43" s="60"/>
      <c r="VF43" s="60"/>
      <c r="VG43" s="60"/>
      <c r="VH43" s="60"/>
      <c r="VI43" s="60"/>
      <c r="VJ43" s="60"/>
      <c r="VK43" s="60"/>
      <c r="VL43" s="60"/>
      <c r="VM43" s="60"/>
      <c r="VN43" s="60"/>
      <c r="VO43" s="60"/>
      <c r="VP43" s="60"/>
      <c r="VQ43" s="60"/>
      <c r="VR43" s="60"/>
      <c r="VS43" s="60"/>
      <c r="VT43" s="60"/>
      <c r="VU43" s="60"/>
      <c r="VV43" s="60"/>
      <c r="VW43" s="60"/>
      <c r="VX43" s="60"/>
      <c r="VY43" s="60"/>
      <c r="VZ43" s="60"/>
      <c r="WA43" s="60"/>
      <c r="WB43" s="60"/>
      <c r="WC43" s="60"/>
      <c r="WD43" s="60"/>
      <c r="WE43" s="60"/>
      <c r="WF43" s="60"/>
      <c r="WG43" s="60"/>
      <c r="WH43" s="60"/>
      <c r="WI43" s="60"/>
      <c r="WJ43" s="60"/>
      <c r="WK43" s="60"/>
      <c r="WL43" s="60"/>
      <c r="WM43" s="60"/>
      <c r="WN43" s="60"/>
      <c r="WO43" s="60"/>
      <c r="WP43" s="60"/>
      <c r="WQ43" s="60"/>
      <c r="WR43" s="60"/>
      <c r="WS43" s="60"/>
      <c r="WT43" s="60"/>
      <c r="WU43" s="60"/>
      <c r="WV43" s="60"/>
      <c r="WW43" s="60"/>
      <c r="WX43" s="60"/>
      <c r="WY43" s="60"/>
      <c r="WZ43" s="60"/>
      <c r="XA43" s="60"/>
      <c r="XB43" s="60"/>
      <c r="XC43" s="60"/>
      <c r="XD43" s="60"/>
      <c r="XE43" s="60"/>
      <c r="XF43" s="60"/>
      <c r="XG43" s="60"/>
      <c r="XH43" s="60"/>
      <c r="XI43" s="60"/>
      <c r="XJ43" s="60"/>
      <c r="XK43" s="60"/>
      <c r="XL43" s="60"/>
      <c r="XM43" s="60"/>
      <c r="XN43" s="60"/>
      <c r="XO43" s="60"/>
      <c r="XP43" s="60"/>
      <c r="XQ43" s="60"/>
      <c r="XR43" s="60"/>
      <c r="XS43" s="60"/>
      <c r="XT43" s="60"/>
      <c r="XU43" s="60"/>
      <c r="XV43" s="60"/>
      <c r="XW43" s="60"/>
      <c r="XX43" s="60"/>
      <c r="XY43" s="60"/>
      <c r="XZ43" s="60"/>
      <c r="YA43" s="60"/>
      <c r="YB43" s="60"/>
      <c r="YC43" s="60"/>
      <c r="YD43" s="60"/>
      <c r="YE43" s="60"/>
      <c r="YF43" s="60"/>
      <c r="YG43" s="60"/>
      <c r="YH43" s="60"/>
      <c r="YI43" s="60"/>
      <c r="YJ43" s="60"/>
      <c r="YK43" s="60"/>
      <c r="YL43" s="60"/>
      <c r="YM43" s="60"/>
      <c r="YN43" s="60"/>
      <c r="YO43" s="60"/>
      <c r="YP43" s="60"/>
      <c r="YQ43" s="60"/>
      <c r="YR43" s="60"/>
      <c r="YS43" s="60"/>
      <c r="YT43" s="60"/>
      <c r="YU43" s="60"/>
      <c r="YV43" s="60"/>
      <c r="YW43" s="60"/>
      <c r="YX43" s="60"/>
      <c r="YY43" s="60"/>
      <c r="YZ43" s="60"/>
      <c r="ZA43" s="60"/>
      <c r="ZB43" s="60"/>
      <c r="ZC43" s="60"/>
      <c r="ZD43" s="60"/>
      <c r="ZE43" s="60"/>
      <c r="ZF43" s="60"/>
      <c r="ZG43" s="60"/>
      <c r="ZH43" s="60"/>
      <c r="ZI43" s="60"/>
      <c r="ZJ43" s="60"/>
      <c r="ZK43" s="60"/>
      <c r="ZL43" s="60"/>
      <c r="ZM43" s="60"/>
      <c r="ZN43" s="60"/>
      <c r="ZO43" s="60"/>
      <c r="ZP43" s="60"/>
      <c r="ZQ43" s="60"/>
      <c r="ZR43" s="60"/>
      <c r="ZS43" s="60"/>
      <c r="ZT43" s="60"/>
      <c r="ZU43" s="60"/>
      <c r="ZV43" s="60"/>
      <c r="ZW43" s="60"/>
      <c r="ZX43" s="60"/>
      <c r="ZY43" s="60"/>
      <c r="ZZ43" s="60"/>
      <c r="AAA43" s="60"/>
      <c r="AAB43" s="60"/>
      <c r="AAC43" s="60"/>
      <c r="AAD43" s="60"/>
      <c r="AAE43" s="60"/>
      <c r="AAF43" s="60"/>
      <c r="AAG43" s="60"/>
      <c r="AAH43" s="60"/>
      <c r="AAI43" s="60"/>
      <c r="AAJ43" s="60"/>
      <c r="AAK43" s="60"/>
      <c r="AAL43" s="60"/>
      <c r="AAM43" s="60"/>
      <c r="AAN43" s="60"/>
      <c r="AAO43" s="60"/>
      <c r="AAP43" s="60"/>
      <c r="AAQ43" s="60"/>
      <c r="AAR43" s="60"/>
      <c r="AAS43" s="60"/>
      <c r="AAT43" s="60"/>
      <c r="AAU43" s="60"/>
      <c r="AAV43" s="60"/>
      <c r="AAW43" s="60"/>
      <c r="AAX43" s="60"/>
      <c r="AAY43" s="60"/>
      <c r="AAZ43" s="60"/>
      <c r="ABA43" s="60"/>
      <c r="ABB43" s="60"/>
      <c r="ABC43" s="60"/>
      <c r="ABD43" s="60"/>
      <c r="ABE43" s="60"/>
      <c r="ABF43" s="60"/>
      <c r="ABG43" s="60"/>
      <c r="ABH43" s="60"/>
      <c r="ABI43" s="60"/>
      <c r="ABJ43" s="60"/>
      <c r="ABK43" s="60"/>
      <c r="ABL43" s="60"/>
      <c r="ABM43" s="60"/>
      <c r="ABN43" s="60"/>
      <c r="ABO43" s="60"/>
      <c r="ABP43" s="60"/>
      <c r="ABQ43" s="60"/>
      <c r="ABR43" s="60"/>
      <c r="ABS43" s="60"/>
      <c r="ABT43" s="60"/>
      <c r="ABU43" s="60"/>
      <c r="ABV43" s="60"/>
      <c r="ABW43" s="60"/>
      <c r="ABX43" s="60"/>
      <c r="ABY43" s="60"/>
      <c r="ABZ43" s="60"/>
      <c r="ACA43" s="60"/>
      <c r="ACB43" s="60"/>
      <c r="ACC43" s="60"/>
      <c r="ACD43" s="60"/>
      <c r="ACE43" s="60"/>
      <c r="ACF43" s="60"/>
      <c r="ACG43" s="60"/>
      <c r="ACH43" s="60"/>
      <c r="ACI43" s="60"/>
      <c r="ACJ43" s="60"/>
      <c r="ACK43" s="60"/>
      <c r="ACL43" s="60"/>
      <c r="ACM43" s="60"/>
      <c r="ACN43" s="60"/>
      <c r="ACO43" s="60"/>
      <c r="ACP43" s="60"/>
      <c r="ACQ43" s="60"/>
      <c r="ACR43" s="60"/>
      <c r="ACS43" s="60"/>
      <c r="ACT43" s="60"/>
      <c r="ACU43" s="60"/>
      <c r="ACV43" s="60"/>
      <c r="ACW43" s="60"/>
      <c r="ACX43" s="60"/>
      <c r="ACY43" s="60"/>
      <c r="ACZ43" s="60"/>
      <c r="ADA43" s="60"/>
      <c r="ADB43" s="60"/>
      <c r="ADC43" s="60"/>
      <c r="ADD43" s="60"/>
      <c r="ADE43" s="60"/>
      <c r="ADF43" s="60"/>
      <c r="ADG43" s="60"/>
      <c r="ADH43" s="60"/>
      <c r="ADI43" s="60"/>
      <c r="ADJ43" s="60"/>
      <c r="ADK43" s="60"/>
      <c r="ADL43" s="60"/>
      <c r="ADM43" s="60"/>
      <c r="ADN43" s="60"/>
      <c r="ADO43" s="60"/>
      <c r="ADP43" s="60"/>
      <c r="ADQ43" s="60"/>
      <c r="ADR43" s="60"/>
      <c r="ADS43" s="60"/>
      <c r="ADT43" s="60"/>
      <c r="ADU43" s="60"/>
      <c r="ADV43" s="60"/>
      <c r="ADW43" s="60"/>
      <c r="ADX43" s="60"/>
      <c r="ADY43" s="60"/>
      <c r="ADZ43" s="60"/>
      <c r="AEA43" s="60"/>
      <c r="AEB43" s="60"/>
      <c r="AEC43" s="60"/>
      <c r="AED43" s="60"/>
      <c r="AEE43" s="60"/>
      <c r="AEF43" s="60"/>
      <c r="AEG43" s="60"/>
      <c r="AEH43" s="60"/>
      <c r="AEI43" s="60"/>
      <c r="AEJ43" s="60"/>
      <c r="AEK43" s="60"/>
      <c r="AEL43" s="60"/>
      <c r="AEM43" s="60"/>
      <c r="AEN43" s="60"/>
      <c r="AEO43" s="60"/>
      <c r="AEP43" s="60"/>
      <c r="AEQ43" s="60"/>
      <c r="AER43" s="60"/>
      <c r="AES43" s="60"/>
      <c r="AET43" s="60"/>
      <c r="AEU43" s="60"/>
      <c r="AEV43" s="60"/>
      <c r="AEW43" s="60"/>
      <c r="AEX43" s="60"/>
      <c r="AEY43" s="60"/>
      <c r="AEZ43" s="60"/>
      <c r="AFA43" s="60"/>
      <c r="AFB43" s="60"/>
      <c r="AFC43" s="60"/>
      <c r="AFD43" s="60"/>
      <c r="AFE43" s="60"/>
      <c r="AFF43" s="60"/>
      <c r="AFG43" s="60"/>
      <c r="AFH43" s="60"/>
      <c r="AFI43" s="60"/>
      <c r="AFJ43" s="60"/>
      <c r="AFK43" s="60"/>
      <c r="AFL43" s="60"/>
      <c r="AFM43" s="60"/>
      <c r="AFN43" s="60"/>
      <c r="AFO43" s="60"/>
      <c r="AFP43" s="60"/>
      <c r="AFQ43" s="60"/>
      <c r="AFR43" s="60"/>
      <c r="AFS43" s="60"/>
      <c r="AFT43" s="60"/>
      <c r="AFU43" s="60"/>
      <c r="AFV43" s="60"/>
      <c r="AFW43" s="60"/>
      <c r="AFX43" s="60"/>
      <c r="AFY43" s="60"/>
      <c r="AFZ43" s="60"/>
      <c r="AGA43" s="60"/>
      <c r="AGB43" s="60"/>
      <c r="AGC43" s="60"/>
      <c r="AGD43" s="60"/>
      <c r="AGE43" s="60"/>
      <c r="AGF43" s="60"/>
      <c r="AGG43" s="60"/>
      <c r="AGH43" s="60"/>
      <c r="AGI43" s="60"/>
      <c r="AGJ43" s="60"/>
      <c r="AGK43" s="60"/>
      <c r="AGL43" s="60"/>
      <c r="AGM43" s="60"/>
      <c r="AGN43" s="60"/>
      <c r="AGO43" s="60"/>
      <c r="AGP43" s="60"/>
      <c r="AGQ43" s="60"/>
      <c r="AGR43" s="60"/>
      <c r="AGS43" s="60"/>
      <c r="AGT43" s="60"/>
      <c r="AGU43" s="60"/>
      <c r="AGV43" s="60"/>
      <c r="AGW43" s="60"/>
      <c r="AGX43" s="60"/>
      <c r="AGY43" s="60"/>
      <c r="AGZ43" s="60"/>
      <c r="AHA43" s="60"/>
      <c r="AHB43" s="60"/>
      <c r="AHC43" s="60"/>
      <c r="AHD43" s="60"/>
      <c r="AHE43" s="60"/>
      <c r="AHF43" s="60"/>
      <c r="AHG43" s="60"/>
      <c r="AHH43" s="60"/>
      <c r="AHI43" s="60"/>
      <c r="AHJ43" s="60"/>
      <c r="AHK43" s="60"/>
      <c r="AHL43" s="60"/>
      <c r="AHM43" s="60"/>
      <c r="AHN43" s="60"/>
      <c r="AHO43" s="60"/>
      <c r="AHP43" s="60"/>
      <c r="AHQ43" s="60"/>
      <c r="AHR43" s="60"/>
      <c r="AHS43" s="60"/>
      <c r="AHT43" s="60"/>
      <c r="AHU43" s="60"/>
      <c r="AHV43" s="60"/>
      <c r="AHW43" s="60"/>
      <c r="AHX43" s="60"/>
      <c r="AHY43" s="60"/>
      <c r="AHZ43" s="60"/>
      <c r="AIA43" s="60"/>
      <c r="AIB43" s="60"/>
      <c r="AIC43" s="60"/>
      <c r="AID43" s="60"/>
      <c r="AIE43" s="60"/>
      <c r="AIF43" s="60"/>
      <c r="AIG43" s="60"/>
      <c r="AIH43" s="60"/>
      <c r="AII43" s="60"/>
      <c r="AIJ43" s="60"/>
      <c r="AIK43" s="60"/>
      <c r="AIL43" s="60"/>
      <c r="AIM43" s="60"/>
      <c r="AIN43" s="60"/>
      <c r="AIO43" s="60"/>
      <c r="AIP43" s="60"/>
      <c r="AIQ43" s="60"/>
      <c r="AIR43" s="60"/>
      <c r="AIS43" s="60"/>
      <c r="AIT43" s="60"/>
      <c r="AIU43" s="60"/>
      <c r="AIV43" s="60"/>
      <c r="AIW43" s="60"/>
      <c r="AIX43" s="60"/>
      <c r="AIY43" s="60"/>
      <c r="AIZ43" s="60"/>
      <c r="AJA43" s="60"/>
      <c r="AJB43" s="60"/>
      <c r="AJC43" s="60"/>
      <c r="AJD43" s="60"/>
      <c r="AJE43" s="60"/>
      <c r="AJF43" s="60"/>
      <c r="AJG43" s="60"/>
      <c r="AJH43" s="60"/>
      <c r="AJI43" s="60"/>
      <c r="AJJ43" s="60"/>
      <c r="AJK43" s="60"/>
      <c r="AJL43" s="60"/>
      <c r="AJM43" s="60"/>
      <c r="AJN43" s="60"/>
      <c r="AJO43" s="60"/>
      <c r="AJP43" s="60"/>
      <c r="AJQ43" s="60"/>
      <c r="AJR43" s="60"/>
      <c r="AJS43" s="60"/>
      <c r="AJT43" s="60"/>
      <c r="AJU43" s="60"/>
      <c r="AJV43" s="60"/>
      <c r="AJW43" s="60"/>
      <c r="AJX43" s="60"/>
      <c r="AJY43" s="60"/>
      <c r="AJZ43" s="60"/>
      <c r="AKA43" s="60"/>
      <c r="AKB43" s="60"/>
      <c r="AKC43" s="60"/>
      <c r="AKD43" s="60"/>
      <c r="AKE43" s="60"/>
      <c r="AKF43" s="60"/>
      <c r="AKG43" s="60"/>
      <c r="AKH43" s="60"/>
      <c r="AKI43" s="60"/>
      <c r="AKJ43" s="60"/>
      <c r="AKK43" s="60"/>
      <c r="AKL43" s="60"/>
      <c r="AKM43" s="60"/>
      <c r="AKN43" s="60"/>
      <c r="AKO43" s="60"/>
      <c r="AKP43" s="60"/>
      <c r="AKQ43" s="60"/>
      <c r="AKR43" s="60"/>
      <c r="AKS43" s="60"/>
      <c r="AKT43" s="60"/>
      <c r="AKU43" s="60"/>
      <c r="AKV43" s="60"/>
      <c r="AKW43" s="60"/>
      <c r="AKX43" s="60"/>
      <c r="AKY43" s="60"/>
      <c r="AKZ43" s="60"/>
      <c r="ALA43" s="60"/>
      <c r="ALB43" s="60"/>
      <c r="ALC43" s="60"/>
      <c r="ALD43" s="60"/>
      <c r="ALE43" s="60"/>
      <c r="ALF43" s="60"/>
      <c r="ALG43" s="60"/>
      <c r="ALH43" s="60"/>
      <c r="ALI43" s="60"/>
      <c r="ALJ43" s="60"/>
      <c r="ALK43" s="60"/>
      <c r="ALL43" s="60"/>
      <c r="ALM43" s="60"/>
      <c r="ALN43" s="60"/>
      <c r="ALO43" s="60"/>
      <c r="ALP43" s="60"/>
      <c r="ALQ43" s="60"/>
      <c r="ALR43" s="60"/>
      <c r="ALS43" s="60"/>
      <c r="ALT43" s="60"/>
      <c r="ALU43" s="60"/>
      <c r="ALV43" s="60"/>
      <c r="ALW43" s="60"/>
      <c r="ALX43" s="60"/>
      <c r="ALY43" s="60"/>
      <c r="ALZ43" s="60"/>
      <c r="AMA43" s="60"/>
      <c r="AMB43" s="60"/>
      <c r="AMC43" s="60"/>
      <c r="AMD43" s="60"/>
      <c r="AME43" s="60"/>
      <c r="AMF43" s="60"/>
      <c r="AMG43" s="60"/>
      <c r="AMH43" s="60"/>
      <c r="AMI43" s="60"/>
      <c r="AMJ43" s="60"/>
      <c r="AMK43" s="60"/>
      <c r="AML43" s="60"/>
      <c r="AMM43" s="60"/>
      <c r="AMN43" s="60"/>
      <c r="AMO43" s="60"/>
      <c r="AMP43" s="60"/>
      <c r="AMQ43" s="60"/>
      <c r="AMR43" s="60"/>
      <c r="AMS43" s="60"/>
      <c r="AMT43" s="60"/>
      <c r="AMU43" s="60"/>
      <c r="AMV43" s="60"/>
      <c r="AMW43" s="60"/>
      <c r="AMX43" s="60"/>
      <c r="AMY43" s="60"/>
      <c r="AMZ43" s="60"/>
      <c r="ANA43" s="60"/>
      <c r="ANB43" s="60"/>
      <c r="ANC43" s="60"/>
      <c r="AND43" s="60"/>
      <c r="ANE43" s="60"/>
      <c r="ANF43" s="60"/>
      <c r="ANG43" s="60"/>
      <c r="ANH43" s="60"/>
      <c r="ANI43" s="60"/>
      <c r="ANJ43" s="60"/>
      <c r="ANK43" s="60"/>
      <c r="ANL43" s="60"/>
      <c r="ANM43" s="60"/>
      <c r="ANN43" s="60"/>
      <c r="ANO43" s="60"/>
      <c r="ANP43" s="60"/>
      <c r="ANQ43" s="60"/>
      <c r="ANR43" s="60"/>
      <c r="ANS43" s="60"/>
      <c r="ANT43" s="60"/>
      <c r="ANU43" s="60"/>
      <c r="ANV43" s="60"/>
      <c r="ANW43" s="60"/>
      <c r="ANX43" s="60"/>
      <c r="ANY43" s="60"/>
      <c r="ANZ43" s="60"/>
      <c r="AOA43" s="60"/>
      <c r="AOB43" s="60"/>
      <c r="AOC43" s="60"/>
      <c r="AOD43" s="60"/>
      <c r="AOE43" s="60"/>
      <c r="AOF43" s="60"/>
      <c r="AOG43" s="60"/>
      <c r="AOH43" s="60"/>
      <c r="AOI43" s="60"/>
      <c r="AOJ43" s="60"/>
      <c r="AOK43" s="60"/>
      <c r="AOL43" s="60"/>
      <c r="AOM43" s="60"/>
      <c r="AON43" s="60"/>
      <c r="AOO43" s="60"/>
      <c r="AOP43" s="60"/>
      <c r="AOQ43" s="60"/>
      <c r="AOR43" s="60"/>
      <c r="AOS43" s="60"/>
      <c r="AOT43" s="60"/>
      <c r="AOU43" s="60"/>
      <c r="AOV43" s="60"/>
      <c r="AOW43" s="60"/>
      <c r="AOX43" s="60"/>
      <c r="AOY43" s="60"/>
      <c r="AOZ43" s="60"/>
      <c r="APA43" s="60"/>
      <c r="APB43" s="60"/>
      <c r="APC43" s="60"/>
      <c r="APD43" s="60"/>
      <c r="APE43" s="60"/>
      <c r="APF43" s="60"/>
      <c r="APG43" s="60"/>
      <c r="APH43" s="60"/>
      <c r="API43" s="60"/>
      <c r="APJ43" s="60"/>
      <c r="APK43" s="60"/>
      <c r="APL43" s="60"/>
      <c r="APM43" s="60"/>
      <c r="APN43" s="60"/>
      <c r="APO43" s="60"/>
      <c r="APP43" s="60"/>
      <c r="APQ43" s="60"/>
      <c r="APR43" s="60"/>
      <c r="APS43" s="60"/>
      <c r="APT43" s="60"/>
      <c r="APU43" s="60"/>
      <c r="APV43" s="60"/>
      <c r="APW43" s="60"/>
      <c r="APX43" s="60"/>
      <c r="APY43" s="60"/>
      <c r="APZ43" s="60"/>
      <c r="AQA43" s="60"/>
      <c r="AQB43" s="60"/>
      <c r="AQC43" s="60"/>
      <c r="AQD43" s="60"/>
      <c r="AQE43" s="60"/>
      <c r="AQF43" s="60"/>
      <c r="AQG43" s="60"/>
      <c r="AQH43" s="60"/>
      <c r="AQI43" s="60"/>
      <c r="AQJ43" s="60"/>
      <c r="AQK43" s="60"/>
      <c r="AQL43" s="60"/>
      <c r="AQM43" s="60"/>
      <c r="AQN43" s="60"/>
      <c r="AQO43" s="60"/>
      <c r="AQP43" s="60"/>
      <c r="AQQ43" s="60"/>
      <c r="AQR43" s="60"/>
      <c r="AQS43" s="60"/>
      <c r="AQT43" s="60"/>
      <c r="AQU43" s="60"/>
      <c r="AQV43" s="60"/>
      <c r="AQW43" s="60"/>
      <c r="AQX43" s="60"/>
      <c r="AQY43" s="60"/>
      <c r="AQZ43" s="60"/>
      <c r="ARA43" s="60"/>
      <c r="ARB43" s="60"/>
      <c r="ARC43" s="60"/>
      <c r="ARD43" s="60"/>
      <c r="ARE43" s="60"/>
      <c r="ARF43" s="60"/>
      <c r="ARG43" s="60"/>
      <c r="ARH43" s="60"/>
      <c r="ARI43" s="60"/>
      <c r="ARJ43" s="60"/>
      <c r="ARK43" s="60"/>
      <c r="ARL43" s="60"/>
      <c r="ARM43" s="60"/>
      <c r="ARN43" s="60"/>
      <c r="ARO43" s="60"/>
      <c r="ARP43" s="60"/>
      <c r="ARQ43" s="60"/>
      <c r="ARR43" s="60"/>
      <c r="ARS43" s="60"/>
      <c r="ART43" s="60"/>
      <c r="ARU43" s="60"/>
      <c r="ARV43" s="60"/>
      <c r="ARW43" s="60"/>
      <c r="ARX43" s="60"/>
      <c r="ARY43" s="60"/>
      <c r="ARZ43" s="60"/>
      <c r="ASA43" s="60"/>
      <c r="ASB43" s="60"/>
      <c r="ASC43" s="60"/>
      <c r="ASD43" s="60"/>
      <c r="ASE43" s="60"/>
      <c r="ASF43" s="60"/>
      <c r="ASG43" s="60"/>
      <c r="ASH43" s="60"/>
      <c r="ASI43" s="60"/>
      <c r="ASJ43" s="60"/>
      <c r="ASK43" s="60"/>
      <c r="ASL43" s="60"/>
      <c r="ASM43" s="60"/>
      <c r="ASN43" s="60"/>
      <c r="ASO43" s="60"/>
      <c r="ASP43" s="60"/>
      <c r="ASQ43" s="60"/>
      <c r="ASR43" s="60"/>
      <c r="ASS43" s="60"/>
      <c r="AST43" s="60"/>
      <c r="ASU43" s="60"/>
      <c r="ASV43" s="60"/>
      <c r="ASW43" s="60"/>
      <c r="ASX43" s="60"/>
      <c r="ASY43" s="60"/>
      <c r="ASZ43" s="60"/>
      <c r="ATA43" s="60"/>
      <c r="ATB43" s="60"/>
      <c r="ATC43" s="60"/>
      <c r="ATD43" s="60"/>
      <c r="ATE43" s="60"/>
      <c r="ATF43" s="60"/>
      <c r="ATG43" s="60"/>
      <c r="ATH43" s="60"/>
      <c r="ATI43" s="60"/>
      <c r="ATJ43" s="60"/>
      <c r="ATK43" s="60"/>
      <c r="ATL43" s="60"/>
      <c r="ATM43" s="60"/>
      <c r="ATN43" s="60"/>
      <c r="ATO43" s="60"/>
      <c r="ATP43" s="60"/>
      <c r="ATQ43" s="60"/>
      <c r="ATR43" s="60"/>
      <c r="ATS43" s="60"/>
      <c r="ATT43" s="60"/>
      <c r="ATU43" s="60"/>
      <c r="ATV43" s="60"/>
      <c r="ATW43" s="60"/>
      <c r="ATX43" s="60"/>
      <c r="ATY43" s="60"/>
      <c r="ATZ43" s="60"/>
      <c r="AUA43" s="60"/>
      <c r="AUB43" s="60"/>
      <c r="AUC43" s="60"/>
      <c r="AUD43" s="60"/>
      <c r="AUE43" s="60"/>
      <c r="AUF43" s="60"/>
      <c r="AUG43" s="60"/>
      <c r="AUH43" s="60"/>
      <c r="AUI43" s="60"/>
      <c r="AUJ43" s="60"/>
      <c r="AUK43" s="60"/>
      <c r="AUL43" s="60"/>
      <c r="AUM43" s="60"/>
      <c r="AUN43" s="60"/>
      <c r="AUO43" s="60"/>
      <c r="AUP43" s="60"/>
      <c r="AUQ43" s="60"/>
      <c r="AUR43" s="60"/>
      <c r="AUS43" s="60"/>
      <c r="AUT43" s="60"/>
      <c r="AUU43" s="60"/>
      <c r="AUV43" s="60"/>
      <c r="AUW43" s="60"/>
      <c r="AUX43" s="60"/>
      <c r="AUY43" s="60"/>
      <c r="AUZ43" s="60"/>
      <c r="AVA43" s="60"/>
      <c r="AVB43" s="60"/>
      <c r="AVC43" s="60"/>
      <c r="AVD43" s="60"/>
      <c r="AVE43" s="60"/>
      <c r="AVF43" s="60"/>
      <c r="AVG43" s="60"/>
      <c r="AVH43" s="60"/>
      <c r="AVI43" s="60"/>
      <c r="AVJ43" s="60"/>
      <c r="AVK43" s="60"/>
      <c r="AVL43" s="60"/>
      <c r="AVM43" s="60"/>
      <c r="AVN43" s="60"/>
      <c r="AVO43" s="60"/>
      <c r="AVP43" s="60"/>
      <c r="AVQ43" s="60"/>
      <c r="AVR43" s="60"/>
      <c r="AVS43" s="60"/>
      <c r="AVT43" s="60"/>
      <c r="AVU43" s="60"/>
      <c r="AVV43" s="60"/>
      <c r="AVW43" s="60"/>
      <c r="AVX43" s="60"/>
      <c r="AVY43" s="60"/>
      <c r="AVZ43" s="60"/>
      <c r="AWA43" s="60"/>
      <c r="AWB43" s="60"/>
      <c r="AWC43" s="60"/>
      <c r="AWD43" s="60"/>
      <c r="AWE43" s="60"/>
      <c r="AWF43" s="60"/>
      <c r="AWG43" s="60"/>
      <c r="AWH43" s="60"/>
      <c r="AWI43" s="60"/>
      <c r="AWJ43" s="60"/>
      <c r="AWK43" s="60"/>
      <c r="AWL43" s="60"/>
      <c r="AWM43" s="60"/>
      <c r="AWN43" s="60"/>
      <c r="AWO43" s="60"/>
      <c r="AWP43" s="60"/>
      <c r="AWQ43" s="60"/>
      <c r="AWR43" s="60"/>
      <c r="AWS43" s="60"/>
      <c r="AWT43" s="60"/>
      <c r="AWU43" s="60"/>
      <c r="AWV43" s="60"/>
      <c r="AWW43" s="60"/>
      <c r="AWX43" s="60"/>
      <c r="AWY43" s="60"/>
      <c r="AWZ43" s="60"/>
      <c r="AXA43" s="60"/>
      <c r="AXB43" s="60"/>
      <c r="AXC43" s="60"/>
      <c r="AXD43" s="60"/>
      <c r="AXE43" s="60"/>
      <c r="AXF43" s="60"/>
      <c r="AXG43" s="60"/>
      <c r="AXH43" s="60"/>
      <c r="AXI43" s="60"/>
      <c r="AXJ43" s="60"/>
      <c r="AXK43" s="60"/>
      <c r="AXL43" s="60"/>
      <c r="AXM43" s="60"/>
      <c r="AXN43" s="60"/>
      <c r="AXO43" s="60"/>
      <c r="AXP43" s="60"/>
      <c r="AXQ43" s="60"/>
      <c r="AXR43" s="60"/>
      <c r="AXS43" s="60"/>
      <c r="AXT43" s="60"/>
      <c r="AXU43" s="60"/>
      <c r="AXV43" s="60"/>
      <c r="AXW43" s="60"/>
      <c r="AXX43" s="60"/>
      <c r="AXY43" s="60"/>
      <c r="AXZ43" s="60"/>
      <c r="AYA43" s="60"/>
      <c r="AYB43" s="60"/>
      <c r="AYC43" s="60"/>
      <c r="AYD43" s="60"/>
      <c r="AYE43" s="60"/>
      <c r="AYF43" s="60"/>
      <c r="AYG43" s="60"/>
      <c r="AYH43" s="60"/>
      <c r="AYI43" s="60"/>
      <c r="AYJ43" s="60"/>
      <c r="AYK43" s="60"/>
      <c r="AYL43" s="60"/>
      <c r="AYM43" s="60"/>
      <c r="AYN43" s="60"/>
      <c r="AYO43" s="60"/>
      <c r="AYP43" s="60"/>
      <c r="AYQ43" s="60"/>
      <c r="AYR43" s="60"/>
      <c r="AYS43" s="60"/>
      <c r="AYT43" s="60"/>
      <c r="AYU43" s="60"/>
      <c r="AYV43" s="60"/>
      <c r="AYW43" s="60"/>
      <c r="AYX43" s="60"/>
      <c r="AYY43" s="60"/>
      <c r="AYZ43" s="60"/>
      <c r="AZA43" s="60"/>
      <c r="AZB43" s="60"/>
      <c r="AZC43" s="60"/>
      <c r="AZD43" s="60"/>
      <c r="AZE43" s="60"/>
      <c r="AZF43" s="60"/>
      <c r="AZG43" s="60"/>
      <c r="AZH43" s="60"/>
      <c r="AZI43" s="60"/>
      <c r="AZJ43" s="60"/>
      <c r="AZK43" s="60"/>
      <c r="AZL43" s="60"/>
      <c r="AZM43" s="60"/>
      <c r="AZN43" s="60"/>
      <c r="AZO43" s="60"/>
      <c r="AZP43" s="60"/>
      <c r="AZQ43" s="60"/>
      <c r="AZR43" s="60"/>
      <c r="AZS43" s="60"/>
      <c r="AZT43" s="60"/>
      <c r="AZU43" s="60"/>
      <c r="AZV43" s="60"/>
      <c r="AZW43" s="60"/>
      <c r="AZX43" s="60"/>
      <c r="AZY43" s="60"/>
      <c r="AZZ43" s="60"/>
      <c r="BAA43" s="60"/>
      <c r="BAB43" s="60"/>
      <c r="BAC43" s="60"/>
      <c r="BAD43" s="60"/>
      <c r="BAE43" s="60"/>
      <c r="BAF43" s="60"/>
      <c r="BAG43" s="60"/>
      <c r="BAH43" s="60"/>
      <c r="BAI43" s="60"/>
      <c r="BAJ43" s="60"/>
      <c r="BAK43" s="60"/>
      <c r="BAL43" s="60"/>
      <c r="BAM43" s="60"/>
      <c r="BAN43" s="60"/>
      <c r="BAO43" s="60"/>
      <c r="BAP43" s="60"/>
      <c r="BAQ43" s="60"/>
      <c r="BAR43" s="60"/>
      <c r="BAS43" s="60"/>
      <c r="BAT43" s="60"/>
      <c r="BAU43" s="60"/>
      <c r="BAV43" s="60"/>
      <c r="BAW43" s="60"/>
      <c r="BAX43" s="60"/>
      <c r="BAY43" s="60"/>
      <c r="BAZ43" s="60"/>
      <c r="BBA43" s="60"/>
      <c r="BBB43" s="60"/>
      <c r="BBC43" s="60"/>
      <c r="BBD43" s="60"/>
      <c r="BBE43" s="60"/>
      <c r="BBF43" s="60"/>
      <c r="BBG43" s="60"/>
      <c r="BBH43" s="60"/>
      <c r="BBI43" s="60"/>
      <c r="BBJ43" s="60"/>
      <c r="BBK43" s="60"/>
      <c r="BBL43" s="60"/>
      <c r="BBM43" s="60"/>
      <c r="BBN43" s="60"/>
      <c r="BBO43" s="60"/>
      <c r="BBP43" s="60"/>
      <c r="BBQ43" s="60"/>
      <c r="BBR43" s="60"/>
      <c r="BBS43" s="60"/>
      <c r="BBT43" s="60"/>
      <c r="BBU43" s="60"/>
      <c r="BBV43" s="60"/>
      <c r="BBW43" s="60"/>
      <c r="BBX43" s="60"/>
      <c r="BBY43" s="60"/>
      <c r="BBZ43" s="60"/>
      <c r="BCA43" s="60"/>
      <c r="BCB43" s="60"/>
      <c r="BCC43" s="60"/>
      <c r="BCD43" s="60"/>
      <c r="BCE43" s="60"/>
      <c r="BCF43" s="60"/>
      <c r="BCG43" s="60"/>
      <c r="BCH43" s="60"/>
      <c r="BCI43" s="60"/>
      <c r="BCJ43" s="60"/>
      <c r="BCK43" s="60"/>
      <c r="BCL43" s="60"/>
      <c r="BCM43" s="60"/>
      <c r="BCN43" s="60"/>
      <c r="BCO43" s="60"/>
      <c r="BCP43" s="60"/>
      <c r="BCQ43" s="60"/>
      <c r="BCR43" s="60"/>
      <c r="BCS43" s="60"/>
      <c r="BCT43" s="60"/>
      <c r="BCU43" s="60"/>
      <c r="BCV43" s="60"/>
      <c r="BCW43" s="60"/>
      <c r="BCX43" s="60"/>
      <c r="BCY43" s="60"/>
      <c r="BCZ43" s="60"/>
      <c r="BDA43" s="60"/>
      <c r="BDB43" s="60"/>
      <c r="BDC43" s="60"/>
      <c r="BDD43" s="60"/>
      <c r="BDE43" s="60"/>
      <c r="BDF43" s="60"/>
      <c r="BDG43" s="60"/>
      <c r="BDH43" s="60"/>
      <c r="BDI43" s="60"/>
      <c r="BDJ43" s="60"/>
      <c r="BDK43" s="60"/>
      <c r="BDL43" s="60"/>
      <c r="BDM43" s="60"/>
      <c r="BDN43" s="60"/>
      <c r="BDO43" s="60"/>
      <c r="BDP43" s="60"/>
      <c r="BDQ43" s="60"/>
      <c r="BDR43" s="60"/>
      <c r="BDS43" s="60"/>
      <c r="BDT43" s="60"/>
      <c r="BDU43" s="60"/>
      <c r="BDV43" s="60"/>
      <c r="BDW43" s="60"/>
      <c r="BDX43" s="60"/>
      <c r="BDY43" s="60"/>
      <c r="BDZ43" s="60"/>
      <c r="BEA43" s="60"/>
      <c r="BEB43" s="60"/>
      <c r="BEC43" s="60"/>
      <c r="BED43" s="60"/>
      <c r="BEE43" s="60"/>
      <c r="BEF43" s="60"/>
      <c r="BEG43" s="60"/>
      <c r="BEH43" s="60"/>
      <c r="BEI43" s="60"/>
      <c r="BEJ43" s="60"/>
      <c r="BEK43" s="60"/>
      <c r="BEL43" s="60"/>
      <c r="BEM43" s="60"/>
      <c r="BEN43" s="60"/>
      <c r="BEO43" s="60"/>
      <c r="BEP43" s="60"/>
      <c r="BEQ43" s="60"/>
      <c r="BER43" s="60"/>
      <c r="BES43" s="60"/>
      <c r="BET43" s="60"/>
      <c r="BEU43" s="60"/>
      <c r="BEV43" s="60"/>
      <c r="BEW43" s="60"/>
      <c r="BEX43" s="60"/>
      <c r="BEY43" s="60"/>
      <c r="BEZ43" s="60"/>
      <c r="BFA43" s="60"/>
      <c r="BFB43" s="60"/>
      <c r="BFC43" s="60"/>
      <c r="BFD43" s="60"/>
      <c r="BFE43" s="60"/>
      <c r="BFF43" s="60"/>
      <c r="BFG43" s="60"/>
      <c r="BFH43" s="60"/>
      <c r="BFI43" s="60"/>
      <c r="BFJ43" s="60"/>
      <c r="BFK43" s="60"/>
      <c r="BFL43" s="60"/>
      <c r="BFM43" s="60"/>
      <c r="BFN43" s="60"/>
      <c r="BFO43" s="60"/>
      <c r="BFP43" s="60"/>
      <c r="BFQ43" s="60"/>
      <c r="BFR43" s="60"/>
      <c r="BFS43" s="60"/>
      <c r="BFT43" s="60"/>
      <c r="BFU43" s="60"/>
      <c r="BFV43" s="60"/>
      <c r="BFW43" s="60"/>
      <c r="BFX43" s="60"/>
      <c r="BFY43" s="60"/>
      <c r="BFZ43" s="60"/>
      <c r="BGA43" s="60"/>
      <c r="BGB43" s="60"/>
      <c r="BGC43" s="60"/>
      <c r="BGD43" s="60"/>
      <c r="BGE43" s="60"/>
      <c r="BGF43" s="60"/>
      <c r="BGG43" s="60"/>
      <c r="BGH43" s="60"/>
      <c r="BGI43" s="60"/>
      <c r="BGJ43" s="60"/>
      <c r="BGK43" s="60"/>
      <c r="BGL43" s="60"/>
      <c r="BGM43" s="60"/>
      <c r="BGN43" s="60"/>
      <c r="BGO43" s="60"/>
      <c r="BGP43" s="60"/>
      <c r="BGQ43" s="60"/>
      <c r="BGR43" s="60"/>
      <c r="BGS43" s="60"/>
      <c r="BGT43" s="60"/>
      <c r="BGU43" s="60"/>
      <c r="BGV43" s="60"/>
      <c r="BGW43" s="60"/>
      <c r="BGX43" s="60"/>
      <c r="BGY43" s="60"/>
      <c r="BGZ43" s="60"/>
      <c r="BHA43" s="60"/>
      <c r="BHB43" s="60"/>
      <c r="BHC43" s="60"/>
      <c r="BHD43" s="60"/>
      <c r="BHE43" s="60"/>
      <c r="BHF43" s="60"/>
      <c r="BHG43" s="60"/>
      <c r="BHH43" s="60"/>
      <c r="BHI43" s="60"/>
      <c r="BHJ43" s="60"/>
      <c r="BHK43" s="60"/>
      <c r="BHL43" s="60"/>
      <c r="BHM43" s="60"/>
      <c r="BHN43" s="60"/>
      <c r="BHO43" s="60"/>
      <c r="BHP43" s="60"/>
      <c r="BHQ43" s="60"/>
      <c r="BHR43" s="60"/>
      <c r="BHS43" s="60"/>
      <c r="BHT43" s="60"/>
      <c r="BHU43" s="60"/>
      <c r="BHV43" s="60"/>
      <c r="BHW43" s="60"/>
      <c r="BHX43" s="60"/>
      <c r="BHY43" s="60"/>
      <c r="BHZ43" s="60"/>
      <c r="BIA43" s="60"/>
      <c r="BIB43" s="60"/>
      <c r="BIC43" s="60"/>
      <c r="BID43" s="60"/>
      <c r="BIE43" s="60"/>
      <c r="BIF43" s="60"/>
      <c r="BIG43" s="60"/>
      <c r="BIH43" s="60"/>
      <c r="BII43" s="60"/>
      <c r="BIJ43" s="60"/>
      <c r="BIK43" s="60"/>
      <c r="BIL43" s="60"/>
      <c r="BIM43" s="60"/>
      <c r="BIN43" s="60"/>
      <c r="BIO43" s="60"/>
      <c r="BIP43" s="60"/>
      <c r="BIQ43" s="60"/>
      <c r="BIR43" s="60"/>
      <c r="BIS43" s="60"/>
      <c r="BIT43" s="60"/>
      <c r="BIU43" s="60"/>
      <c r="BIV43" s="60"/>
      <c r="BIW43" s="60"/>
      <c r="BIX43" s="60"/>
      <c r="BIY43" s="60"/>
      <c r="BIZ43" s="60"/>
      <c r="BJA43" s="60"/>
      <c r="BJB43" s="60"/>
      <c r="BJC43" s="60"/>
      <c r="BJD43" s="60"/>
      <c r="BJE43" s="60"/>
      <c r="BJF43" s="60"/>
      <c r="BJG43" s="60"/>
      <c r="BJH43" s="60"/>
      <c r="BJI43" s="60"/>
      <c r="BJJ43" s="60"/>
      <c r="BJK43" s="60"/>
      <c r="BJL43" s="60"/>
      <c r="BJM43" s="60"/>
      <c r="BJN43" s="60"/>
      <c r="BJO43" s="60"/>
      <c r="BJP43" s="60"/>
      <c r="BJQ43" s="60"/>
      <c r="BJR43" s="60"/>
      <c r="BJS43" s="60"/>
      <c r="BJT43" s="60"/>
      <c r="BJU43" s="60"/>
      <c r="BJV43" s="60"/>
      <c r="BJW43" s="60"/>
      <c r="BJX43" s="60"/>
      <c r="BJY43" s="60"/>
      <c r="BJZ43" s="60"/>
      <c r="BKA43" s="60"/>
      <c r="BKB43" s="60"/>
      <c r="BKC43" s="60"/>
      <c r="BKD43" s="60"/>
      <c r="BKE43" s="60"/>
      <c r="BKF43" s="60"/>
      <c r="BKG43" s="60"/>
      <c r="BKH43" s="60"/>
      <c r="BKI43" s="60"/>
      <c r="BKJ43" s="60"/>
      <c r="BKK43" s="60"/>
      <c r="BKL43" s="60"/>
      <c r="BKM43" s="60"/>
      <c r="BKN43" s="60"/>
      <c r="BKO43" s="60"/>
      <c r="BKP43" s="60"/>
      <c r="BKQ43" s="60"/>
      <c r="BKR43" s="60"/>
      <c r="BKS43" s="60"/>
      <c r="BKT43" s="60"/>
      <c r="BKU43" s="60"/>
      <c r="BKV43" s="60"/>
      <c r="BKW43" s="60"/>
      <c r="BKX43" s="60"/>
      <c r="BKY43" s="60"/>
      <c r="BKZ43" s="60"/>
      <c r="BLA43" s="60"/>
      <c r="BLB43" s="60"/>
      <c r="BLC43" s="60"/>
      <c r="BLD43" s="60"/>
      <c r="BLE43" s="60"/>
      <c r="BLF43" s="60"/>
      <c r="BLG43" s="60"/>
      <c r="BLH43" s="60"/>
      <c r="BLI43" s="60"/>
      <c r="BLJ43" s="60"/>
      <c r="BLK43" s="60"/>
      <c r="BLL43" s="60"/>
      <c r="BLM43" s="60"/>
      <c r="BLN43" s="60"/>
      <c r="BLO43" s="60"/>
      <c r="BLP43" s="60"/>
      <c r="BLQ43" s="60"/>
      <c r="BLR43" s="60"/>
      <c r="BLS43" s="60"/>
      <c r="BLT43" s="60"/>
      <c r="BLU43" s="60"/>
      <c r="BLV43" s="60"/>
      <c r="BLW43" s="60"/>
      <c r="BLX43" s="60"/>
      <c r="BLY43" s="60"/>
      <c r="BLZ43" s="60"/>
      <c r="BMA43" s="60"/>
      <c r="BMB43" s="60"/>
      <c r="BMC43" s="60"/>
      <c r="BMD43" s="60"/>
      <c r="BME43" s="60"/>
      <c r="BMF43" s="60"/>
      <c r="BMG43" s="60"/>
      <c r="BMH43" s="60"/>
      <c r="BMI43" s="60"/>
      <c r="BMJ43" s="60"/>
      <c r="BMK43" s="60"/>
      <c r="BML43" s="60"/>
      <c r="BMM43" s="60"/>
      <c r="BMN43" s="60"/>
      <c r="BMO43" s="60"/>
      <c r="BMP43" s="60"/>
      <c r="BMQ43" s="60"/>
      <c r="BMR43" s="60"/>
      <c r="BMS43" s="60"/>
      <c r="BMT43" s="60"/>
      <c r="BMU43" s="60"/>
      <c r="BMV43" s="60"/>
      <c r="BMW43" s="60"/>
      <c r="BMX43" s="60"/>
      <c r="BMY43" s="60"/>
      <c r="BMZ43" s="60"/>
      <c r="BNA43" s="60"/>
      <c r="BNB43" s="60"/>
      <c r="BNC43" s="60"/>
      <c r="BND43" s="60"/>
      <c r="BNE43" s="60"/>
      <c r="BNF43" s="60"/>
      <c r="BNG43" s="60"/>
      <c r="BNH43" s="60"/>
      <c r="BNI43" s="60"/>
      <c r="BNJ43" s="60"/>
      <c r="BNK43" s="60"/>
      <c r="BNL43" s="60"/>
      <c r="BNM43" s="60"/>
      <c r="BNN43" s="60"/>
      <c r="BNO43" s="60"/>
      <c r="BNP43" s="60"/>
      <c r="BNQ43" s="60"/>
      <c r="BNR43" s="60"/>
      <c r="BNS43" s="60"/>
      <c r="BNT43" s="60"/>
      <c r="BNU43" s="60"/>
      <c r="BNV43" s="60"/>
      <c r="BNW43" s="60"/>
      <c r="BNX43" s="60"/>
      <c r="BNY43" s="60"/>
      <c r="BNZ43" s="60"/>
      <c r="BOA43" s="60"/>
      <c r="BOB43" s="60"/>
      <c r="BOC43" s="60"/>
      <c r="BOD43" s="60"/>
      <c r="BOE43" s="60"/>
      <c r="BOF43" s="60"/>
      <c r="BOG43" s="60"/>
      <c r="BOH43" s="60"/>
      <c r="BOI43" s="60"/>
      <c r="BOJ43" s="60"/>
      <c r="BOK43" s="60"/>
      <c r="BOL43" s="60"/>
      <c r="BOM43" s="60"/>
      <c r="BON43" s="60"/>
      <c r="BOO43" s="60"/>
      <c r="BOP43" s="60"/>
      <c r="BOQ43" s="60"/>
      <c r="BOR43" s="60"/>
      <c r="BOS43" s="60"/>
      <c r="BOT43" s="60"/>
      <c r="BOU43" s="60"/>
      <c r="BOV43" s="60"/>
      <c r="BOW43" s="60"/>
      <c r="BOX43" s="60"/>
      <c r="BOY43" s="60"/>
      <c r="BOZ43" s="60"/>
      <c r="BPA43" s="60"/>
      <c r="BPB43" s="60"/>
      <c r="BPC43" s="60"/>
      <c r="BPD43" s="60"/>
      <c r="BPE43" s="60"/>
      <c r="BPF43" s="60"/>
      <c r="BPG43" s="60"/>
      <c r="BPH43" s="60"/>
      <c r="BPI43" s="60"/>
      <c r="BPJ43" s="60"/>
      <c r="BPK43" s="60"/>
      <c r="BPL43" s="60"/>
      <c r="BPM43" s="60"/>
      <c r="BPN43" s="60"/>
      <c r="BPO43" s="60"/>
      <c r="BPP43" s="60"/>
      <c r="BPQ43" s="60"/>
      <c r="BPR43" s="60"/>
      <c r="BPS43" s="60"/>
      <c r="BPT43" s="60"/>
      <c r="BPU43" s="60"/>
      <c r="BPV43" s="60"/>
      <c r="BPW43" s="60"/>
      <c r="BPX43" s="60"/>
      <c r="BPY43" s="60"/>
      <c r="BPZ43" s="60"/>
      <c r="BQA43" s="60"/>
      <c r="BQB43" s="60"/>
      <c r="BQC43" s="60"/>
      <c r="BQD43" s="60"/>
      <c r="BQE43" s="60"/>
      <c r="BQF43" s="60"/>
      <c r="BQG43" s="60"/>
      <c r="BQH43" s="60"/>
      <c r="BQI43" s="60"/>
      <c r="BQJ43" s="60"/>
      <c r="BQK43" s="60"/>
      <c r="BQL43" s="60"/>
      <c r="BQM43" s="60"/>
      <c r="BQN43" s="60"/>
      <c r="BQO43" s="60"/>
      <c r="BQP43" s="60"/>
      <c r="BQQ43" s="60"/>
      <c r="BQR43" s="60"/>
      <c r="BQS43" s="60"/>
      <c r="BQT43" s="60"/>
      <c r="BQU43" s="60"/>
      <c r="BQV43" s="60"/>
      <c r="BQW43" s="60"/>
      <c r="BQX43" s="60"/>
      <c r="BQY43" s="60"/>
      <c r="BQZ43" s="60"/>
      <c r="BRA43" s="60"/>
      <c r="BRB43" s="60"/>
      <c r="BRC43" s="60"/>
      <c r="BRD43" s="60"/>
      <c r="BRE43" s="60"/>
      <c r="BRF43" s="60"/>
      <c r="BRG43" s="60"/>
      <c r="BRH43" s="60"/>
      <c r="BRI43" s="60"/>
      <c r="BRJ43" s="60"/>
      <c r="BRK43" s="60"/>
      <c r="BRL43" s="60"/>
      <c r="BRM43" s="60"/>
      <c r="BRN43" s="60"/>
      <c r="BRO43" s="60"/>
      <c r="BRP43" s="60"/>
      <c r="BRQ43" s="60"/>
      <c r="BRR43" s="60"/>
      <c r="BRS43" s="60"/>
      <c r="BRT43" s="60"/>
      <c r="BRU43" s="60"/>
      <c r="BRV43" s="60"/>
      <c r="BRW43" s="60"/>
      <c r="BRX43" s="60"/>
      <c r="BRY43" s="60"/>
      <c r="BRZ43" s="60"/>
      <c r="BSA43" s="60"/>
      <c r="BSB43" s="60"/>
      <c r="BSC43" s="60"/>
      <c r="BSD43" s="60"/>
      <c r="BSE43" s="60"/>
      <c r="BSF43" s="60"/>
      <c r="BSG43" s="60"/>
      <c r="BSH43" s="60"/>
      <c r="BSI43" s="60"/>
      <c r="BSJ43" s="60"/>
      <c r="BSK43" s="60"/>
      <c r="BSL43" s="60"/>
      <c r="BSM43" s="60"/>
      <c r="BSN43" s="60"/>
      <c r="BSO43" s="60"/>
      <c r="BSP43" s="60"/>
      <c r="BSQ43" s="60"/>
      <c r="BSR43" s="60"/>
      <c r="BSS43" s="60"/>
      <c r="BST43" s="60"/>
      <c r="BSU43" s="60"/>
      <c r="BSV43" s="60"/>
      <c r="BSW43" s="60"/>
      <c r="BSX43" s="60"/>
      <c r="BSY43" s="60"/>
      <c r="BSZ43" s="60"/>
      <c r="BTA43" s="60"/>
      <c r="BTB43" s="60"/>
      <c r="BTC43" s="60"/>
      <c r="BTD43" s="60"/>
      <c r="BTE43" s="60"/>
      <c r="BTF43" s="60"/>
      <c r="BTG43" s="60"/>
      <c r="BTH43" s="60"/>
      <c r="BTI43" s="60"/>
      <c r="BTJ43" s="60"/>
      <c r="BTK43" s="60"/>
      <c r="BTL43" s="60"/>
      <c r="BTM43" s="60"/>
      <c r="BTN43" s="60"/>
      <c r="BTO43" s="60"/>
      <c r="BTP43" s="60"/>
      <c r="BTQ43" s="60"/>
      <c r="BTR43" s="60"/>
      <c r="BTS43" s="60"/>
      <c r="BTT43" s="60"/>
      <c r="BTU43" s="60"/>
      <c r="BTV43" s="60"/>
      <c r="BTW43" s="60"/>
      <c r="BTX43" s="60"/>
      <c r="BTY43" s="60"/>
      <c r="BTZ43" s="60"/>
      <c r="BUA43" s="60"/>
      <c r="BUB43" s="60"/>
      <c r="BUC43" s="60"/>
      <c r="BUD43" s="60"/>
      <c r="BUE43" s="60"/>
      <c r="BUF43" s="60"/>
      <c r="BUG43" s="60"/>
      <c r="BUH43" s="60"/>
      <c r="BUI43" s="60"/>
      <c r="BUJ43" s="60"/>
      <c r="BUK43" s="60"/>
      <c r="BUL43" s="60"/>
      <c r="BUM43" s="60"/>
      <c r="BUN43" s="60"/>
      <c r="BUO43" s="60"/>
      <c r="BUP43" s="60"/>
      <c r="BUQ43" s="60"/>
      <c r="BUR43" s="60"/>
      <c r="BUS43" s="60"/>
      <c r="BUT43" s="60"/>
      <c r="BUU43" s="60"/>
      <c r="BUV43" s="60"/>
      <c r="BUW43" s="60"/>
      <c r="BUX43" s="60"/>
      <c r="BUY43" s="60"/>
      <c r="BUZ43" s="60"/>
      <c r="BVA43" s="60"/>
      <c r="BVB43" s="60"/>
      <c r="BVC43" s="60"/>
      <c r="BVD43" s="60"/>
      <c r="BVE43" s="60"/>
      <c r="BVF43" s="60"/>
      <c r="BVG43" s="60"/>
      <c r="BVH43" s="60"/>
      <c r="BVI43" s="60"/>
      <c r="BVJ43" s="60"/>
      <c r="BVK43" s="60"/>
      <c r="BVL43" s="60"/>
      <c r="BVM43" s="60"/>
      <c r="BVN43" s="60"/>
      <c r="BVO43" s="60"/>
      <c r="BVP43" s="60"/>
      <c r="BVQ43" s="60"/>
      <c r="BVR43" s="60"/>
      <c r="BVS43" s="60"/>
      <c r="BVT43" s="60"/>
      <c r="BVU43" s="60"/>
      <c r="BVV43" s="60"/>
      <c r="BVW43" s="60"/>
      <c r="BVX43" s="60"/>
      <c r="BVY43" s="60"/>
      <c r="BVZ43" s="60"/>
      <c r="BWA43" s="60"/>
      <c r="BWB43" s="60"/>
      <c r="BWC43" s="60"/>
      <c r="BWD43" s="60"/>
      <c r="BWE43" s="60"/>
      <c r="BWF43" s="60"/>
      <c r="BWG43" s="60"/>
      <c r="BWH43" s="60"/>
      <c r="BWI43" s="60"/>
      <c r="BWJ43" s="60"/>
      <c r="BWK43" s="60"/>
      <c r="BWL43" s="60"/>
      <c r="BWM43" s="60"/>
      <c r="BWN43" s="60"/>
      <c r="BWO43" s="60"/>
      <c r="BWP43" s="60"/>
      <c r="BWQ43" s="60"/>
      <c r="BWR43" s="60"/>
      <c r="BWS43" s="60"/>
      <c r="BWT43" s="60"/>
      <c r="BWU43" s="60"/>
      <c r="BWV43" s="60"/>
      <c r="BWW43" s="60"/>
      <c r="BWX43" s="60"/>
      <c r="BWY43" s="60"/>
      <c r="BWZ43" s="60"/>
      <c r="BXA43" s="60"/>
      <c r="BXB43" s="60"/>
      <c r="BXC43" s="60"/>
      <c r="BXD43" s="60"/>
      <c r="BXE43" s="60"/>
      <c r="BXF43" s="60"/>
      <c r="BXG43" s="60"/>
      <c r="BXH43" s="60"/>
      <c r="BXI43" s="60"/>
      <c r="BXJ43" s="60"/>
      <c r="BXK43" s="60"/>
      <c r="BXL43" s="60"/>
      <c r="BXM43" s="60"/>
      <c r="BXN43" s="60"/>
      <c r="BXO43" s="60"/>
      <c r="BXP43" s="60"/>
      <c r="BXQ43" s="60"/>
      <c r="BXR43" s="60"/>
      <c r="BXS43" s="60"/>
      <c r="BXT43" s="60"/>
      <c r="BXU43" s="60"/>
      <c r="BXV43" s="60"/>
      <c r="BXW43" s="60"/>
      <c r="BXX43" s="60"/>
      <c r="BXY43" s="60"/>
      <c r="BXZ43" s="60"/>
      <c r="BYA43" s="60"/>
      <c r="BYB43" s="60"/>
      <c r="BYC43" s="60"/>
      <c r="BYD43" s="60"/>
      <c r="BYE43" s="60"/>
      <c r="BYF43" s="60"/>
      <c r="BYG43" s="60"/>
      <c r="BYH43" s="60"/>
      <c r="BYI43" s="60"/>
      <c r="BYJ43" s="60"/>
      <c r="BYK43" s="60"/>
      <c r="BYL43" s="60"/>
      <c r="BYM43" s="60"/>
      <c r="BYN43" s="60"/>
      <c r="BYO43" s="60"/>
      <c r="BYP43" s="60"/>
      <c r="BYQ43" s="60"/>
      <c r="BYR43" s="60"/>
      <c r="BYS43" s="60"/>
      <c r="BYT43" s="60"/>
      <c r="BYU43" s="60"/>
      <c r="BYV43" s="60"/>
      <c r="BYW43" s="60"/>
      <c r="BYX43" s="60"/>
      <c r="BYY43" s="60"/>
      <c r="BYZ43" s="60"/>
      <c r="BZA43" s="60"/>
      <c r="BZB43" s="60"/>
      <c r="BZC43" s="60"/>
      <c r="BZD43" s="60"/>
      <c r="BZE43" s="60"/>
      <c r="BZF43" s="60"/>
      <c r="BZG43" s="60"/>
      <c r="BZH43" s="60"/>
      <c r="BZI43" s="60"/>
      <c r="BZJ43" s="60"/>
      <c r="BZK43" s="60"/>
      <c r="BZL43" s="60"/>
      <c r="BZM43" s="60"/>
      <c r="BZN43" s="60"/>
      <c r="BZO43" s="60"/>
      <c r="BZP43" s="60"/>
      <c r="BZQ43" s="60"/>
      <c r="BZR43" s="60"/>
      <c r="BZS43" s="60"/>
      <c r="BZT43" s="60"/>
      <c r="BZU43" s="60"/>
      <c r="BZV43" s="60"/>
      <c r="BZW43" s="60"/>
      <c r="BZX43" s="60"/>
      <c r="BZY43" s="60"/>
      <c r="BZZ43" s="60"/>
      <c r="CAA43" s="60"/>
      <c r="CAB43" s="60"/>
      <c r="CAC43" s="60"/>
      <c r="CAD43" s="60"/>
      <c r="CAE43" s="60"/>
      <c r="CAF43" s="60"/>
      <c r="CAG43" s="60"/>
      <c r="CAH43" s="60"/>
      <c r="CAI43" s="60"/>
      <c r="CAJ43" s="60"/>
      <c r="CAK43" s="60"/>
      <c r="CAL43" s="60"/>
      <c r="CAM43" s="60"/>
      <c r="CAN43" s="60"/>
      <c r="CAO43" s="60"/>
      <c r="CAP43" s="60"/>
      <c r="CAQ43" s="60"/>
      <c r="CAR43" s="60"/>
      <c r="CAS43" s="60"/>
      <c r="CAT43" s="60"/>
      <c r="CAU43" s="60"/>
      <c r="CAV43" s="60"/>
      <c r="CAW43" s="60"/>
      <c r="CAX43" s="60"/>
      <c r="CAY43" s="60"/>
      <c r="CAZ43" s="60"/>
      <c r="CBA43" s="60"/>
      <c r="CBB43" s="60"/>
      <c r="CBC43" s="60"/>
      <c r="CBD43" s="60"/>
      <c r="CBE43" s="60"/>
      <c r="CBF43" s="60"/>
      <c r="CBG43" s="60"/>
      <c r="CBH43" s="60"/>
      <c r="CBI43" s="60"/>
      <c r="CBJ43" s="60"/>
      <c r="CBK43" s="60"/>
      <c r="CBL43" s="60"/>
      <c r="CBM43" s="60"/>
      <c r="CBN43" s="60"/>
      <c r="CBO43" s="60"/>
      <c r="CBP43" s="60"/>
      <c r="CBQ43" s="60"/>
      <c r="CBR43" s="60"/>
      <c r="CBS43" s="60"/>
      <c r="CBT43" s="60"/>
      <c r="CBU43" s="60"/>
      <c r="CBV43" s="60"/>
      <c r="CBW43" s="60"/>
      <c r="CBX43" s="60"/>
      <c r="CBY43" s="60"/>
      <c r="CBZ43" s="60"/>
      <c r="CCA43" s="60"/>
      <c r="CCB43" s="60"/>
      <c r="CCC43" s="60"/>
      <c r="CCD43" s="60"/>
      <c r="CCE43" s="60"/>
      <c r="CCF43" s="60"/>
      <c r="CCG43" s="60"/>
      <c r="CCH43" s="60"/>
      <c r="CCI43" s="60"/>
      <c r="CCJ43" s="60"/>
      <c r="CCK43" s="60"/>
      <c r="CCL43" s="60"/>
      <c r="CCM43" s="60"/>
      <c r="CCN43" s="60"/>
      <c r="CCO43" s="60"/>
      <c r="CCP43" s="60"/>
      <c r="CCQ43" s="60"/>
      <c r="CCR43" s="60"/>
      <c r="CCS43" s="60"/>
      <c r="CCT43" s="60"/>
      <c r="CCU43" s="60"/>
      <c r="CCV43" s="60"/>
      <c r="CCW43" s="60"/>
      <c r="CCX43" s="60"/>
      <c r="CCY43" s="60"/>
      <c r="CCZ43" s="60"/>
      <c r="CDA43" s="60"/>
      <c r="CDB43" s="60"/>
      <c r="CDC43" s="60"/>
      <c r="CDD43" s="60"/>
      <c r="CDE43" s="60"/>
      <c r="CDF43" s="60"/>
      <c r="CDG43" s="60"/>
      <c r="CDH43" s="60"/>
      <c r="CDI43" s="60"/>
      <c r="CDJ43" s="60"/>
      <c r="CDK43" s="60"/>
      <c r="CDL43" s="60"/>
      <c r="CDM43" s="60"/>
      <c r="CDN43" s="60"/>
      <c r="CDO43" s="60"/>
      <c r="CDP43" s="60"/>
      <c r="CDQ43" s="60"/>
      <c r="CDR43" s="60"/>
      <c r="CDS43" s="60"/>
      <c r="CDT43" s="60"/>
      <c r="CDU43" s="60"/>
      <c r="CDV43" s="60"/>
      <c r="CDW43" s="60"/>
      <c r="CDX43" s="60"/>
      <c r="CDY43" s="60"/>
      <c r="CDZ43" s="60"/>
      <c r="CEA43" s="60"/>
      <c r="CEB43" s="60"/>
      <c r="CEC43" s="60"/>
      <c r="CED43" s="60"/>
      <c r="CEE43" s="60"/>
      <c r="CEF43" s="60"/>
      <c r="CEG43" s="60"/>
      <c r="CEH43" s="60"/>
      <c r="CEI43" s="60"/>
      <c r="CEJ43" s="60"/>
      <c r="CEK43" s="60"/>
      <c r="CEL43" s="60"/>
      <c r="CEM43" s="60"/>
      <c r="CEN43" s="60"/>
      <c r="CEO43" s="60"/>
      <c r="CEP43" s="60"/>
      <c r="CEQ43" s="60"/>
      <c r="CER43" s="60"/>
      <c r="CES43" s="60"/>
      <c r="CET43" s="60"/>
      <c r="CEU43" s="60"/>
      <c r="CEV43" s="60"/>
      <c r="CEW43" s="60"/>
      <c r="CEX43" s="60"/>
      <c r="CEY43" s="60"/>
      <c r="CEZ43" s="60"/>
      <c r="CFA43" s="60"/>
      <c r="CFB43" s="60"/>
      <c r="CFC43" s="60"/>
      <c r="CFD43" s="60"/>
      <c r="CFE43" s="60"/>
      <c r="CFF43" s="60"/>
      <c r="CFG43" s="60"/>
      <c r="CFH43" s="60"/>
      <c r="CFI43" s="60"/>
      <c r="CFJ43" s="60"/>
      <c r="CFK43" s="60"/>
      <c r="CFL43" s="60"/>
      <c r="CFM43" s="60"/>
      <c r="CFN43" s="60"/>
      <c r="CFO43" s="60"/>
      <c r="CFP43" s="60"/>
      <c r="CFQ43" s="60"/>
      <c r="CFR43" s="60"/>
      <c r="CFS43" s="60"/>
      <c r="CFT43" s="60"/>
      <c r="CFU43" s="60"/>
      <c r="CFV43" s="60"/>
      <c r="CFW43" s="60"/>
      <c r="CFX43" s="60"/>
      <c r="CFY43" s="60"/>
      <c r="CFZ43" s="60"/>
      <c r="CGA43" s="60"/>
      <c r="CGB43" s="60"/>
      <c r="CGC43" s="60"/>
      <c r="CGD43" s="60"/>
      <c r="CGE43" s="60"/>
      <c r="CGF43" s="60"/>
      <c r="CGG43" s="60"/>
      <c r="CGH43" s="60"/>
      <c r="CGI43" s="60"/>
      <c r="CGJ43" s="60"/>
      <c r="CGK43" s="60"/>
      <c r="CGL43" s="60"/>
      <c r="CGM43" s="60"/>
      <c r="CGN43" s="60"/>
      <c r="CGO43" s="60"/>
      <c r="CGP43" s="60"/>
      <c r="CGQ43" s="60"/>
      <c r="CGR43" s="60"/>
      <c r="CGS43" s="60"/>
      <c r="CGT43" s="60"/>
      <c r="CGU43" s="60"/>
      <c r="CGV43" s="60"/>
      <c r="CGW43" s="60"/>
      <c r="CGX43" s="60"/>
      <c r="CGY43" s="60"/>
      <c r="CGZ43" s="60"/>
      <c r="CHA43" s="60"/>
      <c r="CHB43" s="60"/>
      <c r="CHC43" s="60"/>
      <c r="CHD43" s="60"/>
      <c r="CHE43" s="60"/>
      <c r="CHF43" s="60"/>
      <c r="CHG43" s="60"/>
      <c r="CHH43" s="60"/>
      <c r="CHI43" s="60"/>
      <c r="CHJ43" s="60"/>
      <c r="CHK43" s="60"/>
      <c r="CHL43" s="60"/>
      <c r="CHM43" s="60"/>
      <c r="CHN43" s="60"/>
      <c r="CHO43" s="60"/>
      <c r="CHP43" s="60"/>
      <c r="CHQ43" s="60"/>
      <c r="CHR43" s="60"/>
      <c r="CHS43" s="60"/>
      <c r="CHT43" s="60"/>
      <c r="CHU43" s="60"/>
      <c r="CHV43" s="60"/>
      <c r="CHW43" s="60"/>
      <c r="CHX43" s="60"/>
      <c r="CHY43" s="60"/>
      <c r="CHZ43" s="60"/>
      <c r="CIA43" s="60"/>
      <c r="CIB43" s="60"/>
      <c r="CIC43" s="60"/>
      <c r="CID43" s="60"/>
      <c r="CIE43" s="60"/>
      <c r="CIF43" s="60"/>
      <c r="CIG43" s="60"/>
      <c r="CIH43" s="60"/>
      <c r="CII43" s="60"/>
      <c r="CIJ43" s="60"/>
      <c r="CIK43" s="60"/>
      <c r="CIL43" s="60"/>
      <c r="CIM43" s="60"/>
      <c r="CIN43" s="60"/>
      <c r="CIO43" s="60"/>
      <c r="CIP43" s="60"/>
      <c r="CIQ43" s="60"/>
      <c r="CIR43" s="60"/>
      <c r="CIS43" s="60"/>
      <c r="CIT43" s="60"/>
      <c r="CIU43" s="60"/>
      <c r="CIV43" s="60"/>
      <c r="CIW43" s="60"/>
      <c r="CIX43" s="60"/>
      <c r="CIY43" s="60"/>
      <c r="CIZ43" s="60"/>
      <c r="CJA43" s="60"/>
      <c r="CJB43" s="60"/>
      <c r="CJC43" s="60"/>
      <c r="CJD43" s="60"/>
      <c r="CJE43" s="60"/>
      <c r="CJF43" s="60"/>
      <c r="CJG43" s="60"/>
      <c r="CJH43" s="60"/>
      <c r="CJI43" s="60"/>
      <c r="CJJ43" s="60"/>
      <c r="CJK43" s="60"/>
      <c r="CJL43" s="60"/>
      <c r="CJM43" s="60"/>
      <c r="CJN43" s="60"/>
      <c r="CJO43" s="60"/>
      <c r="CJP43" s="60"/>
      <c r="CJQ43" s="60"/>
      <c r="CJR43" s="60"/>
      <c r="CJS43" s="60"/>
      <c r="CJT43" s="60"/>
      <c r="CJU43" s="60"/>
      <c r="CJV43" s="60"/>
      <c r="CJW43" s="60"/>
      <c r="CJX43" s="60"/>
      <c r="CJY43" s="60"/>
      <c r="CJZ43" s="60"/>
      <c r="CKA43" s="60"/>
      <c r="CKB43" s="60"/>
      <c r="CKC43" s="60"/>
      <c r="CKD43" s="60"/>
      <c r="CKE43" s="60"/>
      <c r="CKF43" s="60"/>
      <c r="CKG43" s="60"/>
      <c r="CKH43" s="60"/>
      <c r="CKI43" s="60"/>
      <c r="CKJ43" s="60"/>
      <c r="CKK43" s="60"/>
      <c r="CKL43" s="60"/>
      <c r="CKM43" s="60"/>
      <c r="CKN43" s="60"/>
      <c r="CKO43" s="60"/>
      <c r="CKP43" s="60"/>
      <c r="CKQ43" s="60"/>
      <c r="CKR43" s="60"/>
      <c r="CKS43" s="60"/>
      <c r="CKT43" s="60"/>
      <c r="CKU43" s="60"/>
      <c r="CKV43" s="60"/>
      <c r="CKW43" s="60"/>
      <c r="CKX43" s="60"/>
      <c r="CKY43" s="60"/>
      <c r="CKZ43" s="60"/>
      <c r="CLA43" s="60"/>
      <c r="CLB43" s="60"/>
      <c r="CLC43" s="60"/>
      <c r="CLD43" s="60"/>
      <c r="CLE43" s="60"/>
      <c r="CLF43" s="60"/>
      <c r="CLG43" s="60"/>
      <c r="CLH43" s="60"/>
      <c r="CLI43" s="60"/>
      <c r="CLJ43" s="60"/>
      <c r="CLK43" s="60"/>
      <c r="CLL43" s="60"/>
      <c r="CLM43" s="60"/>
      <c r="CLN43" s="60"/>
      <c r="CLO43" s="60"/>
      <c r="CLP43" s="60"/>
      <c r="CLQ43" s="60"/>
      <c r="CLR43" s="60"/>
      <c r="CLS43" s="60"/>
      <c r="CLT43" s="60"/>
      <c r="CLU43" s="60"/>
      <c r="CLV43" s="60"/>
      <c r="CLW43" s="60"/>
      <c r="CLX43" s="60"/>
      <c r="CLY43" s="60"/>
      <c r="CLZ43" s="60"/>
      <c r="CMA43" s="60"/>
      <c r="CMB43" s="60"/>
      <c r="CMC43" s="60"/>
      <c r="CMD43" s="60"/>
      <c r="CME43" s="60"/>
      <c r="CMF43" s="60"/>
      <c r="CMG43" s="60"/>
      <c r="CMH43" s="60"/>
      <c r="CMI43" s="60"/>
      <c r="CMJ43" s="60"/>
      <c r="CMK43" s="60"/>
      <c r="CML43" s="60"/>
      <c r="CMM43" s="60"/>
      <c r="CMN43" s="60"/>
      <c r="CMO43" s="60"/>
      <c r="CMP43" s="60"/>
      <c r="CMQ43" s="60"/>
      <c r="CMR43" s="60"/>
      <c r="CMS43" s="60"/>
      <c r="CMT43" s="60"/>
      <c r="CMU43" s="60"/>
      <c r="CMV43" s="60"/>
      <c r="CMW43" s="60"/>
      <c r="CMX43" s="60"/>
      <c r="CMY43" s="60"/>
      <c r="CMZ43" s="60"/>
      <c r="CNA43" s="60"/>
      <c r="CNB43" s="60"/>
      <c r="CNC43" s="60"/>
      <c r="CND43" s="60"/>
      <c r="CNE43" s="60"/>
      <c r="CNF43" s="60"/>
      <c r="CNG43" s="60"/>
      <c r="CNH43" s="60"/>
      <c r="CNI43" s="60"/>
      <c r="CNJ43" s="60"/>
      <c r="CNK43" s="60"/>
      <c r="CNL43" s="60"/>
      <c r="CNM43" s="60"/>
      <c r="CNN43" s="60"/>
      <c r="CNO43" s="60"/>
      <c r="CNP43" s="60"/>
      <c r="CNQ43" s="60"/>
      <c r="CNR43" s="60"/>
      <c r="CNS43" s="60"/>
      <c r="CNT43" s="60"/>
      <c r="CNU43" s="60"/>
      <c r="CNV43" s="60"/>
      <c r="CNW43" s="60"/>
      <c r="CNX43" s="60"/>
      <c r="CNY43" s="60"/>
      <c r="CNZ43" s="60"/>
      <c r="COA43" s="60"/>
      <c r="COB43" s="60"/>
      <c r="COC43" s="60"/>
      <c r="COD43" s="60"/>
      <c r="COE43" s="60"/>
      <c r="COF43" s="60"/>
      <c r="COG43" s="60"/>
      <c r="COH43" s="60"/>
      <c r="COI43" s="60"/>
      <c r="COJ43" s="60"/>
      <c r="COK43" s="60"/>
      <c r="COL43" s="60"/>
      <c r="COM43" s="60"/>
      <c r="CON43" s="60"/>
      <c r="COO43" s="60"/>
      <c r="COP43" s="60"/>
      <c r="COQ43" s="60"/>
      <c r="COR43" s="60"/>
      <c r="COS43" s="60"/>
      <c r="COT43" s="60"/>
      <c r="COU43" s="60"/>
      <c r="COV43" s="60"/>
      <c r="COW43" s="60"/>
      <c r="COX43" s="60"/>
      <c r="COY43" s="60"/>
      <c r="COZ43" s="60"/>
      <c r="CPA43" s="60"/>
      <c r="CPB43" s="60"/>
      <c r="CPC43" s="60"/>
      <c r="CPD43" s="60"/>
      <c r="CPE43" s="60"/>
      <c r="CPF43" s="60"/>
      <c r="CPG43" s="60"/>
      <c r="CPH43" s="60"/>
      <c r="CPI43" s="60"/>
      <c r="CPJ43" s="60"/>
      <c r="CPK43" s="60"/>
      <c r="CPL43" s="60"/>
      <c r="CPM43" s="60"/>
      <c r="CPN43" s="60"/>
      <c r="CPO43" s="60"/>
      <c r="CPP43" s="60"/>
      <c r="CPQ43" s="60"/>
      <c r="CPR43" s="60"/>
      <c r="CPS43" s="60"/>
      <c r="CPT43" s="60"/>
      <c r="CPU43" s="60"/>
      <c r="CPV43" s="60"/>
      <c r="CPW43" s="60"/>
      <c r="CPX43" s="60"/>
      <c r="CPY43" s="60"/>
      <c r="CPZ43" s="60"/>
      <c r="CQA43" s="60"/>
      <c r="CQB43" s="60"/>
      <c r="CQC43" s="60"/>
      <c r="CQD43" s="60"/>
      <c r="CQE43" s="60"/>
      <c r="CQF43" s="60"/>
      <c r="CQG43" s="60"/>
      <c r="CQH43" s="60"/>
      <c r="CQI43" s="60"/>
      <c r="CQJ43" s="60"/>
      <c r="CQK43" s="60"/>
      <c r="CQL43" s="60"/>
      <c r="CQM43" s="60"/>
      <c r="CQN43" s="60"/>
      <c r="CQO43" s="60"/>
      <c r="CQP43" s="60"/>
      <c r="CQQ43" s="60"/>
      <c r="CQR43" s="60"/>
      <c r="CQS43" s="60"/>
      <c r="CQT43" s="60"/>
      <c r="CQU43" s="60"/>
      <c r="CQV43" s="60"/>
      <c r="CQW43" s="60"/>
      <c r="CQX43" s="60"/>
      <c r="CQY43" s="60"/>
      <c r="CQZ43" s="60"/>
      <c r="CRA43" s="60"/>
      <c r="CRB43" s="60"/>
      <c r="CRC43" s="60"/>
      <c r="CRD43" s="60"/>
      <c r="CRE43" s="60"/>
      <c r="CRF43" s="60"/>
      <c r="CRG43" s="60"/>
      <c r="CRH43" s="60"/>
      <c r="CRI43" s="60"/>
      <c r="CRJ43" s="60"/>
      <c r="CRK43" s="60"/>
      <c r="CRL43" s="60"/>
      <c r="CRM43" s="60"/>
      <c r="CRN43" s="60"/>
      <c r="CRO43" s="60"/>
      <c r="CRP43" s="60"/>
      <c r="CRQ43" s="60"/>
      <c r="CRR43" s="60"/>
      <c r="CRS43" s="60"/>
      <c r="CRT43" s="60"/>
      <c r="CRU43" s="60"/>
      <c r="CRV43" s="60"/>
      <c r="CRW43" s="60"/>
      <c r="CRX43" s="60"/>
      <c r="CRY43" s="60"/>
      <c r="CRZ43" s="60"/>
      <c r="CSA43" s="60"/>
      <c r="CSB43" s="60"/>
      <c r="CSC43" s="60"/>
      <c r="CSD43" s="60"/>
      <c r="CSE43" s="60"/>
      <c r="CSF43" s="60"/>
      <c r="CSG43" s="60"/>
      <c r="CSH43" s="60"/>
      <c r="CSI43" s="60"/>
      <c r="CSJ43" s="60"/>
      <c r="CSK43" s="60"/>
      <c r="CSL43" s="60"/>
      <c r="CSM43" s="60"/>
      <c r="CSN43" s="60"/>
      <c r="CSO43" s="60"/>
      <c r="CSP43" s="60"/>
      <c r="CSQ43" s="60"/>
      <c r="CSR43" s="60"/>
      <c r="CSS43" s="60"/>
      <c r="CST43" s="60"/>
      <c r="CSU43" s="60"/>
      <c r="CSV43" s="60"/>
      <c r="CSW43" s="60"/>
      <c r="CSX43" s="60"/>
      <c r="CSY43" s="60"/>
      <c r="CSZ43" s="60"/>
      <c r="CTA43" s="60"/>
      <c r="CTB43" s="60"/>
      <c r="CTC43" s="60"/>
      <c r="CTD43" s="60"/>
      <c r="CTE43" s="60"/>
      <c r="CTF43" s="60"/>
      <c r="CTG43" s="60"/>
      <c r="CTH43" s="60"/>
      <c r="CTI43" s="60"/>
      <c r="CTJ43" s="60"/>
      <c r="CTK43" s="60"/>
      <c r="CTL43" s="60"/>
      <c r="CTM43" s="60"/>
      <c r="CTN43" s="60"/>
      <c r="CTO43" s="60"/>
      <c r="CTP43" s="60"/>
      <c r="CTQ43" s="60"/>
      <c r="CTR43" s="60"/>
      <c r="CTS43" s="60"/>
      <c r="CTT43" s="60"/>
      <c r="CTU43" s="60"/>
      <c r="CTV43" s="60"/>
      <c r="CTW43" s="60"/>
      <c r="CTX43" s="60"/>
      <c r="CTY43" s="60"/>
      <c r="CTZ43" s="60"/>
      <c r="CUA43" s="60"/>
      <c r="CUB43" s="60"/>
      <c r="CUC43" s="60"/>
      <c r="CUD43" s="60"/>
      <c r="CUE43" s="60"/>
      <c r="CUF43" s="60"/>
      <c r="CUG43" s="60"/>
      <c r="CUH43" s="60"/>
      <c r="CUI43" s="60"/>
      <c r="CUJ43" s="60"/>
      <c r="CUK43" s="60"/>
      <c r="CUL43" s="60"/>
      <c r="CUM43" s="60"/>
      <c r="CUN43" s="60"/>
      <c r="CUO43" s="60"/>
      <c r="CUP43" s="60"/>
      <c r="CUQ43" s="60"/>
      <c r="CUR43" s="60"/>
      <c r="CUS43" s="60"/>
      <c r="CUT43" s="60"/>
      <c r="CUU43" s="60"/>
      <c r="CUV43" s="60"/>
      <c r="CUW43" s="60"/>
      <c r="CUX43" s="60"/>
      <c r="CUY43" s="60"/>
      <c r="CUZ43" s="60"/>
      <c r="CVA43" s="60"/>
      <c r="CVB43" s="60"/>
      <c r="CVC43" s="60"/>
      <c r="CVD43" s="60"/>
      <c r="CVE43" s="60"/>
      <c r="CVF43" s="60"/>
      <c r="CVG43" s="60"/>
      <c r="CVH43" s="60"/>
      <c r="CVI43" s="60"/>
      <c r="CVJ43" s="60"/>
      <c r="CVK43" s="60"/>
      <c r="CVL43" s="60"/>
      <c r="CVM43" s="60"/>
      <c r="CVN43" s="60"/>
      <c r="CVO43" s="60"/>
      <c r="CVP43" s="60"/>
      <c r="CVQ43" s="60"/>
      <c r="CVR43" s="60"/>
      <c r="CVS43" s="60"/>
      <c r="CVT43" s="60"/>
      <c r="CVU43" s="60"/>
      <c r="CVV43" s="60"/>
      <c r="CVW43" s="60"/>
      <c r="CVX43" s="60"/>
      <c r="CVY43" s="60"/>
      <c r="CVZ43" s="60"/>
      <c r="CWA43" s="60"/>
      <c r="CWB43" s="60"/>
      <c r="CWC43" s="60"/>
      <c r="CWD43" s="60"/>
      <c r="CWE43" s="60"/>
      <c r="CWF43" s="60"/>
      <c r="CWG43" s="60"/>
      <c r="CWH43" s="60"/>
      <c r="CWI43" s="60"/>
      <c r="CWJ43" s="60"/>
      <c r="CWK43" s="60"/>
      <c r="CWL43" s="60"/>
      <c r="CWM43" s="60"/>
      <c r="CWN43" s="60"/>
      <c r="CWO43" s="60"/>
      <c r="CWP43" s="60"/>
      <c r="CWQ43" s="60"/>
      <c r="CWR43" s="60"/>
      <c r="CWS43" s="60"/>
      <c r="CWT43" s="60"/>
      <c r="CWU43" s="60"/>
      <c r="CWV43" s="60"/>
      <c r="CWW43" s="60"/>
      <c r="CWX43" s="60"/>
      <c r="CWY43" s="60"/>
      <c r="CWZ43" s="60"/>
      <c r="CXA43" s="60"/>
      <c r="CXB43" s="60"/>
      <c r="CXC43" s="60"/>
      <c r="CXD43" s="60"/>
      <c r="CXE43" s="60"/>
      <c r="CXF43" s="60"/>
      <c r="CXG43" s="60"/>
      <c r="CXH43" s="60"/>
      <c r="CXI43" s="60"/>
      <c r="CXJ43" s="60"/>
      <c r="CXK43" s="60"/>
      <c r="CXL43" s="60"/>
      <c r="CXM43" s="60"/>
      <c r="CXN43" s="60"/>
      <c r="CXO43" s="60"/>
      <c r="CXP43" s="60"/>
      <c r="CXQ43" s="60"/>
      <c r="CXR43" s="60"/>
      <c r="CXS43" s="60"/>
      <c r="CXT43" s="60"/>
      <c r="CXU43" s="60"/>
      <c r="CXV43" s="60"/>
      <c r="CXW43" s="60"/>
      <c r="CXX43" s="60"/>
      <c r="CXY43" s="60"/>
      <c r="CXZ43" s="60"/>
      <c r="CYA43" s="60"/>
      <c r="CYB43" s="60"/>
      <c r="CYC43" s="60"/>
      <c r="CYD43" s="60"/>
      <c r="CYE43" s="60"/>
      <c r="CYF43" s="60"/>
      <c r="CYG43" s="60"/>
      <c r="CYH43" s="60"/>
      <c r="CYI43" s="60"/>
      <c r="CYJ43" s="60"/>
      <c r="CYK43" s="60"/>
      <c r="CYL43" s="60"/>
      <c r="CYM43" s="60"/>
      <c r="CYN43" s="60"/>
      <c r="CYO43" s="60"/>
      <c r="CYP43" s="60"/>
      <c r="CYQ43" s="60"/>
      <c r="CYR43" s="60"/>
      <c r="CYS43" s="60"/>
      <c r="CYT43" s="60"/>
      <c r="CYU43" s="60"/>
      <c r="CYV43" s="60"/>
      <c r="CYW43" s="60"/>
      <c r="CYX43" s="60"/>
      <c r="CYY43" s="60"/>
      <c r="CYZ43" s="60"/>
      <c r="CZA43" s="60"/>
      <c r="CZB43" s="60"/>
      <c r="CZC43" s="60"/>
      <c r="CZD43" s="60"/>
      <c r="CZE43" s="60"/>
      <c r="CZF43" s="60"/>
      <c r="CZG43" s="60"/>
      <c r="CZH43" s="60"/>
      <c r="CZI43" s="60"/>
      <c r="CZJ43" s="60"/>
      <c r="CZK43" s="60"/>
      <c r="CZL43" s="60"/>
      <c r="CZM43" s="60"/>
      <c r="CZN43" s="60"/>
      <c r="CZO43" s="60"/>
      <c r="CZP43" s="60"/>
      <c r="CZQ43" s="60"/>
      <c r="CZR43" s="60"/>
      <c r="CZS43" s="60"/>
      <c r="CZT43" s="60"/>
      <c r="CZU43" s="60"/>
      <c r="CZV43" s="60"/>
      <c r="CZW43" s="60"/>
      <c r="CZX43" s="60"/>
      <c r="CZY43" s="60"/>
      <c r="CZZ43" s="60"/>
      <c r="DAA43" s="60"/>
      <c r="DAB43" s="60"/>
      <c r="DAC43" s="60"/>
      <c r="DAD43" s="60"/>
      <c r="DAE43" s="60"/>
      <c r="DAF43" s="60"/>
      <c r="DAG43" s="60"/>
      <c r="DAH43" s="60"/>
      <c r="DAI43" s="60"/>
      <c r="DAJ43" s="60"/>
      <c r="DAK43" s="60"/>
      <c r="DAL43" s="60"/>
      <c r="DAM43" s="60"/>
      <c r="DAN43" s="60"/>
      <c r="DAO43" s="60"/>
      <c r="DAP43" s="60"/>
      <c r="DAQ43" s="60"/>
      <c r="DAR43" s="60"/>
      <c r="DAS43" s="60"/>
      <c r="DAT43" s="60"/>
      <c r="DAU43" s="60"/>
      <c r="DAV43" s="60"/>
      <c r="DAW43" s="60"/>
      <c r="DAX43" s="60"/>
      <c r="DAY43" s="60"/>
      <c r="DAZ43" s="60"/>
      <c r="DBA43" s="60"/>
      <c r="DBB43" s="60"/>
      <c r="DBC43" s="60"/>
      <c r="DBD43" s="60"/>
      <c r="DBE43" s="60"/>
      <c r="DBF43" s="60"/>
      <c r="DBG43" s="60"/>
      <c r="DBH43" s="60"/>
      <c r="DBI43" s="60"/>
      <c r="DBJ43" s="60"/>
      <c r="DBK43" s="60"/>
      <c r="DBL43" s="60"/>
      <c r="DBM43" s="60"/>
      <c r="DBN43" s="60"/>
      <c r="DBO43" s="60"/>
      <c r="DBP43" s="60"/>
      <c r="DBQ43" s="60"/>
      <c r="DBR43" s="60"/>
      <c r="DBS43" s="60"/>
      <c r="DBT43" s="60"/>
      <c r="DBU43" s="60"/>
      <c r="DBV43" s="60"/>
      <c r="DBW43" s="60"/>
      <c r="DBX43" s="60"/>
      <c r="DBY43" s="60"/>
      <c r="DBZ43" s="60"/>
      <c r="DCA43" s="60"/>
      <c r="DCB43" s="60"/>
      <c r="DCC43" s="60"/>
      <c r="DCD43" s="60"/>
      <c r="DCE43" s="60"/>
      <c r="DCF43" s="60"/>
      <c r="DCG43" s="60"/>
      <c r="DCH43" s="60"/>
      <c r="DCI43" s="60"/>
      <c r="DCJ43" s="60"/>
      <c r="DCK43" s="60"/>
      <c r="DCL43" s="60"/>
      <c r="DCM43" s="60"/>
      <c r="DCN43" s="60"/>
      <c r="DCO43" s="60"/>
      <c r="DCP43" s="60"/>
      <c r="DCQ43" s="60"/>
      <c r="DCR43" s="60"/>
      <c r="DCS43" s="60"/>
      <c r="DCT43" s="60"/>
      <c r="DCU43" s="60"/>
      <c r="DCV43" s="60"/>
      <c r="DCW43" s="60"/>
      <c r="DCX43" s="60"/>
      <c r="DCY43" s="60"/>
      <c r="DCZ43" s="60"/>
      <c r="DDA43" s="60"/>
      <c r="DDB43" s="60"/>
      <c r="DDC43" s="60"/>
      <c r="DDD43" s="60"/>
      <c r="DDE43" s="60"/>
      <c r="DDF43" s="60"/>
      <c r="DDG43" s="60"/>
      <c r="DDH43" s="60"/>
      <c r="DDI43" s="60"/>
      <c r="DDJ43" s="60"/>
      <c r="DDK43" s="60"/>
      <c r="DDL43" s="60"/>
      <c r="DDM43" s="60"/>
      <c r="DDN43" s="60"/>
      <c r="DDO43" s="60"/>
      <c r="DDP43" s="60"/>
      <c r="DDQ43" s="60"/>
      <c r="DDR43" s="60"/>
      <c r="DDS43" s="60"/>
      <c r="DDT43" s="60"/>
      <c r="DDU43" s="60"/>
      <c r="DDV43" s="60"/>
      <c r="DDW43" s="60"/>
      <c r="DDX43" s="60"/>
      <c r="DDY43" s="60"/>
      <c r="DDZ43" s="60"/>
      <c r="DEA43" s="60"/>
      <c r="DEB43" s="60"/>
      <c r="DEC43" s="60"/>
      <c r="DED43" s="60"/>
      <c r="DEE43" s="60"/>
      <c r="DEF43" s="60"/>
      <c r="DEG43" s="60"/>
      <c r="DEH43" s="60"/>
      <c r="DEI43" s="60"/>
      <c r="DEJ43" s="60"/>
      <c r="DEK43" s="60"/>
      <c r="DEL43" s="60"/>
      <c r="DEM43" s="60"/>
      <c r="DEN43" s="60"/>
      <c r="DEO43" s="60"/>
      <c r="DEP43" s="60"/>
      <c r="DEQ43" s="60"/>
      <c r="DER43" s="60"/>
      <c r="DES43" s="60"/>
      <c r="DET43" s="60"/>
      <c r="DEU43" s="60"/>
      <c r="DEV43" s="60"/>
      <c r="DEW43" s="60"/>
      <c r="DEX43" s="60"/>
      <c r="DEY43" s="60"/>
      <c r="DEZ43" s="60"/>
      <c r="DFA43" s="60"/>
      <c r="DFB43" s="60"/>
      <c r="DFC43" s="60"/>
      <c r="DFD43" s="60"/>
      <c r="DFE43" s="60"/>
      <c r="DFF43" s="60"/>
      <c r="DFG43" s="60"/>
      <c r="DFH43" s="60"/>
      <c r="DFI43" s="60"/>
      <c r="DFJ43" s="60"/>
      <c r="DFK43" s="60"/>
      <c r="DFL43" s="60"/>
      <c r="DFM43" s="60"/>
      <c r="DFN43" s="60"/>
      <c r="DFO43" s="60"/>
      <c r="DFP43" s="60"/>
      <c r="DFQ43" s="60"/>
      <c r="DFR43" s="60"/>
      <c r="DFS43" s="60"/>
      <c r="DFT43" s="60"/>
      <c r="DFU43" s="60"/>
      <c r="DFV43" s="60"/>
      <c r="DFW43" s="60"/>
      <c r="DFX43" s="60"/>
      <c r="DFY43" s="60"/>
      <c r="DFZ43" s="60"/>
      <c r="DGA43" s="60"/>
      <c r="DGB43" s="60"/>
      <c r="DGC43" s="60"/>
      <c r="DGD43" s="60"/>
      <c r="DGE43" s="60"/>
      <c r="DGF43" s="60"/>
      <c r="DGG43" s="60"/>
      <c r="DGH43" s="60"/>
      <c r="DGI43" s="60"/>
      <c r="DGJ43" s="60"/>
      <c r="DGK43" s="60"/>
      <c r="DGL43" s="60"/>
      <c r="DGM43" s="60"/>
      <c r="DGN43" s="60"/>
      <c r="DGO43" s="60"/>
      <c r="DGP43" s="60"/>
      <c r="DGQ43" s="60"/>
      <c r="DGR43" s="60"/>
      <c r="DGS43" s="60"/>
      <c r="DGT43" s="60"/>
      <c r="DGU43" s="60"/>
      <c r="DGV43" s="60"/>
      <c r="DGW43" s="60"/>
      <c r="DGX43" s="60"/>
      <c r="DGY43" s="60"/>
      <c r="DGZ43" s="60"/>
      <c r="DHA43" s="60"/>
      <c r="DHB43" s="60"/>
      <c r="DHC43" s="60"/>
      <c r="DHD43" s="60"/>
      <c r="DHE43" s="60"/>
      <c r="DHF43" s="60"/>
      <c r="DHG43" s="60"/>
      <c r="DHH43" s="60"/>
      <c r="DHI43" s="60"/>
      <c r="DHJ43" s="60"/>
      <c r="DHK43" s="60"/>
      <c r="DHL43" s="60"/>
      <c r="DHM43" s="60"/>
      <c r="DHN43" s="60"/>
      <c r="DHO43" s="60"/>
      <c r="DHP43" s="60"/>
      <c r="DHQ43" s="60"/>
      <c r="DHR43" s="60"/>
      <c r="DHS43" s="60"/>
      <c r="DHT43" s="60"/>
      <c r="DHU43" s="60"/>
      <c r="DHV43" s="60"/>
      <c r="DHW43" s="60"/>
      <c r="DHX43" s="60"/>
      <c r="DHY43" s="60"/>
      <c r="DHZ43" s="60"/>
      <c r="DIA43" s="60"/>
      <c r="DIB43" s="60"/>
      <c r="DIC43" s="60"/>
      <c r="DID43" s="60"/>
      <c r="DIE43" s="60"/>
      <c r="DIF43" s="60"/>
      <c r="DIG43" s="60"/>
      <c r="DIH43" s="60"/>
      <c r="DII43" s="60"/>
      <c r="DIJ43" s="60"/>
      <c r="DIK43" s="60"/>
      <c r="DIL43" s="60"/>
      <c r="DIM43" s="60"/>
      <c r="DIN43" s="60"/>
      <c r="DIO43" s="60"/>
      <c r="DIP43" s="60"/>
      <c r="DIQ43" s="60"/>
      <c r="DIR43" s="60"/>
      <c r="DIS43" s="60"/>
      <c r="DIT43" s="60"/>
      <c r="DIU43" s="60"/>
      <c r="DIV43" s="60"/>
      <c r="DIW43" s="60"/>
      <c r="DIX43" s="60"/>
      <c r="DIY43" s="60"/>
      <c r="DIZ43" s="60"/>
      <c r="DJA43" s="60"/>
      <c r="DJB43" s="60"/>
      <c r="DJC43" s="60"/>
      <c r="DJD43" s="60"/>
      <c r="DJE43" s="60"/>
      <c r="DJF43" s="60"/>
      <c r="DJG43" s="60"/>
      <c r="DJH43" s="60"/>
      <c r="DJI43" s="60"/>
      <c r="DJJ43" s="60"/>
      <c r="DJK43" s="60"/>
      <c r="DJL43" s="60"/>
      <c r="DJM43" s="60"/>
      <c r="DJN43" s="60"/>
      <c r="DJO43" s="60"/>
      <c r="DJP43" s="60"/>
      <c r="DJQ43" s="60"/>
      <c r="DJR43" s="60"/>
      <c r="DJS43" s="60"/>
      <c r="DJT43" s="60"/>
      <c r="DJU43" s="60"/>
      <c r="DJV43" s="60"/>
      <c r="DJW43" s="60"/>
      <c r="DJX43" s="60"/>
      <c r="DJY43" s="60"/>
      <c r="DJZ43" s="60"/>
      <c r="DKA43" s="60"/>
      <c r="DKB43" s="60"/>
      <c r="DKC43" s="60"/>
      <c r="DKD43" s="60"/>
      <c r="DKE43" s="60"/>
      <c r="DKF43" s="60"/>
      <c r="DKG43" s="60"/>
      <c r="DKH43" s="60"/>
      <c r="DKI43" s="60"/>
      <c r="DKJ43" s="60"/>
      <c r="DKK43" s="60"/>
      <c r="DKL43" s="60"/>
      <c r="DKM43" s="60"/>
      <c r="DKN43" s="60"/>
      <c r="DKO43" s="60"/>
      <c r="DKP43" s="60"/>
      <c r="DKQ43" s="60"/>
      <c r="DKR43" s="60"/>
      <c r="DKS43" s="60"/>
      <c r="DKT43" s="60"/>
      <c r="DKU43" s="60"/>
      <c r="DKV43" s="60"/>
      <c r="DKW43" s="60"/>
      <c r="DKX43" s="60"/>
      <c r="DKY43" s="60"/>
      <c r="DKZ43" s="60"/>
      <c r="DLA43" s="60"/>
      <c r="DLB43" s="60"/>
      <c r="DLC43" s="60"/>
      <c r="DLD43" s="60"/>
      <c r="DLE43" s="60"/>
      <c r="DLF43" s="60"/>
      <c r="DLG43" s="60"/>
      <c r="DLH43" s="60"/>
      <c r="DLI43" s="60"/>
      <c r="DLJ43" s="60"/>
      <c r="DLK43" s="60"/>
      <c r="DLL43" s="60"/>
      <c r="DLM43" s="60"/>
      <c r="DLN43" s="60"/>
      <c r="DLO43" s="60"/>
      <c r="DLP43" s="60"/>
      <c r="DLQ43" s="60"/>
      <c r="DLR43" s="60"/>
      <c r="DLS43" s="60"/>
      <c r="DLT43" s="60"/>
      <c r="DLU43" s="60"/>
      <c r="DLV43" s="60"/>
      <c r="DLW43" s="60"/>
      <c r="DLX43" s="60"/>
      <c r="DLY43" s="60"/>
      <c r="DLZ43" s="60"/>
      <c r="DMA43" s="60"/>
      <c r="DMB43" s="60"/>
      <c r="DMC43" s="60"/>
      <c r="DMD43" s="60"/>
      <c r="DME43" s="60"/>
      <c r="DMF43" s="60"/>
      <c r="DMG43" s="60"/>
      <c r="DMH43" s="60"/>
      <c r="DMI43" s="60"/>
      <c r="DMJ43" s="60"/>
      <c r="DMK43" s="60"/>
      <c r="DML43" s="60"/>
      <c r="DMM43" s="60"/>
      <c r="DMN43" s="60"/>
      <c r="DMO43" s="60"/>
      <c r="DMP43" s="60"/>
      <c r="DMQ43" s="60"/>
      <c r="DMR43" s="60"/>
      <c r="DMS43" s="60"/>
      <c r="DMT43" s="60"/>
      <c r="DMU43" s="60"/>
      <c r="DMV43" s="60"/>
      <c r="DMW43" s="60"/>
      <c r="DMX43" s="60"/>
      <c r="DMY43" s="60"/>
      <c r="DMZ43" s="60"/>
      <c r="DNA43" s="60"/>
      <c r="DNB43" s="60"/>
      <c r="DNC43" s="60"/>
      <c r="DND43" s="60"/>
      <c r="DNE43" s="60"/>
      <c r="DNF43" s="60"/>
      <c r="DNG43" s="60"/>
      <c r="DNH43" s="60"/>
      <c r="DNI43" s="60"/>
      <c r="DNJ43" s="60"/>
      <c r="DNK43" s="60"/>
      <c r="DNL43" s="60"/>
      <c r="DNM43" s="60"/>
      <c r="DNN43" s="60"/>
      <c r="DNO43" s="60"/>
      <c r="DNP43" s="60"/>
      <c r="DNQ43" s="60"/>
      <c r="DNR43" s="60"/>
      <c r="DNS43" s="60"/>
      <c r="DNT43" s="60"/>
      <c r="DNU43" s="60"/>
      <c r="DNV43" s="60"/>
      <c r="DNW43" s="60"/>
      <c r="DNX43" s="60"/>
      <c r="DNY43" s="60"/>
      <c r="DNZ43" s="60"/>
      <c r="DOA43" s="60"/>
      <c r="DOB43" s="60"/>
      <c r="DOC43" s="60"/>
      <c r="DOD43" s="60"/>
      <c r="DOE43" s="60"/>
      <c r="DOF43" s="60"/>
      <c r="DOG43" s="60"/>
      <c r="DOH43" s="60"/>
      <c r="DOI43" s="60"/>
      <c r="DOJ43" s="60"/>
      <c r="DOK43" s="60"/>
      <c r="DOL43" s="60"/>
      <c r="DOM43" s="60"/>
      <c r="DON43" s="60"/>
      <c r="DOO43" s="60"/>
      <c r="DOP43" s="60"/>
      <c r="DOQ43" s="60"/>
      <c r="DOR43" s="60"/>
      <c r="DOS43" s="60"/>
      <c r="DOT43" s="60"/>
      <c r="DOU43" s="60"/>
      <c r="DOV43" s="60"/>
      <c r="DOW43" s="60"/>
      <c r="DOX43" s="60"/>
      <c r="DOY43" s="60"/>
      <c r="DOZ43" s="60"/>
      <c r="DPA43" s="60"/>
      <c r="DPB43" s="60"/>
      <c r="DPC43" s="60"/>
      <c r="DPD43" s="60"/>
      <c r="DPE43" s="60"/>
      <c r="DPF43" s="60"/>
      <c r="DPG43" s="60"/>
      <c r="DPH43" s="60"/>
      <c r="DPI43" s="60"/>
      <c r="DPJ43" s="60"/>
      <c r="DPK43" s="60"/>
      <c r="DPL43" s="60"/>
      <c r="DPM43" s="60"/>
      <c r="DPN43" s="60"/>
      <c r="DPO43" s="60"/>
      <c r="DPP43" s="60"/>
      <c r="DPQ43" s="60"/>
      <c r="DPR43" s="60"/>
      <c r="DPS43" s="60"/>
      <c r="DPT43" s="60"/>
      <c r="DPU43" s="60"/>
      <c r="DPV43" s="60"/>
      <c r="DPW43" s="60"/>
      <c r="DPX43" s="60"/>
      <c r="DPY43" s="60"/>
      <c r="DPZ43" s="60"/>
      <c r="DQA43" s="60"/>
      <c r="DQB43" s="60"/>
      <c r="DQC43" s="60"/>
      <c r="DQD43" s="60"/>
      <c r="DQE43" s="60"/>
      <c r="DQF43" s="60"/>
      <c r="DQG43" s="60"/>
      <c r="DQH43" s="60"/>
      <c r="DQI43" s="60"/>
      <c r="DQJ43" s="60"/>
      <c r="DQK43" s="60"/>
      <c r="DQL43" s="60"/>
      <c r="DQM43" s="60"/>
      <c r="DQN43" s="60"/>
      <c r="DQO43" s="60"/>
      <c r="DQP43" s="60"/>
      <c r="DQQ43" s="60"/>
      <c r="DQR43" s="60"/>
      <c r="DQS43" s="60"/>
      <c r="DQT43" s="60"/>
      <c r="DQU43" s="60"/>
      <c r="DQV43" s="60"/>
      <c r="DQW43" s="60"/>
      <c r="DQX43" s="60"/>
      <c r="DQY43" s="60"/>
      <c r="DQZ43" s="60"/>
      <c r="DRA43" s="60"/>
      <c r="DRB43" s="60"/>
      <c r="DRC43" s="60"/>
      <c r="DRD43" s="60"/>
      <c r="DRE43" s="60"/>
      <c r="DRF43" s="60"/>
      <c r="DRG43" s="60"/>
      <c r="DRH43" s="60"/>
      <c r="DRI43" s="60"/>
      <c r="DRJ43" s="60"/>
      <c r="DRK43" s="60"/>
      <c r="DRL43" s="60"/>
      <c r="DRM43" s="60"/>
      <c r="DRN43" s="60"/>
      <c r="DRO43" s="60"/>
      <c r="DRP43" s="60"/>
      <c r="DRQ43" s="60"/>
      <c r="DRR43" s="60"/>
      <c r="DRS43" s="60"/>
      <c r="DRT43" s="60"/>
      <c r="DRU43" s="60"/>
      <c r="DRV43" s="60"/>
      <c r="DRW43" s="60"/>
      <c r="DRX43" s="60"/>
      <c r="DRY43" s="60"/>
      <c r="DRZ43" s="60"/>
      <c r="DSA43" s="60"/>
      <c r="DSB43" s="60"/>
      <c r="DSC43" s="60"/>
      <c r="DSD43" s="60"/>
      <c r="DSE43" s="60"/>
      <c r="DSF43" s="60"/>
      <c r="DSG43" s="60"/>
      <c r="DSH43" s="60"/>
      <c r="DSI43" s="60"/>
      <c r="DSJ43" s="60"/>
      <c r="DSK43" s="60"/>
      <c r="DSL43" s="60"/>
      <c r="DSM43" s="60"/>
      <c r="DSN43" s="60"/>
      <c r="DSO43" s="60"/>
      <c r="DSP43" s="60"/>
      <c r="DSQ43" s="60"/>
      <c r="DSR43" s="60"/>
      <c r="DSS43" s="60"/>
      <c r="DST43" s="60"/>
      <c r="DSU43" s="60"/>
      <c r="DSV43" s="60"/>
      <c r="DSW43" s="60"/>
      <c r="DSX43" s="60"/>
      <c r="DSY43" s="60"/>
      <c r="DSZ43" s="60"/>
      <c r="DTA43" s="60"/>
      <c r="DTB43" s="60"/>
      <c r="DTC43" s="60"/>
      <c r="DTD43" s="60"/>
      <c r="DTE43" s="60"/>
      <c r="DTF43" s="60"/>
      <c r="DTG43" s="60"/>
      <c r="DTH43" s="60"/>
      <c r="DTI43" s="60"/>
      <c r="DTJ43" s="60"/>
      <c r="DTK43" s="60"/>
      <c r="DTL43" s="60"/>
      <c r="DTM43" s="60"/>
      <c r="DTN43" s="60"/>
      <c r="DTO43" s="60"/>
      <c r="DTP43" s="60"/>
      <c r="DTQ43" s="60"/>
      <c r="DTR43" s="60"/>
      <c r="DTS43" s="60"/>
      <c r="DTT43" s="60"/>
      <c r="DTU43" s="60"/>
      <c r="DTV43" s="60"/>
      <c r="DTW43" s="60"/>
      <c r="DTX43" s="60"/>
      <c r="DTY43" s="60"/>
      <c r="DTZ43" s="60"/>
      <c r="DUA43" s="60"/>
      <c r="DUB43" s="60"/>
      <c r="DUC43" s="60"/>
      <c r="DUD43" s="60"/>
      <c r="DUE43" s="60"/>
      <c r="DUF43" s="60"/>
      <c r="DUG43" s="60"/>
      <c r="DUH43" s="60"/>
      <c r="DUI43" s="60"/>
      <c r="DUJ43" s="60"/>
      <c r="DUK43" s="60"/>
      <c r="DUL43" s="60"/>
      <c r="DUM43" s="60"/>
      <c r="DUN43" s="60"/>
      <c r="DUO43" s="60"/>
      <c r="DUP43" s="60"/>
      <c r="DUQ43" s="60"/>
      <c r="DUR43" s="60"/>
      <c r="DUS43" s="60"/>
      <c r="DUT43" s="60"/>
      <c r="DUU43" s="60"/>
      <c r="DUV43" s="60"/>
      <c r="DUW43" s="60"/>
      <c r="DUX43" s="60"/>
      <c r="DUY43" s="60"/>
      <c r="DUZ43" s="60"/>
      <c r="DVA43" s="60"/>
      <c r="DVB43" s="60"/>
      <c r="DVC43" s="60"/>
      <c r="DVD43" s="60"/>
      <c r="DVE43" s="60"/>
      <c r="DVF43" s="60"/>
      <c r="DVG43" s="60"/>
      <c r="DVH43" s="60"/>
      <c r="DVI43" s="60"/>
      <c r="DVJ43" s="60"/>
      <c r="DVK43" s="60"/>
      <c r="DVL43" s="60"/>
      <c r="DVM43" s="60"/>
      <c r="DVN43" s="60"/>
      <c r="DVO43" s="60"/>
      <c r="DVP43" s="60"/>
      <c r="DVQ43" s="60"/>
      <c r="DVR43" s="60"/>
      <c r="DVS43" s="60"/>
      <c r="DVT43" s="60"/>
      <c r="DVU43" s="60"/>
      <c r="DVV43" s="60"/>
      <c r="DVW43" s="60"/>
      <c r="DVX43" s="60"/>
      <c r="DVY43" s="60"/>
      <c r="DVZ43" s="60"/>
      <c r="DWA43" s="60"/>
      <c r="DWB43" s="60"/>
      <c r="DWC43" s="60"/>
      <c r="DWD43" s="60"/>
      <c r="DWE43" s="60"/>
      <c r="DWF43" s="60"/>
      <c r="DWG43" s="60"/>
      <c r="DWH43" s="60"/>
      <c r="DWI43" s="60"/>
      <c r="DWJ43" s="60"/>
      <c r="DWK43" s="60"/>
      <c r="DWL43" s="60"/>
      <c r="DWM43" s="60"/>
      <c r="DWN43" s="60"/>
      <c r="DWO43" s="60"/>
      <c r="DWP43" s="60"/>
      <c r="DWQ43" s="60"/>
      <c r="DWR43" s="60"/>
      <c r="DWS43" s="60"/>
      <c r="DWT43" s="60"/>
      <c r="DWU43" s="60"/>
      <c r="DWV43" s="60"/>
      <c r="DWW43" s="60"/>
      <c r="DWX43" s="60"/>
      <c r="DWY43" s="60"/>
      <c r="DWZ43" s="60"/>
      <c r="DXA43" s="60"/>
      <c r="DXB43" s="60"/>
      <c r="DXC43" s="60"/>
      <c r="DXD43" s="60"/>
      <c r="DXE43" s="60"/>
      <c r="DXF43" s="60"/>
      <c r="DXG43" s="60"/>
      <c r="DXH43" s="60"/>
      <c r="DXI43" s="60"/>
      <c r="DXJ43" s="60"/>
      <c r="DXK43" s="60"/>
      <c r="DXL43" s="60"/>
      <c r="DXM43" s="60"/>
      <c r="DXN43" s="60"/>
      <c r="DXO43" s="60"/>
      <c r="DXP43" s="60"/>
      <c r="DXQ43" s="60"/>
      <c r="DXR43" s="60"/>
      <c r="DXS43" s="60"/>
      <c r="DXT43" s="60"/>
      <c r="DXU43" s="60"/>
      <c r="DXV43" s="60"/>
      <c r="DXW43" s="60"/>
      <c r="DXX43" s="60"/>
      <c r="DXY43" s="60"/>
      <c r="DXZ43" s="60"/>
      <c r="DYA43" s="60"/>
      <c r="DYB43" s="60"/>
      <c r="DYC43" s="60"/>
      <c r="DYD43" s="60"/>
      <c r="DYE43" s="60"/>
      <c r="DYF43" s="60"/>
      <c r="DYG43" s="60"/>
      <c r="DYH43" s="60"/>
      <c r="DYI43" s="60"/>
      <c r="DYJ43" s="60"/>
      <c r="DYK43" s="60"/>
      <c r="DYL43" s="60"/>
      <c r="DYM43" s="60"/>
      <c r="DYN43" s="60"/>
      <c r="DYO43" s="60"/>
      <c r="DYP43" s="60"/>
      <c r="DYQ43" s="60"/>
      <c r="DYR43" s="60"/>
      <c r="DYS43" s="60"/>
      <c r="DYT43" s="60"/>
      <c r="DYU43" s="60"/>
      <c r="DYV43" s="60"/>
      <c r="DYW43" s="60"/>
      <c r="DYX43" s="60"/>
      <c r="DYY43" s="60"/>
      <c r="DYZ43" s="60"/>
      <c r="DZA43" s="60"/>
      <c r="DZB43" s="60"/>
      <c r="DZC43" s="60"/>
      <c r="DZD43" s="60"/>
      <c r="DZE43" s="60"/>
      <c r="DZF43" s="60"/>
      <c r="DZG43" s="60"/>
      <c r="DZH43" s="60"/>
      <c r="DZI43" s="60"/>
      <c r="DZJ43" s="60"/>
      <c r="DZK43" s="60"/>
      <c r="DZL43" s="60"/>
      <c r="DZM43" s="60"/>
      <c r="DZN43" s="60"/>
      <c r="DZO43" s="60"/>
      <c r="DZP43" s="60"/>
      <c r="DZQ43" s="60"/>
      <c r="DZR43" s="60"/>
      <c r="DZS43" s="60"/>
      <c r="DZT43" s="60"/>
      <c r="DZU43" s="60"/>
      <c r="DZV43" s="60"/>
      <c r="DZW43" s="60"/>
      <c r="DZX43" s="60"/>
      <c r="DZY43" s="60"/>
      <c r="DZZ43" s="60"/>
      <c r="EAA43" s="60"/>
      <c r="EAB43" s="60"/>
      <c r="EAC43" s="60"/>
      <c r="EAD43" s="60"/>
      <c r="EAE43" s="60"/>
      <c r="EAF43" s="60"/>
      <c r="EAG43" s="60"/>
      <c r="EAH43" s="60"/>
      <c r="EAI43" s="60"/>
      <c r="EAJ43" s="60"/>
      <c r="EAK43" s="60"/>
      <c r="EAL43" s="60"/>
      <c r="EAM43" s="60"/>
      <c r="EAN43" s="60"/>
      <c r="EAO43" s="60"/>
      <c r="EAP43" s="60"/>
      <c r="EAQ43" s="60"/>
      <c r="EAR43" s="60"/>
      <c r="EAS43" s="60"/>
      <c r="EAT43" s="60"/>
      <c r="EAU43" s="60"/>
      <c r="EAV43" s="60"/>
      <c r="EAW43" s="60"/>
      <c r="EAX43" s="60"/>
      <c r="EAY43" s="60"/>
      <c r="EAZ43" s="60"/>
      <c r="EBA43" s="60"/>
      <c r="EBB43" s="60"/>
      <c r="EBC43" s="60"/>
      <c r="EBD43" s="60"/>
      <c r="EBE43" s="60"/>
      <c r="EBF43" s="60"/>
      <c r="EBG43" s="60"/>
      <c r="EBH43" s="60"/>
      <c r="EBI43" s="60"/>
      <c r="EBJ43" s="60"/>
      <c r="EBK43" s="60"/>
      <c r="EBL43" s="60"/>
      <c r="EBM43" s="60"/>
      <c r="EBN43" s="60"/>
      <c r="EBO43" s="60"/>
      <c r="EBP43" s="60"/>
      <c r="EBQ43" s="60"/>
      <c r="EBR43" s="60"/>
      <c r="EBS43" s="60"/>
      <c r="EBT43" s="60"/>
      <c r="EBU43" s="60"/>
      <c r="EBV43" s="60"/>
      <c r="EBW43" s="60"/>
      <c r="EBX43" s="60"/>
      <c r="EBY43" s="60"/>
      <c r="EBZ43" s="60"/>
      <c r="ECA43" s="60"/>
      <c r="ECB43" s="60"/>
      <c r="ECC43" s="60"/>
      <c r="ECD43" s="60"/>
      <c r="ECE43" s="60"/>
      <c r="ECF43" s="60"/>
      <c r="ECG43" s="60"/>
      <c r="ECH43" s="60"/>
      <c r="ECI43" s="60"/>
      <c r="ECJ43" s="60"/>
      <c r="ECK43" s="60"/>
      <c r="ECL43" s="60"/>
      <c r="ECM43" s="60"/>
      <c r="ECN43" s="60"/>
      <c r="ECO43" s="60"/>
      <c r="ECP43" s="60"/>
      <c r="ECQ43" s="60"/>
      <c r="ECR43" s="60"/>
      <c r="ECS43" s="60"/>
      <c r="ECT43" s="60"/>
      <c r="ECU43" s="60"/>
      <c r="ECV43" s="60"/>
      <c r="ECW43" s="60"/>
      <c r="ECX43" s="60"/>
      <c r="ECY43" s="60"/>
      <c r="ECZ43" s="60"/>
      <c r="EDA43" s="60"/>
      <c r="EDB43" s="60"/>
      <c r="EDC43" s="60"/>
      <c r="EDD43" s="60"/>
      <c r="EDE43" s="60"/>
      <c r="EDF43" s="60"/>
      <c r="EDG43" s="60"/>
      <c r="EDH43" s="60"/>
      <c r="EDI43" s="60"/>
      <c r="EDJ43" s="60"/>
      <c r="EDK43" s="60"/>
      <c r="EDL43" s="60"/>
      <c r="EDM43" s="60"/>
      <c r="EDN43" s="60"/>
      <c r="EDO43" s="60"/>
      <c r="EDP43" s="60"/>
      <c r="EDQ43" s="60"/>
      <c r="EDR43" s="60"/>
      <c r="EDS43" s="60"/>
      <c r="EDT43" s="60"/>
      <c r="EDU43" s="60"/>
      <c r="EDV43" s="60"/>
      <c r="EDW43" s="60"/>
      <c r="EDX43" s="60"/>
      <c r="EDY43" s="60"/>
      <c r="EDZ43" s="60"/>
      <c r="EEA43" s="60"/>
      <c r="EEB43" s="60"/>
      <c r="EEC43" s="60"/>
      <c r="EED43" s="60"/>
      <c r="EEE43" s="60"/>
      <c r="EEF43" s="60"/>
      <c r="EEG43" s="60"/>
      <c r="EEH43" s="60"/>
      <c r="EEI43" s="60"/>
      <c r="EEJ43" s="60"/>
      <c r="EEK43" s="60"/>
      <c r="EEL43" s="60"/>
      <c r="EEM43" s="60"/>
      <c r="EEN43" s="60"/>
      <c r="EEO43" s="60"/>
      <c r="EEP43" s="60"/>
      <c r="EEQ43" s="60"/>
      <c r="EER43" s="60"/>
      <c r="EES43" s="60"/>
      <c r="EET43" s="60"/>
      <c r="EEU43" s="60"/>
      <c r="EEV43" s="60"/>
      <c r="EEW43" s="60"/>
      <c r="EEX43" s="60"/>
      <c r="EEY43" s="60"/>
      <c r="EEZ43" s="60"/>
      <c r="EFA43" s="60"/>
      <c r="EFB43" s="60"/>
      <c r="EFC43" s="60"/>
      <c r="EFD43" s="60"/>
      <c r="EFE43" s="60"/>
      <c r="EFF43" s="60"/>
      <c r="EFG43" s="60"/>
      <c r="EFH43" s="60"/>
      <c r="EFI43" s="60"/>
      <c r="EFJ43" s="60"/>
      <c r="EFK43" s="60"/>
      <c r="EFL43" s="60"/>
      <c r="EFM43" s="60"/>
      <c r="EFN43" s="60"/>
      <c r="EFO43" s="60"/>
      <c r="EFP43" s="60"/>
      <c r="EFQ43" s="60"/>
      <c r="EFR43" s="60"/>
      <c r="EFS43" s="60"/>
      <c r="EFT43" s="60"/>
      <c r="EFU43" s="60"/>
      <c r="EFV43" s="60"/>
      <c r="EFW43" s="60"/>
      <c r="EFX43" s="60"/>
      <c r="EFY43" s="60"/>
      <c r="EFZ43" s="60"/>
      <c r="EGA43" s="60"/>
      <c r="EGB43" s="60"/>
      <c r="EGC43" s="60"/>
      <c r="EGD43" s="60"/>
      <c r="EGE43" s="60"/>
      <c r="EGF43" s="60"/>
      <c r="EGG43" s="60"/>
      <c r="EGH43" s="60"/>
      <c r="EGI43" s="60"/>
      <c r="EGJ43" s="60"/>
      <c r="EGK43" s="60"/>
      <c r="EGL43" s="60"/>
      <c r="EGM43" s="60"/>
      <c r="EGN43" s="60"/>
      <c r="EGO43" s="60"/>
      <c r="EGP43" s="60"/>
      <c r="EGQ43" s="60"/>
      <c r="EGR43" s="60"/>
      <c r="EGS43" s="60"/>
      <c r="EGT43" s="60"/>
      <c r="EGU43" s="60"/>
      <c r="EGV43" s="60"/>
      <c r="EGW43" s="60"/>
      <c r="EGX43" s="60"/>
      <c r="EGY43" s="60"/>
      <c r="EGZ43" s="60"/>
      <c r="EHA43" s="60"/>
      <c r="EHB43" s="60"/>
      <c r="EHC43" s="60"/>
      <c r="EHD43" s="60"/>
      <c r="EHE43" s="60"/>
      <c r="EHF43" s="60"/>
      <c r="EHG43" s="60"/>
      <c r="EHH43" s="60"/>
      <c r="EHI43" s="60"/>
      <c r="EHJ43" s="60"/>
      <c r="EHK43" s="60"/>
      <c r="EHL43" s="60"/>
      <c r="EHM43" s="60"/>
      <c r="EHN43" s="60"/>
      <c r="EHO43" s="60"/>
      <c r="EHP43" s="60"/>
      <c r="EHQ43" s="60"/>
      <c r="EHR43" s="60"/>
      <c r="EHS43" s="60"/>
      <c r="EHT43" s="60"/>
      <c r="EHU43" s="60"/>
      <c r="EHV43" s="60"/>
      <c r="EHW43" s="60"/>
      <c r="EHX43" s="60"/>
      <c r="EHY43" s="60"/>
      <c r="EHZ43" s="60"/>
      <c r="EIA43" s="60"/>
      <c r="EIB43" s="60"/>
      <c r="EIC43" s="60"/>
      <c r="EID43" s="60"/>
      <c r="EIE43" s="60"/>
      <c r="EIF43" s="60"/>
      <c r="EIG43" s="60"/>
      <c r="EIH43" s="60"/>
      <c r="EII43" s="60"/>
      <c r="EIJ43" s="60"/>
      <c r="EIK43" s="60"/>
      <c r="EIL43" s="60"/>
      <c r="EIM43" s="60"/>
      <c r="EIN43" s="60"/>
      <c r="EIO43" s="60"/>
      <c r="EIP43" s="60"/>
      <c r="EIQ43" s="60"/>
      <c r="EIR43" s="60"/>
      <c r="EIS43" s="60"/>
      <c r="EIT43" s="60"/>
      <c r="EIU43" s="60"/>
      <c r="EIV43" s="60"/>
      <c r="EIW43" s="60"/>
      <c r="EIX43" s="60"/>
      <c r="EIY43" s="60"/>
      <c r="EIZ43" s="60"/>
      <c r="EJA43" s="60"/>
      <c r="EJB43" s="60"/>
      <c r="EJC43" s="60"/>
      <c r="EJD43" s="60"/>
      <c r="EJE43" s="60"/>
      <c r="EJF43" s="60"/>
      <c r="EJG43" s="60"/>
      <c r="EJH43" s="60"/>
      <c r="EJI43" s="60"/>
      <c r="EJJ43" s="60"/>
      <c r="EJK43" s="60"/>
      <c r="EJL43" s="60"/>
      <c r="EJM43" s="60"/>
      <c r="EJN43" s="60"/>
      <c r="EJO43" s="60"/>
      <c r="EJP43" s="60"/>
      <c r="EJQ43" s="60"/>
      <c r="EJR43" s="60"/>
      <c r="EJS43" s="60"/>
      <c r="EJT43" s="60"/>
      <c r="EJU43" s="60"/>
      <c r="EJV43" s="60"/>
      <c r="EJW43" s="60"/>
      <c r="EJX43" s="60"/>
      <c r="EJY43" s="60"/>
      <c r="EJZ43" s="60"/>
      <c r="EKA43" s="60"/>
      <c r="EKB43" s="60"/>
      <c r="EKC43" s="60"/>
      <c r="EKD43" s="60"/>
      <c r="EKE43" s="60"/>
      <c r="EKF43" s="60"/>
      <c r="EKG43" s="60"/>
      <c r="EKH43" s="60"/>
      <c r="EKI43" s="60"/>
      <c r="EKJ43" s="60"/>
      <c r="EKK43" s="60"/>
      <c r="EKL43" s="60"/>
      <c r="EKM43" s="60"/>
      <c r="EKN43" s="60"/>
      <c r="EKO43" s="60"/>
      <c r="EKP43" s="60"/>
      <c r="EKQ43" s="60"/>
      <c r="EKR43" s="60"/>
      <c r="EKS43" s="60"/>
      <c r="EKT43" s="60"/>
      <c r="EKU43" s="60"/>
      <c r="EKV43" s="60"/>
      <c r="EKW43" s="60"/>
      <c r="EKX43" s="60"/>
      <c r="EKY43" s="60"/>
      <c r="EKZ43" s="60"/>
      <c r="ELA43" s="60"/>
      <c r="ELB43" s="60"/>
      <c r="ELC43" s="60"/>
      <c r="ELD43" s="60"/>
      <c r="ELE43" s="60"/>
      <c r="ELF43" s="60"/>
      <c r="ELG43" s="60"/>
      <c r="ELH43" s="60"/>
      <c r="ELI43" s="60"/>
      <c r="ELJ43" s="60"/>
      <c r="ELK43" s="60"/>
      <c r="ELL43" s="60"/>
      <c r="ELM43" s="60"/>
      <c r="ELN43" s="60"/>
      <c r="ELO43" s="60"/>
      <c r="ELP43" s="60"/>
      <c r="ELQ43" s="60"/>
      <c r="ELR43" s="60"/>
      <c r="ELS43" s="60"/>
      <c r="ELT43" s="60"/>
      <c r="ELU43" s="60"/>
      <c r="ELV43" s="60"/>
      <c r="ELW43" s="60"/>
      <c r="ELX43" s="60"/>
      <c r="ELY43" s="60"/>
      <c r="ELZ43" s="60"/>
      <c r="EMA43" s="60"/>
      <c r="EMB43" s="60"/>
      <c r="EMC43" s="60"/>
      <c r="EMD43" s="60"/>
      <c r="EME43" s="60"/>
      <c r="EMF43" s="60"/>
      <c r="EMG43" s="60"/>
      <c r="EMH43" s="60"/>
      <c r="EMI43" s="60"/>
      <c r="EMJ43" s="60"/>
      <c r="EMK43" s="60"/>
      <c r="EML43" s="60"/>
      <c r="EMM43" s="60"/>
      <c r="EMN43" s="60"/>
      <c r="EMO43" s="60"/>
      <c r="EMP43" s="60"/>
      <c r="EMQ43" s="60"/>
      <c r="EMR43" s="60"/>
      <c r="EMS43" s="60"/>
      <c r="EMT43" s="60"/>
      <c r="EMU43" s="60"/>
      <c r="EMV43" s="60"/>
      <c r="EMW43" s="60"/>
      <c r="EMX43" s="60"/>
      <c r="EMY43" s="60"/>
      <c r="EMZ43" s="60"/>
      <c r="ENA43" s="60"/>
      <c r="ENB43" s="60"/>
      <c r="ENC43" s="60"/>
      <c r="END43" s="60"/>
      <c r="ENE43" s="60"/>
      <c r="ENF43" s="60"/>
      <c r="ENG43" s="60"/>
      <c r="ENH43" s="60"/>
      <c r="ENI43" s="60"/>
      <c r="ENJ43" s="60"/>
      <c r="ENK43" s="60"/>
      <c r="ENL43" s="60"/>
      <c r="ENM43" s="60"/>
      <c r="ENN43" s="60"/>
      <c r="ENO43" s="60"/>
      <c r="ENP43" s="60"/>
      <c r="ENQ43" s="60"/>
      <c r="ENR43" s="60"/>
      <c r="ENS43" s="60"/>
      <c r="ENT43" s="60"/>
      <c r="ENU43" s="60"/>
      <c r="ENV43" s="60"/>
      <c r="ENW43" s="60"/>
      <c r="ENX43" s="60"/>
      <c r="ENY43" s="60"/>
      <c r="ENZ43" s="60"/>
      <c r="EOA43" s="60"/>
      <c r="EOB43" s="60"/>
      <c r="EOC43" s="60"/>
      <c r="EOD43" s="60"/>
      <c r="EOE43" s="60"/>
      <c r="EOF43" s="60"/>
      <c r="EOG43" s="60"/>
      <c r="EOH43" s="60"/>
      <c r="EOI43" s="60"/>
      <c r="EOJ43" s="60"/>
      <c r="EOK43" s="60"/>
      <c r="EOL43" s="60"/>
      <c r="EOM43" s="60"/>
      <c r="EON43" s="60"/>
      <c r="EOO43" s="60"/>
      <c r="EOP43" s="60"/>
      <c r="EOQ43" s="60"/>
      <c r="EOR43" s="60"/>
      <c r="EOS43" s="60"/>
      <c r="EOT43" s="60"/>
      <c r="EOU43" s="60"/>
      <c r="EOV43" s="60"/>
      <c r="EOW43" s="60"/>
      <c r="EOX43" s="60"/>
      <c r="EOY43" s="60"/>
      <c r="EOZ43" s="60"/>
      <c r="EPA43" s="60"/>
      <c r="EPB43" s="60"/>
      <c r="EPC43" s="60"/>
      <c r="EPD43" s="60"/>
      <c r="EPE43" s="60"/>
      <c r="EPF43" s="60"/>
      <c r="EPG43" s="60"/>
      <c r="EPH43" s="60"/>
      <c r="EPI43" s="60"/>
      <c r="EPJ43" s="60"/>
      <c r="EPK43" s="60"/>
      <c r="EPL43" s="60"/>
      <c r="EPM43" s="60"/>
      <c r="EPN43" s="60"/>
      <c r="EPO43" s="60"/>
      <c r="EPP43" s="60"/>
      <c r="EPQ43" s="60"/>
      <c r="EPR43" s="60"/>
      <c r="EPS43" s="60"/>
      <c r="EPT43" s="60"/>
      <c r="EPU43" s="60"/>
      <c r="EPV43" s="60"/>
      <c r="EPW43" s="60"/>
      <c r="EPX43" s="60"/>
      <c r="EPY43" s="60"/>
      <c r="EPZ43" s="60"/>
      <c r="EQA43" s="60"/>
      <c r="EQB43" s="60"/>
      <c r="EQC43" s="60"/>
      <c r="EQD43" s="60"/>
      <c r="EQE43" s="60"/>
      <c r="EQF43" s="60"/>
      <c r="EQG43" s="60"/>
      <c r="EQH43" s="60"/>
      <c r="EQI43" s="60"/>
      <c r="EQJ43" s="60"/>
      <c r="EQK43" s="60"/>
      <c r="EQL43" s="60"/>
      <c r="EQM43" s="60"/>
      <c r="EQN43" s="60"/>
      <c r="EQO43" s="60"/>
      <c r="EQP43" s="60"/>
      <c r="EQQ43" s="60"/>
      <c r="EQR43" s="60"/>
      <c r="EQS43" s="60"/>
      <c r="EQT43" s="60"/>
      <c r="EQU43" s="60"/>
      <c r="EQV43" s="60"/>
      <c r="EQW43" s="60"/>
      <c r="EQX43" s="60"/>
      <c r="EQY43" s="60"/>
      <c r="EQZ43" s="60"/>
      <c r="ERA43" s="60"/>
      <c r="ERB43" s="60"/>
      <c r="ERC43" s="60"/>
      <c r="ERD43" s="60"/>
      <c r="ERE43" s="60"/>
      <c r="ERF43" s="60"/>
      <c r="ERG43" s="60"/>
      <c r="ERH43" s="60"/>
      <c r="ERI43" s="60"/>
      <c r="ERJ43" s="60"/>
      <c r="ERK43" s="60"/>
      <c r="ERL43" s="60"/>
      <c r="ERM43" s="60"/>
      <c r="ERN43" s="60"/>
      <c r="ERO43" s="60"/>
      <c r="ERP43" s="60"/>
      <c r="ERQ43" s="60"/>
      <c r="ERR43" s="60"/>
      <c r="ERS43" s="60"/>
      <c r="ERT43" s="60"/>
      <c r="ERU43" s="60"/>
      <c r="ERV43" s="60"/>
      <c r="ERW43" s="60"/>
      <c r="ERX43" s="60"/>
      <c r="ERY43" s="60"/>
      <c r="ERZ43" s="60"/>
      <c r="ESA43" s="60"/>
      <c r="ESB43" s="60"/>
      <c r="ESC43" s="60"/>
      <c r="ESD43" s="60"/>
      <c r="ESE43" s="60"/>
      <c r="ESF43" s="60"/>
      <c r="ESG43" s="60"/>
      <c r="ESH43" s="60"/>
      <c r="ESI43" s="60"/>
      <c r="ESJ43" s="60"/>
      <c r="ESK43" s="60"/>
      <c r="ESL43" s="60"/>
      <c r="ESM43" s="60"/>
      <c r="ESN43" s="60"/>
      <c r="ESO43" s="60"/>
      <c r="ESP43" s="60"/>
      <c r="ESQ43" s="60"/>
      <c r="ESR43" s="60"/>
      <c r="ESS43" s="60"/>
      <c r="EST43" s="60"/>
      <c r="ESU43" s="60"/>
      <c r="ESV43" s="60"/>
      <c r="ESW43" s="60"/>
      <c r="ESX43" s="60"/>
      <c r="ESY43" s="60"/>
      <c r="ESZ43" s="60"/>
      <c r="ETA43" s="60"/>
      <c r="ETB43" s="60"/>
      <c r="ETC43" s="60"/>
      <c r="ETD43" s="60"/>
      <c r="ETE43" s="60"/>
      <c r="ETF43" s="60"/>
      <c r="ETG43" s="60"/>
      <c r="ETH43" s="60"/>
      <c r="ETI43" s="60"/>
      <c r="ETJ43" s="60"/>
      <c r="ETK43" s="60"/>
      <c r="ETL43" s="60"/>
      <c r="ETM43" s="60"/>
      <c r="ETN43" s="60"/>
      <c r="ETO43" s="60"/>
      <c r="ETP43" s="60"/>
      <c r="ETQ43" s="60"/>
      <c r="ETR43" s="60"/>
      <c r="ETS43" s="60"/>
      <c r="ETT43" s="60"/>
      <c r="ETU43" s="60"/>
      <c r="ETV43" s="60"/>
      <c r="ETW43" s="60"/>
      <c r="ETX43" s="60"/>
      <c r="ETY43" s="60"/>
      <c r="ETZ43" s="60"/>
      <c r="EUA43" s="60"/>
      <c r="EUB43" s="60"/>
      <c r="EUC43" s="60"/>
      <c r="EUD43" s="60"/>
      <c r="EUE43" s="60"/>
      <c r="EUF43" s="60"/>
      <c r="EUG43" s="60"/>
      <c r="EUH43" s="60"/>
      <c r="EUI43" s="60"/>
      <c r="EUJ43" s="60"/>
      <c r="EUK43" s="60"/>
      <c r="EUL43" s="60"/>
      <c r="EUM43" s="60"/>
      <c r="EUN43" s="60"/>
      <c r="EUO43" s="60"/>
      <c r="EUP43" s="60"/>
      <c r="EUQ43" s="60"/>
      <c r="EUR43" s="60"/>
      <c r="EUS43" s="60"/>
      <c r="EUT43" s="60"/>
      <c r="EUU43" s="60"/>
      <c r="EUV43" s="60"/>
      <c r="EUW43" s="60"/>
      <c r="EUX43" s="60"/>
      <c r="EUY43" s="60"/>
      <c r="EUZ43" s="60"/>
      <c r="EVA43" s="60"/>
      <c r="EVB43" s="60"/>
      <c r="EVC43" s="60"/>
      <c r="EVD43" s="60"/>
      <c r="EVE43" s="60"/>
      <c r="EVF43" s="60"/>
      <c r="EVG43" s="60"/>
      <c r="EVH43" s="60"/>
      <c r="EVI43" s="60"/>
      <c r="EVJ43" s="60"/>
      <c r="EVK43" s="60"/>
      <c r="EVL43" s="60"/>
      <c r="EVM43" s="60"/>
      <c r="EVN43" s="60"/>
      <c r="EVO43" s="60"/>
      <c r="EVP43" s="60"/>
      <c r="EVQ43" s="60"/>
      <c r="EVR43" s="60"/>
      <c r="EVS43" s="60"/>
      <c r="EVT43" s="60"/>
      <c r="EVU43" s="60"/>
      <c r="EVV43" s="60"/>
      <c r="EVW43" s="60"/>
      <c r="EVX43" s="60"/>
      <c r="EVY43" s="60"/>
      <c r="EVZ43" s="60"/>
      <c r="EWA43" s="60"/>
      <c r="EWB43" s="60"/>
      <c r="EWC43" s="60"/>
      <c r="EWD43" s="60"/>
      <c r="EWE43" s="60"/>
      <c r="EWF43" s="60"/>
      <c r="EWG43" s="60"/>
      <c r="EWH43" s="60"/>
      <c r="EWI43" s="60"/>
      <c r="EWJ43" s="60"/>
      <c r="EWK43" s="60"/>
      <c r="EWL43" s="60"/>
      <c r="EWM43" s="60"/>
      <c r="EWN43" s="60"/>
      <c r="EWO43" s="60"/>
      <c r="EWP43" s="60"/>
      <c r="EWQ43" s="60"/>
      <c r="EWR43" s="60"/>
      <c r="EWS43" s="60"/>
      <c r="EWT43" s="60"/>
      <c r="EWU43" s="60"/>
      <c r="EWV43" s="60"/>
      <c r="EWW43" s="60"/>
      <c r="EWX43" s="60"/>
      <c r="EWY43" s="60"/>
      <c r="EWZ43" s="60"/>
      <c r="EXA43" s="60"/>
      <c r="EXB43" s="60"/>
      <c r="EXC43" s="60"/>
      <c r="EXD43" s="60"/>
      <c r="EXE43" s="60"/>
      <c r="EXF43" s="60"/>
      <c r="EXG43" s="60"/>
      <c r="EXH43" s="60"/>
      <c r="EXI43" s="60"/>
      <c r="EXJ43" s="60"/>
      <c r="EXK43" s="60"/>
      <c r="EXL43" s="60"/>
      <c r="EXM43" s="60"/>
      <c r="EXN43" s="60"/>
      <c r="EXO43" s="60"/>
      <c r="EXP43" s="60"/>
      <c r="EXQ43" s="60"/>
      <c r="EXR43" s="60"/>
      <c r="EXS43" s="60"/>
      <c r="EXT43" s="60"/>
      <c r="EXU43" s="60"/>
      <c r="EXV43" s="60"/>
      <c r="EXW43" s="60"/>
      <c r="EXX43" s="60"/>
      <c r="EXY43" s="60"/>
      <c r="EXZ43" s="60"/>
      <c r="EYA43" s="60"/>
      <c r="EYB43" s="60"/>
      <c r="EYC43" s="60"/>
      <c r="EYD43" s="60"/>
      <c r="EYE43" s="60"/>
      <c r="EYF43" s="60"/>
      <c r="EYG43" s="60"/>
      <c r="EYH43" s="60"/>
      <c r="EYI43" s="60"/>
      <c r="EYJ43" s="60"/>
      <c r="EYK43" s="60"/>
      <c r="EYL43" s="60"/>
      <c r="EYM43" s="60"/>
      <c r="EYN43" s="60"/>
      <c r="EYO43" s="60"/>
      <c r="EYP43" s="60"/>
      <c r="EYQ43" s="60"/>
      <c r="EYR43" s="60"/>
      <c r="EYS43" s="60"/>
      <c r="EYT43" s="60"/>
      <c r="EYU43" s="60"/>
      <c r="EYV43" s="60"/>
      <c r="EYW43" s="60"/>
      <c r="EYX43" s="60"/>
      <c r="EYY43" s="60"/>
      <c r="EYZ43" s="60"/>
      <c r="EZA43" s="60"/>
      <c r="EZB43" s="60"/>
      <c r="EZC43" s="60"/>
      <c r="EZD43" s="60"/>
      <c r="EZE43" s="60"/>
      <c r="EZF43" s="60"/>
      <c r="EZG43" s="60"/>
      <c r="EZH43" s="60"/>
      <c r="EZI43" s="60"/>
      <c r="EZJ43" s="60"/>
      <c r="EZK43" s="60"/>
      <c r="EZL43" s="60"/>
      <c r="EZM43" s="60"/>
      <c r="EZN43" s="60"/>
      <c r="EZO43" s="60"/>
      <c r="EZP43" s="60"/>
      <c r="EZQ43" s="60"/>
      <c r="EZR43" s="60"/>
      <c r="EZS43" s="60"/>
      <c r="EZT43" s="60"/>
      <c r="EZU43" s="60"/>
      <c r="EZV43" s="60"/>
      <c r="EZW43" s="60"/>
      <c r="EZX43" s="60"/>
      <c r="EZY43" s="60"/>
      <c r="EZZ43" s="60"/>
      <c r="FAA43" s="60"/>
      <c r="FAB43" s="60"/>
      <c r="FAC43" s="60"/>
      <c r="FAD43" s="60"/>
      <c r="FAE43" s="60"/>
      <c r="FAF43" s="60"/>
      <c r="FAG43" s="60"/>
      <c r="FAH43" s="60"/>
      <c r="FAI43" s="60"/>
      <c r="FAJ43" s="60"/>
      <c r="FAK43" s="60"/>
      <c r="FAL43" s="60"/>
      <c r="FAM43" s="60"/>
      <c r="FAN43" s="60"/>
      <c r="FAO43" s="60"/>
      <c r="FAP43" s="60"/>
      <c r="FAQ43" s="60"/>
      <c r="FAR43" s="60"/>
      <c r="FAS43" s="60"/>
      <c r="FAT43" s="60"/>
      <c r="FAU43" s="60"/>
      <c r="FAV43" s="60"/>
      <c r="FAW43" s="60"/>
      <c r="FAX43" s="60"/>
      <c r="FAY43" s="60"/>
      <c r="FAZ43" s="60"/>
      <c r="FBA43" s="60"/>
      <c r="FBB43" s="60"/>
      <c r="FBC43" s="60"/>
      <c r="FBD43" s="60"/>
      <c r="FBE43" s="60"/>
      <c r="FBF43" s="60"/>
      <c r="FBG43" s="60"/>
      <c r="FBH43" s="60"/>
      <c r="FBI43" s="60"/>
      <c r="FBJ43" s="60"/>
      <c r="FBK43" s="60"/>
      <c r="FBL43" s="60"/>
      <c r="FBM43" s="60"/>
      <c r="FBN43" s="60"/>
      <c r="FBO43" s="60"/>
      <c r="FBP43" s="60"/>
      <c r="FBQ43" s="60"/>
      <c r="FBR43" s="60"/>
      <c r="FBS43" s="60"/>
      <c r="FBT43" s="60"/>
      <c r="FBU43" s="60"/>
      <c r="FBV43" s="60"/>
      <c r="FBW43" s="60"/>
      <c r="FBX43" s="60"/>
      <c r="FBY43" s="60"/>
      <c r="FBZ43" s="60"/>
      <c r="FCA43" s="60"/>
      <c r="FCB43" s="60"/>
      <c r="FCC43" s="60"/>
      <c r="FCD43" s="60"/>
      <c r="FCE43" s="60"/>
      <c r="FCF43" s="60"/>
      <c r="FCG43" s="60"/>
      <c r="FCH43" s="60"/>
      <c r="FCI43" s="60"/>
      <c r="FCJ43" s="60"/>
      <c r="FCK43" s="60"/>
      <c r="FCL43" s="60"/>
      <c r="FCM43" s="60"/>
      <c r="FCN43" s="60"/>
      <c r="FCO43" s="60"/>
      <c r="FCP43" s="60"/>
      <c r="FCQ43" s="60"/>
      <c r="FCR43" s="60"/>
      <c r="FCS43" s="60"/>
      <c r="FCT43" s="60"/>
      <c r="FCU43" s="60"/>
      <c r="FCV43" s="60"/>
      <c r="FCW43" s="60"/>
      <c r="FCX43" s="60"/>
      <c r="FCY43" s="60"/>
      <c r="FCZ43" s="60"/>
      <c r="FDA43" s="60"/>
      <c r="FDB43" s="60"/>
      <c r="FDC43" s="60"/>
      <c r="FDD43" s="60"/>
      <c r="FDE43" s="60"/>
      <c r="FDF43" s="60"/>
      <c r="FDG43" s="60"/>
      <c r="FDH43" s="60"/>
      <c r="FDI43" s="60"/>
      <c r="FDJ43" s="60"/>
      <c r="FDK43" s="60"/>
      <c r="FDL43" s="60"/>
      <c r="FDM43" s="60"/>
      <c r="FDN43" s="60"/>
      <c r="FDO43" s="60"/>
      <c r="FDP43" s="60"/>
      <c r="FDQ43" s="60"/>
      <c r="FDR43" s="60"/>
      <c r="FDS43" s="60"/>
      <c r="FDT43" s="60"/>
      <c r="FDU43" s="60"/>
      <c r="FDV43" s="60"/>
      <c r="FDW43" s="60"/>
      <c r="FDX43" s="60"/>
      <c r="FDY43" s="60"/>
      <c r="FDZ43" s="60"/>
      <c r="FEA43" s="60"/>
      <c r="FEB43" s="60"/>
      <c r="FEC43" s="60"/>
      <c r="FED43" s="60"/>
      <c r="FEE43" s="60"/>
      <c r="FEF43" s="60"/>
      <c r="FEG43" s="60"/>
      <c r="FEH43" s="60"/>
      <c r="FEI43" s="60"/>
      <c r="FEJ43" s="60"/>
      <c r="FEK43" s="60"/>
      <c r="FEL43" s="60"/>
      <c r="FEM43" s="60"/>
      <c r="FEN43" s="60"/>
      <c r="FEO43" s="60"/>
      <c r="FEP43" s="60"/>
      <c r="FEQ43" s="60"/>
      <c r="FER43" s="60"/>
      <c r="FES43" s="60"/>
      <c r="FET43" s="60"/>
      <c r="FEU43" s="60"/>
      <c r="FEV43" s="60"/>
      <c r="FEW43" s="60"/>
      <c r="FEX43" s="60"/>
      <c r="FEY43" s="60"/>
      <c r="FEZ43" s="60"/>
      <c r="FFA43" s="60"/>
      <c r="FFB43" s="60"/>
      <c r="FFC43" s="60"/>
      <c r="FFD43" s="60"/>
      <c r="FFE43" s="60"/>
      <c r="FFF43" s="60"/>
      <c r="FFG43" s="60"/>
      <c r="FFH43" s="60"/>
      <c r="FFI43" s="60"/>
      <c r="FFJ43" s="60"/>
      <c r="FFK43" s="60"/>
      <c r="FFL43" s="60"/>
      <c r="FFM43" s="60"/>
      <c r="FFN43" s="60"/>
      <c r="FFO43" s="60"/>
      <c r="FFP43" s="60"/>
      <c r="FFQ43" s="60"/>
      <c r="FFR43" s="60"/>
      <c r="FFS43" s="60"/>
      <c r="FFT43" s="60"/>
      <c r="FFU43" s="60"/>
      <c r="FFV43" s="60"/>
      <c r="FFW43" s="60"/>
      <c r="FFX43" s="60"/>
      <c r="FFY43" s="60"/>
      <c r="FFZ43" s="60"/>
      <c r="FGA43" s="60"/>
      <c r="FGB43" s="60"/>
      <c r="FGC43" s="60"/>
      <c r="FGD43" s="60"/>
      <c r="FGE43" s="60"/>
      <c r="FGF43" s="60"/>
      <c r="FGG43" s="60"/>
      <c r="FGH43" s="60"/>
      <c r="FGI43" s="60"/>
      <c r="FGJ43" s="60"/>
      <c r="FGK43" s="60"/>
      <c r="FGL43" s="60"/>
      <c r="FGM43" s="60"/>
      <c r="FGN43" s="60"/>
      <c r="FGO43" s="60"/>
      <c r="FGP43" s="60"/>
      <c r="FGQ43" s="60"/>
      <c r="FGR43" s="60"/>
      <c r="FGS43" s="60"/>
      <c r="FGT43" s="60"/>
      <c r="FGU43" s="60"/>
      <c r="FGV43" s="60"/>
      <c r="FGW43" s="60"/>
      <c r="FGX43" s="60"/>
      <c r="FGY43" s="60"/>
      <c r="FGZ43" s="60"/>
      <c r="FHA43" s="60"/>
      <c r="FHB43" s="60"/>
      <c r="FHC43" s="60"/>
      <c r="FHD43" s="60"/>
      <c r="FHE43" s="60"/>
      <c r="FHF43" s="60"/>
      <c r="FHG43" s="60"/>
      <c r="FHH43" s="60"/>
      <c r="FHI43" s="60"/>
      <c r="FHJ43" s="60"/>
      <c r="FHK43" s="60"/>
      <c r="FHL43" s="60"/>
      <c r="FHM43" s="60"/>
      <c r="FHN43" s="60"/>
      <c r="FHO43" s="60"/>
      <c r="FHP43" s="60"/>
      <c r="FHQ43" s="60"/>
      <c r="FHR43" s="60"/>
      <c r="FHS43" s="60"/>
      <c r="FHT43" s="60"/>
      <c r="FHU43" s="60"/>
      <c r="FHV43" s="60"/>
      <c r="FHW43" s="60"/>
      <c r="FHX43" s="60"/>
      <c r="FHY43" s="60"/>
      <c r="FHZ43" s="60"/>
      <c r="FIA43" s="60"/>
      <c r="FIB43" s="60"/>
      <c r="FIC43" s="60"/>
      <c r="FID43" s="60"/>
      <c r="FIE43" s="60"/>
      <c r="FIF43" s="60"/>
      <c r="FIG43" s="60"/>
      <c r="FIH43" s="60"/>
      <c r="FII43" s="60"/>
      <c r="FIJ43" s="60"/>
      <c r="FIK43" s="60"/>
      <c r="FIL43" s="60"/>
      <c r="FIM43" s="60"/>
      <c r="FIN43" s="60"/>
      <c r="FIO43" s="60"/>
      <c r="FIP43" s="60"/>
      <c r="FIQ43" s="60"/>
      <c r="FIR43" s="60"/>
      <c r="FIS43" s="60"/>
      <c r="FIT43" s="60"/>
      <c r="FIU43" s="60"/>
      <c r="FIV43" s="60"/>
      <c r="FIW43" s="60"/>
      <c r="FIX43" s="60"/>
      <c r="FIY43" s="60"/>
      <c r="FIZ43" s="60"/>
      <c r="FJA43" s="60"/>
      <c r="FJB43" s="60"/>
      <c r="FJC43" s="60"/>
      <c r="FJD43" s="60"/>
      <c r="FJE43" s="60"/>
      <c r="FJF43" s="60"/>
      <c r="FJG43" s="60"/>
      <c r="FJH43" s="60"/>
      <c r="FJI43" s="60"/>
      <c r="FJJ43" s="60"/>
      <c r="FJK43" s="60"/>
      <c r="FJL43" s="60"/>
      <c r="FJM43" s="60"/>
      <c r="FJN43" s="60"/>
      <c r="FJO43" s="60"/>
      <c r="FJP43" s="60"/>
      <c r="FJQ43" s="60"/>
      <c r="FJR43" s="60"/>
      <c r="FJS43" s="60"/>
      <c r="FJT43" s="60"/>
      <c r="FJU43" s="60"/>
      <c r="FJV43" s="60"/>
      <c r="FJW43" s="60"/>
      <c r="FJX43" s="60"/>
      <c r="FJY43" s="60"/>
      <c r="FJZ43" s="60"/>
      <c r="FKA43" s="60"/>
      <c r="FKB43" s="60"/>
      <c r="FKC43" s="60"/>
      <c r="FKD43" s="60"/>
      <c r="FKE43" s="60"/>
      <c r="FKF43" s="60"/>
      <c r="FKG43" s="60"/>
      <c r="FKH43" s="60"/>
      <c r="FKI43" s="60"/>
      <c r="FKJ43" s="60"/>
      <c r="FKK43" s="60"/>
      <c r="FKL43" s="60"/>
      <c r="FKM43" s="60"/>
      <c r="FKN43" s="60"/>
      <c r="FKO43" s="60"/>
      <c r="FKP43" s="60"/>
      <c r="FKQ43" s="60"/>
      <c r="FKR43" s="60"/>
      <c r="FKS43" s="60"/>
      <c r="FKT43" s="60"/>
      <c r="FKU43" s="60"/>
      <c r="FKV43" s="60"/>
      <c r="FKW43" s="60"/>
      <c r="FKX43" s="60"/>
      <c r="FKY43" s="60"/>
      <c r="FKZ43" s="60"/>
      <c r="FLA43" s="60"/>
      <c r="FLB43" s="60"/>
      <c r="FLC43" s="60"/>
      <c r="FLD43" s="60"/>
      <c r="FLE43" s="60"/>
      <c r="FLF43" s="60"/>
      <c r="FLG43" s="60"/>
      <c r="FLH43" s="60"/>
      <c r="FLI43" s="60"/>
      <c r="FLJ43" s="60"/>
      <c r="FLK43" s="60"/>
      <c r="FLL43" s="60"/>
      <c r="FLM43" s="60"/>
      <c r="FLN43" s="60"/>
      <c r="FLO43" s="60"/>
      <c r="FLP43" s="60"/>
      <c r="FLQ43" s="60"/>
      <c r="FLR43" s="60"/>
      <c r="FLS43" s="60"/>
      <c r="FLT43" s="60"/>
      <c r="FLU43" s="60"/>
      <c r="FLV43" s="60"/>
      <c r="FLW43" s="60"/>
      <c r="FLX43" s="60"/>
      <c r="FLY43" s="60"/>
      <c r="FLZ43" s="60"/>
      <c r="FMA43" s="60"/>
      <c r="FMB43" s="60"/>
      <c r="FMC43" s="60"/>
      <c r="FMD43" s="60"/>
      <c r="FME43" s="60"/>
      <c r="FMF43" s="60"/>
      <c r="FMG43" s="60"/>
      <c r="FMH43" s="60"/>
      <c r="FMI43" s="60"/>
      <c r="FMJ43" s="60"/>
      <c r="FMK43" s="60"/>
      <c r="FML43" s="60"/>
      <c r="FMM43" s="60"/>
      <c r="FMN43" s="60"/>
      <c r="FMO43" s="60"/>
      <c r="FMP43" s="60"/>
      <c r="FMQ43" s="60"/>
      <c r="FMR43" s="60"/>
      <c r="FMS43" s="60"/>
      <c r="FMT43" s="60"/>
      <c r="FMU43" s="60"/>
      <c r="FMV43" s="60"/>
      <c r="FMW43" s="60"/>
      <c r="FMX43" s="60"/>
      <c r="FMY43" s="60"/>
      <c r="FMZ43" s="60"/>
      <c r="FNA43" s="60"/>
      <c r="FNB43" s="60"/>
      <c r="FNC43" s="60"/>
      <c r="FND43" s="60"/>
      <c r="FNE43" s="60"/>
      <c r="FNF43" s="60"/>
      <c r="FNG43" s="60"/>
      <c r="FNH43" s="60"/>
      <c r="FNI43" s="60"/>
      <c r="FNJ43" s="60"/>
      <c r="FNK43" s="60"/>
      <c r="FNL43" s="60"/>
      <c r="FNM43" s="60"/>
      <c r="FNN43" s="60"/>
      <c r="FNO43" s="60"/>
      <c r="FNP43" s="60"/>
      <c r="FNQ43" s="60"/>
      <c r="FNR43" s="60"/>
      <c r="FNS43" s="60"/>
      <c r="FNT43" s="60"/>
      <c r="FNU43" s="60"/>
      <c r="FNV43" s="60"/>
      <c r="FNW43" s="60"/>
      <c r="FNX43" s="60"/>
      <c r="FNY43" s="60"/>
      <c r="FNZ43" s="60"/>
      <c r="FOA43" s="60"/>
      <c r="FOB43" s="60"/>
      <c r="FOC43" s="60"/>
      <c r="FOD43" s="60"/>
      <c r="FOE43" s="60"/>
      <c r="FOF43" s="60"/>
      <c r="FOG43" s="60"/>
      <c r="FOH43" s="60"/>
      <c r="FOI43" s="60"/>
      <c r="FOJ43" s="60"/>
      <c r="FOK43" s="60"/>
      <c r="FOL43" s="60"/>
      <c r="FOM43" s="60"/>
      <c r="FON43" s="60"/>
      <c r="FOO43" s="60"/>
      <c r="FOP43" s="60"/>
      <c r="FOQ43" s="60"/>
      <c r="FOR43" s="60"/>
      <c r="FOS43" s="60"/>
      <c r="FOT43" s="60"/>
      <c r="FOU43" s="60"/>
      <c r="FOV43" s="60"/>
      <c r="FOW43" s="60"/>
      <c r="FOX43" s="60"/>
      <c r="FOY43" s="60"/>
      <c r="FOZ43" s="60"/>
      <c r="FPA43" s="60"/>
      <c r="FPB43" s="60"/>
      <c r="FPC43" s="60"/>
      <c r="FPD43" s="60"/>
      <c r="FPE43" s="60"/>
      <c r="FPF43" s="60"/>
      <c r="FPG43" s="60"/>
      <c r="FPH43" s="60"/>
      <c r="FPI43" s="60"/>
      <c r="FPJ43" s="60"/>
      <c r="FPK43" s="60"/>
      <c r="FPL43" s="60"/>
      <c r="FPM43" s="60"/>
      <c r="FPN43" s="60"/>
      <c r="FPO43" s="60"/>
      <c r="FPP43" s="60"/>
      <c r="FPQ43" s="60"/>
      <c r="FPR43" s="60"/>
      <c r="FPS43" s="60"/>
      <c r="FPT43" s="60"/>
      <c r="FPU43" s="60"/>
      <c r="FPV43" s="60"/>
      <c r="FPW43" s="60"/>
      <c r="FPX43" s="60"/>
      <c r="FPY43" s="60"/>
      <c r="FPZ43" s="60"/>
      <c r="FQA43" s="60"/>
      <c r="FQB43" s="60"/>
      <c r="FQC43" s="60"/>
      <c r="FQD43" s="60"/>
      <c r="FQE43" s="60"/>
      <c r="FQF43" s="60"/>
      <c r="FQG43" s="60"/>
      <c r="FQH43" s="60"/>
      <c r="FQI43" s="60"/>
      <c r="FQJ43" s="60"/>
      <c r="FQK43" s="60"/>
      <c r="FQL43" s="60"/>
      <c r="FQM43" s="60"/>
      <c r="FQN43" s="60"/>
      <c r="FQO43" s="60"/>
      <c r="FQP43" s="60"/>
      <c r="FQQ43" s="60"/>
      <c r="FQR43" s="60"/>
      <c r="FQS43" s="60"/>
      <c r="FQT43" s="60"/>
      <c r="FQU43" s="60"/>
      <c r="FQV43" s="60"/>
      <c r="FQW43" s="60"/>
      <c r="FQX43" s="60"/>
      <c r="FQY43" s="60"/>
      <c r="FQZ43" s="60"/>
      <c r="FRA43" s="60"/>
      <c r="FRB43" s="60"/>
      <c r="FRC43" s="60"/>
      <c r="FRD43" s="60"/>
      <c r="FRE43" s="60"/>
      <c r="FRF43" s="60"/>
      <c r="FRG43" s="60"/>
      <c r="FRH43" s="60"/>
      <c r="FRI43" s="60"/>
      <c r="FRJ43" s="60"/>
      <c r="FRK43" s="60"/>
      <c r="FRL43" s="60"/>
      <c r="FRM43" s="60"/>
      <c r="FRN43" s="60"/>
      <c r="FRO43" s="60"/>
      <c r="FRP43" s="60"/>
      <c r="FRQ43" s="60"/>
      <c r="FRR43" s="60"/>
      <c r="FRS43" s="60"/>
      <c r="FRT43" s="60"/>
      <c r="FRU43" s="60"/>
      <c r="FRV43" s="60"/>
      <c r="FRW43" s="60"/>
      <c r="FRX43" s="60"/>
      <c r="FRY43" s="60"/>
      <c r="FRZ43" s="60"/>
      <c r="FSA43" s="60"/>
      <c r="FSB43" s="60"/>
      <c r="FSC43" s="60"/>
      <c r="FSD43" s="60"/>
      <c r="FSE43" s="60"/>
      <c r="FSF43" s="60"/>
      <c r="FSG43" s="60"/>
      <c r="FSH43" s="60"/>
      <c r="FSI43" s="60"/>
      <c r="FSJ43" s="60"/>
      <c r="FSK43" s="60"/>
      <c r="FSL43" s="60"/>
      <c r="FSM43" s="60"/>
      <c r="FSN43" s="60"/>
      <c r="FSO43" s="60"/>
      <c r="FSP43" s="60"/>
      <c r="FSQ43" s="60"/>
      <c r="FSR43" s="60"/>
      <c r="FSS43" s="60"/>
      <c r="FST43" s="60"/>
      <c r="FSU43" s="60"/>
      <c r="FSV43" s="60"/>
      <c r="FSW43" s="60"/>
      <c r="FSX43" s="60"/>
      <c r="FSY43" s="60"/>
      <c r="FSZ43" s="60"/>
      <c r="FTA43" s="60"/>
      <c r="FTB43" s="60"/>
      <c r="FTC43" s="60"/>
      <c r="FTD43" s="60"/>
      <c r="FTE43" s="60"/>
      <c r="FTF43" s="60"/>
      <c r="FTG43" s="60"/>
      <c r="FTH43" s="60"/>
      <c r="FTI43" s="60"/>
      <c r="FTJ43" s="60"/>
      <c r="FTK43" s="60"/>
      <c r="FTL43" s="60"/>
      <c r="FTM43" s="60"/>
      <c r="FTN43" s="60"/>
      <c r="FTO43" s="60"/>
      <c r="FTP43" s="60"/>
      <c r="FTQ43" s="60"/>
      <c r="FTR43" s="60"/>
      <c r="FTS43" s="60"/>
      <c r="FTT43" s="60"/>
      <c r="FTU43" s="60"/>
      <c r="FTV43" s="60"/>
      <c r="FTW43" s="60"/>
      <c r="FTX43" s="60"/>
      <c r="FTY43" s="60"/>
      <c r="FTZ43" s="60"/>
      <c r="FUA43" s="60"/>
      <c r="FUB43" s="60"/>
      <c r="FUC43" s="60"/>
      <c r="FUD43" s="60"/>
      <c r="FUE43" s="60"/>
      <c r="FUF43" s="60"/>
      <c r="FUG43" s="60"/>
      <c r="FUH43" s="60"/>
      <c r="FUI43" s="60"/>
      <c r="FUJ43" s="60"/>
      <c r="FUK43" s="60"/>
      <c r="FUL43" s="60"/>
      <c r="FUM43" s="60"/>
      <c r="FUN43" s="60"/>
      <c r="FUO43" s="60"/>
      <c r="FUP43" s="60"/>
      <c r="FUQ43" s="60"/>
      <c r="FUR43" s="60"/>
      <c r="FUS43" s="60"/>
      <c r="FUT43" s="60"/>
      <c r="FUU43" s="60"/>
      <c r="FUV43" s="60"/>
      <c r="FUW43" s="60"/>
      <c r="FUX43" s="60"/>
      <c r="FUY43" s="60"/>
      <c r="FUZ43" s="60"/>
      <c r="FVA43" s="60"/>
      <c r="FVB43" s="60"/>
      <c r="FVC43" s="60"/>
      <c r="FVD43" s="60"/>
      <c r="FVE43" s="60"/>
      <c r="FVF43" s="60"/>
      <c r="FVG43" s="60"/>
      <c r="FVH43" s="60"/>
      <c r="FVI43" s="60"/>
      <c r="FVJ43" s="60"/>
      <c r="FVK43" s="60"/>
      <c r="FVL43" s="60"/>
      <c r="FVM43" s="60"/>
      <c r="FVN43" s="60"/>
      <c r="FVO43" s="60"/>
      <c r="FVP43" s="60"/>
      <c r="FVQ43" s="60"/>
      <c r="FVR43" s="60"/>
      <c r="FVS43" s="60"/>
      <c r="FVT43" s="60"/>
      <c r="FVU43" s="60"/>
      <c r="FVV43" s="60"/>
      <c r="FVW43" s="60"/>
      <c r="FVX43" s="60"/>
      <c r="FVY43" s="60"/>
      <c r="FVZ43" s="60"/>
      <c r="FWA43" s="60"/>
      <c r="FWB43" s="60"/>
      <c r="FWC43" s="60"/>
      <c r="FWD43" s="60"/>
      <c r="FWE43" s="60"/>
      <c r="FWF43" s="60"/>
      <c r="FWG43" s="60"/>
      <c r="FWH43" s="60"/>
      <c r="FWI43" s="60"/>
      <c r="FWJ43" s="60"/>
      <c r="FWK43" s="60"/>
      <c r="FWL43" s="60"/>
      <c r="FWM43" s="60"/>
      <c r="FWN43" s="60"/>
      <c r="FWO43" s="60"/>
      <c r="FWP43" s="60"/>
      <c r="FWQ43" s="60"/>
      <c r="FWR43" s="60"/>
      <c r="FWS43" s="60"/>
      <c r="FWT43" s="60"/>
      <c r="FWU43" s="60"/>
      <c r="FWV43" s="60"/>
      <c r="FWW43" s="60"/>
      <c r="FWX43" s="60"/>
      <c r="FWY43" s="60"/>
      <c r="FWZ43" s="60"/>
      <c r="FXA43" s="60"/>
      <c r="FXB43" s="60"/>
      <c r="FXC43" s="60"/>
      <c r="FXD43" s="60"/>
      <c r="FXE43" s="60"/>
      <c r="FXF43" s="60"/>
      <c r="FXG43" s="60"/>
      <c r="FXH43" s="60"/>
      <c r="FXI43" s="60"/>
      <c r="FXJ43" s="60"/>
      <c r="FXK43" s="60"/>
      <c r="FXL43" s="60"/>
      <c r="FXM43" s="60"/>
      <c r="FXN43" s="60"/>
      <c r="FXO43" s="60"/>
      <c r="FXP43" s="60"/>
      <c r="FXQ43" s="60"/>
      <c r="FXR43" s="60"/>
      <c r="FXS43" s="60"/>
      <c r="FXT43" s="60"/>
      <c r="FXU43" s="60"/>
      <c r="FXV43" s="60"/>
      <c r="FXW43" s="60"/>
      <c r="FXX43" s="60"/>
      <c r="FXY43" s="60"/>
      <c r="FXZ43" s="60"/>
      <c r="FYA43" s="60"/>
      <c r="FYB43" s="60"/>
      <c r="FYC43" s="60"/>
      <c r="FYD43" s="60"/>
      <c r="FYE43" s="60"/>
      <c r="FYF43" s="60"/>
      <c r="FYG43" s="60"/>
      <c r="FYH43" s="60"/>
      <c r="FYI43" s="60"/>
      <c r="FYJ43" s="60"/>
      <c r="FYK43" s="60"/>
      <c r="FYL43" s="60"/>
      <c r="FYM43" s="60"/>
      <c r="FYN43" s="60"/>
      <c r="FYO43" s="60"/>
      <c r="FYP43" s="60"/>
      <c r="FYQ43" s="60"/>
      <c r="FYR43" s="60"/>
      <c r="FYS43" s="60"/>
      <c r="FYT43" s="60"/>
      <c r="FYU43" s="60"/>
      <c r="FYV43" s="60"/>
      <c r="FYW43" s="60"/>
      <c r="FYX43" s="60"/>
      <c r="FYY43" s="60"/>
      <c r="FYZ43" s="60"/>
      <c r="FZA43" s="60"/>
      <c r="FZB43" s="60"/>
      <c r="FZC43" s="60"/>
      <c r="FZD43" s="60"/>
      <c r="FZE43" s="60"/>
      <c r="FZF43" s="60"/>
      <c r="FZG43" s="60"/>
      <c r="FZH43" s="60"/>
      <c r="FZI43" s="60"/>
      <c r="FZJ43" s="60"/>
      <c r="FZK43" s="60"/>
      <c r="FZL43" s="60"/>
      <c r="FZM43" s="60"/>
      <c r="FZN43" s="60"/>
      <c r="FZO43" s="60"/>
      <c r="FZP43" s="60"/>
      <c r="FZQ43" s="60"/>
      <c r="FZR43" s="60"/>
      <c r="FZS43" s="60"/>
      <c r="FZT43" s="60"/>
      <c r="FZU43" s="60"/>
      <c r="FZV43" s="60"/>
      <c r="FZW43" s="60"/>
      <c r="FZX43" s="60"/>
      <c r="FZY43" s="60"/>
      <c r="FZZ43" s="60"/>
      <c r="GAA43" s="60"/>
      <c r="GAB43" s="60"/>
      <c r="GAC43" s="60"/>
      <c r="GAD43" s="60"/>
      <c r="GAE43" s="60"/>
      <c r="GAF43" s="60"/>
      <c r="GAG43" s="60"/>
      <c r="GAH43" s="60"/>
      <c r="GAI43" s="60"/>
      <c r="GAJ43" s="60"/>
      <c r="GAK43" s="60"/>
      <c r="GAL43" s="60"/>
      <c r="GAM43" s="60"/>
      <c r="GAN43" s="60"/>
      <c r="GAO43" s="60"/>
      <c r="GAP43" s="60"/>
      <c r="GAQ43" s="60"/>
      <c r="GAR43" s="60"/>
      <c r="GAS43" s="60"/>
      <c r="GAT43" s="60"/>
      <c r="GAU43" s="60"/>
      <c r="GAV43" s="60"/>
      <c r="GAW43" s="60"/>
      <c r="GAX43" s="60"/>
      <c r="GAY43" s="60"/>
      <c r="GAZ43" s="60"/>
      <c r="GBA43" s="60"/>
      <c r="GBB43" s="60"/>
      <c r="GBC43" s="60"/>
      <c r="GBD43" s="60"/>
      <c r="GBE43" s="60"/>
      <c r="GBF43" s="60"/>
      <c r="GBG43" s="60"/>
      <c r="GBH43" s="60"/>
      <c r="GBI43" s="60"/>
      <c r="GBJ43" s="60"/>
      <c r="GBK43" s="60"/>
      <c r="GBL43" s="60"/>
      <c r="GBM43" s="60"/>
      <c r="GBN43" s="60"/>
      <c r="GBO43" s="60"/>
      <c r="GBP43" s="60"/>
      <c r="GBQ43" s="60"/>
      <c r="GBR43" s="60"/>
      <c r="GBS43" s="60"/>
      <c r="GBT43" s="60"/>
      <c r="GBU43" s="60"/>
      <c r="GBV43" s="60"/>
      <c r="GBW43" s="60"/>
      <c r="GBX43" s="60"/>
      <c r="GBY43" s="60"/>
      <c r="GBZ43" s="60"/>
      <c r="GCA43" s="60"/>
      <c r="GCB43" s="60"/>
      <c r="GCC43" s="60"/>
      <c r="GCD43" s="60"/>
      <c r="GCE43" s="60"/>
      <c r="GCF43" s="60"/>
      <c r="GCG43" s="60"/>
      <c r="GCH43" s="60"/>
      <c r="GCI43" s="60"/>
      <c r="GCJ43" s="60"/>
      <c r="GCK43" s="60"/>
      <c r="GCL43" s="60"/>
      <c r="GCM43" s="60"/>
      <c r="GCN43" s="60"/>
      <c r="GCO43" s="60"/>
      <c r="GCP43" s="60"/>
      <c r="GCQ43" s="60"/>
      <c r="GCR43" s="60"/>
      <c r="GCS43" s="60"/>
      <c r="GCT43" s="60"/>
      <c r="GCU43" s="60"/>
      <c r="GCV43" s="60"/>
      <c r="GCW43" s="60"/>
      <c r="GCX43" s="60"/>
      <c r="GCY43" s="60"/>
      <c r="GCZ43" s="60"/>
      <c r="GDA43" s="60"/>
      <c r="GDB43" s="60"/>
      <c r="GDC43" s="60"/>
      <c r="GDD43" s="60"/>
      <c r="GDE43" s="60"/>
      <c r="GDF43" s="60"/>
      <c r="GDG43" s="60"/>
      <c r="GDH43" s="60"/>
      <c r="GDI43" s="60"/>
      <c r="GDJ43" s="60"/>
      <c r="GDK43" s="60"/>
      <c r="GDL43" s="60"/>
      <c r="GDM43" s="60"/>
      <c r="GDN43" s="60"/>
      <c r="GDO43" s="60"/>
      <c r="GDP43" s="60"/>
      <c r="GDQ43" s="60"/>
      <c r="GDR43" s="60"/>
      <c r="GDS43" s="60"/>
      <c r="GDT43" s="60"/>
      <c r="GDU43" s="60"/>
      <c r="GDV43" s="60"/>
      <c r="GDW43" s="60"/>
      <c r="GDX43" s="60"/>
      <c r="GDY43" s="60"/>
      <c r="GDZ43" s="60"/>
      <c r="GEA43" s="60"/>
      <c r="GEB43" s="60"/>
      <c r="GEC43" s="60"/>
      <c r="GED43" s="60"/>
      <c r="GEE43" s="60"/>
      <c r="GEF43" s="60"/>
      <c r="GEG43" s="60"/>
      <c r="GEH43" s="60"/>
      <c r="GEI43" s="60"/>
      <c r="GEJ43" s="60"/>
      <c r="GEK43" s="60"/>
      <c r="GEL43" s="60"/>
      <c r="GEM43" s="60"/>
      <c r="GEN43" s="60"/>
      <c r="GEO43" s="60"/>
      <c r="GEP43" s="60"/>
      <c r="GEQ43" s="60"/>
      <c r="GER43" s="60"/>
      <c r="GES43" s="60"/>
      <c r="GET43" s="60"/>
      <c r="GEU43" s="60"/>
      <c r="GEV43" s="60"/>
      <c r="GEW43" s="60"/>
      <c r="GEX43" s="60"/>
      <c r="GEY43" s="60"/>
      <c r="GEZ43" s="60"/>
      <c r="GFA43" s="60"/>
      <c r="GFB43" s="60"/>
      <c r="GFC43" s="60"/>
      <c r="GFD43" s="60"/>
      <c r="GFE43" s="60"/>
      <c r="GFF43" s="60"/>
      <c r="GFG43" s="60"/>
      <c r="GFH43" s="60"/>
      <c r="GFI43" s="60"/>
      <c r="GFJ43" s="60"/>
      <c r="GFK43" s="60"/>
      <c r="GFL43" s="60"/>
      <c r="GFM43" s="60"/>
      <c r="GFN43" s="60"/>
      <c r="GFO43" s="60"/>
      <c r="GFP43" s="60"/>
      <c r="GFQ43" s="60"/>
      <c r="GFR43" s="60"/>
      <c r="GFS43" s="60"/>
      <c r="GFT43" s="60"/>
      <c r="GFU43" s="60"/>
      <c r="GFV43" s="60"/>
      <c r="GFW43" s="60"/>
      <c r="GFX43" s="60"/>
      <c r="GFY43" s="60"/>
      <c r="GFZ43" s="60"/>
      <c r="GGA43" s="60"/>
      <c r="GGB43" s="60"/>
      <c r="GGC43" s="60"/>
      <c r="GGD43" s="60"/>
      <c r="GGE43" s="60"/>
      <c r="GGF43" s="60"/>
      <c r="GGG43" s="60"/>
      <c r="GGH43" s="60"/>
      <c r="GGI43" s="60"/>
      <c r="GGJ43" s="60"/>
      <c r="GGK43" s="60"/>
      <c r="GGL43" s="60"/>
      <c r="GGM43" s="60"/>
      <c r="GGN43" s="60"/>
      <c r="GGO43" s="60"/>
      <c r="GGP43" s="60"/>
      <c r="GGQ43" s="60"/>
      <c r="GGR43" s="60"/>
      <c r="GGS43" s="60"/>
      <c r="GGT43" s="60"/>
      <c r="GGU43" s="60"/>
      <c r="GGV43" s="60"/>
      <c r="GGW43" s="60"/>
      <c r="GGX43" s="60"/>
      <c r="GGY43" s="60"/>
      <c r="GGZ43" s="60"/>
      <c r="GHA43" s="60"/>
      <c r="GHB43" s="60"/>
      <c r="GHC43" s="60"/>
      <c r="GHD43" s="60"/>
      <c r="GHE43" s="60"/>
      <c r="GHF43" s="60"/>
      <c r="GHG43" s="60"/>
      <c r="GHH43" s="60"/>
      <c r="GHI43" s="60"/>
      <c r="GHJ43" s="60"/>
      <c r="GHK43" s="60"/>
      <c r="GHL43" s="60"/>
      <c r="GHM43" s="60"/>
      <c r="GHN43" s="60"/>
      <c r="GHO43" s="60"/>
      <c r="GHP43" s="60"/>
      <c r="GHQ43" s="60"/>
      <c r="GHR43" s="60"/>
      <c r="GHS43" s="60"/>
      <c r="GHT43" s="60"/>
      <c r="GHU43" s="60"/>
      <c r="GHV43" s="60"/>
      <c r="GHW43" s="60"/>
      <c r="GHX43" s="60"/>
      <c r="GHY43" s="60"/>
      <c r="GHZ43" s="60"/>
      <c r="GIA43" s="60"/>
      <c r="GIB43" s="60"/>
      <c r="GIC43" s="60"/>
      <c r="GID43" s="60"/>
      <c r="GIE43" s="60"/>
      <c r="GIF43" s="60"/>
      <c r="GIG43" s="60"/>
      <c r="GIH43" s="60"/>
      <c r="GII43" s="60"/>
      <c r="GIJ43" s="60"/>
      <c r="GIK43" s="60"/>
      <c r="GIL43" s="60"/>
      <c r="GIM43" s="60"/>
      <c r="GIN43" s="60"/>
      <c r="GIO43" s="60"/>
      <c r="GIP43" s="60"/>
      <c r="GIQ43" s="60"/>
      <c r="GIR43" s="60"/>
      <c r="GIS43" s="60"/>
      <c r="GIT43" s="60"/>
      <c r="GIU43" s="60"/>
      <c r="GIV43" s="60"/>
      <c r="GIW43" s="60"/>
      <c r="GIX43" s="60"/>
      <c r="GIY43" s="60"/>
      <c r="GIZ43" s="60"/>
      <c r="GJA43" s="60"/>
      <c r="GJB43" s="60"/>
      <c r="GJC43" s="60"/>
      <c r="GJD43" s="60"/>
      <c r="GJE43" s="60"/>
      <c r="GJF43" s="60"/>
      <c r="GJG43" s="60"/>
      <c r="GJH43" s="60"/>
      <c r="GJI43" s="60"/>
      <c r="GJJ43" s="60"/>
      <c r="GJK43" s="60"/>
      <c r="GJL43" s="60"/>
      <c r="GJM43" s="60"/>
      <c r="GJN43" s="60"/>
      <c r="GJO43" s="60"/>
      <c r="GJP43" s="60"/>
      <c r="GJQ43" s="60"/>
      <c r="GJR43" s="60"/>
      <c r="GJS43" s="60"/>
      <c r="GJT43" s="60"/>
      <c r="GJU43" s="60"/>
      <c r="GJV43" s="60"/>
      <c r="GJW43" s="60"/>
      <c r="GJX43" s="60"/>
      <c r="GJY43" s="60"/>
      <c r="GJZ43" s="60"/>
      <c r="GKA43" s="60"/>
      <c r="GKB43" s="60"/>
      <c r="GKC43" s="60"/>
      <c r="GKD43" s="60"/>
      <c r="GKE43" s="60"/>
      <c r="GKF43" s="60"/>
      <c r="GKG43" s="60"/>
      <c r="GKH43" s="60"/>
      <c r="GKI43" s="60"/>
      <c r="GKJ43" s="60"/>
      <c r="GKK43" s="60"/>
      <c r="GKL43" s="60"/>
      <c r="GKM43" s="60"/>
      <c r="GKN43" s="60"/>
      <c r="GKO43" s="60"/>
      <c r="GKP43" s="60"/>
      <c r="GKQ43" s="60"/>
      <c r="GKR43" s="60"/>
      <c r="GKS43" s="60"/>
      <c r="GKT43" s="60"/>
      <c r="GKU43" s="60"/>
      <c r="GKV43" s="60"/>
      <c r="GKW43" s="60"/>
      <c r="GKX43" s="60"/>
      <c r="GKY43" s="60"/>
      <c r="GKZ43" s="60"/>
      <c r="GLA43" s="60"/>
      <c r="GLB43" s="60"/>
      <c r="GLC43" s="60"/>
      <c r="GLD43" s="60"/>
      <c r="GLE43" s="60"/>
      <c r="GLF43" s="60"/>
      <c r="GLG43" s="60"/>
      <c r="GLH43" s="60"/>
      <c r="GLI43" s="60"/>
      <c r="GLJ43" s="60"/>
      <c r="GLK43" s="60"/>
      <c r="GLL43" s="60"/>
      <c r="GLM43" s="60"/>
      <c r="GLN43" s="60"/>
      <c r="GLO43" s="60"/>
      <c r="GLP43" s="60"/>
      <c r="GLQ43" s="60"/>
      <c r="GLR43" s="60"/>
      <c r="GLS43" s="60"/>
      <c r="GLT43" s="60"/>
      <c r="GLU43" s="60"/>
      <c r="GLV43" s="60"/>
      <c r="GLW43" s="60"/>
      <c r="GLX43" s="60"/>
      <c r="GLY43" s="60"/>
      <c r="GLZ43" s="60"/>
      <c r="GMA43" s="60"/>
      <c r="GMB43" s="60"/>
      <c r="GMC43" s="60"/>
      <c r="GMD43" s="60"/>
      <c r="GME43" s="60"/>
      <c r="GMF43" s="60"/>
      <c r="GMG43" s="60"/>
      <c r="GMH43" s="60"/>
      <c r="GMI43" s="60"/>
      <c r="GMJ43" s="60"/>
      <c r="GMK43" s="60"/>
      <c r="GML43" s="60"/>
      <c r="GMM43" s="60"/>
      <c r="GMN43" s="60"/>
      <c r="GMO43" s="60"/>
      <c r="GMP43" s="60"/>
      <c r="GMQ43" s="60"/>
      <c r="GMR43" s="60"/>
      <c r="GMS43" s="60"/>
      <c r="GMT43" s="60"/>
      <c r="GMU43" s="60"/>
      <c r="GMV43" s="60"/>
      <c r="GMW43" s="60"/>
      <c r="GMX43" s="60"/>
      <c r="GMY43" s="60"/>
      <c r="GMZ43" s="60"/>
      <c r="GNA43" s="60"/>
      <c r="GNB43" s="60"/>
      <c r="GNC43" s="60"/>
      <c r="GND43" s="60"/>
      <c r="GNE43" s="60"/>
      <c r="GNF43" s="60"/>
      <c r="GNG43" s="60"/>
      <c r="GNH43" s="60"/>
      <c r="GNI43" s="60"/>
      <c r="GNJ43" s="60"/>
      <c r="GNK43" s="60"/>
      <c r="GNL43" s="60"/>
      <c r="GNM43" s="60"/>
      <c r="GNN43" s="60"/>
      <c r="GNO43" s="60"/>
      <c r="GNP43" s="60"/>
      <c r="GNQ43" s="60"/>
      <c r="GNR43" s="60"/>
      <c r="GNS43" s="60"/>
      <c r="GNT43" s="60"/>
      <c r="GNU43" s="60"/>
      <c r="GNV43" s="60"/>
      <c r="GNW43" s="60"/>
      <c r="GNX43" s="60"/>
      <c r="GNY43" s="60"/>
      <c r="GNZ43" s="60"/>
      <c r="GOA43" s="60"/>
      <c r="GOB43" s="60"/>
      <c r="GOC43" s="60"/>
      <c r="GOD43" s="60"/>
      <c r="GOE43" s="60"/>
      <c r="GOF43" s="60"/>
      <c r="GOG43" s="60"/>
      <c r="GOH43" s="60"/>
      <c r="GOI43" s="60"/>
      <c r="GOJ43" s="60"/>
      <c r="GOK43" s="60"/>
      <c r="GOL43" s="60"/>
      <c r="GOM43" s="60"/>
      <c r="GON43" s="60"/>
      <c r="GOO43" s="60"/>
      <c r="GOP43" s="60"/>
      <c r="GOQ43" s="60"/>
      <c r="GOR43" s="60"/>
      <c r="GOS43" s="60"/>
      <c r="GOT43" s="60"/>
      <c r="GOU43" s="60"/>
      <c r="GOV43" s="60"/>
      <c r="GOW43" s="60"/>
      <c r="GOX43" s="60"/>
      <c r="GOY43" s="60"/>
      <c r="GOZ43" s="60"/>
      <c r="GPA43" s="60"/>
      <c r="GPB43" s="60"/>
      <c r="GPC43" s="60"/>
      <c r="GPD43" s="60"/>
      <c r="GPE43" s="60"/>
      <c r="GPF43" s="60"/>
      <c r="GPG43" s="60"/>
      <c r="GPH43" s="60"/>
      <c r="GPI43" s="60"/>
      <c r="GPJ43" s="60"/>
      <c r="GPK43" s="60"/>
      <c r="GPL43" s="60"/>
      <c r="GPM43" s="60"/>
      <c r="GPN43" s="60"/>
      <c r="GPO43" s="60"/>
      <c r="GPP43" s="60"/>
      <c r="GPQ43" s="60"/>
      <c r="GPR43" s="60"/>
      <c r="GPS43" s="60"/>
      <c r="GPT43" s="60"/>
      <c r="GPU43" s="60"/>
      <c r="GPV43" s="60"/>
      <c r="GPW43" s="60"/>
      <c r="GPX43" s="60"/>
      <c r="GPY43" s="60"/>
      <c r="GPZ43" s="60"/>
      <c r="GQA43" s="60"/>
      <c r="GQB43" s="60"/>
      <c r="GQC43" s="60"/>
      <c r="GQD43" s="60"/>
      <c r="GQE43" s="60"/>
      <c r="GQF43" s="60"/>
      <c r="GQG43" s="60"/>
      <c r="GQH43" s="60"/>
      <c r="GQI43" s="60"/>
      <c r="GQJ43" s="60"/>
      <c r="GQK43" s="60"/>
      <c r="GQL43" s="60"/>
      <c r="GQM43" s="60"/>
      <c r="GQN43" s="60"/>
      <c r="GQO43" s="60"/>
      <c r="GQP43" s="60"/>
      <c r="GQQ43" s="60"/>
      <c r="GQR43" s="60"/>
      <c r="GQS43" s="60"/>
      <c r="GQT43" s="60"/>
      <c r="GQU43" s="60"/>
      <c r="GQV43" s="60"/>
      <c r="GQW43" s="60"/>
      <c r="GQX43" s="60"/>
      <c r="GQY43" s="60"/>
      <c r="GQZ43" s="60"/>
      <c r="GRA43" s="60"/>
      <c r="GRB43" s="60"/>
      <c r="GRC43" s="60"/>
      <c r="GRD43" s="60"/>
      <c r="GRE43" s="60"/>
      <c r="GRF43" s="60"/>
      <c r="GRG43" s="60"/>
      <c r="GRH43" s="60"/>
      <c r="GRI43" s="60"/>
      <c r="GRJ43" s="60"/>
      <c r="GRK43" s="60"/>
      <c r="GRL43" s="60"/>
      <c r="GRM43" s="60"/>
      <c r="GRN43" s="60"/>
      <c r="GRO43" s="60"/>
      <c r="GRP43" s="60"/>
      <c r="GRQ43" s="60"/>
      <c r="GRR43" s="60"/>
      <c r="GRS43" s="60"/>
      <c r="GRT43" s="60"/>
      <c r="GRU43" s="60"/>
      <c r="GRV43" s="60"/>
      <c r="GRW43" s="60"/>
      <c r="GRX43" s="60"/>
      <c r="GRY43" s="60"/>
      <c r="GRZ43" s="60"/>
      <c r="GSA43" s="60"/>
      <c r="GSB43" s="60"/>
      <c r="GSC43" s="60"/>
      <c r="GSD43" s="60"/>
      <c r="GSE43" s="60"/>
      <c r="GSF43" s="60"/>
      <c r="GSG43" s="60"/>
      <c r="GSH43" s="60"/>
      <c r="GSI43" s="60"/>
      <c r="GSJ43" s="60"/>
      <c r="GSK43" s="60"/>
      <c r="GSL43" s="60"/>
      <c r="GSM43" s="60"/>
      <c r="GSN43" s="60"/>
      <c r="GSO43" s="60"/>
      <c r="GSP43" s="60"/>
      <c r="GSQ43" s="60"/>
      <c r="GSR43" s="60"/>
      <c r="GSS43" s="60"/>
      <c r="GST43" s="60"/>
      <c r="GSU43" s="60"/>
      <c r="GSV43" s="60"/>
      <c r="GSW43" s="60"/>
      <c r="GSX43" s="60"/>
      <c r="GSY43" s="60"/>
      <c r="GSZ43" s="60"/>
      <c r="GTA43" s="60"/>
      <c r="GTB43" s="60"/>
      <c r="GTC43" s="60"/>
      <c r="GTD43" s="60"/>
      <c r="GTE43" s="60"/>
      <c r="GTF43" s="60"/>
      <c r="GTG43" s="60"/>
      <c r="GTH43" s="60"/>
      <c r="GTI43" s="60"/>
      <c r="GTJ43" s="60"/>
      <c r="GTK43" s="60"/>
      <c r="GTL43" s="60"/>
      <c r="GTM43" s="60"/>
      <c r="GTN43" s="60"/>
      <c r="GTO43" s="60"/>
      <c r="GTP43" s="60"/>
      <c r="GTQ43" s="60"/>
      <c r="GTR43" s="60"/>
      <c r="GTS43" s="60"/>
      <c r="GTT43" s="60"/>
      <c r="GTU43" s="60"/>
      <c r="GTV43" s="60"/>
      <c r="GTW43" s="60"/>
      <c r="GTX43" s="60"/>
      <c r="GTY43" s="60"/>
      <c r="GTZ43" s="60"/>
      <c r="GUA43" s="60"/>
      <c r="GUB43" s="60"/>
      <c r="GUC43" s="60"/>
      <c r="GUD43" s="60"/>
      <c r="GUE43" s="60"/>
      <c r="GUF43" s="60"/>
      <c r="GUG43" s="60"/>
      <c r="GUH43" s="60"/>
      <c r="GUI43" s="60"/>
      <c r="GUJ43" s="60"/>
      <c r="GUK43" s="60"/>
      <c r="GUL43" s="60"/>
      <c r="GUM43" s="60"/>
      <c r="GUN43" s="60"/>
      <c r="GUO43" s="60"/>
      <c r="GUP43" s="60"/>
      <c r="GUQ43" s="60"/>
      <c r="GUR43" s="60"/>
      <c r="GUS43" s="60"/>
      <c r="GUT43" s="60"/>
      <c r="GUU43" s="60"/>
      <c r="GUV43" s="60"/>
      <c r="GUW43" s="60"/>
      <c r="GUX43" s="60"/>
      <c r="GUY43" s="60"/>
      <c r="GUZ43" s="60"/>
      <c r="GVA43" s="60"/>
      <c r="GVB43" s="60"/>
      <c r="GVC43" s="60"/>
      <c r="GVD43" s="60"/>
      <c r="GVE43" s="60"/>
      <c r="GVF43" s="60"/>
      <c r="GVG43" s="60"/>
      <c r="GVH43" s="60"/>
      <c r="GVI43" s="60"/>
      <c r="GVJ43" s="60"/>
      <c r="GVK43" s="60"/>
      <c r="GVL43" s="60"/>
      <c r="GVM43" s="60"/>
      <c r="GVN43" s="60"/>
      <c r="GVO43" s="60"/>
      <c r="GVP43" s="60"/>
      <c r="GVQ43" s="60"/>
      <c r="GVR43" s="60"/>
      <c r="GVS43" s="60"/>
      <c r="GVT43" s="60"/>
      <c r="GVU43" s="60"/>
      <c r="GVV43" s="60"/>
      <c r="GVW43" s="60"/>
      <c r="GVX43" s="60"/>
      <c r="GVY43" s="60"/>
      <c r="GVZ43" s="60"/>
      <c r="GWA43" s="60"/>
      <c r="GWB43" s="60"/>
      <c r="GWC43" s="60"/>
      <c r="GWD43" s="60"/>
      <c r="GWE43" s="60"/>
      <c r="GWF43" s="60"/>
      <c r="GWG43" s="60"/>
      <c r="GWH43" s="60"/>
      <c r="GWI43" s="60"/>
      <c r="GWJ43" s="60"/>
      <c r="GWK43" s="60"/>
      <c r="GWL43" s="60"/>
      <c r="GWM43" s="60"/>
      <c r="GWN43" s="60"/>
      <c r="GWO43" s="60"/>
      <c r="GWP43" s="60"/>
      <c r="GWQ43" s="60"/>
      <c r="GWR43" s="60"/>
      <c r="GWS43" s="60"/>
      <c r="GWT43" s="60"/>
      <c r="GWU43" s="60"/>
      <c r="GWV43" s="60"/>
      <c r="GWW43" s="60"/>
      <c r="GWX43" s="60"/>
      <c r="GWY43" s="60"/>
      <c r="GWZ43" s="60"/>
      <c r="GXA43" s="60"/>
      <c r="GXB43" s="60"/>
      <c r="GXC43" s="60"/>
      <c r="GXD43" s="60"/>
      <c r="GXE43" s="60"/>
      <c r="GXF43" s="60"/>
      <c r="GXG43" s="60"/>
      <c r="GXH43" s="60"/>
      <c r="GXI43" s="60"/>
      <c r="GXJ43" s="60"/>
      <c r="GXK43" s="60"/>
      <c r="GXL43" s="60"/>
      <c r="GXM43" s="60"/>
      <c r="GXN43" s="60"/>
      <c r="GXO43" s="60"/>
      <c r="GXP43" s="60"/>
      <c r="GXQ43" s="60"/>
      <c r="GXR43" s="60"/>
      <c r="GXS43" s="60"/>
      <c r="GXT43" s="60"/>
      <c r="GXU43" s="60"/>
      <c r="GXV43" s="60"/>
      <c r="GXW43" s="60"/>
      <c r="GXX43" s="60"/>
      <c r="GXY43" s="60"/>
      <c r="GXZ43" s="60"/>
      <c r="GYA43" s="60"/>
      <c r="GYB43" s="60"/>
      <c r="GYC43" s="60"/>
      <c r="GYD43" s="60"/>
      <c r="GYE43" s="60"/>
      <c r="GYF43" s="60"/>
      <c r="GYG43" s="60"/>
      <c r="GYH43" s="60"/>
      <c r="GYI43" s="60"/>
      <c r="GYJ43" s="60"/>
      <c r="GYK43" s="60"/>
      <c r="GYL43" s="60"/>
      <c r="GYM43" s="60"/>
      <c r="GYN43" s="60"/>
      <c r="GYO43" s="60"/>
      <c r="GYP43" s="60"/>
      <c r="GYQ43" s="60"/>
      <c r="GYR43" s="60"/>
      <c r="GYS43" s="60"/>
      <c r="GYT43" s="60"/>
      <c r="GYU43" s="60"/>
      <c r="GYV43" s="60"/>
      <c r="GYW43" s="60"/>
      <c r="GYX43" s="60"/>
      <c r="GYY43" s="60"/>
      <c r="GYZ43" s="60"/>
      <c r="GZA43" s="60"/>
      <c r="GZB43" s="60"/>
      <c r="GZC43" s="60"/>
      <c r="GZD43" s="60"/>
      <c r="GZE43" s="60"/>
      <c r="GZF43" s="60"/>
      <c r="GZG43" s="60"/>
      <c r="GZH43" s="60"/>
      <c r="GZI43" s="60"/>
      <c r="GZJ43" s="60"/>
      <c r="GZK43" s="60"/>
      <c r="GZL43" s="60"/>
      <c r="GZM43" s="60"/>
      <c r="GZN43" s="60"/>
      <c r="GZO43" s="60"/>
      <c r="GZP43" s="60"/>
      <c r="GZQ43" s="60"/>
      <c r="GZR43" s="60"/>
      <c r="GZS43" s="60"/>
      <c r="GZT43" s="60"/>
      <c r="GZU43" s="60"/>
      <c r="GZV43" s="60"/>
      <c r="GZW43" s="60"/>
      <c r="GZX43" s="60"/>
      <c r="GZY43" s="60"/>
      <c r="GZZ43" s="60"/>
      <c r="HAA43" s="60"/>
      <c r="HAB43" s="60"/>
      <c r="HAC43" s="60"/>
      <c r="HAD43" s="60"/>
      <c r="HAE43" s="60"/>
      <c r="HAF43" s="60"/>
      <c r="HAG43" s="60"/>
      <c r="HAH43" s="60"/>
      <c r="HAI43" s="60"/>
      <c r="HAJ43" s="60"/>
      <c r="HAK43" s="60"/>
      <c r="HAL43" s="60"/>
      <c r="HAM43" s="60"/>
      <c r="HAN43" s="60"/>
      <c r="HAO43" s="60"/>
      <c r="HAP43" s="60"/>
      <c r="HAQ43" s="60"/>
      <c r="HAR43" s="60"/>
      <c r="HAS43" s="60"/>
      <c r="HAT43" s="60"/>
      <c r="HAU43" s="60"/>
      <c r="HAV43" s="60"/>
      <c r="HAW43" s="60"/>
      <c r="HAX43" s="60"/>
      <c r="HAY43" s="60"/>
      <c r="HAZ43" s="60"/>
      <c r="HBA43" s="60"/>
      <c r="HBB43" s="60"/>
      <c r="HBC43" s="60"/>
      <c r="HBD43" s="60"/>
      <c r="HBE43" s="60"/>
      <c r="HBF43" s="60"/>
      <c r="HBG43" s="60"/>
      <c r="HBH43" s="60"/>
      <c r="HBI43" s="60"/>
      <c r="HBJ43" s="60"/>
      <c r="HBK43" s="60"/>
      <c r="HBL43" s="60"/>
      <c r="HBM43" s="60"/>
      <c r="HBN43" s="60"/>
      <c r="HBO43" s="60"/>
      <c r="HBP43" s="60"/>
      <c r="HBQ43" s="60"/>
      <c r="HBR43" s="60"/>
      <c r="HBS43" s="60"/>
      <c r="HBT43" s="60"/>
      <c r="HBU43" s="60"/>
      <c r="HBV43" s="60"/>
      <c r="HBW43" s="60"/>
      <c r="HBX43" s="60"/>
      <c r="HBY43" s="60"/>
      <c r="HBZ43" s="60"/>
      <c r="HCA43" s="60"/>
      <c r="HCB43" s="60"/>
      <c r="HCC43" s="60"/>
      <c r="HCD43" s="60"/>
      <c r="HCE43" s="60"/>
      <c r="HCF43" s="60"/>
      <c r="HCG43" s="60"/>
      <c r="HCH43" s="60"/>
      <c r="HCI43" s="60"/>
      <c r="HCJ43" s="60"/>
      <c r="HCK43" s="60"/>
      <c r="HCL43" s="60"/>
      <c r="HCM43" s="60"/>
      <c r="HCN43" s="60"/>
      <c r="HCO43" s="60"/>
      <c r="HCP43" s="60"/>
      <c r="HCQ43" s="60"/>
      <c r="HCR43" s="60"/>
      <c r="HCS43" s="60"/>
      <c r="HCT43" s="60"/>
      <c r="HCU43" s="60"/>
      <c r="HCV43" s="60"/>
      <c r="HCW43" s="60"/>
      <c r="HCX43" s="60"/>
      <c r="HCY43" s="60"/>
      <c r="HCZ43" s="60"/>
      <c r="HDA43" s="60"/>
      <c r="HDB43" s="60"/>
      <c r="HDC43" s="60"/>
      <c r="HDD43" s="60"/>
      <c r="HDE43" s="60"/>
      <c r="HDF43" s="60"/>
      <c r="HDG43" s="60"/>
      <c r="HDH43" s="60"/>
      <c r="HDI43" s="60"/>
      <c r="HDJ43" s="60"/>
      <c r="HDK43" s="60"/>
      <c r="HDL43" s="60"/>
      <c r="HDM43" s="60"/>
      <c r="HDN43" s="60"/>
      <c r="HDO43" s="60"/>
      <c r="HDP43" s="60"/>
      <c r="HDQ43" s="60"/>
      <c r="HDR43" s="60"/>
      <c r="HDS43" s="60"/>
      <c r="HDT43" s="60"/>
      <c r="HDU43" s="60"/>
      <c r="HDV43" s="60"/>
      <c r="HDW43" s="60"/>
      <c r="HDX43" s="60"/>
      <c r="HDY43" s="60"/>
      <c r="HDZ43" s="60"/>
      <c r="HEA43" s="60"/>
      <c r="HEB43" s="60"/>
      <c r="HEC43" s="60"/>
      <c r="HED43" s="60"/>
      <c r="HEE43" s="60"/>
      <c r="HEF43" s="60"/>
      <c r="HEG43" s="60"/>
      <c r="HEH43" s="60"/>
      <c r="HEI43" s="60"/>
      <c r="HEJ43" s="60"/>
      <c r="HEK43" s="60"/>
      <c r="HEL43" s="60"/>
      <c r="HEM43" s="60"/>
      <c r="HEN43" s="60"/>
      <c r="HEO43" s="60"/>
      <c r="HEP43" s="60"/>
      <c r="HEQ43" s="60"/>
      <c r="HER43" s="60"/>
      <c r="HES43" s="60"/>
      <c r="HET43" s="60"/>
      <c r="HEU43" s="60"/>
      <c r="HEV43" s="60"/>
      <c r="HEW43" s="60"/>
      <c r="HEX43" s="60"/>
      <c r="HEY43" s="60"/>
      <c r="HEZ43" s="60"/>
      <c r="HFA43" s="60"/>
      <c r="HFB43" s="60"/>
      <c r="HFC43" s="60"/>
      <c r="HFD43" s="60"/>
      <c r="HFE43" s="60"/>
      <c r="HFF43" s="60"/>
      <c r="HFG43" s="60"/>
      <c r="HFH43" s="60"/>
      <c r="HFI43" s="60"/>
      <c r="HFJ43" s="60"/>
      <c r="HFK43" s="60"/>
      <c r="HFL43" s="60"/>
      <c r="HFM43" s="60"/>
      <c r="HFN43" s="60"/>
      <c r="HFO43" s="60"/>
      <c r="HFP43" s="60"/>
      <c r="HFQ43" s="60"/>
      <c r="HFR43" s="60"/>
      <c r="HFS43" s="60"/>
      <c r="HFT43" s="60"/>
      <c r="HFU43" s="60"/>
      <c r="HFV43" s="60"/>
      <c r="HFW43" s="60"/>
      <c r="HFX43" s="60"/>
      <c r="HFY43" s="60"/>
      <c r="HFZ43" s="60"/>
      <c r="HGA43" s="60"/>
      <c r="HGB43" s="60"/>
      <c r="HGC43" s="60"/>
      <c r="HGD43" s="60"/>
      <c r="HGE43" s="60"/>
      <c r="HGF43" s="60"/>
      <c r="HGG43" s="60"/>
      <c r="HGH43" s="60"/>
      <c r="HGI43" s="60"/>
      <c r="HGJ43" s="60"/>
      <c r="HGK43" s="60"/>
      <c r="HGL43" s="60"/>
      <c r="HGM43" s="60"/>
      <c r="HGN43" s="60"/>
      <c r="HGO43" s="60"/>
      <c r="HGP43" s="60"/>
      <c r="HGQ43" s="60"/>
      <c r="HGR43" s="60"/>
      <c r="HGS43" s="60"/>
      <c r="HGT43" s="60"/>
      <c r="HGU43" s="60"/>
      <c r="HGV43" s="60"/>
      <c r="HGW43" s="60"/>
      <c r="HGX43" s="60"/>
      <c r="HGY43" s="60"/>
      <c r="HGZ43" s="60"/>
      <c r="HHA43" s="60"/>
      <c r="HHB43" s="60"/>
      <c r="HHC43" s="60"/>
      <c r="HHD43" s="60"/>
      <c r="HHE43" s="60"/>
      <c r="HHF43" s="60"/>
      <c r="HHG43" s="60"/>
      <c r="HHH43" s="60"/>
      <c r="HHI43" s="60"/>
      <c r="HHJ43" s="60"/>
      <c r="HHK43" s="60"/>
      <c r="HHL43" s="60"/>
      <c r="HHM43" s="60"/>
      <c r="HHN43" s="60"/>
      <c r="HHO43" s="60"/>
      <c r="HHP43" s="60"/>
      <c r="HHQ43" s="60"/>
      <c r="HHR43" s="60"/>
      <c r="HHS43" s="60"/>
      <c r="HHT43" s="60"/>
      <c r="HHU43" s="60"/>
      <c r="HHV43" s="60"/>
      <c r="HHW43" s="60"/>
      <c r="HHX43" s="60"/>
      <c r="HHY43" s="60"/>
      <c r="HHZ43" s="60"/>
      <c r="HIA43" s="60"/>
      <c r="HIB43" s="60"/>
      <c r="HIC43" s="60"/>
      <c r="HID43" s="60"/>
      <c r="HIE43" s="60"/>
      <c r="HIF43" s="60"/>
      <c r="HIG43" s="60"/>
      <c r="HIH43" s="60"/>
      <c r="HII43" s="60"/>
      <c r="HIJ43" s="60"/>
      <c r="HIK43" s="60"/>
      <c r="HIL43" s="60"/>
      <c r="HIM43" s="60"/>
      <c r="HIN43" s="60"/>
      <c r="HIO43" s="60"/>
      <c r="HIP43" s="60"/>
      <c r="HIQ43" s="60"/>
      <c r="HIR43" s="60"/>
      <c r="HIS43" s="60"/>
      <c r="HIT43" s="60"/>
      <c r="HIU43" s="60"/>
      <c r="HIV43" s="60"/>
      <c r="HIW43" s="60"/>
      <c r="HIX43" s="60"/>
      <c r="HIY43" s="60"/>
      <c r="HIZ43" s="60"/>
      <c r="HJA43" s="60"/>
      <c r="HJB43" s="60"/>
      <c r="HJC43" s="60"/>
      <c r="HJD43" s="60"/>
      <c r="HJE43" s="60"/>
      <c r="HJF43" s="60"/>
      <c r="HJG43" s="60"/>
      <c r="HJH43" s="60"/>
      <c r="HJI43" s="60"/>
      <c r="HJJ43" s="60"/>
      <c r="HJK43" s="60"/>
      <c r="HJL43" s="60"/>
      <c r="HJM43" s="60"/>
      <c r="HJN43" s="60"/>
      <c r="HJO43" s="60"/>
      <c r="HJP43" s="60"/>
      <c r="HJQ43" s="60"/>
      <c r="HJR43" s="60"/>
      <c r="HJS43" s="60"/>
      <c r="HJT43" s="60"/>
      <c r="HJU43" s="60"/>
      <c r="HJV43" s="60"/>
      <c r="HJW43" s="60"/>
      <c r="HJX43" s="60"/>
      <c r="HJY43" s="60"/>
      <c r="HJZ43" s="60"/>
      <c r="HKA43" s="60"/>
      <c r="HKB43" s="60"/>
      <c r="HKC43" s="60"/>
      <c r="HKD43" s="60"/>
      <c r="HKE43" s="60"/>
      <c r="HKF43" s="60"/>
      <c r="HKG43" s="60"/>
      <c r="HKH43" s="60"/>
      <c r="HKI43" s="60"/>
      <c r="HKJ43" s="60"/>
      <c r="HKK43" s="60"/>
      <c r="HKL43" s="60"/>
      <c r="HKM43" s="60"/>
      <c r="HKN43" s="60"/>
      <c r="HKO43" s="60"/>
      <c r="HKP43" s="60"/>
      <c r="HKQ43" s="60"/>
      <c r="HKR43" s="60"/>
      <c r="HKS43" s="60"/>
      <c r="HKT43" s="60"/>
      <c r="HKU43" s="60"/>
      <c r="HKV43" s="60"/>
      <c r="HKW43" s="60"/>
      <c r="HKX43" s="60"/>
      <c r="HKY43" s="60"/>
      <c r="HKZ43" s="60"/>
      <c r="HLA43" s="60"/>
      <c r="HLB43" s="60"/>
      <c r="HLC43" s="60"/>
      <c r="HLD43" s="60"/>
      <c r="HLE43" s="60"/>
      <c r="HLF43" s="60"/>
      <c r="HLG43" s="60"/>
      <c r="HLH43" s="60"/>
      <c r="HLI43" s="60"/>
      <c r="HLJ43" s="60"/>
      <c r="HLK43" s="60"/>
      <c r="HLL43" s="60"/>
      <c r="HLM43" s="60"/>
      <c r="HLN43" s="60"/>
      <c r="HLO43" s="60"/>
      <c r="HLP43" s="60"/>
      <c r="HLQ43" s="60"/>
      <c r="HLR43" s="60"/>
      <c r="HLS43" s="60"/>
      <c r="HLT43" s="60"/>
      <c r="HLU43" s="60"/>
      <c r="HLV43" s="60"/>
      <c r="HLW43" s="60"/>
      <c r="HLX43" s="60"/>
      <c r="HLY43" s="60"/>
      <c r="HLZ43" s="60"/>
      <c r="HMA43" s="60"/>
      <c r="HMB43" s="60"/>
      <c r="HMC43" s="60"/>
      <c r="HMD43" s="60"/>
      <c r="HME43" s="60"/>
      <c r="HMF43" s="60"/>
      <c r="HMG43" s="60"/>
      <c r="HMH43" s="60"/>
      <c r="HMI43" s="60"/>
      <c r="HMJ43" s="60"/>
      <c r="HMK43" s="60"/>
      <c r="HML43" s="60"/>
      <c r="HMM43" s="60"/>
      <c r="HMN43" s="60"/>
      <c r="HMO43" s="60"/>
      <c r="HMP43" s="60"/>
      <c r="HMQ43" s="60"/>
      <c r="HMR43" s="60"/>
      <c r="HMS43" s="60"/>
      <c r="HMT43" s="60"/>
      <c r="HMU43" s="60"/>
      <c r="HMV43" s="60"/>
      <c r="HMW43" s="60"/>
      <c r="HMX43" s="60"/>
      <c r="HMY43" s="60"/>
      <c r="HMZ43" s="60"/>
      <c r="HNA43" s="60"/>
      <c r="HNB43" s="60"/>
      <c r="HNC43" s="60"/>
      <c r="HND43" s="60"/>
      <c r="HNE43" s="60"/>
      <c r="HNF43" s="60"/>
      <c r="HNG43" s="60"/>
      <c r="HNH43" s="60"/>
      <c r="HNI43" s="60"/>
      <c r="HNJ43" s="60"/>
      <c r="HNK43" s="60"/>
      <c r="HNL43" s="60"/>
      <c r="HNM43" s="60"/>
      <c r="HNN43" s="60"/>
      <c r="HNO43" s="60"/>
      <c r="HNP43" s="60"/>
      <c r="HNQ43" s="60"/>
      <c r="HNR43" s="60"/>
      <c r="HNS43" s="60"/>
      <c r="HNT43" s="60"/>
      <c r="HNU43" s="60"/>
      <c r="HNV43" s="60"/>
      <c r="HNW43" s="60"/>
      <c r="HNX43" s="60"/>
      <c r="HNY43" s="60"/>
      <c r="HNZ43" s="60"/>
      <c r="HOA43" s="60"/>
      <c r="HOB43" s="60"/>
      <c r="HOC43" s="60"/>
      <c r="HOD43" s="60"/>
      <c r="HOE43" s="60"/>
      <c r="HOF43" s="60"/>
      <c r="HOG43" s="60"/>
      <c r="HOH43" s="60"/>
      <c r="HOI43" s="60"/>
      <c r="HOJ43" s="60"/>
      <c r="HOK43" s="60"/>
      <c r="HOL43" s="60"/>
      <c r="HOM43" s="60"/>
      <c r="HON43" s="60"/>
      <c r="HOO43" s="60"/>
      <c r="HOP43" s="60"/>
      <c r="HOQ43" s="60"/>
      <c r="HOR43" s="60"/>
      <c r="HOS43" s="60"/>
      <c r="HOT43" s="60"/>
      <c r="HOU43" s="60"/>
      <c r="HOV43" s="60"/>
      <c r="HOW43" s="60"/>
      <c r="HOX43" s="60"/>
      <c r="HOY43" s="60"/>
      <c r="HOZ43" s="60"/>
      <c r="HPA43" s="60"/>
      <c r="HPB43" s="60"/>
      <c r="HPC43" s="60"/>
      <c r="HPD43" s="60"/>
      <c r="HPE43" s="60"/>
      <c r="HPF43" s="60"/>
      <c r="HPG43" s="60"/>
      <c r="HPH43" s="60"/>
      <c r="HPI43" s="60"/>
      <c r="HPJ43" s="60"/>
      <c r="HPK43" s="60"/>
      <c r="HPL43" s="60"/>
      <c r="HPM43" s="60"/>
      <c r="HPN43" s="60"/>
      <c r="HPO43" s="60"/>
      <c r="HPP43" s="60"/>
      <c r="HPQ43" s="60"/>
      <c r="HPR43" s="60"/>
      <c r="HPS43" s="60"/>
      <c r="HPT43" s="60"/>
      <c r="HPU43" s="60"/>
      <c r="HPV43" s="60"/>
      <c r="HPW43" s="60"/>
      <c r="HPX43" s="60"/>
      <c r="HPY43" s="60"/>
      <c r="HPZ43" s="60"/>
      <c r="HQA43" s="60"/>
      <c r="HQB43" s="60"/>
      <c r="HQC43" s="60"/>
      <c r="HQD43" s="60"/>
      <c r="HQE43" s="60"/>
      <c r="HQF43" s="60"/>
      <c r="HQG43" s="60"/>
      <c r="HQH43" s="60"/>
      <c r="HQI43" s="60"/>
      <c r="HQJ43" s="60"/>
      <c r="HQK43" s="60"/>
      <c r="HQL43" s="60"/>
      <c r="HQM43" s="60"/>
      <c r="HQN43" s="60"/>
      <c r="HQO43" s="60"/>
      <c r="HQP43" s="60"/>
      <c r="HQQ43" s="60"/>
      <c r="HQR43" s="60"/>
      <c r="HQS43" s="60"/>
      <c r="HQT43" s="60"/>
      <c r="HQU43" s="60"/>
      <c r="HQV43" s="60"/>
      <c r="HQW43" s="60"/>
      <c r="HQX43" s="60"/>
      <c r="HQY43" s="60"/>
      <c r="HQZ43" s="60"/>
      <c r="HRA43" s="60"/>
      <c r="HRB43" s="60"/>
      <c r="HRC43" s="60"/>
      <c r="HRD43" s="60"/>
      <c r="HRE43" s="60"/>
      <c r="HRF43" s="60"/>
      <c r="HRG43" s="60"/>
      <c r="HRH43" s="60"/>
      <c r="HRI43" s="60"/>
      <c r="HRJ43" s="60"/>
      <c r="HRK43" s="60"/>
      <c r="HRL43" s="60"/>
      <c r="HRM43" s="60"/>
      <c r="HRN43" s="60"/>
      <c r="HRO43" s="60"/>
      <c r="HRP43" s="60"/>
      <c r="HRQ43" s="60"/>
      <c r="HRR43" s="60"/>
      <c r="HRS43" s="60"/>
      <c r="HRT43" s="60"/>
      <c r="HRU43" s="60"/>
      <c r="HRV43" s="60"/>
      <c r="HRW43" s="60"/>
      <c r="HRX43" s="60"/>
      <c r="HRY43" s="60"/>
      <c r="HRZ43" s="60"/>
      <c r="HSA43" s="60"/>
      <c r="HSB43" s="60"/>
      <c r="HSC43" s="60"/>
      <c r="HSD43" s="60"/>
      <c r="HSE43" s="60"/>
      <c r="HSF43" s="60"/>
      <c r="HSG43" s="60"/>
      <c r="HSH43" s="60"/>
      <c r="HSI43" s="60"/>
      <c r="HSJ43" s="60"/>
      <c r="HSK43" s="60"/>
      <c r="HSL43" s="60"/>
      <c r="HSM43" s="60"/>
      <c r="HSN43" s="60"/>
      <c r="HSO43" s="60"/>
      <c r="HSP43" s="60"/>
      <c r="HSQ43" s="60"/>
      <c r="HSR43" s="60"/>
      <c r="HSS43" s="60"/>
      <c r="HST43" s="60"/>
      <c r="HSU43" s="60"/>
      <c r="HSV43" s="60"/>
      <c r="HSW43" s="60"/>
      <c r="HSX43" s="60"/>
      <c r="HSY43" s="60"/>
      <c r="HSZ43" s="60"/>
      <c r="HTA43" s="60"/>
      <c r="HTB43" s="60"/>
      <c r="HTC43" s="60"/>
      <c r="HTD43" s="60"/>
      <c r="HTE43" s="60"/>
      <c r="HTF43" s="60"/>
      <c r="HTG43" s="60"/>
      <c r="HTH43" s="60"/>
      <c r="HTI43" s="60"/>
      <c r="HTJ43" s="60"/>
      <c r="HTK43" s="60"/>
      <c r="HTL43" s="60"/>
      <c r="HTM43" s="60"/>
      <c r="HTN43" s="60"/>
      <c r="HTO43" s="60"/>
      <c r="HTP43" s="60"/>
      <c r="HTQ43" s="60"/>
      <c r="HTR43" s="60"/>
      <c r="HTS43" s="60"/>
      <c r="HTT43" s="60"/>
      <c r="HTU43" s="60"/>
      <c r="HTV43" s="60"/>
      <c r="HTW43" s="60"/>
      <c r="HTX43" s="60"/>
      <c r="HTY43" s="60"/>
      <c r="HTZ43" s="60"/>
      <c r="HUA43" s="60"/>
      <c r="HUB43" s="60"/>
      <c r="HUC43" s="60"/>
      <c r="HUD43" s="60"/>
      <c r="HUE43" s="60"/>
      <c r="HUF43" s="60"/>
      <c r="HUG43" s="60"/>
      <c r="HUH43" s="60"/>
      <c r="HUI43" s="60"/>
      <c r="HUJ43" s="60"/>
      <c r="HUK43" s="60"/>
      <c r="HUL43" s="60"/>
      <c r="HUM43" s="60"/>
      <c r="HUN43" s="60"/>
      <c r="HUO43" s="60"/>
      <c r="HUP43" s="60"/>
      <c r="HUQ43" s="60"/>
      <c r="HUR43" s="60"/>
      <c r="HUS43" s="60"/>
      <c r="HUT43" s="60"/>
      <c r="HUU43" s="60"/>
      <c r="HUV43" s="60"/>
      <c r="HUW43" s="60"/>
      <c r="HUX43" s="60"/>
      <c r="HUY43" s="60"/>
      <c r="HUZ43" s="60"/>
      <c r="HVA43" s="60"/>
      <c r="HVB43" s="60"/>
      <c r="HVC43" s="60"/>
      <c r="HVD43" s="60"/>
      <c r="HVE43" s="60"/>
      <c r="HVF43" s="60"/>
      <c r="HVG43" s="60"/>
      <c r="HVH43" s="60"/>
      <c r="HVI43" s="60"/>
      <c r="HVJ43" s="60"/>
      <c r="HVK43" s="60"/>
      <c r="HVL43" s="60"/>
      <c r="HVM43" s="60"/>
      <c r="HVN43" s="60"/>
      <c r="HVO43" s="60"/>
      <c r="HVP43" s="60"/>
      <c r="HVQ43" s="60"/>
      <c r="HVR43" s="60"/>
      <c r="HVS43" s="60"/>
      <c r="HVT43" s="60"/>
      <c r="HVU43" s="60"/>
      <c r="HVV43" s="60"/>
      <c r="HVW43" s="60"/>
      <c r="HVX43" s="60"/>
      <c r="HVY43" s="60"/>
      <c r="HVZ43" s="60"/>
      <c r="HWA43" s="60"/>
      <c r="HWB43" s="60"/>
      <c r="HWC43" s="60"/>
      <c r="HWD43" s="60"/>
      <c r="HWE43" s="60"/>
      <c r="HWF43" s="60"/>
      <c r="HWG43" s="60"/>
      <c r="HWH43" s="60"/>
      <c r="HWI43" s="60"/>
      <c r="HWJ43" s="60"/>
      <c r="HWK43" s="60"/>
      <c r="HWL43" s="60"/>
      <c r="HWM43" s="60"/>
      <c r="HWN43" s="60"/>
      <c r="HWO43" s="60"/>
      <c r="HWP43" s="60"/>
      <c r="HWQ43" s="60"/>
      <c r="HWR43" s="60"/>
      <c r="HWS43" s="60"/>
      <c r="HWT43" s="60"/>
      <c r="HWU43" s="60"/>
      <c r="HWV43" s="60"/>
      <c r="HWW43" s="60"/>
      <c r="HWX43" s="60"/>
      <c r="HWY43" s="60"/>
      <c r="HWZ43" s="60"/>
      <c r="HXA43" s="60"/>
      <c r="HXB43" s="60"/>
      <c r="HXC43" s="60"/>
      <c r="HXD43" s="60"/>
      <c r="HXE43" s="60"/>
      <c r="HXF43" s="60"/>
      <c r="HXG43" s="60"/>
      <c r="HXH43" s="60"/>
      <c r="HXI43" s="60"/>
      <c r="HXJ43" s="60"/>
      <c r="HXK43" s="60"/>
      <c r="HXL43" s="60"/>
      <c r="HXM43" s="60"/>
      <c r="HXN43" s="60"/>
      <c r="HXO43" s="60"/>
      <c r="HXP43" s="60"/>
      <c r="HXQ43" s="60"/>
      <c r="HXR43" s="60"/>
      <c r="HXS43" s="60"/>
      <c r="HXT43" s="60"/>
      <c r="HXU43" s="60"/>
      <c r="HXV43" s="60"/>
      <c r="HXW43" s="60"/>
      <c r="HXX43" s="60"/>
      <c r="HXY43" s="60"/>
      <c r="HXZ43" s="60"/>
      <c r="HYA43" s="60"/>
      <c r="HYB43" s="60"/>
      <c r="HYC43" s="60"/>
      <c r="HYD43" s="60"/>
      <c r="HYE43" s="60"/>
      <c r="HYF43" s="60"/>
      <c r="HYG43" s="60"/>
      <c r="HYH43" s="60"/>
      <c r="HYI43" s="60"/>
      <c r="HYJ43" s="60"/>
      <c r="HYK43" s="60"/>
      <c r="HYL43" s="60"/>
      <c r="HYM43" s="60"/>
      <c r="HYN43" s="60"/>
      <c r="HYO43" s="60"/>
      <c r="HYP43" s="60"/>
      <c r="HYQ43" s="60"/>
      <c r="HYR43" s="60"/>
      <c r="HYS43" s="60"/>
      <c r="HYT43" s="60"/>
      <c r="HYU43" s="60"/>
      <c r="HYV43" s="60"/>
      <c r="HYW43" s="60"/>
      <c r="HYX43" s="60"/>
      <c r="HYY43" s="60"/>
      <c r="HYZ43" s="60"/>
      <c r="HZA43" s="60"/>
      <c r="HZB43" s="60"/>
      <c r="HZC43" s="60"/>
      <c r="HZD43" s="60"/>
      <c r="HZE43" s="60"/>
      <c r="HZF43" s="60"/>
      <c r="HZG43" s="60"/>
      <c r="HZH43" s="60"/>
      <c r="HZI43" s="60"/>
      <c r="HZJ43" s="60"/>
      <c r="HZK43" s="60"/>
      <c r="HZL43" s="60"/>
      <c r="HZM43" s="60"/>
      <c r="HZN43" s="60"/>
      <c r="HZO43" s="60"/>
      <c r="HZP43" s="60"/>
      <c r="HZQ43" s="60"/>
      <c r="HZR43" s="60"/>
      <c r="HZS43" s="60"/>
      <c r="HZT43" s="60"/>
      <c r="HZU43" s="60"/>
      <c r="HZV43" s="60"/>
      <c r="HZW43" s="60"/>
      <c r="HZX43" s="60"/>
      <c r="HZY43" s="60"/>
      <c r="HZZ43" s="60"/>
      <c r="IAA43" s="60"/>
      <c r="IAB43" s="60"/>
      <c r="IAC43" s="60"/>
      <c r="IAD43" s="60"/>
      <c r="IAE43" s="60"/>
      <c r="IAF43" s="60"/>
      <c r="IAG43" s="60"/>
      <c r="IAH43" s="60"/>
      <c r="IAI43" s="60"/>
      <c r="IAJ43" s="60"/>
      <c r="IAK43" s="60"/>
      <c r="IAL43" s="60"/>
      <c r="IAM43" s="60"/>
      <c r="IAN43" s="60"/>
      <c r="IAO43" s="60"/>
      <c r="IAP43" s="60"/>
      <c r="IAQ43" s="60"/>
      <c r="IAR43" s="60"/>
      <c r="IAS43" s="60"/>
      <c r="IAT43" s="60"/>
      <c r="IAU43" s="60"/>
      <c r="IAV43" s="60"/>
      <c r="IAW43" s="60"/>
      <c r="IAX43" s="60"/>
      <c r="IAY43" s="60"/>
      <c r="IAZ43" s="60"/>
      <c r="IBA43" s="60"/>
      <c r="IBB43" s="60"/>
      <c r="IBC43" s="60"/>
      <c r="IBD43" s="60"/>
      <c r="IBE43" s="60"/>
      <c r="IBF43" s="60"/>
      <c r="IBG43" s="60"/>
      <c r="IBH43" s="60"/>
      <c r="IBI43" s="60"/>
      <c r="IBJ43" s="60"/>
      <c r="IBK43" s="60"/>
      <c r="IBL43" s="60"/>
      <c r="IBM43" s="60"/>
      <c r="IBN43" s="60"/>
      <c r="IBO43" s="60"/>
      <c r="IBP43" s="60"/>
      <c r="IBQ43" s="60"/>
      <c r="IBR43" s="60"/>
      <c r="IBS43" s="60"/>
      <c r="IBT43" s="60"/>
      <c r="IBU43" s="60"/>
      <c r="IBV43" s="60"/>
      <c r="IBW43" s="60"/>
      <c r="IBX43" s="60"/>
      <c r="IBY43" s="60"/>
      <c r="IBZ43" s="60"/>
      <c r="ICA43" s="60"/>
      <c r="ICB43" s="60"/>
      <c r="ICC43" s="60"/>
      <c r="ICD43" s="60"/>
      <c r="ICE43" s="60"/>
      <c r="ICF43" s="60"/>
      <c r="ICG43" s="60"/>
      <c r="ICH43" s="60"/>
      <c r="ICI43" s="60"/>
      <c r="ICJ43" s="60"/>
      <c r="ICK43" s="60"/>
      <c r="ICL43" s="60"/>
      <c r="ICM43" s="60"/>
      <c r="ICN43" s="60"/>
      <c r="ICO43" s="60"/>
      <c r="ICP43" s="60"/>
      <c r="ICQ43" s="60"/>
      <c r="ICR43" s="60"/>
      <c r="ICS43" s="60"/>
      <c r="ICT43" s="60"/>
      <c r="ICU43" s="60"/>
      <c r="ICV43" s="60"/>
      <c r="ICW43" s="60"/>
      <c r="ICX43" s="60"/>
      <c r="ICY43" s="60"/>
      <c r="ICZ43" s="60"/>
      <c r="IDA43" s="60"/>
      <c r="IDB43" s="60"/>
      <c r="IDC43" s="60"/>
      <c r="IDD43" s="60"/>
      <c r="IDE43" s="60"/>
      <c r="IDF43" s="60"/>
      <c r="IDG43" s="60"/>
      <c r="IDH43" s="60"/>
      <c r="IDI43" s="60"/>
      <c r="IDJ43" s="60"/>
      <c r="IDK43" s="60"/>
      <c r="IDL43" s="60"/>
      <c r="IDM43" s="60"/>
      <c r="IDN43" s="60"/>
      <c r="IDO43" s="60"/>
      <c r="IDP43" s="60"/>
      <c r="IDQ43" s="60"/>
      <c r="IDR43" s="60"/>
      <c r="IDS43" s="60"/>
      <c r="IDT43" s="60"/>
      <c r="IDU43" s="60"/>
      <c r="IDV43" s="60"/>
      <c r="IDW43" s="60"/>
      <c r="IDX43" s="60"/>
      <c r="IDY43" s="60"/>
      <c r="IDZ43" s="60"/>
      <c r="IEA43" s="60"/>
      <c r="IEB43" s="60"/>
      <c r="IEC43" s="60"/>
      <c r="IED43" s="60"/>
      <c r="IEE43" s="60"/>
      <c r="IEF43" s="60"/>
      <c r="IEG43" s="60"/>
      <c r="IEH43" s="60"/>
      <c r="IEI43" s="60"/>
      <c r="IEJ43" s="60"/>
      <c r="IEK43" s="60"/>
      <c r="IEL43" s="60"/>
      <c r="IEM43" s="60"/>
      <c r="IEN43" s="60"/>
      <c r="IEO43" s="60"/>
      <c r="IEP43" s="60"/>
      <c r="IEQ43" s="60"/>
      <c r="IER43" s="60"/>
      <c r="IES43" s="60"/>
      <c r="IET43" s="60"/>
      <c r="IEU43" s="60"/>
      <c r="IEV43" s="60"/>
      <c r="IEW43" s="60"/>
      <c r="IEX43" s="60"/>
      <c r="IEY43" s="60"/>
      <c r="IEZ43" s="60"/>
      <c r="IFA43" s="60"/>
      <c r="IFB43" s="60"/>
      <c r="IFC43" s="60"/>
      <c r="IFD43" s="60"/>
      <c r="IFE43" s="60"/>
      <c r="IFF43" s="60"/>
      <c r="IFG43" s="60"/>
      <c r="IFH43" s="60"/>
      <c r="IFI43" s="60"/>
      <c r="IFJ43" s="60"/>
      <c r="IFK43" s="60"/>
      <c r="IFL43" s="60"/>
      <c r="IFM43" s="60"/>
      <c r="IFN43" s="60"/>
      <c r="IFO43" s="60"/>
      <c r="IFP43" s="60"/>
      <c r="IFQ43" s="60"/>
      <c r="IFR43" s="60"/>
      <c r="IFS43" s="60"/>
      <c r="IFT43" s="60"/>
      <c r="IFU43" s="60"/>
      <c r="IFV43" s="60"/>
      <c r="IFW43" s="60"/>
      <c r="IFX43" s="60"/>
      <c r="IFY43" s="60"/>
      <c r="IFZ43" s="60"/>
      <c r="IGA43" s="60"/>
      <c r="IGB43" s="60"/>
      <c r="IGC43" s="60"/>
      <c r="IGD43" s="60"/>
      <c r="IGE43" s="60"/>
      <c r="IGF43" s="60"/>
      <c r="IGG43" s="60"/>
      <c r="IGH43" s="60"/>
      <c r="IGI43" s="60"/>
      <c r="IGJ43" s="60"/>
      <c r="IGK43" s="60"/>
      <c r="IGL43" s="60"/>
      <c r="IGM43" s="60"/>
      <c r="IGN43" s="60"/>
      <c r="IGO43" s="60"/>
      <c r="IGP43" s="60"/>
      <c r="IGQ43" s="60"/>
      <c r="IGR43" s="60"/>
      <c r="IGS43" s="60"/>
      <c r="IGT43" s="60"/>
      <c r="IGU43" s="60"/>
      <c r="IGV43" s="60"/>
      <c r="IGW43" s="60"/>
      <c r="IGX43" s="60"/>
      <c r="IGY43" s="60"/>
      <c r="IGZ43" s="60"/>
      <c r="IHA43" s="60"/>
      <c r="IHB43" s="60"/>
      <c r="IHC43" s="60"/>
      <c r="IHD43" s="60"/>
      <c r="IHE43" s="60"/>
      <c r="IHF43" s="60"/>
      <c r="IHG43" s="60"/>
      <c r="IHH43" s="60"/>
      <c r="IHI43" s="60"/>
      <c r="IHJ43" s="60"/>
      <c r="IHK43" s="60"/>
      <c r="IHL43" s="60"/>
      <c r="IHM43" s="60"/>
      <c r="IHN43" s="60"/>
      <c r="IHO43" s="60"/>
      <c r="IHP43" s="60"/>
      <c r="IHQ43" s="60"/>
      <c r="IHR43" s="60"/>
      <c r="IHS43" s="60"/>
      <c r="IHT43" s="60"/>
      <c r="IHU43" s="60"/>
      <c r="IHV43" s="60"/>
      <c r="IHW43" s="60"/>
      <c r="IHX43" s="60"/>
      <c r="IHY43" s="60"/>
      <c r="IHZ43" s="60"/>
      <c r="IIA43" s="60"/>
      <c r="IIB43" s="60"/>
      <c r="IIC43" s="60"/>
      <c r="IID43" s="60"/>
      <c r="IIE43" s="60"/>
      <c r="IIF43" s="60"/>
      <c r="IIG43" s="60"/>
      <c r="IIH43" s="60"/>
      <c r="III43" s="60"/>
      <c r="IIJ43" s="60"/>
      <c r="IIK43" s="60"/>
      <c r="IIL43" s="60"/>
      <c r="IIM43" s="60"/>
      <c r="IIN43" s="60"/>
      <c r="IIO43" s="60"/>
      <c r="IIP43" s="60"/>
      <c r="IIQ43" s="60"/>
      <c r="IIR43" s="60"/>
      <c r="IIS43" s="60"/>
      <c r="IIT43" s="60"/>
      <c r="IIU43" s="60"/>
      <c r="IIV43" s="60"/>
      <c r="IIW43" s="60"/>
      <c r="IIX43" s="60"/>
      <c r="IIY43" s="60"/>
      <c r="IIZ43" s="60"/>
      <c r="IJA43" s="60"/>
      <c r="IJB43" s="60"/>
      <c r="IJC43" s="60"/>
      <c r="IJD43" s="60"/>
      <c r="IJE43" s="60"/>
      <c r="IJF43" s="60"/>
      <c r="IJG43" s="60"/>
      <c r="IJH43" s="60"/>
      <c r="IJI43" s="60"/>
      <c r="IJJ43" s="60"/>
      <c r="IJK43" s="60"/>
      <c r="IJL43" s="60"/>
      <c r="IJM43" s="60"/>
      <c r="IJN43" s="60"/>
      <c r="IJO43" s="60"/>
      <c r="IJP43" s="60"/>
      <c r="IJQ43" s="60"/>
      <c r="IJR43" s="60"/>
      <c r="IJS43" s="60"/>
      <c r="IJT43" s="60"/>
      <c r="IJU43" s="60"/>
      <c r="IJV43" s="60"/>
      <c r="IJW43" s="60"/>
      <c r="IJX43" s="60"/>
      <c r="IJY43" s="60"/>
      <c r="IJZ43" s="60"/>
      <c r="IKA43" s="60"/>
      <c r="IKB43" s="60"/>
      <c r="IKC43" s="60"/>
      <c r="IKD43" s="60"/>
      <c r="IKE43" s="60"/>
      <c r="IKF43" s="60"/>
      <c r="IKG43" s="60"/>
      <c r="IKH43" s="60"/>
      <c r="IKI43" s="60"/>
      <c r="IKJ43" s="60"/>
      <c r="IKK43" s="60"/>
      <c r="IKL43" s="60"/>
      <c r="IKM43" s="60"/>
      <c r="IKN43" s="60"/>
      <c r="IKO43" s="60"/>
      <c r="IKP43" s="60"/>
      <c r="IKQ43" s="60"/>
      <c r="IKR43" s="60"/>
      <c r="IKS43" s="60"/>
      <c r="IKT43" s="60"/>
      <c r="IKU43" s="60"/>
      <c r="IKV43" s="60"/>
      <c r="IKW43" s="60"/>
      <c r="IKX43" s="60"/>
      <c r="IKY43" s="60"/>
      <c r="IKZ43" s="60"/>
      <c r="ILA43" s="60"/>
      <c r="ILB43" s="60"/>
      <c r="ILC43" s="60"/>
      <c r="ILD43" s="60"/>
      <c r="ILE43" s="60"/>
      <c r="ILF43" s="60"/>
      <c r="ILG43" s="60"/>
      <c r="ILH43" s="60"/>
      <c r="ILI43" s="60"/>
      <c r="ILJ43" s="60"/>
      <c r="ILK43" s="60"/>
      <c r="ILL43" s="60"/>
      <c r="ILM43" s="60"/>
      <c r="ILN43" s="60"/>
      <c r="ILO43" s="60"/>
      <c r="ILP43" s="60"/>
      <c r="ILQ43" s="60"/>
      <c r="ILR43" s="60"/>
      <c r="ILS43" s="60"/>
      <c r="ILT43" s="60"/>
      <c r="ILU43" s="60"/>
      <c r="ILV43" s="60"/>
      <c r="ILW43" s="60"/>
      <c r="ILX43" s="60"/>
      <c r="ILY43" s="60"/>
      <c r="ILZ43" s="60"/>
      <c r="IMA43" s="60"/>
      <c r="IMB43" s="60"/>
      <c r="IMC43" s="60"/>
      <c r="IMD43" s="60"/>
      <c r="IME43" s="60"/>
      <c r="IMF43" s="60"/>
      <c r="IMG43" s="60"/>
      <c r="IMH43" s="60"/>
      <c r="IMI43" s="60"/>
      <c r="IMJ43" s="60"/>
      <c r="IMK43" s="60"/>
      <c r="IML43" s="60"/>
      <c r="IMM43" s="60"/>
      <c r="IMN43" s="60"/>
      <c r="IMO43" s="60"/>
      <c r="IMP43" s="60"/>
      <c r="IMQ43" s="60"/>
      <c r="IMR43" s="60"/>
      <c r="IMS43" s="60"/>
      <c r="IMT43" s="60"/>
      <c r="IMU43" s="60"/>
      <c r="IMV43" s="60"/>
      <c r="IMW43" s="60"/>
      <c r="IMX43" s="60"/>
      <c r="IMY43" s="60"/>
      <c r="IMZ43" s="60"/>
      <c r="INA43" s="60"/>
      <c r="INB43" s="60"/>
      <c r="INC43" s="60"/>
      <c r="IND43" s="60"/>
      <c r="INE43" s="60"/>
      <c r="INF43" s="60"/>
      <c r="ING43" s="60"/>
      <c r="INH43" s="60"/>
      <c r="INI43" s="60"/>
      <c r="INJ43" s="60"/>
      <c r="INK43" s="60"/>
      <c r="INL43" s="60"/>
      <c r="INM43" s="60"/>
      <c r="INN43" s="60"/>
      <c r="INO43" s="60"/>
      <c r="INP43" s="60"/>
      <c r="INQ43" s="60"/>
      <c r="INR43" s="60"/>
      <c r="INS43" s="60"/>
      <c r="INT43" s="60"/>
      <c r="INU43" s="60"/>
      <c r="INV43" s="60"/>
      <c r="INW43" s="60"/>
      <c r="INX43" s="60"/>
      <c r="INY43" s="60"/>
      <c r="INZ43" s="60"/>
      <c r="IOA43" s="60"/>
      <c r="IOB43" s="60"/>
      <c r="IOC43" s="60"/>
      <c r="IOD43" s="60"/>
      <c r="IOE43" s="60"/>
      <c r="IOF43" s="60"/>
      <c r="IOG43" s="60"/>
      <c r="IOH43" s="60"/>
      <c r="IOI43" s="60"/>
      <c r="IOJ43" s="60"/>
      <c r="IOK43" s="60"/>
      <c r="IOL43" s="60"/>
      <c r="IOM43" s="60"/>
      <c r="ION43" s="60"/>
      <c r="IOO43" s="60"/>
      <c r="IOP43" s="60"/>
      <c r="IOQ43" s="60"/>
      <c r="IOR43" s="60"/>
      <c r="IOS43" s="60"/>
      <c r="IOT43" s="60"/>
      <c r="IOU43" s="60"/>
      <c r="IOV43" s="60"/>
      <c r="IOW43" s="60"/>
      <c r="IOX43" s="60"/>
      <c r="IOY43" s="60"/>
      <c r="IOZ43" s="60"/>
      <c r="IPA43" s="60"/>
      <c r="IPB43" s="60"/>
      <c r="IPC43" s="60"/>
      <c r="IPD43" s="60"/>
      <c r="IPE43" s="60"/>
      <c r="IPF43" s="60"/>
      <c r="IPG43" s="60"/>
      <c r="IPH43" s="60"/>
      <c r="IPI43" s="60"/>
      <c r="IPJ43" s="60"/>
      <c r="IPK43" s="60"/>
      <c r="IPL43" s="60"/>
      <c r="IPM43" s="60"/>
      <c r="IPN43" s="60"/>
      <c r="IPO43" s="60"/>
      <c r="IPP43" s="60"/>
      <c r="IPQ43" s="60"/>
      <c r="IPR43" s="60"/>
      <c r="IPS43" s="60"/>
      <c r="IPT43" s="60"/>
      <c r="IPU43" s="60"/>
      <c r="IPV43" s="60"/>
      <c r="IPW43" s="60"/>
      <c r="IPX43" s="60"/>
      <c r="IPY43" s="60"/>
      <c r="IPZ43" s="60"/>
      <c r="IQA43" s="60"/>
      <c r="IQB43" s="60"/>
      <c r="IQC43" s="60"/>
      <c r="IQD43" s="60"/>
      <c r="IQE43" s="60"/>
      <c r="IQF43" s="60"/>
      <c r="IQG43" s="60"/>
      <c r="IQH43" s="60"/>
      <c r="IQI43" s="60"/>
      <c r="IQJ43" s="60"/>
      <c r="IQK43" s="60"/>
      <c r="IQL43" s="60"/>
      <c r="IQM43" s="60"/>
      <c r="IQN43" s="60"/>
      <c r="IQO43" s="60"/>
      <c r="IQP43" s="60"/>
      <c r="IQQ43" s="60"/>
      <c r="IQR43" s="60"/>
      <c r="IQS43" s="60"/>
      <c r="IQT43" s="60"/>
      <c r="IQU43" s="60"/>
      <c r="IQV43" s="60"/>
      <c r="IQW43" s="60"/>
      <c r="IQX43" s="60"/>
      <c r="IQY43" s="60"/>
      <c r="IQZ43" s="60"/>
      <c r="IRA43" s="60"/>
      <c r="IRB43" s="60"/>
      <c r="IRC43" s="60"/>
      <c r="IRD43" s="60"/>
      <c r="IRE43" s="60"/>
      <c r="IRF43" s="60"/>
      <c r="IRG43" s="60"/>
      <c r="IRH43" s="60"/>
      <c r="IRI43" s="60"/>
      <c r="IRJ43" s="60"/>
      <c r="IRK43" s="60"/>
      <c r="IRL43" s="60"/>
      <c r="IRM43" s="60"/>
      <c r="IRN43" s="60"/>
      <c r="IRO43" s="60"/>
      <c r="IRP43" s="60"/>
      <c r="IRQ43" s="60"/>
      <c r="IRR43" s="60"/>
      <c r="IRS43" s="60"/>
      <c r="IRT43" s="60"/>
      <c r="IRU43" s="60"/>
      <c r="IRV43" s="60"/>
      <c r="IRW43" s="60"/>
      <c r="IRX43" s="60"/>
      <c r="IRY43" s="60"/>
      <c r="IRZ43" s="60"/>
      <c r="ISA43" s="60"/>
      <c r="ISB43" s="60"/>
      <c r="ISC43" s="60"/>
      <c r="ISD43" s="60"/>
      <c r="ISE43" s="60"/>
      <c r="ISF43" s="60"/>
      <c r="ISG43" s="60"/>
      <c r="ISH43" s="60"/>
      <c r="ISI43" s="60"/>
      <c r="ISJ43" s="60"/>
      <c r="ISK43" s="60"/>
      <c r="ISL43" s="60"/>
      <c r="ISM43" s="60"/>
      <c r="ISN43" s="60"/>
      <c r="ISO43" s="60"/>
      <c r="ISP43" s="60"/>
      <c r="ISQ43" s="60"/>
      <c r="ISR43" s="60"/>
      <c r="ISS43" s="60"/>
      <c r="IST43" s="60"/>
      <c r="ISU43" s="60"/>
      <c r="ISV43" s="60"/>
      <c r="ISW43" s="60"/>
      <c r="ISX43" s="60"/>
      <c r="ISY43" s="60"/>
      <c r="ISZ43" s="60"/>
      <c r="ITA43" s="60"/>
      <c r="ITB43" s="60"/>
      <c r="ITC43" s="60"/>
      <c r="ITD43" s="60"/>
      <c r="ITE43" s="60"/>
      <c r="ITF43" s="60"/>
      <c r="ITG43" s="60"/>
      <c r="ITH43" s="60"/>
      <c r="ITI43" s="60"/>
      <c r="ITJ43" s="60"/>
      <c r="ITK43" s="60"/>
      <c r="ITL43" s="60"/>
      <c r="ITM43" s="60"/>
      <c r="ITN43" s="60"/>
      <c r="ITO43" s="60"/>
      <c r="ITP43" s="60"/>
      <c r="ITQ43" s="60"/>
      <c r="ITR43" s="60"/>
      <c r="ITS43" s="60"/>
      <c r="ITT43" s="60"/>
      <c r="ITU43" s="60"/>
      <c r="ITV43" s="60"/>
      <c r="ITW43" s="60"/>
      <c r="ITX43" s="60"/>
      <c r="ITY43" s="60"/>
      <c r="ITZ43" s="60"/>
      <c r="IUA43" s="60"/>
      <c r="IUB43" s="60"/>
      <c r="IUC43" s="60"/>
      <c r="IUD43" s="60"/>
      <c r="IUE43" s="60"/>
      <c r="IUF43" s="60"/>
      <c r="IUG43" s="60"/>
      <c r="IUH43" s="60"/>
      <c r="IUI43" s="60"/>
      <c r="IUJ43" s="60"/>
      <c r="IUK43" s="60"/>
      <c r="IUL43" s="60"/>
      <c r="IUM43" s="60"/>
      <c r="IUN43" s="60"/>
      <c r="IUO43" s="60"/>
      <c r="IUP43" s="60"/>
      <c r="IUQ43" s="60"/>
      <c r="IUR43" s="60"/>
      <c r="IUS43" s="60"/>
      <c r="IUT43" s="60"/>
      <c r="IUU43" s="60"/>
      <c r="IUV43" s="60"/>
      <c r="IUW43" s="60"/>
      <c r="IUX43" s="60"/>
      <c r="IUY43" s="60"/>
      <c r="IUZ43" s="60"/>
      <c r="IVA43" s="60"/>
      <c r="IVB43" s="60"/>
      <c r="IVC43" s="60"/>
      <c r="IVD43" s="60"/>
      <c r="IVE43" s="60"/>
      <c r="IVF43" s="60"/>
      <c r="IVG43" s="60"/>
      <c r="IVH43" s="60"/>
      <c r="IVI43" s="60"/>
      <c r="IVJ43" s="60"/>
      <c r="IVK43" s="60"/>
      <c r="IVL43" s="60"/>
      <c r="IVM43" s="60"/>
      <c r="IVN43" s="60"/>
      <c r="IVO43" s="60"/>
      <c r="IVP43" s="60"/>
      <c r="IVQ43" s="60"/>
      <c r="IVR43" s="60"/>
      <c r="IVS43" s="60"/>
      <c r="IVT43" s="60"/>
      <c r="IVU43" s="60"/>
      <c r="IVV43" s="60"/>
      <c r="IVW43" s="60"/>
      <c r="IVX43" s="60"/>
      <c r="IVY43" s="60"/>
      <c r="IVZ43" s="60"/>
      <c r="IWA43" s="60"/>
      <c r="IWB43" s="60"/>
      <c r="IWC43" s="60"/>
      <c r="IWD43" s="60"/>
      <c r="IWE43" s="60"/>
      <c r="IWF43" s="60"/>
      <c r="IWG43" s="60"/>
      <c r="IWH43" s="60"/>
      <c r="IWI43" s="60"/>
      <c r="IWJ43" s="60"/>
      <c r="IWK43" s="60"/>
      <c r="IWL43" s="60"/>
      <c r="IWM43" s="60"/>
      <c r="IWN43" s="60"/>
      <c r="IWO43" s="60"/>
      <c r="IWP43" s="60"/>
      <c r="IWQ43" s="60"/>
      <c r="IWR43" s="60"/>
      <c r="IWS43" s="60"/>
      <c r="IWT43" s="60"/>
      <c r="IWU43" s="60"/>
      <c r="IWV43" s="60"/>
      <c r="IWW43" s="60"/>
      <c r="IWX43" s="60"/>
      <c r="IWY43" s="60"/>
      <c r="IWZ43" s="60"/>
      <c r="IXA43" s="60"/>
      <c r="IXB43" s="60"/>
      <c r="IXC43" s="60"/>
      <c r="IXD43" s="60"/>
      <c r="IXE43" s="60"/>
      <c r="IXF43" s="60"/>
      <c r="IXG43" s="60"/>
      <c r="IXH43" s="60"/>
      <c r="IXI43" s="60"/>
      <c r="IXJ43" s="60"/>
      <c r="IXK43" s="60"/>
      <c r="IXL43" s="60"/>
      <c r="IXM43" s="60"/>
      <c r="IXN43" s="60"/>
      <c r="IXO43" s="60"/>
      <c r="IXP43" s="60"/>
      <c r="IXQ43" s="60"/>
      <c r="IXR43" s="60"/>
      <c r="IXS43" s="60"/>
      <c r="IXT43" s="60"/>
      <c r="IXU43" s="60"/>
      <c r="IXV43" s="60"/>
      <c r="IXW43" s="60"/>
      <c r="IXX43" s="60"/>
      <c r="IXY43" s="60"/>
      <c r="IXZ43" s="60"/>
      <c r="IYA43" s="60"/>
      <c r="IYB43" s="60"/>
      <c r="IYC43" s="60"/>
      <c r="IYD43" s="60"/>
      <c r="IYE43" s="60"/>
      <c r="IYF43" s="60"/>
      <c r="IYG43" s="60"/>
      <c r="IYH43" s="60"/>
      <c r="IYI43" s="60"/>
      <c r="IYJ43" s="60"/>
      <c r="IYK43" s="60"/>
      <c r="IYL43" s="60"/>
      <c r="IYM43" s="60"/>
      <c r="IYN43" s="60"/>
      <c r="IYO43" s="60"/>
      <c r="IYP43" s="60"/>
      <c r="IYQ43" s="60"/>
      <c r="IYR43" s="60"/>
      <c r="IYS43" s="60"/>
      <c r="IYT43" s="60"/>
      <c r="IYU43" s="60"/>
      <c r="IYV43" s="60"/>
      <c r="IYW43" s="60"/>
      <c r="IYX43" s="60"/>
      <c r="IYY43" s="60"/>
      <c r="IYZ43" s="60"/>
      <c r="IZA43" s="60"/>
      <c r="IZB43" s="60"/>
      <c r="IZC43" s="60"/>
      <c r="IZD43" s="60"/>
      <c r="IZE43" s="60"/>
      <c r="IZF43" s="60"/>
      <c r="IZG43" s="60"/>
      <c r="IZH43" s="60"/>
      <c r="IZI43" s="60"/>
      <c r="IZJ43" s="60"/>
      <c r="IZK43" s="60"/>
      <c r="IZL43" s="60"/>
      <c r="IZM43" s="60"/>
      <c r="IZN43" s="60"/>
      <c r="IZO43" s="60"/>
      <c r="IZP43" s="60"/>
      <c r="IZQ43" s="60"/>
      <c r="IZR43" s="60"/>
      <c r="IZS43" s="60"/>
      <c r="IZT43" s="60"/>
      <c r="IZU43" s="60"/>
      <c r="IZV43" s="60"/>
      <c r="IZW43" s="60"/>
      <c r="IZX43" s="60"/>
      <c r="IZY43" s="60"/>
      <c r="IZZ43" s="60"/>
      <c r="JAA43" s="60"/>
      <c r="JAB43" s="60"/>
      <c r="JAC43" s="60"/>
      <c r="JAD43" s="60"/>
      <c r="JAE43" s="60"/>
      <c r="JAF43" s="60"/>
      <c r="JAG43" s="60"/>
      <c r="JAH43" s="60"/>
      <c r="JAI43" s="60"/>
      <c r="JAJ43" s="60"/>
      <c r="JAK43" s="60"/>
      <c r="JAL43" s="60"/>
      <c r="JAM43" s="60"/>
      <c r="JAN43" s="60"/>
      <c r="JAO43" s="60"/>
      <c r="JAP43" s="60"/>
      <c r="JAQ43" s="60"/>
      <c r="JAR43" s="60"/>
      <c r="JAS43" s="60"/>
      <c r="JAT43" s="60"/>
      <c r="JAU43" s="60"/>
      <c r="JAV43" s="60"/>
      <c r="JAW43" s="60"/>
      <c r="JAX43" s="60"/>
      <c r="JAY43" s="60"/>
      <c r="JAZ43" s="60"/>
      <c r="JBA43" s="60"/>
      <c r="JBB43" s="60"/>
      <c r="JBC43" s="60"/>
      <c r="JBD43" s="60"/>
      <c r="JBE43" s="60"/>
      <c r="JBF43" s="60"/>
      <c r="JBG43" s="60"/>
      <c r="JBH43" s="60"/>
      <c r="JBI43" s="60"/>
      <c r="JBJ43" s="60"/>
      <c r="JBK43" s="60"/>
      <c r="JBL43" s="60"/>
      <c r="JBM43" s="60"/>
      <c r="JBN43" s="60"/>
      <c r="JBO43" s="60"/>
      <c r="JBP43" s="60"/>
      <c r="JBQ43" s="60"/>
      <c r="JBR43" s="60"/>
      <c r="JBS43" s="60"/>
      <c r="JBT43" s="60"/>
      <c r="JBU43" s="60"/>
      <c r="JBV43" s="60"/>
      <c r="JBW43" s="60"/>
      <c r="JBX43" s="60"/>
      <c r="JBY43" s="60"/>
      <c r="JBZ43" s="60"/>
      <c r="JCA43" s="60"/>
      <c r="JCB43" s="60"/>
      <c r="JCC43" s="60"/>
      <c r="JCD43" s="60"/>
      <c r="JCE43" s="60"/>
      <c r="JCF43" s="60"/>
      <c r="JCG43" s="60"/>
      <c r="JCH43" s="60"/>
      <c r="JCI43" s="60"/>
      <c r="JCJ43" s="60"/>
      <c r="JCK43" s="60"/>
      <c r="JCL43" s="60"/>
      <c r="JCM43" s="60"/>
      <c r="JCN43" s="60"/>
      <c r="JCO43" s="60"/>
      <c r="JCP43" s="60"/>
      <c r="JCQ43" s="60"/>
      <c r="JCR43" s="60"/>
      <c r="JCS43" s="60"/>
      <c r="JCT43" s="60"/>
      <c r="JCU43" s="60"/>
      <c r="JCV43" s="60"/>
      <c r="JCW43" s="60"/>
      <c r="JCX43" s="60"/>
      <c r="JCY43" s="60"/>
      <c r="JCZ43" s="60"/>
      <c r="JDA43" s="60"/>
      <c r="JDB43" s="60"/>
      <c r="JDC43" s="60"/>
      <c r="JDD43" s="60"/>
      <c r="JDE43" s="60"/>
      <c r="JDF43" s="60"/>
      <c r="JDG43" s="60"/>
      <c r="JDH43" s="60"/>
      <c r="JDI43" s="60"/>
      <c r="JDJ43" s="60"/>
      <c r="JDK43" s="60"/>
      <c r="JDL43" s="60"/>
      <c r="JDM43" s="60"/>
      <c r="JDN43" s="60"/>
      <c r="JDO43" s="60"/>
      <c r="JDP43" s="60"/>
      <c r="JDQ43" s="60"/>
      <c r="JDR43" s="60"/>
      <c r="JDS43" s="60"/>
      <c r="JDT43" s="60"/>
      <c r="JDU43" s="60"/>
      <c r="JDV43" s="60"/>
      <c r="JDW43" s="60"/>
      <c r="JDX43" s="60"/>
      <c r="JDY43" s="60"/>
      <c r="JDZ43" s="60"/>
      <c r="JEA43" s="60"/>
      <c r="JEB43" s="60"/>
      <c r="JEC43" s="60"/>
      <c r="JED43" s="60"/>
      <c r="JEE43" s="60"/>
      <c r="JEF43" s="60"/>
      <c r="JEG43" s="60"/>
      <c r="JEH43" s="60"/>
      <c r="JEI43" s="60"/>
      <c r="JEJ43" s="60"/>
      <c r="JEK43" s="60"/>
      <c r="JEL43" s="60"/>
      <c r="JEM43" s="60"/>
      <c r="JEN43" s="60"/>
      <c r="JEO43" s="60"/>
      <c r="JEP43" s="60"/>
      <c r="JEQ43" s="60"/>
      <c r="JER43" s="60"/>
      <c r="JES43" s="60"/>
      <c r="JET43" s="60"/>
      <c r="JEU43" s="60"/>
      <c r="JEV43" s="60"/>
      <c r="JEW43" s="60"/>
      <c r="JEX43" s="60"/>
      <c r="JEY43" s="60"/>
      <c r="JEZ43" s="60"/>
      <c r="JFA43" s="60"/>
      <c r="JFB43" s="60"/>
      <c r="JFC43" s="60"/>
      <c r="JFD43" s="60"/>
      <c r="JFE43" s="60"/>
      <c r="JFF43" s="60"/>
      <c r="JFG43" s="60"/>
      <c r="JFH43" s="60"/>
      <c r="JFI43" s="60"/>
      <c r="JFJ43" s="60"/>
      <c r="JFK43" s="60"/>
      <c r="JFL43" s="60"/>
      <c r="JFM43" s="60"/>
      <c r="JFN43" s="60"/>
      <c r="JFO43" s="60"/>
      <c r="JFP43" s="60"/>
      <c r="JFQ43" s="60"/>
      <c r="JFR43" s="60"/>
      <c r="JFS43" s="60"/>
      <c r="JFT43" s="60"/>
      <c r="JFU43" s="60"/>
      <c r="JFV43" s="60"/>
      <c r="JFW43" s="60"/>
      <c r="JFX43" s="60"/>
      <c r="JFY43" s="60"/>
      <c r="JFZ43" s="60"/>
      <c r="JGA43" s="60"/>
      <c r="JGB43" s="60"/>
      <c r="JGC43" s="60"/>
      <c r="JGD43" s="60"/>
      <c r="JGE43" s="60"/>
      <c r="JGF43" s="60"/>
      <c r="JGG43" s="60"/>
      <c r="JGH43" s="60"/>
      <c r="JGI43" s="60"/>
      <c r="JGJ43" s="60"/>
      <c r="JGK43" s="60"/>
      <c r="JGL43" s="60"/>
      <c r="JGM43" s="60"/>
      <c r="JGN43" s="60"/>
      <c r="JGO43" s="60"/>
      <c r="JGP43" s="60"/>
      <c r="JGQ43" s="60"/>
      <c r="JGR43" s="60"/>
      <c r="JGS43" s="60"/>
      <c r="JGT43" s="60"/>
      <c r="JGU43" s="60"/>
      <c r="JGV43" s="60"/>
      <c r="JGW43" s="60"/>
      <c r="JGX43" s="60"/>
      <c r="JGY43" s="60"/>
      <c r="JGZ43" s="60"/>
      <c r="JHA43" s="60"/>
      <c r="JHB43" s="60"/>
      <c r="JHC43" s="60"/>
      <c r="JHD43" s="60"/>
      <c r="JHE43" s="60"/>
      <c r="JHF43" s="60"/>
      <c r="JHG43" s="60"/>
      <c r="JHH43" s="60"/>
      <c r="JHI43" s="60"/>
      <c r="JHJ43" s="60"/>
      <c r="JHK43" s="60"/>
      <c r="JHL43" s="60"/>
      <c r="JHM43" s="60"/>
      <c r="JHN43" s="60"/>
      <c r="JHO43" s="60"/>
      <c r="JHP43" s="60"/>
      <c r="JHQ43" s="60"/>
      <c r="JHR43" s="60"/>
      <c r="JHS43" s="60"/>
      <c r="JHT43" s="60"/>
      <c r="JHU43" s="60"/>
      <c r="JHV43" s="60"/>
      <c r="JHW43" s="60"/>
      <c r="JHX43" s="60"/>
      <c r="JHY43" s="60"/>
      <c r="JHZ43" s="60"/>
      <c r="JIA43" s="60"/>
      <c r="JIB43" s="60"/>
      <c r="JIC43" s="60"/>
      <c r="JID43" s="60"/>
      <c r="JIE43" s="60"/>
      <c r="JIF43" s="60"/>
      <c r="JIG43" s="60"/>
      <c r="JIH43" s="60"/>
      <c r="JII43" s="60"/>
      <c r="JIJ43" s="60"/>
      <c r="JIK43" s="60"/>
      <c r="JIL43" s="60"/>
      <c r="JIM43" s="60"/>
      <c r="JIN43" s="60"/>
      <c r="JIO43" s="60"/>
      <c r="JIP43" s="60"/>
      <c r="JIQ43" s="60"/>
      <c r="JIR43" s="60"/>
      <c r="JIS43" s="60"/>
      <c r="JIT43" s="60"/>
      <c r="JIU43" s="60"/>
      <c r="JIV43" s="60"/>
      <c r="JIW43" s="60"/>
      <c r="JIX43" s="60"/>
      <c r="JIY43" s="60"/>
      <c r="JIZ43" s="60"/>
      <c r="JJA43" s="60"/>
      <c r="JJB43" s="60"/>
      <c r="JJC43" s="60"/>
      <c r="JJD43" s="60"/>
      <c r="JJE43" s="60"/>
      <c r="JJF43" s="60"/>
      <c r="JJG43" s="60"/>
      <c r="JJH43" s="60"/>
      <c r="JJI43" s="60"/>
      <c r="JJJ43" s="60"/>
      <c r="JJK43" s="60"/>
      <c r="JJL43" s="60"/>
      <c r="JJM43" s="60"/>
      <c r="JJN43" s="60"/>
      <c r="JJO43" s="60"/>
      <c r="JJP43" s="60"/>
      <c r="JJQ43" s="60"/>
      <c r="JJR43" s="60"/>
      <c r="JJS43" s="60"/>
      <c r="JJT43" s="60"/>
      <c r="JJU43" s="60"/>
      <c r="JJV43" s="60"/>
      <c r="JJW43" s="60"/>
      <c r="JJX43" s="60"/>
      <c r="JJY43" s="60"/>
      <c r="JJZ43" s="60"/>
      <c r="JKA43" s="60"/>
      <c r="JKB43" s="60"/>
      <c r="JKC43" s="60"/>
      <c r="JKD43" s="60"/>
      <c r="JKE43" s="60"/>
      <c r="JKF43" s="60"/>
      <c r="JKG43" s="60"/>
      <c r="JKH43" s="60"/>
      <c r="JKI43" s="60"/>
      <c r="JKJ43" s="60"/>
      <c r="JKK43" s="60"/>
      <c r="JKL43" s="60"/>
      <c r="JKM43" s="60"/>
      <c r="JKN43" s="60"/>
      <c r="JKO43" s="60"/>
      <c r="JKP43" s="60"/>
      <c r="JKQ43" s="60"/>
      <c r="JKR43" s="60"/>
      <c r="JKS43" s="60"/>
      <c r="JKT43" s="60"/>
      <c r="JKU43" s="60"/>
      <c r="JKV43" s="60"/>
      <c r="JKW43" s="60"/>
      <c r="JKX43" s="60"/>
      <c r="JKY43" s="60"/>
      <c r="JKZ43" s="60"/>
      <c r="JLA43" s="60"/>
      <c r="JLB43" s="60"/>
      <c r="JLC43" s="60"/>
      <c r="JLD43" s="60"/>
      <c r="JLE43" s="60"/>
      <c r="JLF43" s="60"/>
      <c r="JLG43" s="60"/>
      <c r="JLH43" s="60"/>
      <c r="JLI43" s="60"/>
      <c r="JLJ43" s="60"/>
      <c r="JLK43" s="60"/>
      <c r="JLL43" s="60"/>
      <c r="JLM43" s="60"/>
      <c r="JLN43" s="60"/>
      <c r="JLO43" s="60"/>
      <c r="JLP43" s="60"/>
      <c r="JLQ43" s="60"/>
      <c r="JLR43" s="60"/>
      <c r="JLS43" s="60"/>
      <c r="JLT43" s="60"/>
      <c r="JLU43" s="60"/>
      <c r="JLV43" s="60"/>
      <c r="JLW43" s="60"/>
      <c r="JLX43" s="60"/>
      <c r="JLY43" s="60"/>
      <c r="JLZ43" s="60"/>
      <c r="JMA43" s="60"/>
      <c r="JMB43" s="60"/>
      <c r="JMC43" s="60"/>
      <c r="JMD43" s="60"/>
      <c r="JME43" s="60"/>
      <c r="JMF43" s="60"/>
      <c r="JMG43" s="60"/>
      <c r="JMH43" s="60"/>
      <c r="JMI43" s="60"/>
      <c r="JMJ43" s="60"/>
      <c r="JMK43" s="60"/>
      <c r="JML43" s="60"/>
      <c r="JMM43" s="60"/>
      <c r="JMN43" s="60"/>
      <c r="JMO43" s="60"/>
      <c r="JMP43" s="60"/>
      <c r="JMQ43" s="60"/>
      <c r="JMR43" s="60"/>
      <c r="JMS43" s="60"/>
      <c r="JMT43" s="60"/>
      <c r="JMU43" s="60"/>
      <c r="JMV43" s="60"/>
      <c r="JMW43" s="60"/>
      <c r="JMX43" s="60"/>
      <c r="JMY43" s="60"/>
      <c r="JMZ43" s="60"/>
      <c r="JNA43" s="60"/>
      <c r="JNB43" s="60"/>
      <c r="JNC43" s="60"/>
      <c r="JND43" s="60"/>
      <c r="JNE43" s="60"/>
      <c r="JNF43" s="60"/>
      <c r="JNG43" s="60"/>
      <c r="JNH43" s="60"/>
      <c r="JNI43" s="60"/>
      <c r="JNJ43" s="60"/>
      <c r="JNK43" s="60"/>
      <c r="JNL43" s="60"/>
      <c r="JNM43" s="60"/>
      <c r="JNN43" s="60"/>
      <c r="JNO43" s="60"/>
      <c r="JNP43" s="60"/>
      <c r="JNQ43" s="60"/>
      <c r="JNR43" s="60"/>
      <c r="JNS43" s="60"/>
      <c r="JNT43" s="60"/>
      <c r="JNU43" s="60"/>
      <c r="JNV43" s="60"/>
      <c r="JNW43" s="60"/>
      <c r="JNX43" s="60"/>
      <c r="JNY43" s="60"/>
      <c r="JNZ43" s="60"/>
      <c r="JOA43" s="60"/>
      <c r="JOB43" s="60"/>
      <c r="JOC43" s="60"/>
      <c r="JOD43" s="60"/>
      <c r="JOE43" s="60"/>
      <c r="JOF43" s="60"/>
      <c r="JOG43" s="60"/>
      <c r="JOH43" s="60"/>
      <c r="JOI43" s="60"/>
      <c r="JOJ43" s="60"/>
      <c r="JOK43" s="60"/>
      <c r="JOL43" s="60"/>
      <c r="JOM43" s="60"/>
      <c r="JON43" s="60"/>
      <c r="JOO43" s="60"/>
      <c r="JOP43" s="60"/>
      <c r="JOQ43" s="60"/>
      <c r="JOR43" s="60"/>
      <c r="JOS43" s="60"/>
      <c r="JOT43" s="60"/>
      <c r="JOU43" s="60"/>
      <c r="JOV43" s="60"/>
      <c r="JOW43" s="60"/>
      <c r="JOX43" s="60"/>
      <c r="JOY43" s="60"/>
      <c r="JOZ43" s="60"/>
      <c r="JPA43" s="60"/>
      <c r="JPB43" s="60"/>
      <c r="JPC43" s="60"/>
      <c r="JPD43" s="60"/>
      <c r="JPE43" s="60"/>
      <c r="JPF43" s="60"/>
      <c r="JPG43" s="60"/>
      <c r="JPH43" s="60"/>
      <c r="JPI43" s="60"/>
      <c r="JPJ43" s="60"/>
      <c r="JPK43" s="60"/>
      <c r="JPL43" s="60"/>
      <c r="JPM43" s="60"/>
      <c r="JPN43" s="60"/>
      <c r="JPO43" s="60"/>
      <c r="JPP43" s="60"/>
      <c r="JPQ43" s="60"/>
      <c r="JPR43" s="60"/>
      <c r="JPS43" s="60"/>
      <c r="JPT43" s="60"/>
      <c r="JPU43" s="60"/>
      <c r="JPV43" s="60"/>
      <c r="JPW43" s="60"/>
      <c r="JPX43" s="60"/>
      <c r="JPY43" s="60"/>
      <c r="JPZ43" s="60"/>
      <c r="JQA43" s="60"/>
      <c r="JQB43" s="60"/>
      <c r="JQC43" s="60"/>
      <c r="JQD43" s="60"/>
      <c r="JQE43" s="60"/>
      <c r="JQF43" s="60"/>
      <c r="JQG43" s="60"/>
      <c r="JQH43" s="60"/>
      <c r="JQI43" s="60"/>
      <c r="JQJ43" s="60"/>
      <c r="JQK43" s="60"/>
      <c r="JQL43" s="60"/>
      <c r="JQM43" s="60"/>
      <c r="JQN43" s="60"/>
      <c r="JQO43" s="60"/>
      <c r="JQP43" s="60"/>
      <c r="JQQ43" s="60"/>
      <c r="JQR43" s="60"/>
      <c r="JQS43" s="60"/>
      <c r="JQT43" s="60"/>
      <c r="JQU43" s="60"/>
      <c r="JQV43" s="60"/>
      <c r="JQW43" s="60"/>
      <c r="JQX43" s="60"/>
      <c r="JQY43" s="60"/>
      <c r="JQZ43" s="60"/>
      <c r="JRA43" s="60"/>
      <c r="JRB43" s="60"/>
      <c r="JRC43" s="60"/>
      <c r="JRD43" s="60"/>
      <c r="JRE43" s="60"/>
      <c r="JRF43" s="60"/>
      <c r="JRG43" s="60"/>
      <c r="JRH43" s="60"/>
      <c r="JRI43" s="60"/>
      <c r="JRJ43" s="60"/>
      <c r="JRK43" s="60"/>
      <c r="JRL43" s="60"/>
      <c r="JRM43" s="60"/>
      <c r="JRN43" s="60"/>
      <c r="JRO43" s="60"/>
      <c r="JRP43" s="60"/>
      <c r="JRQ43" s="60"/>
      <c r="JRR43" s="60"/>
      <c r="JRS43" s="60"/>
      <c r="JRT43" s="60"/>
      <c r="JRU43" s="60"/>
      <c r="JRV43" s="60"/>
      <c r="JRW43" s="60"/>
      <c r="JRX43" s="60"/>
      <c r="JRY43" s="60"/>
      <c r="JRZ43" s="60"/>
      <c r="JSA43" s="60"/>
      <c r="JSB43" s="60"/>
      <c r="JSC43" s="60"/>
      <c r="JSD43" s="60"/>
      <c r="JSE43" s="60"/>
      <c r="JSF43" s="60"/>
      <c r="JSG43" s="60"/>
      <c r="JSH43" s="60"/>
      <c r="JSI43" s="60"/>
      <c r="JSJ43" s="60"/>
      <c r="JSK43" s="60"/>
      <c r="JSL43" s="60"/>
      <c r="JSM43" s="60"/>
      <c r="JSN43" s="60"/>
      <c r="JSO43" s="60"/>
      <c r="JSP43" s="60"/>
      <c r="JSQ43" s="60"/>
      <c r="JSR43" s="60"/>
      <c r="JSS43" s="60"/>
      <c r="JST43" s="60"/>
      <c r="JSU43" s="60"/>
      <c r="JSV43" s="60"/>
      <c r="JSW43" s="60"/>
      <c r="JSX43" s="60"/>
      <c r="JSY43" s="60"/>
      <c r="JSZ43" s="60"/>
      <c r="JTA43" s="60"/>
      <c r="JTB43" s="60"/>
      <c r="JTC43" s="60"/>
      <c r="JTD43" s="60"/>
      <c r="JTE43" s="60"/>
      <c r="JTF43" s="60"/>
      <c r="JTG43" s="60"/>
      <c r="JTH43" s="60"/>
      <c r="JTI43" s="60"/>
      <c r="JTJ43" s="60"/>
      <c r="JTK43" s="60"/>
      <c r="JTL43" s="60"/>
      <c r="JTM43" s="60"/>
      <c r="JTN43" s="60"/>
      <c r="JTO43" s="60"/>
      <c r="JTP43" s="60"/>
      <c r="JTQ43" s="60"/>
      <c r="JTR43" s="60"/>
      <c r="JTS43" s="60"/>
      <c r="JTT43" s="60"/>
      <c r="JTU43" s="60"/>
      <c r="JTV43" s="60"/>
      <c r="JTW43" s="60"/>
      <c r="JTX43" s="60"/>
      <c r="JTY43" s="60"/>
      <c r="JTZ43" s="60"/>
      <c r="JUA43" s="60"/>
      <c r="JUB43" s="60"/>
      <c r="JUC43" s="60"/>
      <c r="JUD43" s="60"/>
      <c r="JUE43" s="60"/>
      <c r="JUF43" s="60"/>
      <c r="JUG43" s="60"/>
      <c r="JUH43" s="60"/>
      <c r="JUI43" s="60"/>
      <c r="JUJ43" s="60"/>
      <c r="JUK43" s="60"/>
      <c r="JUL43" s="60"/>
      <c r="JUM43" s="60"/>
      <c r="JUN43" s="60"/>
      <c r="JUO43" s="60"/>
      <c r="JUP43" s="60"/>
      <c r="JUQ43" s="60"/>
      <c r="JUR43" s="60"/>
      <c r="JUS43" s="60"/>
      <c r="JUT43" s="60"/>
      <c r="JUU43" s="60"/>
      <c r="JUV43" s="60"/>
      <c r="JUW43" s="60"/>
      <c r="JUX43" s="60"/>
      <c r="JUY43" s="60"/>
      <c r="JUZ43" s="60"/>
      <c r="JVA43" s="60"/>
      <c r="JVB43" s="60"/>
      <c r="JVC43" s="60"/>
      <c r="JVD43" s="60"/>
      <c r="JVE43" s="60"/>
      <c r="JVF43" s="60"/>
      <c r="JVG43" s="60"/>
      <c r="JVH43" s="60"/>
      <c r="JVI43" s="60"/>
      <c r="JVJ43" s="60"/>
      <c r="JVK43" s="60"/>
      <c r="JVL43" s="60"/>
      <c r="JVM43" s="60"/>
      <c r="JVN43" s="60"/>
      <c r="JVO43" s="60"/>
      <c r="JVP43" s="60"/>
      <c r="JVQ43" s="60"/>
      <c r="JVR43" s="60"/>
      <c r="JVS43" s="60"/>
      <c r="JVT43" s="60"/>
      <c r="JVU43" s="60"/>
      <c r="JVV43" s="60"/>
      <c r="JVW43" s="60"/>
      <c r="JVX43" s="60"/>
      <c r="JVY43" s="60"/>
      <c r="JVZ43" s="60"/>
      <c r="JWA43" s="60"/>
      <c r="JWB43" s="60"/>
      <c r="JWC43" s="60"/>
      <c r="JWD43" s="60"/>
      <c r="JWE43" s="60"/>
      <c r="JWF43" s="60"/>
      <c r="JWG43" s="60"/>
      <c r="JWH43" s="60"/>
      <c r="JWI43" s="60"/>
      <c r="JWJ43" s="60"/>
      <c r="JWK43" s="60"/>
      <c r="JWL43" s="60"/>
      <c r="JWM43" s="60"/>
      <c r="JWN43" s="60"/>
      <c r="JWO43" s="60"/>
      <c r="JWP43" s="60"/>
      <c r="JWQ43" s="60"/>
      <c r="JWR43" s="60"/>
      <c r="JWS43" s="60"/>
      <c r="JWT43" s="60"/>
      <c r="JWU43" s="60"/>
      <c r="JWV43" s="60"/>
      <c r="JWW43" s="60"/>
      <c r="JWX43" s="60"/>
      <c r="JWY43" s="60"/>
      <c r="JWZ43" s="60"/>
      <c r="JXA43" s="60"/>
      <c r="JXB43" s="60"/>
      <c r="JXC43" s="60"/>
      <c r="JXD43" s="60"/>
      <c r="JXE43" s="60"/>
      <c r="JXF43" s="60"/>
      <c r="JXG43" s="60"/>
      <c r="JXH43" s="60"/>
      <c r="JXI43" s="60"/>
      <c r="JXJ43" s="60"/>
      <c r="JXK43" s="60"/>
      <c r="JXL43" s="60"/>
      <c r="JXM43" s="60"/>
      <c r="JXN43" s="60"/>
      <c r="JXO43" s="60"/>
      <c r="JXP43" s="60"/>
      <c r="JXQ43" s="60"/>
      <c r="JXR43" s="60"/>
      <c r="JXS43" s="60"/>
      <c r="JXT43" s="60"/>
      <c r="JXU43" s="60"/>
      <c r="JXV43" s="60"/>
      <c r="JXW43" s="60"/>
      <c r="JXX43" s="60"/>
      <c r="JXY43" s="60"/>
      <c r="JXZ43" s="60"/>
      <c r="JYA43" s="60"/>
      <c r="JYB43" s="60"/>
      <c r="JYC43" s="60"/>
      <c r="JYD43" s="60"/>
      <c r="JYE43" s="60"/>
      <c r="JYF43" s="60"/>
      <c r="JYG43" s="60"/>
      <c r="JYH43" s="60"/>
      <c r="JYI43" s="60"/>
      <c r="JYJ43" s="60"/>
      <c r="JYK43" s="60"/>
      <c r="JYL43" s="60"/>
      <c r="JYM43" s="60"/>
      <c r="JYN43" s="60"/>
      <c r="JYO43" s="60"/>
      <c r="JYP43" s="60"/>
      <c r="JYQ43" s="60"/>
      <c r="JYR43" s="60"/>
      <c r="JYS43" s="60"/>
      <c r="JYT43" s="60"/>
      <c r="JYU43" s="60"/>
      <c r="JYV43" s="60"/>
      <c r="JYW43" s="60"/>
      <c r="JYX43" s="60"/>
      <c r="JYY43" s="60"/>
      <c r="JYZ43" s="60"/>
      <c r="JZA43" s="60"/>
      <c r="JZB43" s="60"/>
      <c r="JZC43" s="60"/>
      <c r="JZD43" s="60"/>
      <c r="JZE43" s="60"/>
      <c r="JZF43" s="60"/>
      <c r="JZG43" s="60"/>
      <c r="JZH43" s="60"/>
      <c r="JZI43" s="60"/>
      <c r="JZJ43" s="60"/>
      <c r="JZK43" s="60"/>
      <c r="JZL43" s="60"/>
      <c r="JZM43" s="60"/>
      <c r="JZN43" s="60"/>
      <c r="JZO43" s="60"/>
      <c r="JZP43" s="60"/>
      <c r="JZQ43" s="60"/>
      <c r="JZR43" s="60"/>
      <c r="JZS43" s="60"/>
      <c r="JZT43" s="60"/>
      <c r="JZU43" s="60"/>
      <c r="JZV43" s="60"/>
      <c r="JZW43" s="60"/>
      <c r="JZX43" s="60"/>
      <c r="JZY43" s="60"/>
      <c r="JZZ43" s="60"/>
      <c r="KAA43" s="60"/>
      <c r="KAB43" s="60"/>
      <c r="KAC43" s="60"/>
      <c r="KAD43" s="60"/>
      <c r="KAE43" s="60"/>
      <c r="KAF43" s="60"/>
      <c r="KAG43" s="60"/>
      <c r="KAH43" s="60"/>
      <c r="KAI43" s="60"/>
      <c r="KAJ43" s="60"/>
      <c r="KAK43" s="60"/>
      <c r="KAL43" s="60"/>
      <c r="KAM43" s="60"/>
      <c r="KAN43" s="60"/>
      <c r="KAO43" s="60"/>
      <c r="KAP43" s="60"/>
      <c r="KAQ43" s="60"/>
      <c r="KAR43" s="60"/>
      <c r="KAS43" s="60"/>
      <c r="KAT43" s="60"/>
      <c r="KAU43" s="60"/>
      <c r="KAV43" s="60"/>
      <c r="KAW43" s="60"/>
      <c r="KAX43" s="60"/>
      <c r="KAY43" s="60"/>
      <c r="KAZ43" s="60"/>
      <c r="KBA43" s="60"/>
      <c r="KBB43" s="60"/>
      <c r="KBC43" s="60"/>
      <c r="KBD43" s="60"/>
      <c r="KBE43" s="60"/>
      <c r="KBF43" s="60"/>
      <c r="KBG43" s="60"/>
      <c r="KBH43" s="60"/>
      <c r="KBI43" s="60"/>
      <c r="KBJ43" s="60"/>
      <c r="KBK43" s="60"/>
      <c r="KBL43" s="60"/>
      <c r="KBM43" s="60"/>
      <c r="KBN43" s="60"/>
      <c r="KBO43" s="60"/>
      <c r="KBP43" s="60"/>
      <c r="KBQ43" s="60"/>
      <c r="KBR43" s="60"/>
      <c r="KBS43" s="60"/>
      <c r="KBT43" s="60"/>
      <c r="KBU43" s="60"/>
      <c r="KBV43" s="60"/>
      <c r="KBW43" s="60"/>
      <c r="KBX43" s="60"/>
      <c r="KBY43" s="60"/>
      <c r="KBZ43" s="60"/>
      <c r="KCA43" s="60"/>
      <c r="KCB43" s="60"/>
      <c r="KCC43" s="60"/>
      <c r="KCD43" s="60"/>
      <c r="KCE43" s="60"/>
      <c r="KCF43" s="60"/>
      <c r="KCG43" s="60"/>
      <c r="KCH43" s="60"/>
      <c r="KCI43" s="60"/>
      <c r="KCJ43" s="60"/>
      <c r="KCK43" s="60"/>
      <c r="KCL43" s="60"/>
      <c r="KCM43" s="60"/>
      <c r="KCN43" s="60"/>
      <c r="KCO43" s="60"/>
      <c r="KCP43" s="60"/>
      <c r="KCQ43" s="60"/>
      <c r="KCR43" s="60"/>
      <c r="KCS43" s="60"/>
      <c r="KCT43" s="60"/>
      <c r="KCU43" s="60"/>
      <c r="KCV43" s="60"/>
      <c r="KCW43" s="60"/>
      <c r="KCX43" s="60"/>
      <c r="KCY43" s="60"/>
      <c r="KCZ43" s="60"/>
      <c r="KDA43" s="60"/>
      <c r="KDB43" s="60"/>
      <c r="KDC43" s="60"/>
      <c r="KDD43" s="60"/>
      <c r="KDE43" s="60"/>
      <c r="KDF43" s="60"/>
      <c r="KDG43" s="60"/>
      <c r="KDH43" s="60"/>
      <c r="KDI43" s="60"/>
      <c r="KDJ43" s="60"/>
      <c r="KDK43" s="60"/>
      <c r="KDL43" s="60"/>
      <c r="KDM43" s="60"/>
      <c r="KDN43" s="60"/>
      <c r="KDO43" s="60"/>
      <c r="KDP43" s="60"/>
      <c r="KDQ43" s="60"/>
      <c r="KDR43" s="60"/>
      <c r="KDS43" s="60"/>
      <c r="KDT43" s="60"/>
      <c r="KDU43" s="60"/>
      <c r="KDV43" s="60"/>
      <c r="KDW43" s="60"/>
      <c r="KDX43" s="60"/>
      <c r="KDY43" s="60"/>
      <c r="KDZ43" s="60"/>
      <c r="KEA43" s="60"/>
      <c r="KEB43" s="60"/>
      <c r="KEC43" s="60"/>
      <c r="KED43" s="60"/>
      <c r="KEE43" s="60"/>
      <c r="KEF43" s="60"/>
      <c r="KEG43" s="60"/>
      <c r="KEH43" s="60"/>
      <c r="KEI43" s="60"/>
      <c r="KEJ43" s="60"/>
      <c r="KEK43" s="60"/>
      <c r="KEL43" s="60"/>
      <c r="KEM43" s="60"/>
      <c r="KEN43" s="60"/>
      <c r="KEO43" s="60"/>
      <c r="KEP43" s="60"/>
      <c r="KEQ43" s="60"/>
      <c r="KER43" s="60"/>
      <c r="KES43" s="60"/>
      <c r="KET43" s="60"/>
      <c r="KEU43" s="60"/>
      <c r="KEV43" s="60"/>
      <c r="KEW43" s="60"/>
      <c r="KEX43" s="60"/>
      <c r="KEY43" s="60"/>
      <c r="KEZ43" s="60"/>
      <c r="KFA43" s="60"/>
      <c r="KFB43" s="60"/>
      <c r="KFC43" s="60"/>
      <c r="KFD43" s="60"/>
      <c r="KFE43" s="60"/>
      <c r="KFF43" s="60"/>
      <c r="KFG43" s="60"/>
      <c r="KFH43" s="60"/>
      <c r="KFI43" s="60"/>
      <c r="KFJ43" s="60"/>
      <c r="KFK43" s="60"/>
      <c r="KFL43" s="60"/>
      <c r="KFM43" s="60"/>
      <c r="KFN43" s="60"/>
      <c r="KFO43" s="60"/>
      <c r="KFP43" s="60"/>
      <c r="KFQ43" s="60"/>
      <c r="KFR43" s="60"/>
      <c r="KFS43" s="60"/>
      <c r="KFT43" s="60"/>
      <c r="KFU43" s="60"/>
      <c r="KFV43" s="60"/>
      <c r="KFW43" s="60"/>
      <c r="KFX43" s="60"/>
      <c r="KFY43" s="60"/>
      <c r="KFZ43" s="60"/>
      <c r="KGA43" s="60"/>
      <c r="KGB43" s="60"/>
      <c r="KGC43" s="60"/>
      <c r="KGD43" s="60"/>
      <c r="KGE43" s="60"/>
      <c r="KGF43" s="60"/>
      <c r="KGG43" s="60"/>
      <c r="KGH43" s="60"/>
      <c r="KGI43" s="60"/>
      <c r="KGJ43" s="60"/>
      <c r="KGK43" s="60"/>
      <c r="KGL43" s="60"/>
      <c r="KGM43" s="60"/>
      <c r="KGN43" s="60"/>
      <c r="KGO43" s="60"/>
      <c r="KGP43" s="60"/>
      <c r="KGQ43" s="60"/>
      <c r="KGR43" s="60"/>
      <c r="KGS43" s="60"/>
      <c r="KGT43" s="60"/>
      <c r="KGU43" s="60"/>
      <c r="KGV43" s="60"/>
      <c r="KGW43" s="60"/>
      <c r="KGX43" s="60"/>
      <c r="KGY43" s="60"/>
      <c r="KGZ43" s="60"/>
      <c r="KHA43" s="60"/>
      <c r="KHB43" s="60"/>
      <c r="KHC43" s="60"/>
      <c r="KHD43" s="60"/>
      <c r="KHE43" s="60"/>
      <c r="KHF43" s="60"/>
      <c r="KHG43" s="60"/>
      <c r="KHH43" s="60"/>
      <c r="KHI43" s="60"/>
      <c r="KHJ43" s="60"/>
      <c r="KHK43" s="60"/>
      <c r="KHL43" s="60"/>
      <c r="KHM43" s="60"/>
      <c r="KHN43" s="60"/>
      <c r="KHO43" s="60"/>
      <c r="KHP43" s="60"/>
      <c r="KHQ43" s="60"/>
      <c r="KHR43" s="60"/>
      <c r="KHS43" s="60"/>
      <c r="KHT43" s="60"/>
      <c r="KHU43" s="60"/>
      <c r="KHV43" s="60"/>
      <c r="KHW43" s="60"/>
      <c r="KHX43" s="60"/>
      <c r="KHY43" s="60"/>
      <c r="KHZ43" s="60"/>
      <c r="KIA43" s="60"/>
      <c r="KIB43" s="60"/>
      <c r="KIC43" s="60"/>
      <c r="KID43" s="60"/>
      <c r="KIE43" s="60"/>
      <c r="KIF43" s="60"/>
      <c r="KIG43" s="60"/>
      <c r="KIH43" s="60"/>
      <c r="KII43" s="60"/>
      <c r="KIJ43" s="60"/>
      <c r="KIK43" s="60"/>
      <c r="KIL43" s="60"/>
      <c r="KIM43" s="60"/>
      <c r="KIN43" s="60"/>
      <c r="KIO43" s="60"/>
      <c r="KIP43" s="60"/>
      <c r="KIQ43" s="60"/>
      <c r="KIR43" s="60"/>
      <c r="KIS43" s="60"/>
      <c r="KIT43" s="60"/>
      <c r="KIU43" s="60"/>
      <c r="KIV43" s="60"/>
      <c r="KIW43" s="60"/>
      <c r="KIX43" s="60"/>
      <c r="KIY43" s="60"/>
      <c r="KIZ43" s="60"/>
      <c r="KJA43" s="60"/>
      <c r="KJB43" s="60"/>
      <c r="KJC43" s="60"/>
      <c r="KJD43" s="60"/>
      <c r="KJE43" s="60"/>
      <c r="KJF43" s="60"/>
      <c r="KJG43" s="60"/>
      <c r="KJH43" s="60"/>
      <c r="KJI43" s="60"/>
      <c r="KJJ43" s="60"/>
      <c r="KJK43" s="60"/>
      <c r="KJL43" s="60"/>
      <c r="KJM43" s="60"/>
      <c r="KJN43" s="60"/>
      <c r="KJO43" s="60"/>
      <c r="KJP43" s="60"/>
      <c r="KJQ43" s="60"/>
      <c r="KJR43" s="60"/>
      <c r="KJS43" s="60"/>
      <c r="KJT43" s="60"/>
      <c r="KJU43" s="60"/>
      <c r="KJV43" s="60"/>
      <c r="KJW43" s="60"/>
      <c r="KJX43" s="60"/>
      <c r="KJY43" s="60"/>
      <c r="KJZ43" s="60"/>
      <c r="KKA43" s="60"/>
      <c r="KKB43" s="60"/>
      <c r="KKC43" s="60"/>
      <c r="KKD43" s="60"/>
      <c r="KKE43" s="60"/>
      <c r="KKF43" s="60"/>
      <c r="KKG43" s="60"/>
      <c r="KKH43" s="60"/>
      <c r="KKI43" s="60"/>
      <c r="KKJ43" s="60"/>
      <c r="KKK43" s="60"/>
      <c r="KKL43" s="60"/>
      <c r="KKM43" s="60"/>
      <c r="KKN43" s="60"/>
      <c r="KKO43" s="60"/>
      <c r="KKP43" s="60"/>
      <c r="KKQ43" s="60"/>
      <c r="KKR43" s="60"/>
      <c r="KKS43" s="60"/>
      <c r="KKT43" s="60"/>
      <c r="KKU43" s="60"/>
      <c r="KKV43" s="60"/>
      <c r="KKW43" s="60"/>
      <c r="KKX43" s="60"/>
      <c r="KKY43" s="60"/>
      <c r="KKZ43" s="60"/>
      <c r="KLA43" s="60"/>
      <c r="KLB43" s="60"/>
      <c r="KLC43" s="60"/>
      <c r="KLD43" s="60"/>
      <c r="KLE43" s="60"/>
      <c r="KLF43" s="60"/>
      <c r="KLG43" s="60"/>
      <c r="KLH43" s="60"/>
      <c r="KLI43" s="60"/>
      <c r="KLJ43" s="60"/>
      <c r="KLK43" s="60"/>
      <c r="KLL43" s="60"/>
      <c r="KLM43" s="60"/>
      <c r="KLN43" s="60"/>
      <c r="KLO43" s="60"/>
      <c r="KLP43" s="60"/>
      <c r="KLQ43" s="60"/>
      <c r="KLR43" s="60"/>
      <c r="KLS43" s="60"/>
      <c r="KLT43" s="60"/>
      <c r="KLU43" s="60"/>
      <c r="KLV43" s="60"/>
      <c r="KLW43" s="60"/>
      <c r="KLX43" s="60"/>
      <c r="KLY43" s="60"/>
      <c r="KLZ43" s="60"/>
      <c r="KMA43" s="60"/>
      <c r="KMB43" s="60"/>
      <c r="KMC43" s="60"/>
      <c r="KMD43" s="60"/>
      <c r="KME43" s="60"/>
      <c r="KMF43" s="60"/>
      <c r="KMG43" s="60"/>
      <c r="KMH43" s="60"/>
      <c r="KMI43" s="60"/>
      <c r="KMJ43" s="60"/>
      <c r="KMK43" s="60"/>
      <c r="KML43" s="60"/>
      <c r="KMM43" s="60"/>
      <c r="KMN43" s="60"/>
      <c r="KMO43" s="60"/>
      <c r="KMP43" s="60"/>
      <c r="KMQ43" s="60"/>
      <c r="KMR43" s="60"/>
      <c r="KMS43" s="60"/>
      <c r="KMT43" s="60"/>
      <c r="KMU43" s="60"/>
      <c r="KMV43" s="60"/>
      <c r="KMW43" s="60"/>
      <c r="KMX43" s="60"/>
      <c r="KMY43" s="60"/>
      <c r="KMZ43" s="60"/>
      <c r="KNA43" s="60"/>
      <c r="KNB43" s="60"/>
      <c r="KNC43" s="60"/>
      <c r="KND43" s="60"/>
      <c r="KNE43" s="60"/>
      <c r="KNF43" s="60"/>
      <c r="KNG43" s="60"/>
      <c r="KNH43" s="60"/>
      <c r="KNI43" s="60"/>
      <c r="KNJ43" s="60"/>
      <c r="KNK43" s="60"/>
      <c r="KNL43" s="60"/>
      <c r="KNM43" s="60"/>
      <c r="KNN43" s="60"/>
      <c r="KNO43" s="60"/>
      <c r="KNP43" s="60"/>
      <c r="KNQ43" s="60"/>
      <c r="KNR43" s="60"/>
      <c r="KNS43" s="60"/>
      <c r="KNT43" s="60"/>
      <c r="KNU43" s="60"/>
      <c r="KNV43" s="60"/>
      <c r="KNW43" s="60"/>
      <c r="KNX43" s="60"/>
      <c r="KNY43" s="60"/>
      <c r="KNZ43" s="60"/>
      <c r="KOA43" s="60"/>
      <c r="KOB43" s="60"/>
      <c r="KOC43" s="60"/>
      <c r="KOD43" s="60"/>
      <c r="KOE43" s="60"/>
      <c r="KOF43" s="60"/>
      <c r="KOG43" s="60"/>
      <c r="KOH43" s="60"/>
      <c r="KOI43" s="60"/>
      <c r="KOJ43" s="60"/>
      <c r="KOK43" s="60"/>
      <c r="KOL43" s="60"/>
      <c r="KOM43" s="60"/>
      <c r="KON43" s="60"/>
      <c r="KOO43" s="60"/>
      <c r="KOP43" s="60"/>
      <c r="KOQ43" s="60"/>
      <c r="KOR43" s="60"/>
      <c r="KOS43" s="60"/>
      <c r="KOT43" s="60"/>
      <c r="KOU43" s="60"/>
      <c r="KOV43" s="60"/>
      <c r="KOW43" s="60"/>
      <c r="KOX43" s="60"/>
      <c r="KOY43" s="60"/>
      <c r="KOZ43" s="60"/>
      <c r="KPA43" s="60"/>
      <c r="KPB43" s="60"/>
      <c r="KPC43" s="60"/>
      <c r="KPD43" s="60"/>
      <c r="KPE43" s="60"/>
      <c r="KPF43" s="60"/>
      <c r="KPG43" s="60"/>
      <c r="KPH43" s="60"/>
      <c r="KPI43" s="60"/>
      <c r="KPJ43" s="60"/>
      <c r="KPK43" s="60"/>
      <c r="KPL43" s="60"/>
      <c r="KPM43" s="60"/>
      <c r="KPN43" s="60"/>
      <c r="KPO43" s="60"/>
      <c r="KPP43" s="60"/>
      <c r="KPQ43" s="60"/>
      <c r="KPR43" s="60"/>
      <c r="KPS43" s="60"/>
      <c r="KPT43" s="60"/>
      <c r="KPU43" s="60"/>
      <c r="KPV43" s="60"/>
      <c r="KPW43" s="60"/>
      <c r="KPX43" s="60"/>
      <c r="KPY43" s="60"/>
      <c r="KPZ43" s="60"/>
      <c r="KQA43" s="60"/>
      <c r="KQB43" s="60"/>
      <c r="KQC43" s="60"/>
      <c r="KQD43" s="60"/>
      <c r="KQE43" s="60"/>
      <c r="KQF43" s="60"/>
      <c r="KQG43" s="60"/>
      <c r="KQH43" s="60"/>
      <c r="KQI43" s="60"/>
      <c r="KQJ43" s="60"/>
      <c r="KQK43" s="60"/>
      <c r="KQL43" s="60"/>
      <c r="KQM43" s="60"/>
      <c r="KQN43" s="60"/>
      <c r="KQO43" s="60"/>
      <c r="KQP43" s="60"/>
      <c r="KQQ43" s="60"/>
      <c r="KQR43" s="60"/>
      <c r="KQS43" s="60"/>
      <c r="KQT43" s="60"/>
      <c r="KQU43" s="60"/>
      <c r="KQV43" s="60"/>
      <c r="KQW43" s="60"/>
      <c r="KQX43" s="60"/>
      <c r="KQY43" s="60"/>
      <c r="KQZ43" s="60"/>
      <c r="KRA43" s="60"/>
      <c r="KRB43" s="60"/>
      <c r="KRC43" s="60"/>
      <c r="KRD43" s="60"/>
      <c r="KRE43" s="60"/>
      <c r="KRF43" s="60"/>
      <c r="KRG43" s="60"/>
      <c r="KRH43" s="60"/>
      <c r="KRI43" s="60"/>
      <c r="KRJ43" s="60"/>
      <c r="KRK43" s="60"/>
      <c r="KRL43" s="60"/>
      <c r="KRM43" s="60"/>
      <c r="KRN43" s="60"/>
      <c r="KRO43" s="60"/>
      <c r="KRP43" s="60"/>
      <c r="KRQ43" s="60"/>
      <c r="KRR43" s="60"/>
      <c r="KRS43" s="60"/>
      <c r="KRT43" s="60"/>
      <c r="KRU43" s="60"/>
      <c r="KRV43" s="60"/>
      <c r="KRW43" s="60"/>
      <c r="KRX43" s="60"/>
      <c r="KRY43" s="60"/>
      <c r="KRZ43" s="60"/>
      <c r="KSA43" s="60"/>
      <c r="KSB43" s="60"/>
      <c r="KSC43" s="60"/>
      <c r="KSD43" s="60"/>
      <c r="KSE43" s="60"/>
      <c r="KSF43" s="60"/>
      <c r="KSG43" s="60"/>
      <c r="KSH43" s="60"/>
      <c r="KSI43" s="60"/>
      <c r="KSJ43" s="60"/>
      <c r="KSK43" s="60"/>
      <c r="KSL43" s="60"/>
      <c r="KSM43" s="60"/>
      <c r="KSN43" s="60"/>
      <c r="KSO43" s="60"/>
      <c r="KSP43" s="60"/>
      <c r="KSQ43" s="60"/>
      <c r="KSR43" s="60"/>
      <c r="KSS43" s="60"/>
      <c r="KST43" s="60"/>
      <c r="KSU43" s="60"/>
      <c r="KSV43" s="60"/>
      <c r="KSW43" s="60"/>
      <c r="KSX43" s="60"/>
      <c r="KSY43" s="60"/>
      <c r="KSZ43" s="60"/>
      <c r="KTA43" s="60"/>
      <c r="KTB43" s="60"/>
      <c r="KTC43" s="60"/>
      <c r="KTD43" s="60"/>
      <c r="KTE43" s="60"/>
      <c r="KTF43" s="60"/>
      <c r="KTG43" s="60"/>
      <c r="KTH43" s="60"/>
      <c r="KTI43" s="60"/>
      <c r="KTJ43" s="60"/>
      <c r="KTK43" s="60"/>
      <c r="KTL43" s="60"/>
      <c r="KTM43" s="60"/>
      <c r="KTN43" s="60"/>
      <c r="KTO43" s="60"/>
      <c r="KTP43" s="60"/>
      <c r="KTQ43" s="60"/>
      <c r="KTR43" s="60"/>
      <c r="KTS43" s="60"/>
      <c r="KTT43" s="60"/>
      <c r="KTU43" s="60"/>
      <c r="KTV43" s="60"/>
      <c r="KTW43" s="60"/>
      <c r="KTX43" s="60"/>
      <c r="KTY43" s="60"/>
      <c r="KTZ43" s="60"/>
      <c r="KUA43" s="60"/>
      <c r="KUB43" s="60"/>
      <c r="KUC43" s="60"/>
      <c r="KUD43" s="60"/>
      <c r="KUE43" s="60"/>
      <c r="KUF43" s="60"/>
      <c r="KUG43" s="60"/>
      <c r="KUH43" s="60"/>
      <c r="KUI43" s="60"/>
      <c r="KUJ43" s="60"/>
      <c r="KUK43" s="60"/>
      <c r="KUL43" s="60"/>
      <c r="KUM43" s="60"/>
      <c r="KUN43" s="60"/>
      <c r="KUO43" s="60"/>
      <c r="KUP43" s="60"/>
      <c r="KUQ43" s="60"/>
      <c r="KUR43" s="60"/>
      <c r="KUS43" s="60"/>
      <c r="KUT43" s="60"/>
      <c r="KUU43" s="60"/>
      <c r="KUV43" s="60"/>
      <c r="KUW43" s="60"/>
      <c r="KUX43" s="60"/>
      <c r="KUY43" s="60"/>
      <c r="KUZ43" s="60"/>
      <c r="KVA43" s="60"/>
      <c r="KVB43" s="60"/>
      <c r="KVC43" s="60"/>
      <c r="KVD43" s="60"/>
      <c r="KVE43" s="60"/>
      <c r="KVF43" s="60"/>
      <c r="KVG43" s="60"/>
      <c r="KVH43" s="60"/>
      <c r="KVI43" s="60"/>
      <c r="KVJ43" s="60"/>
      <c r="KVK43" s="60"/>
      <c r="KVL43" s="60"/>
      <c r="KVM43" s="60"/>
      <c r="KVN43" s="60"/>
      <c r="KVO43" s="60"/>
      <c r="KVP43" s="60"/>
      <c r="KVQ43" s="60"/>
      <c r="KVR43" s="60"/>
      <c r="KVS43" s="60"/>
      <c r="KVT43" s="60"/>
      <c r="KVU43" s="60"/>
      <c r="KVV43" s="60"/>
      <c r="KVW43" s="60"/>
      <c r="KVX43" s="60"/>
      <c r="KVY43" s="60"/>
      <c r="KVZ43" s="60"/>
      <c r="KWA43" s="60"/>
      <c r="KWB43" s="60"/>
      <c r="KWC43" s="60"/>
      <c r="KWD43" s="60"/>
      <c r="KWE43" s="60"/>
      <c r="KWF43" s="60"/>
      <c r="KWG43" s="60"/>
      <c r="KWH43" s="60"/>
      <c r="KWI43" s="60"/>
      <c r="KWJ43" s="60"/>
      <c r="KWK43" s="60"/>
      <c r="KWL43" s="60"/>
      <c r="KWM43" s="60"/>
      <c r="KWN43" s="60"/>
      <c r="KWO43" s="60"/>
      <c r="KWP43" s="60"/>
      <c r="KWQ43" s="60"/>
      <c r="KWR43" s="60"/>
      <c r="KWS43" s="60"/>
      <c r="KWT43" s="60"/>
      <c r="KWU43" s="60"/>
      <c r="KWV43" s="60"/>
      <c r="KWW43" s="60"/>
      <c r="KWX43" s="60"/>
      <c r="KWY43" s="60"/>
      <c r="KWZ43" s="60"/>
      <c r="KXA43" s="60"/>
      <c r="KXB43" s="60"/>
      <c r="KXC43" s="60"/>
      <c r="KXD43" s="60"/>
      <c r="KXE43" s="60"/>
      <c r="KXF43" s="60"/>
      <c r="KXG43" s="60"/>
      <c r="KXH43" s="60"/>
      <c r="KXI43" s="60"/>
      <c r="KXJ43" s="60"/>
      <c r="KXK43" s="60"/>
      <c r="KXL43" s="60"/>
      <c r="KXM43" s="60"/>
      <c r="KXN43" s="60"/>
      <c r="KXO43" s="60"/>
      <c r="KXP43" s="60"/>
      <c r="KXQ43" s="60"/>
      <c r="KXR43" s="60"/>
      <c r="KXS43" s="60"/>
      <c r="KXT43" s="60"/>
      <c r="KXU43" s="60"/>
      <c r="KXV43" s="60"/>
      <c r="KXW43" s="60"/>
      <c r="KXX43" s="60"/>
      <c r="KXY43" s="60"/>
      <c r="KXZ43" s="60"/>
      <c r="KYA43" s="60"/>
      <c r="KYB43" s="60"/>
      <c r="KYC43" s="60"/>
      <c r="KYD43" s="60"/>
      <c r="KYE43" s="60"/>
      <c r="KYF43" s="60"/>
      <c r="KYG43" s="60"/>
      <c r="KYH43" s="60"/>
      <c r="KYI43" s="60"/>
      <c r="KYJ43" s="60"/>
      <c r="KYK43" s="60"/>
      <c r="KYL43" s="60"/>
      <c r="KYM43" s="60"/>
      <c r="KYN43" s="60"/>
      <c r="KYO43" s="60"/>
      <c r="KYP43" s="60"/>
      <c r="KYQ43" s="60"/>
      <c r="KYR43" s="60"/>
      <c r="KYS43" s="60"/>
      <c r="KYT43" s="60"/>
      <c r="KYU43" s="60"/>
      <c r="KYV43" s="60"/>
      <c r="KYW43" s="60"/>
      <c r="KYX43" s="60"/>
      <c r="KYY43" s="60"/>
      <c r="KYZ43" s="60"/>
      <c r="KZA43" s="60"/>
      <c r="KZB43" s="60"/>
      <c r="KZC43" s="60"/>
      <c r="KZD43" s="60"/>
      <c r="KZE43" s="60"/>
      <c r="KZF43" s="60"/>
      <c r="KZG43" s="60"/>
      <c r="KZH43" s="60"/>
      <c r="KZI43" s="60"/>
      <c r="KZJ43" s="60"/>
      <c r="KZK43" s="60"/>
      <c r="KZL43" s="60"/>
      <c r="KZM43" s="60"/>
      <c r="KZN43" s="60"/>
      <c r="KZO43" s="60"/>
      <c r="KZP43" s="60"/>
      <c r="KZQ43" s="60"/>
      <c r="KZR43" s="60"/>
      <c r="KZS43" s="60"/>
      <c r="KZT43" s="60"/>
      <c r="KZU43" s="60"/>
      <c r="KZV43" s="60"/>
      <c r="KZW43" s="60"/>
      <c r="KZX43" s="60"/>
      <c r="KZY43" s="60"/>
      <c r="KZZ43" s="60"/>
      <c r="LAA43" s="60"/>
      <c r="LAB43" s="60"/>
      <c r="LAC43" s="60"/>
      <c r="LAD43" s="60"/>
      <c r="LAE43" s="60"/>
      <c r="LAF43" s="60"/>
      <c r="LAG43" s="60"/>
      <c r="LAH43" s="60"/>
      <c r="LAI43" s="60"/>
      <c r="LAJ43" s="60"/>
      <c r="LAK43" s="60"/>
      <c r="LAL43" s="60"/>
      <c r="LAM43" s="60"/>
      <c r="LAN43" s="60"/>
      <c r="LAO43" s="60"/>
      <c r="LAP43" s="60"/>
      <c r="LAQ43" s="60"/>
      <c r="LAR43" s="60"/>
      <c r="LAS43" s="60"/>
      <c r="LAT43" s="60"/>
      <c r="LAU43" s="60"/>
      <c r="LAV43" s="60"/>
      <c r="LAW43" s="60"/>
      <c r="LAX43" s="60"/>
      <c r="LAY43" s="60"/>
      <c r="LAZ43" s="60"/>
      <c r="LBA43" s="60"/>
      <c r="LBB43" s="60"/>
      <c r="LBC43" s="60"/>
      <c r="LBD43" s="60"/>
      <c r="LBE43" s="60"/>
      <c r="LBF43" s="60"/>
      <c r="LBG43" s="60"/>
      <c r="LBH43" s="60"/>
      <c r="LBI43" s="60"/>
      <c r="LBJ43" s="60"/>
      <c r="LBK43" s="60"/>
      <c r="LBL43" s="60"/>
      <c r="LBM43" s="60"/>
      <c r="LBN43" s="60"/>
      <c r="LBO43" s="60"/>
      <c r="LBP43" s="60"/>
      <c r="LBQ43" s="60"/>
      <c r="LBR43" s="60"/>
      <c r="LBS43" s="60"/>
      <c r="LBT43" s="60"/>
      <c r="LBU43" s="60"/>
      <c r="LBV43" s="60"/>
      <c r="LBW43" s="60"/>
      <c r="LBX43" s="60"/>
      <c r="LBY43" s="60"/>
      <c r="LBZ43" s="60"/>
      <c r="LCA43" s="60"/>
      <c r="LCB43" s="60"/>
      <c r="LCC43" s="60"/>
      <c r="LCD43" s="60"/>
      <c r="LCE43" s="60"/>
      <c r="LCF43" s="60"/>
      <c r="LCG43" s="60"/>
      <c r="LCH43" s="60"/>
      <c r="LCI43" s="60"/>
      <c r="LCJ43" s="60"/>
      <c r="LCK43" s="60"/>
      <c r="LCL43" s="60"/>
      <c r="LCM43" s="60"/>
      <c r="LCN43" s="60"/>
      <c r="LCO43" s="60"/>
      <c r="LCP43" s="60"/>
      <c r="LCQ43" s="60"/>
      <c r="LCR43" s="60"/>
      <c r="LCS43" s="60"/>
      <c r="LCT43" s="60"/>
      <c r="LCU43" s="60"/>
      <c r="LCV43" s="60"/>
      <c r="LCW43" s="60"/>
      <c r="LCX43" s="60"/>
      <c r="LCY43" s="60"/>
      <c r="LCZ43" s="60"/>
      <c r="LDA43" s="60"/>
      <c r="LDB43" s="60"/>
      <c r="LDC43" s="60"/>
      <c r="LDD43" s="60"/>
      <c r="LDE43" s="60"/>
      <c r="LDF43" s="60"/>
      <c r="LDG43" s="60"/>
      <c r="LDH43" s="60"/>
      <c r="LDI43" s="60"/>
      <c r="LDJ43" s="60"/>
      <c r="LDK43" s="60"/>
      <c r="LDL43" s="60"/>
      <c r="LDM43" s="60"/>
      <c r="LDN43" s="60"/>
      <c r="LDO43" s="60"/>
      <c r="LDP43" s="60"/>
      <c r="LDQ43" s="60"/>
      <c r="LDR43" s="60"/>
      <c r="LDS43" s="60"/>
      <c r="LDT43" s="60"/>
      <c r="LDU43" s="60"/>
      <c r="LDV43" s="60"/>
      <c r="LDW43" s="60"/>
      <c r="LDX43" s="60"/>
      <c r="LDY43" s="60"/>
      <c r="LDZ43" s="60"/>
      <c r="LEA43" s="60"/>
      <c r="LEB43" s="60"/>
      <c r="LEC43" s="60"/>
      <c r="LED43" s="60"/>
      <c r="LEE43" s="60"/>
      <c r="LEF43" s="60"/>
      <c r="LEG43" s="60"/>
      <c r="LEH43" s="60"/>
      <c r="LEI43" s="60"/>
      <c r="LEJ43" s="60"/>
      <c r="LEK43" s="60"/>
      <c r="LEL43" s="60"/>
      <c r="LEM43" s="60"/>
      <c r="LEN43" s="60"/>
      <c r="LEO43" s="60"/>
      <c r="LEP43" s="60"/>
      <c r="LEQ43" s="60"/>
      <c r="LER43" s="60"/>
      <c r="LES43" s="60"/>
      <c r="LET43" s="60"/>
      <c r="LEU43" s="60"/>
      <c r="LEV43" s="60"/>
      <c r="LEW43" s="60"/>
      <c r="LEX43" s="60"/>
      <c r="LEY43" s="60"/>
      <c r="LEZ43" s="60"/>
      <c r="LFA43" s="60"/>
      <c r="LFB43" s="60"/>
      <c r="LFC43" s="60"/>
      <c r="LFD43" s="60"/>
      <c r="LFE43" s="60"/>
      <c r="LFF43" s="60"/>
      <c r="LFG43" s="60"/>
      <c r="LFH43" s="60"/>
      <c r="LFI43" s="60"/>
      <c r="LFJ43" s="60"/>
      <c r="LFK43" s="60"/>
      <c r="LFL43" s="60"/>
      <c r="LFM43" s="60"/>
      <c r="LFN43" s="60"/>
      <c r="LFO43" s="60"/>
      <c r="LFP43" s="60"/>
      <c r="LFQ43" s="60"/>
      <c r="LFR43" s="60"/>
      <c r="LFS43" s="60"/>
      <c r="LFT43" s="60"/>
      <c r="LFU43" s="60"/>
      <c r="LFV43" s="60"/>
      <c r="LFW43" s="60"/>
      <c r="LFX43" s="60"/>
      <c r="LFY43" s="60"/>
      <c r="LFZ43" s="60"/>
      <c r="LGA43" s="60"/>
      <c r="LGB43" s="60"/>
      <c r="LGC43" s="60"/>
      <c r="LGD43" s="60"/>
      <c r="LGE43" s="60"/>
      <c r="LGF43" s="60"/>
      <c r="LGG43" s="60"/>
      <c r="LGH43" s="60"/>
      <c r="LGI43" s="60"/>
      <c r="LGJ43" s="60"/>
      <c r="LGK43" s="60"/>
      <c r="LGL43" s="60"/>
      <c r="LGM43" s="60"/>
      <c r="LGN43" s="60"/>
      <c r="LGO43" s="60"/>
      <c r="LGP43" s="60"/>
      <c r="LGQ43" s="60"/>
      <c r="LGR43" s="60"/>
      <c r="LGS43" s="60"/>
      <c r="LGT43" s="60"/>
      <c r="LGU43" s="60"/>
      <c r="LGV43" s="60"/>
      <c r="LGW43" s="60"/>
      <c r="LGX43" s="60"/>
      <c r="LGY43" s="60"/>
      <c r="LGZ43" s="60"/>
      <c r="LHA43" s="60"/>
      <c r="LHB43" s="60"/>
      <c r="LHC43" s="60"/>
      <c r="LHD43" s="60"/>
      <c r="LHE43" s="60"/>
      <c r="LHF43" s="60"/>
      <c r="LHG43" s="60"/>
      <c r="LHH43" s="60"/>
      <c r="LHI43" s="60"/>
      <c r="LHJ43" s="60"/>
      <c r="LHK43" s="60"/>
      <c r="LHL43" s="60"/>
      <c r="LHM43" s="60"/>
      <c r="LHN43" s="60"/>
      <c r="LHO43" s="60"/>
      <c r="LHP43" s="60"/>
      <c r="LHQ43" s="60"/>
      <c r="LHR43" s="60"/>
      <c r="LHS43" s="60"/>
      <c r="LHT43" s="60"/>
      <c r="LHU43" s="60"/>
      <c r="LHV43" s="60"/>
      <c r="LHW43" s="60"/>
      <c r="LHX43" s="60"/>
      <c r="LHY43" s="60"/>
      <c r="LHZ43" s="60"/>
      <c r="LIA43" s="60"/>
      <c r="LIB43" s="60"/>
      <c r="LIC43" s="60"/>
      <c r="LID43" s="60"/>
      <c r="LIE43" s="60"/>
      <c r="LIF43" s="60"/>
      <c r="LIG43" s="60"/>
      <c r="LIH43" s="60"/>
      <c r="LII43" s="60"/>
      <c r="LIJ43" s="60"/>
      <c r="LIK43" s="60"/>
      <c r="LIL43" s="60"/>
      <c r="LIM43" s="60"/>
      <c r="LIN43" s="60"/>
      <c r="LIO43" s="60"/>
      <c r="LIP43" s="60"/>
      <c r="LIQ43" s="60"/>
      <c r="LIR43" s="60"/>
      <c r="LIS43" s="60"/>
      <c r="LIT43" s="60"/>
      <c r="LIU43" s="60"/>
      <c r="LIV43" s="60"/>
      <c r="LIW43" s="60"/>
      <c r="LIX43" s="60"/>
      <c r="LIY43" s="60"/>
      <c r="LIZ43" s="60"/>
      <c r="LJA43" s="60"/>
      <c r="LJB43" s="60"/>
      <c r="LJC43" s="60"/>
      <c r="LJD43" s="60"/>
      <c r="LJE43" s="60"/>
      <c r="LJF43" s="60"/>
      <c r="LJG43" s="60"/>
      <c r="LJH43" s="60"/>
      <c r="LJI43" s="60"/>
      <c r="LJJ43" s="60"/>
      <c r="LJK43" s="60"/>
      <c r="LJL43" s="60"/>
      <c r="LJM43" s="60"/>
      <c r="LJN43" s="60"/>
      <c r="LJO43" s="60"/>
      <c r="LJP43" s="60"/>
      <c r="LJQ43" s="60"/>
      <c r="LJR43" s="60"/>
      <c r="LJS43" s="60"/>
      <c r="LJT43" s="60"/>
      <c r="LJU43" s="60"/>
      <c r="LJV43" s="60"/>
      <c r="LJW43" s="60"/>
      <c r="LJX43" s="60"/>
      <c r="LJY43" s="60"/>
      <c r="LJZ43" s="60"/>
      <c r="LKA43" s="60"/>
      <c r="LKB43" s="60"/>
      <c r="LKC43" s="60"/>
      <c r="LKD43" s="60"/>
      <c r="LKE43" s="60"/>
      <c r="LKF43" s="60"/>
      <c r="LKG43" s="60"/>
      <c r="LKH43" s="60"/>
      <c r="LKI43" s="60"/>
      <c r="LKJ43" s="60"/>
      <c r="LKK43" s="60"/>
      <c r="LKL43" s="60"/>
      <c r="LKM43" s="60"/>
      <c r="LKN43" s="60"/>
      <c r="LKO43" s="60"/>
      <c r="LKP43" s="60"/>
      <c r="LKQ43" s="60"/>
      <c r="LKR43" s="60"/>
      <c r="LKS43" s="60"/>
      <c r="LKT43" s="60"/>
      <c r="LKU43" s="60"/>
      <c r="LKV43" s="60"/>
      <c r="LKW43" s="60"/>
      <c r="LKX43" s="60"/>
      <c r="LKY43" s="60"/>
      <c r="LKZ43" s="60"/>
      <c r="LLA43" s="60"/>
      <c r="LLB43" s="60"/>
      <c r="LLC43" s="60"/>
      <c r="LLD43" s="60"/>
      <c r="LLE43" s="60"/>
      <c r="LLF43" s="60"/>
      <c r="LLG43" s="60"/>
      <c r="LLH43" s="60"/>
      <c r="LLI43" s="60"/>
      <c r="LLJ43" s="60"/>
      <c r="LLK43" s="60"/>
      <c r="LLL43" s="60"/>
      <c r="LLM43" s="60"/>
      <c r="LLN43" s="60"/>
      <c r="LLO43" s="60"/>
      <c r="LLP43" s="60"/>
      <c r="LLQ43" s="60"/>
      <c r="LLR43" s="60"/>
      <c r="LLS43" s="60"/>
      <c r="LLT43" s="60"/>
      <c r="LLU43" s="60"/>
      <c r="LLV43" s="60"/>
      <c r="LLW43" s="60"/>
      <c r="LLX43" s="60"/>
      <c r="LLY43" s="60"/>
      <c r="LLZ43" s="60"/>
      <c r="LMA43" s="60"/>
      <c r="LMB43" s="60"/>
      <c r="LMC43" s="60"/>
      <c r="LMD43" s="60"/>
      <c r="LME43" s="60"/>
      <c r="LMF43" s="60"/>
      <c r="LMG43" s="60"/>
      <c r="LMH43" s="60"/>
      <c r="LMI43" s="60"/>
      <c r="LMJ43" s="60"/>
      <c r="LMK43" s="60"/>
      <c r="LML43" s="60"/>
      <c r="LMM43" s="60"/>
      <c r="LMN43" s="60"/>
      <c r="LMO43" s="60"/>
      <c r="LMP43" s="60"/>
      <c r="LMQ43" s="60"/>
      <c r="LMR43" s="60"/>
      <c r="LMS43" s="60"/>
      <c r="LMT43" s="60"/>
      <c r="LMU43" s="60"/>
      <c r="LMV43" s="60"/>
      <c r="LMW43" s="60"/>
      <c r="LMX43" s="60"/>
      <c r="LMY43" s="60"/>
      <c r="LMZ43" s="60"/>
      <c r="LNA43" s="60"/>
      <c r="LNB43" s="60"/>
      <c r="LNC43" s="60"/>
      <c r="LND43" s="60"/>
      <c r="LNE43" s="60"/>
      <c r="LNF43" s="60"/>
      <c r="LNG43" s="60"/>
      <c r="LNH43" s="60"/>
      <c r="LNI43" s="60"/>
      <c r="LNJ43" s="60"/>
      <c r="LNK43" s="60"/>
      <c r="LNL43" s="60"/>
      <c r="LNM43" s="60"/>
      <c r="LNN43" s="60"/>
      <c r="LNO43" s="60"/>
      <c r="LNP43" s="60"/>
      <c r="LNQ43" s="60"/>
      <c r="LNR43" s="60"/>
      <c r="LNS43" s="60"/>
      <c r="LNT43" s="60"/>
      <c r="LNU43" s="60"/>
      <c r="LNV43" s="60"/>
      <c r="LNW43" s="60"/>
      <c r="LNX43" s="60"/>
      <c r="LNY43" s="60"/>
      <c r="LNZ43" s="60"/>
      <c r="LOA43" s="60"/>
      <c r="LOB43" s="60"/>
      <c r="LOC43" s="60"/>
      <c r="LOD43" s="60"/>
      <c r="LOE43" s="60"/>
      <c r="LOF43" s="60"/>
      <c r="LOG43" s="60"/>
      <c r="LOH43" s="60"/>
      <c r="LOI43" s="60"/>
      <c r="LOJ43" s="60"/>
      <c r="LOK43" s="60"/>
      <c r="LOL43" s="60"/>
      <c r="LOM43" s="60"/>
      <c r="LON43" s="60"/>
      <c r="LOO43" s="60"/>
      <c r="LOP43" s="60"/>
      <c r="LOQ43" s="60"/>
      <c r="LOR43" s="60"/>
      <c r="LOS43" s="60"/>
      <c r="LOT43" s="60"/>
      <c r="LOU43" s="60"/>
      <c r="LOV43" s="60"/>
      <c r="LOW43" s="60"/>
      <c r="LOX43" s="60"/>
      <c r="LOY43" s="60"/>
      <c r="LOZ43" s="60"/>
      <c r="LPA43" s="60"/>
      <c r="LPB43" s="60"/>
      <c r="LPC43" s="60"/>
      <c r="LPD43" s="60"/>
      <c r="LPE43" s="60"/>
      <c r="LPF43" s="60"/>
      <c r="LPG43" s="60"/>
      <c r="LPH43" s="60"/>
      <c r="LPI43" s="60"/>
      <c r="LPJ43" s="60"/>
      <c r="LPK43" s="60"/>
      <c r="LPL43" s="60"/>
      <c r="LPM43" s="60"/>
      <c r="LPN43" s="60"/>
      <c r="LPO43" s="60"/>
      <c r="LPP43" s="60"/>
      <c r="LPQ43" s="60"/>
      <c r="LPR43" s="60"/>
      <c r="LPS43" s="60"/>
      <c r="LPT43" s="60"/>
      <c r="LPU43" s="60"/>
      <c r="LPV43" s="60"/>
      <c r="LPW43" s="60"/>
      <c r="LPX43" s="60"/>
      <c r="LPY43" s="60"/>
      <c r="LPZ43" s="60"/>
      <c r="LQA43" s="60"/>
      <c r="LQB43" s="60"/>
      <c r="LQC43" s="60"/>
      <c r="LQD43" s="60"/>
      <c r="LQE43" s="60"/>
      <c r="LQF43" s="60"/>
      <c r="LQG43" s="60"/>
      <c r="LQH43" s="60"/>
      <c r="LQI43" s="60"/>
      <c r="LQJ43" s="60"/>
      <c r="LQK43" s="60"/>
      <c r="LQL43" s="60"/>
      <c r="LQM43" s="60"/>
      <c r="LQN43" s="60"/>
      <c r="LQO43" s="60"/>
      <c r="LQP43" s="60"/>
      <c r="LQQ43" s="60"/>
      <c r="LQR43" s="60"/>
      <c r="LQS43" s="60"/>
      <c r="LQT43" s="60"/>
      <c r="LQU43" s="60"/>
      <c r="LQV43" s="60"/>
      <c r="LQW43" s="60"/>
      <c r="LQX43" s="60"/>
      <c r="LQY43" s="60"/>
      <c r="LQZ43" s="60"/>
      <c r="LRA43" s="60"/>
      <c r="LRB43" s="60"/>
      <c r="LRC43" s="60"/>
      <c r="LRD43" s="60"/>
      <c r="LRE43" s="60"/>
      <c r="LRF43" s="60"/>
      <c r="LRG43" s="60"/>
      <c r="LRH43" s="60"/>
      <c r="LRI43" s="60"/>
      <c r="LRJ43" s="60"/>
      <c r="LRK43" s="60"/>
      <c r="LRL43" s="60"/>
      <c r="LRM43" s="60"/>
      <c r="LRN43" s="60"/>
      <c r="LRO43" s="60"/>
      <c r="LRP43" s="60"/>
      <c r="LRQ43" s="60"/>
      <c r="LRR43" s="60"/>
      <c r="LRS43" s="60"/>
      <c r="LRT43" s="60"/>
      <c r="LRU43" s="60"/>
      <c r="LRV43" s="60"/>
      <c r="LRW43" s="60"/>
      <c r="LRX43" s="60"/>
      <c r="LRY43" s="60"/>
      <c r="LRZ43" s="60"/>
      <c r="LSA43" s="60"/>
      <c r="LSB43" s="60"/>
      <c r="LSC43" s="60"/>
      <c r="LSD43" s="60"/>
      <c r="LSE43" s="60"/>
      <c r="LSF43" s="60"/>
      <c r="LSG43" s="60"/>
      <c r="LSH43" s="60"/>
      <c r="LSI43" s="60"/>
      <c r="LSJ43" s="60"/>
      <c r="LSK43" s="60"/>
      <c r="LSL43" s="60"/>
      <c r="LSM43" s="60"/>
      <c r="LSN43" s="60"/>
      <c r="LSO43" s="60"/>
      <c r="LSP43" s="60"/>
      <c r="LSQ43" s="60"/>
      <c r="LSR43" s="60"/>
      <c r="LSS43" s="60"/>
      <c r="LST43" s="60"/>
      <c r="LSU43" s="60"/>
      <c r="LSV43" s="60"/>
      <c r="LSW43" s="60"/>
      <c r="LSX43" s="60"/>
      <c r="LSY43" s="60"/>
      <c r="LSZ43" s="60"/>
      <c r="LTA43" s="60"/>
      <c r="LTB43" s="60"/>
      <c r="LTC43" s="60"/>
      <c r="LTD43" s="60"/>
      <c r="LTE43" s="60"/>
      <c r="LTF43" s="60"/>
      <c r="LTG43" s="60"/>
      <c r="LTH43" s="60"/>
      <c r="LTI43" s="60"/>
      <c r="LTJ43" s="60"/>
      <c r="LTK43" s="60"/>
      <c r="LTL43" s="60"/>
      <c r="LTM43" s="60"/>
      <c r="LTN43" s="60"/>
      <c r="LTO43" s="60"/>
      <c r="LTP43" s="60"/>
      <c r="LTQ43" s="60"/>
      <c r="LTR43" s="60"/>
      <c r="LTS43" s="60"/>
      <c r="LTT43" s="60"/>
      <c r="LTU43" s="60"/>
      <c r="LTV43" s="60"/>
      <c r="LTW43" s="60"/>
      <c r="LTX43" s="60"/>
      <c r="LTY43" s="60"/>
      <c r="LTZ43" s="60"/>
      <c r="LUA43" s="60"/>
      <c r="LUB43" s="60"/>
      <c r="LUC43" s="60"/>
      <c r="LUD43" s="60"/>
      <c r="LUE43" s="60"/>
      <c r="LUF43" s="60"/>
      <c r="LUG43" s="60"/>
      <c r="LUH43" s="60"/>
      <c r="LUI43" s="60"/>
      <c r="LUJ43" s="60"/>
      <c r="LUK43" s="60"/>
      <c r="LUL43" s="60"/>
      <c r="LUM43" s="60"/>
      <c r="LUN43" s="60"/>
      <c r="LUO43" s="60"/>
      <c r="LUP43" s="60"/>
      <c r="LUQ43" s="60"/>
      <c r="LUR43" s="60"/>
      <c r="LUS43" s="60"/>
      <c r="LUT43" s="60"/>
      <c r="LUU43" s="60"/>
      <c r="LUV43" s="60"/>
      <c r="LUW43" s="60"/>
      <c r="LUX43" s="60"/>
      <c r="LUY43" s="60"/>
      <c r="LUZ43" s="60"/>
      <c r="LVA43" s="60"/>
      <c r="LVB43" s="60"/>
      <c r="LVC43" s="60"/>
      <c r="LVD43" s="60"/>
      <c r="LVE43" s="60"/>
      <c r="LVF43" s="60"/>
      <c r="LVG43" s="60"/>
      <c r="LVH43" s="60"/>
      <c r="LVI43" s="60"/>
      <c r="LVJ43" s="60"/>
      <c r="LVK43" s="60"/>
      <c r="LVL43" s="60"/>
      <c r="LVM43" s="60"/>
      <c r="LVN43" s="60"/>
      <c r="LVO43" s="60"/>
      <c r="LVP43" s="60"/>
      <c r="LVQ43" s="60"/>
      <c r="LVR43" s="60"/>
      <c r="LVS43" s="60"/>
      <c r="LVT43" s="60"/>
      <c r="LVU43" s="60"/>
      <c r="LVV43" s="60"/>
      <c r="LVW43" s="60"/>
      <c r="LVX43" s="60"/>
      <c r="LVY43" s="60"/>
      <c r="LVZ43" s="60"/>
      <c r="LWA43" s="60"/>
      <c r="LWB43" s="60"/>
      <c r="LWC43" s="60"/>
      <c r="LWD43" s="60"/>
      <c r="LWE43" s="60"/>
      <c r="LWF43" s="60"/>
      <c r="LWG43" s="60"/>
      <c r="LWH43" s="60"/>
      <c r="LWI43" s="60"/>
      <c r="LWJ43" s="60"/>
      <c r="LWK43" s="60"/>
      <c r="LWL43" s="60"/>
      <c r="LWM43" s="60"/>
      <c r="LWN43" s="60"/>
      <c r="LWO43" s="60"/>
      <c r="LWP43" s="60"/>
      <c r="LWQ43" s="60"/>
      <c r="LWR43" s="60"/>
      <c r="LWS43" s="60"/>
      <c r="LWT43" s="60"/>
      <c r="LWU43" s="60"/>
      <c r="LWV43" s="60"/>
      <c r="LWW43" s="60"/>
      <c r="LWX43" s="60"/>
      <c r="LWY43" s="60"/>
      <c r="LWZ43" s="60"/>
      <c r="LXA43" s="60"/>
      <c r="LXB43" s="60"/>
      <c r="LXC43" s="60"/>
      <c r="LXD43" s="60"/>
      <c r="LXE43" s="60"/>
      <c r="LXF43" s="60"/>
      <c r="LXG43" s="60"/>
      <c r="LXH43" s="60"/>
      <c r="LXI43" s="60"/>
      <c r="LXJ43" s="60"/>
      <c r="LXK43" s="60"/>
      <c r="LXL43" s="60"/>
      <c r="LXM43" s="60"/>
      <c r="LXN43" s="60"/>
      <c r="LXO43" s="60"/>
      <c r="LXP43" s="60"/>
      <c r="LXQ43" s="60"/>
      <c r="LXR43" s="60"/>
      <c r="LXS43" s="60"/>
      <c r="LXT43" s="60"/>
      <c r="LXU43" s="60"/>
      <c r="LXV43" s="60"/>
      <c r="LXW43" s="60"/>
      <c r="LXX43" s="60"/>
      <c r="LXY43" s="60"/>
      <c r="LXZ43" s="60"/>
      <c r="LYA43" s="60"/>
      <c r="LYB43" s="60"/>
      <c r="LYC43" s="60"/>
      <c r="LYD43" s="60"/>
      <c r="LYE43" s="60"/>
      <c r="LYF43" s="60"/>
      <c r="LYG43" s="60"/>
      <c r="LYH43" s="60"/>
      <c r="LYI43" s="60"/>
      <c r="LYJ43" s="60"/>
      <c r="LYK43" s="60"/>
      <c r="LYL43" s="60"/>
      <c r="LYM43" s="60"/>
      <c r="LYN43" s="60"/>
      <c r="LYO43" s="60"/>
      <c r="LYP43" s="60"/>
      <c r="LYQ43" s="60"/>
      <c r="LYR43" s="60"/>
      <c r="LYS43" s="60"/>
      <c r="LYT43" s="60"/>
      <c r="LYU43" s="60"/>
      <c r="LYV43" s="60"/>
      <c r="LYW43" s="60"/>
      <c r="LYX43" s="60"/>
      <c r="LYY43" s="60"/>
      <c r="LYZ43" s="60"/>
      <c r="LZA43" s="60"/>
      <c r="LZB43" s="60"/>
      <c r="LZC43" s="60"/>
      <c r="LZD43" s="60"/>
      <c r="LZE43" s="60"/>
      <c r="LZF43" s="60"/>
      <c r="LZG43" s="60"/>
      <c r="LZH43" s="60"/>
      <c r="LZI43" s="60"/>
      <c r="LZJ43" s="60"/>
      <c r="LZK43" s="60"/>
      <c r="LZL43" s="60"/>
      <c r="LZM43" s="60"/>
      <c r="LZN43" s="60"/>
      <c r="LZO43" s="60"/>
      <c r="LZP43" s="60"/>
      <c r="LZQ43" s="60"/>
      <c r="LZR43" s="60"/>
      <c r="LZS43" s="60"/>
      <c r="LZT43" s="60"/>
      <c r="LZU43" s="60"/>
      <c r="LZV43" s="60"/>
      <c r="LZW43" s="60"/>
      <c r="LZX43" s="60"/>
      <c r="LZY43" s="60"/>
      <c r="LZZ43" s="60"/>
      <c r="MAA43" s="60"/>
      <c r="MAB43" s="60"/>
      <c r="MAC43" s="60"/>
      <c r="MAD43" s="60"/>
      <c r="MAE43" s="60"/>
      <c r="MAF43" s="60"/>
      <c r="MAG43" s="60"/>
      <c r="MAH43" s="60"/>
      <c r="MAI43" s="60"/>
      <c r="MAJ43" s="60"/>
      <c r="MAK43" s="60"/>
      <c r="MAL43" s="60"/>
      <c r="MAM43" s="60"/>
      <c r="MAN43" s="60"/>
      <c r="MAO43" s="60"/>
      <c r="MAP43" s="60"/>
      <c r="MAQ43" s="60"/>
      <c r="MAR43" s="60"/>
      <c r="MAS43" s="60"/>
      <c r="MAT43" s="60"/>
      <c r="MAU43" s="60"/>
      <c r="MAV43" s="60"/>
      <c r="MAW43" s="60"/>
      <c r="MAX43" s="60"/>
      <c r="MAY43" s="60"/>
      <c r="MAZ43" s="60"/>
      <c r="MBA43" s="60"/>
      <c r="MBB43" s="60"/>
      <c r="MBC43" s="60"/>
      <c r="MBD43" s="60"/>
      <c r="MBE43" s="60"/>
      <c r="MBF43" s="60"/>
      <c r="MBG43" s="60"/>
      <c r="MBH43" s="60"/>
      <c r="MBI43" s="60"/>
      <c r="MBJ43" s="60"/>
      <c r="MBK43" s="60"/>
      <c r="MBL43" s="60"/>
      <c r="MBM43" s="60"/>
      <c r="MBN43" s="60"/>
      <c r="MBO43" s="60"/>
      <c r="MBP43" s="60"/>
      <c r="MBQ43" s="60"/>
      <c r="MBR43" s="60"/>
      <c r="MBS43" s="60"/>
      <c r="MBT43" s="60"/>
      <c r="MBU43" s="60"/>
      <c r="MBV43" s="60"/>
      <c r="MBW43" s="60"/>
      <c r="MBX43" s="60"/>
      <c r="MBY43" s="60"/>
      <c r="MBZ43" s="60"/>
      <c r="MCA43" s="60"/>
      <c r="MCB43" s="60"/>
      <c r="MCC43" s="60"/>
      <c r="MCD43" s="60"/>
      <c r="MCE43" s="60"/>
      <c r="MCF43" s="60"/>
      <c r="MCG43" s="60"/>
      <c r="MCH43" s="60"/>
      <c r="MCI43" s="60"/>
      <c r="MCJ43" s="60"/>
      <c r="MCK43" s="60"/>
      <c r="MCL43" s="60"/>
      <c r="MCM43" s="60"/>
      <c r="MCN43" s="60"/>
      <c r="MCO43" s="60"/>
      <c r="MCP43" s="60"/>
      <c r="MCQ43" s="60"/>
      <c r="MCR43" s="60"/>
      <c r="MCS43" s="60"/>
      <c r="MCT43" s="60"/>
      <c r="MCU43" s="60"/>
      <c r="MCV43" s="60"/>
      <c r="MCW43" s="60"/>
      <c r="MCX43" s="60"/>
      <c r="MCY43" s="60"/>
      <c r="MCZ43" s="60"/>
      <c r="MDA43" s="60"/>
      <c r="MDB43" s="60"/>
      <c r="MDC43" s="60"/>
      <c r="MDD43" s="60"/>
      <c r="MDE43" s="60"/>
      <c r="MDF43" s="60"/>
      <c r="MDG43" s="60"/>
      <c r="MDH43" s="60"/>
      <c r="MDI43" s="60"/>
      <c r="MDJ43" s="60"/>
      <c r="MDK43" s="60"/>
      <c r="MDL43" s="60"/>
      <c r="MDM43" s="60"/>
      <c r="MDN43" s="60"/>
      <c r="MDO43" s="60"/>
      <c r="MDP43" s="60"/>
      <c r="MDQ43" s="60"/>
      <c r="MDR43" s="60"/>
      <c r="MDS43" s="60"/>
      <c r="MDT43" s="60"/>
      <c r="MDU43" s="60"/>
      <c r="MDV43" s="60"/>
      <c r="MDW43" s="60"/>
      <c r="MDX43" s="60"/>
      <c r="MDY43" s="60"/>
      <c r="MDZ43" s="60"/>
      <c r="MEA43" s="60"/>
      <c r="MEB43" s="60"/>
      <c r="MEC43" s="60"/>
      <c r="MED43" s="60"/>
      <c r="MEE43" s="60"/>
      <c r="MEF43" s="60"/>
      <c r="MEG43" s="60"/>
      <c r="MEH43" s="60"/>
      <c r="MEI43" s="60"/>
      <c r="MEJ43" s="60"/>
      <c r="MEK43" s="60"/>
      <c r="MEL43" s="60"/>
      <c r="MEM43" s="60"/>
      <c r="MEN43" s="60"/>
      <c r="MEO43" s="60"/>
      <c r="MEP43" s="60"/>
      <c r="MEQ43" s="60"/>
      <c r="MER43" s="60"/>
      <c r="MES43" s="60"/>
      <c r="MET43" s="60"/>
      <c r="MEU43" s="60"/>
      <c r="MEV43" s="60"/>
      <c r="MEW43" s="60"/>
      <c r="MEX43" s="60"/>
      <c r="MEY43" s="60"/>
      <c r="MEZ43" s="60"/>
      <c r="MFA43" s="60"/>
      <c r="MFB43" s="60"/>
      <c r="MFC43" s="60"/>
      <c r="MFD43" s="60"/>
      <c r="MFE43" s="60"/>
      <c r="MFF43" s="60"/>
      <c r="MFG43" s="60"/>
      <c r="MFH43" s="60"/>
      <c r="MFI43" s="60"/>
      <c r="MFJ43" s="60"/>
      <c r="MFK43" s="60"/>
      <c r="MFL43" s="60"/>
      <c r="MFM43" s="60"/>
      <c r="MFN43" s="60"/>
      <c r="MFO43" s="60"/>
      <c r="MFP43" s="60"/>
      <c r="MFQ43" s="60"/>
      <c r="MFR43" s="60"/>
      <c r="MFS43" s="60"/>
      <c r="MFT43" s="60"/>
      <c r="MFU43" s="60"/>
      <c r="MFV43" s="60"/>
      <c r="MFW43" s="60"/>
      <c r="MFX43" s="60"/>
      <c r="MFY43" s="60"/>
      <c r="MFZ43" s="60"/>
      <c r="MGA43" s="60"/>
      <c r="MGB43" s="60"/>
      <c r="MGC43" s="60"/>
      <c r="MGD43" s="60"/>
      <c r="MGE43" s="60"/>
      <c r="MGF43" s="60"/>
      <c r="MGG43" s="60"/>
      <c r="MGH43" s="60"/>
      <c r="MGI43" s="60"/>
      <c r="MGJ43" s="60"/>
      <c r="MGK43" s="60"/>
      <c r="MGL43" s="60"/>
      <c r="MGM43" s="60"/>
      <c r="MGN43" s="60"/>
      <c r="MGO43" s="60"/>
      <c r="MGP43" s="60"/>
      <c r="MGQ43" s="60"/>
      <c r="MGR43" s="60"/>
      <c r="MGS43" s="60"/>
      <c r="MGT43" s="60"/>
      <c r="MGU43" s="60"/>
      <c r="MGV43" s="60"/>
      <c r="MGW43" s="60"/>
      <c r="MGX43" s="60"/>
      <c r="MGY43" s="60"/>
      <c r="MGZ43" s="60"/>
      <c r="MHA43" s="60"/>
      <c r="MHB43" s="60"/>
      <c r="MHC43" s="60"/>
      <c r="MHD43" s="60"/>
      <c r="MHE43" s="60"/>
      <c r="MHF43" s="60"/>
      <c r="MHG43" s="60"/>
      <c r="MHH43" s="60"/>
      <c r="MHI43" s="60"/>
      <c r="MHJ43" s="60"/>
      <c r="MHK43" s="60"/>
      <c r="MHL43" s="60"/>
      <c r="MHM43" s="60"/>
      <c r="MHN43" s="60"/>
      <c r="MHO43" s="60"/>
      <c r="MHP43" s="60"/>
      <c r="MHQ43" s="60"/>
      <c r="MHR43" s="60"/>
      <c r="MHS43" s="60"/>
      <c r="MHT43" s="60"/>
      <c r="MHU43" s="60"/>
      <c r="MHV43" s="60"/>
      <c r="MHW43" s="60"/>
      <c r="MHX43" s="60"/>
      <c r="MHY43" s="60"/>
      <c r="MHZ43" s="60"/>
      <c r="MIA43" s="60"/>
      <c r="MIB43" s="60"/>
      <c r="MIC43" s="60"/>
      <c r="MID43" s="60"/>
      <c r="MIE43" s="60"/>
      <c r="MIF43" s="60"/>
      <c r="MIG43" s="60"/>
      <c r="MIH43" s="60"/>
      <c r="MII43" s="60"/>
      <c r="MIJ43" s="60"/>
      <c r="MIK43" s="60"/>
      <c r="MIL43" s="60"/>
      <c r="MIM43" s="60"/>
      <c r="MIN43" s="60"/>
      <c r="MIO43" s="60"/>
      <c r="MIP43" s="60"/>
      <c r="MIQ43" s="60"/>
      <c r="MIR43" s="60"/>
      <c r="MIS43" s="60"/>
      <c r="MIT43" s="60"/>
      <c r="MIU43" s="60"/>
      <c r="MIV43" s="60"/>
      <c r="MIW43" s="60"/>
      <c r="MIX43" s="60"/>
      <c r="MIY43" s="60"/>
      <c r="MIZ43" s="60"/>
      <c r="MJA43" s="60"/>
      <c r="MJB43" s="60"/>
      <c r="MJC43" s="60"/>
      <c r="MJD43" s="60"/>
      <c r="MJE43" s="60"/>
      <c r="MJF43" s="60"/>
      <c r="MJG43" s="60"/>
      <c r="MJH43" s="60"/>
      <c r="MJI43" s="60"/>
      <c r="MJJ43" s="60"/>
      <c r="MJK43" s="60"/>
      <c r="MJL43" s="60"/>
      <c r="MJM43" s="60"/>
      <c r="MJN43" s="60"/>
      <c r="MJO43" s="60"/>
      <c r="MJP43" s="60"/>
      <c r="MJQ43" s="60"/>
      <c r="MJR43" s="60"/>
      <c r="MJS43" s="60"/>
      <c r="MJT43" s="60"/>
      <c r="MJU43" s="60"/>
      <c r="MJV43" s="60"/>
      <c r="MJW43" s="60"/>
      <c r="MJX43" s="60"/>
      <c r="MJY43" s="60"/>
      <c r="MJZ43" s="60"/>
      <c r="MKA43" s="60"/>
      <c r="MKB43" s="60"/>
      <c r="MKC43" s="60"/>
      <c r="MKD43" s="60"/>
      <c r="MKE43" s="60"/>
      <c r="MKF43" s="60"/>
      <c r="MKG43" s="60"/>
      <c r="MKH43" s="60"/>
      <c r="MKI43" s="60"/>
      <c r="MKJ43" s="60"/>
      <c r="MKK43" s="60"/>
      <c r="MKL43" s="60"/>
      <c r="MKM43" s="60"/>
      <c r="MKN43" s="60"/>
      <c r="MKO43" s="60"/>
      <c r="MKP43" s="60"/>
      <c r="MKQ43" s="60"/>
      <c r="MKR43" s="60"/>
      <c r="MKS43" s="60"/>
      <c r="MKT43" s="60"/>
      <c r="MKU43" s="60"/>
      <c r="MKV43" s="60"/>
      <c r="MKW43" s="60"/>
      <c r="MKX43" s="60"/>
      <c r="MKY43" s="60"/>
      <c r="MKZ43" s="60"/>
      <c r="MLA43" s="60"/>
      <c r="MLB43" s="60"/>
      <c r="MLC43" s="60"/>
      <c r="MLD43" s="60"/>
      <c r="MLE43" s="60"/>
      <c r="MLF43" s="60"/>
      <c r="MLG43" s="60"/>
      <c r="MLH43" s="60"/>
      <c r="MLI43" s="60"/>
      <c r="MLJ43" s="60"/>
      <c r="MLK43" s="60"/>
      <c r="MLL43" s="60"/>
      <c r="MLM43" s="60"/>
      <c r="MLN43" s="60"/>
      <c r="MLO43" s="60"/>
      <c r="MLP43" s="60"/>
      <c r="MLQ43" s="60"/>
      <c r="MLR43" s="60"/>
      <c r="MLS43" s="60"/>
      <c r="MLT43" s="60"/>
      <c r="MLU43" s="60"/>
      <c r="MLV43" s="60"/>
      <c r="MLW43" s="60"/>
      <c r="MLX43" s="60"/>
      <c r="MLY43" s="60"/>
      <c r="MLZ43" s="60"/>
      <c r="MMA43" s="60"/>
      <c r="MMB43" s="60"/>
      <c r="MMC43" s="60"/>
      <c r="MMD43" s="60"/>
      <c r="MME43" s="60"/>
      <c r="MMF43" s="60"/>
      <c r="MMG43" s="60"/>
      <c r="MMH43" s="60"/>
      <c r="MMI43" s="60"/>
      <c r="MMJ43" s="60"/>
      <c r="MMK43" s="60"/>
      <c r="MML43" s="60"/>
      <c r="MMM43" s="60"/>
      <c r="MMN43" s="60"/>
      <c r="MMO43" s="60"/>
      <c r="MMP43" s="60"/>
      <c r="MMQ43" s="60"/>
      <c r="MMR43" s="60"/>
      <c r="MMS43" s="60"/>
      <c r="MMT43" s="60"/>
      <c r="MMU43" s="60"/>
      <c r="MMV43" s="60"/>
      <c r="MMW43" s="60"/>
      <c r="MMX43" s="60"/>
      <c r="MMY43" s="60"/>
      <c r="MMZ43" s="60"/>
      <c r="MNA43" s="60"/>
      <c r="MNB43" s="60"/>
      <c r="MNC43" s="60"/>
      <c r="MND43" s="60"/>
      <c r="MNE43" s="60"/>
      <c r="MNF43" s="60"/>
      <c r="MNG43" s="60"/>
      <c r="MNH43" s="60"/>
      <c r="MNI43" s="60"/>
      <c r="MNJ43" s="60"/>
      <c r="MNK43" s="60"/>
      <c r="MNL43" s="60"/>
      <c r="MNM43" s="60"/>
      <c r="MNN43" s="60"/>
      <c r="MNO43" s="60"/>
      <c r="MNP43" s="60"/>
      <c r="MNQ43" s="60"/>
      <c r="MNR43" s="60"/>
      <c r="MNS43" s="60"/>
      <c r="MNT43" s="60"/>
      <c r="MNU43" s="60"/>
      <c r="MNV43" s="60"/>
      <c r="MNW43" s="60"/>
      <c r="MNX43" s="60"/>
      <c r="MNY43" s="60"/>
      <c r="MNZ43" s="60"/>
      <c r="MOA43" s="60"/>
      <c r="MOB43" s="60"/>
      <c r="MOC43" s="60"/>
      <c r="MOD43" s="60"/>
      <c r="MOE43" s="60"/>
      <c r="MOF43" s="60"/>
      <c r="MOG43" s="60"/>
      <c r="MOH43" s="60"/>
      <c r="MOI43" s="60"/>
      <c r="MOJ43" s="60"/>
      <c r="MOK43" s="60"/>
      <c r="MOL43" s="60"/>
      <c r="MOM43" s="60"/>
      <c r="MON43" s="60"/>
      <c r="MOO43" s="60"/>
      <c r="MOP43" s="60"/>
      <c r="MOQ43" s="60"/>
      <c r="MOR43" s="60"/>
      <c r="MOS43" s="60"/>
      <c r="MOT43" s="60"/>
      <c r="MOU43" s="60"/>
      <c r="MOV43" s="60"/>
      <c r="MOW43" s="60"/>
      <c r="MOX43" s="60"/>
      <c r="MOY43" s="60"/>
      <c r="MOZ43" s="60"/>
      <c r="MPA43" s="60"/>
      <c r="MPB43" s="60"/>
      <c r="MPC43" s="60"/>
      <c r="MPD43" s="60"/>
      <c r="MPE43" s="60"/>
      <c r="MPF43" s="60"/>
      <c r="MPG43" s="60"/>
      <c r="MPH43" s="60"/>
      <c r="MPI43" s="60"/>
      <c r="MPJ43" s="60"/>
      <c r="MPK43" s="60"/>
      <c r="MPL43" s="60"/>
      <c r="MPM43" s="60"/>
      <c r="MPN43" s="60"/>
      <c r="MPO43" s="60"/>
      <c r="MPP43" s="60"/>
      <c r="MPQ43" s="60"/>
      <c r="MPR43" s="60"/>
      <c r="MPS43" s="60"/>
      <c r="MPT43" s="60"/>
      <c r="MPU43" s="60"/>
      <c r="MPV43" s="60"/>
      <c r="MPW43" s="60"/>
      <c r="MPX43" s="60"/>
      <c r="MPY43" s="60"/>
      <c r="MPZ43" s="60"/>
      <c r="MQA43" s="60"/>
      <c r="MQB43" s="60"/>
      <c r="MQC43" s="60"/>
      <c r="MQD43" s="60"/>
      <c r="MQE43" s="60"/>
      <c r="MQF43" s="60"/>
      <c r="MQG43" s="60"/>
      <c r="MQH43" s="60"/>
      <c r="MQI43" s="60"/>
      <c r="MQJ43" s="60"/>
      <c r="MQK43" s="60"/>
      <c r="MQL43" s="60"/>
      <c r="MQM43" s="60"/>
      <c r="MQN43" s="60"/>
      <c r="MQO43" s="60"/>
      <c r="MQP43" s="60"/>
      <c r="MQQ43" s="60"/>
      <c r="MQR43" s="60"/>
      <c r="MQS43" s="60"/>
      <c r="MQT43" s="60"/>
      <c r="MQU43" s="60"/>
      <c r="MQV43" s="60"/>
      <c r="MQW43" s="60"/>
      <c r="MQX43" s="60"/>
      <c r="MQY43" s="60"/>
      <c r="MQZ43" s="60"/>
      <c r="MRA43" s="60"/>
      <c r="MRB43" s="60"/>
      <c r="MRC43" s="60"/>
      <c r="MRD43" s="60"/>
      <c r="MRE43" s="60"/>
      <c r="MRF43" s="60"/>
      <c r="MRG43" s="60"/>
      <c r="MRH43" s="60"/>
      <c r="MRI43" s="60"/>
      <c r="MRJ43" s="60"/>
      <c r="MRK43" s="60"/>
      <c r="MRL43" s="60"/>
      <c r="MRM43" s="60"/>
      <c r="MRN43" s="60"/>
      <c r="MRO43" s="60"/>
      <c r="MRP43" s="60"/>
      <c r="MRQ43" s="60"/>
      <c r="MRR43" s="60"/>
      <c r="MRS43" s="60"/>
      <c r="MRT43" s="60"/>
      <c r="MRU43" s="60"/>
      <c r="MRV43" s="60"/>
      <c r="MRW43" s="60"/>
      <c r="MRX43" s="60"/>
      <c r="MRY43" s="60"/>
      <c r="MRZ43" s="60"/>
      <c r="MSA43" s="60"/>
      <c r="MSB43" s="60"/>
      <c r="MSC43" s="60"/>
      <c r="MSD43" s="60"/>
      <c r="MSE43" s="60"/>
      <c r="MSF43" s="60"/>
      <c r="MSG43" s="60"/>
      <c r="MSH43" s="60"/>
      <c r="MSI43" s="60"/>
      <c r="MSJ43" s="60"/>
      <c r="MSK43" s="60"/>
      <c r="MSL43" s="60"/>
      <c r="MSM43" s="60"/>
      <c r="MSN43" s="60"/>
      <c r="MSO43" s="60"/>
      <c r="MSP43" s="60"/>
      <c r="MSQ43" s="60"/>
      <c r="MSR43" s="60"/>
      <c r="MSS43" s="60"/>
      <c r="MST43" s="60"/>
      <c r="MSU43" s="60"/>
      <c r="MSV43" s="60"/>
      <c r="MSW43" s="60"/>
      <c r="MSX43" s="60"/>
      <c r="MSY43" s="60"/>
      <c r="MSZ43" s="60"/>
      <c r="MTA43" s="60"/>
      <c r="MTB43" s="60"/>
      <c r="MTC43" s="60"/>
      <c r="MTD43" s="60"/>
      <c r="MTE43" s="60"/>
      <c r="MTF43" s="60"/>
      <c r="MTG43" s="60"/>
      <c r="MTH43" s="60"/>
      <c r="MTI43" s="60"/>
      <c r="MTJ43" s="60"/>
      <c r="MTK43" s="60"/>
      <c r="MTL43" s="60"/>
      <c r="MTM43" s="60"/>
      <c r="MTN43" s="60"/>
      <c r="MTO43" s="60"/>
      <c r="MTP43" s="60"/>
      <c r="MTQ43" s="60"/>
      <c r="MTR43" s="60"/>
      <c r="MTS43" s="60"/>
      <c r="MTT43" s="60"/>
      <c r="MTU43" s="60"/>
      <c r="MTV43" s="60"/>
      <c r="MTW43" s="60"/>
      <c r="MTX43" s="60"/>
      <c r="MTY43" s="60"/>
      <c r="MTZ43" s="60"/>
      <c r="MUA43" s="60"/>
      <c r="MUB43" s="60"/>
      <c r="MUC43" s="60"/>
      <c r="MUD43" s="60"/>
      <c r="MUE43" s="60"/>
      <c r="MUF43" s="60"/>
      <c r="MUG43" s="60"/>
      <c r="MUH43" s="60"/>
      <c r="MUI43" s="60"/>
      <c r="MUJ43" s="60"/>
      <c r="MUK43" s="60"/>
      <c r="MUL43" s="60"/>
      <c r="MUM43" s="60"/>
      <c r="MUN43" s="60"/>
      <c r="MUO43" s="60"/>
      <c r="MUP43" s="60"/>
      <c r="MUQ43" s="60"/>
      <c r="MUR43" s="60"/>
      <c r="MUS43" s="60"/>
      <c r="MUT43" s="60"/>
      <c r="MUU43" s="60"/>
      <c r="MUV43" s="60"/>
      <c r="MUW43" s="60"/>
      <c r="MUX43" s="60"/>
      <c r="MUY43" s="60"/>
      <c r="MUZ43" s="60"/>
      <c r="MVA43" s="60"/>
      <c r="MVB43" s="60"/>
      <c r="MVC43" s="60"/>
      <c r="MVD43" s="60"/>
      <c r="MVE43" s="60"/>
      <c r="MVF43" s="60"/>
      <c r="MVG43" s="60"/>
      <c r="MVH43" s="60"/>
      <c r="MVI43" s="60"/>
      <c r="MVJ43" s="60"/>
      <c r="MVK43" s="60"/>
      <c r="MVL43" s="60"/>
      <c r="MVM43" s="60"/>
      <c r="MVN43" s="60"/>
      <c r="MVO43" s="60"/>
      <c r="MVP43" s="60"/>
      <c r="MVQ43" s="60"/>
      <c r="MVR43" s="60"/>
      <c r="MVS43" s="60"/>
      <c r="MVT43" s="60"/>
      <c r="MVU43" s="60"/>
      <c r="MVV43" s="60"/>
      <c r="MVW43" s="60"/>
      <c r="MVX43" s="60"/>
      <c r="MVY43" s="60"/>
      <c r="MVZ43" s="60"/>
      <c r="MWA43" s="60"/>
      <c r="MWB43" s="60"/>
      <c r="MWC43" s="60"/>
      <c r="MWD43" s="60"/>
      <c r="MWE43" s="60"/>
      <c r="MWF43" s="60"/>
      <c r="MWG43" s="60"/>
      <c r="MWH43" s="60"/>
      <c r="MWI43" s="60"/>
      <c r="MWJ43" s="60"/>
      <c r="MWK43" s="60"/>
      <c r="MWL43" s="60"/>
      <c r="MWM43" s="60"/>
      <c r="MWN43" s="60"/>
      <c r="MWO43" s="60"/>
      <c r="MWP43" s="60"/>
      <c r="MWQ43" s="60"/>
      <c r="MWR43" s="60"/>
      <c r="MWS43" s="60"/>
      <c r="MWT43" s="60"/>
      <c r="MWU43" s="60"/>
      <c r="MWV43" s="60"/>
      <c r="MWW43" s="60"/>
      <c r="MWX43" s="60"/>
      <c r="MWY43" s="60"/>
      <c r="MWZ43" s="60"/>
      <c r="MXA43" s="60"/>
      <c r="MXB43" s="60"/>
      <c r="MXC43" s="60"/>
      <c r="MXD43" s="60"/>
      <c r="MXE43" s="60"/>
      <c r="MXF43" s="60"/>
      <c r="MXG43" s="60"/>
      <c r="MXH43" s="60"/>
      <c r="MXI43" s="60"/>
      <c r="MXJ43" s="60"/>
      <c r="MXK43" s="60"/>
      <c r="MXL43" s="60"/>
      <c r="MXM43" s="60"/>
      <c r="MXN43" s="60"/>
      <c r="MXO43" s="60"/>
      <c r="MXP43" s="60"/>
      <c r="MXQ43" s="60"/>
      <c r="MXR43" s="60"/>
      <c r="MXS43" s="60"/>
      <c r="MXT43" s="60"/>
      <c r="MXU43" s="60"/>
      <c r="MXV43" s="60"/>
      <c r="MXW43" s="60"/>
      <c r="MXX43" s="60"/>
      <c r="MXY43" s="60"/>
      <c r="MXZ43" s="60"/>
      <c r="MYA43" s="60"/>
      <c r="MYB43" s="60"/>
      <c r="MYC43" s="60"/>
      <c r="MYD43" s="60"/>
      <c r="MYE43" s="60"/>
      <c r="MYF43" s="60"/>
      <c r="MYG43" s="60"/>
      <c r="MYH43" s="60"/>
      <c r="MYI43" s="60"/>
      <c r="MYJ43" s="60"/>
      <c r="MYK43" s="60"/>
      <c r="MYL43" s="60"/>
      <c r="MYM43" s="60"/>
      <c r="MYN43" s="60"/>
      <c r="MYO43" s="60"/>
      <c r="MYP43" s="60"/>
      <c r="MYQ43" s="60"/>
      <c r="MYR43" s="60"/>
      <c r="MYS43" s="60"/>
      <c r="MYT43" s="60"/>
      <c r="MYU43" s="60"/>
      <c r="MYV43" s="60"/>
      <c r="MYW43" s="60"/>
      <c r="MYX43" s="60"/>
      <c r="MYY43" s="60"/>
      <c r="MYZ43" s="60"/>
      <c r="MZA43" s="60"/>
      <c r="MZB43" s="60"/>
      <c r="MZC43" s="60"/>
      <c r="MZD43" s="60"/>
      <c r="MZE43" s="60"/>
      <c r="MZF43" s="60"/>
      <c r="MZG43" s="60"/>
      <c r="MZH43" s="60"/>
      <c r="MZI43" s="60"/>
      <c r="MZJ43" s="60"/>
      <c r="MZK43" s="60"/>
      <c r="MZL43" s="60"/>
      <c r="MZM43" s="60"/>
      <c r="MZN43" s="60"/>
      <c r="MZO43" s="60"/>
      <c r="MZP43" s="60"/>
      <c r="MZQ43" s="60"/>
      <c r="MZR43" s="60"/>
      <c r="MZS43" s="60"/>
      <c r="MZT43" s="60"/>
      <c r="MZU43" s="60"/>
      <c r="MZV43" s="60"/>
      <c r="MZW43" s="60"/>
      <c r="MZX43" s="60"/>
      <c r="MZY43" s="60"/>
      <c r="MZZ43" s="60"/>
      <c r="NAA43" s="60"/>
      <c r="NAB43" s="60"/>
      <c r="NAC43" s="60"/>
      <c r="NAD43" s="60"/>
      <c r="NAE43" s="60"/>
      <c r="NAF43" s="60"/>
      <c r="NAG43" s="60"/>
      <c r="NAH43" s="60"/>
      <c r="NAI43" s="60"/>
      <c r="NAJ43" s="60"/>
      <c r="NAK43" s="60"/>
      <c r="NAL43" s="60"/>
      <c r="NAM43" s="60"/>
      <c r="NAN43" s="60"/>
      <c r="NAO43" s="60"/>
      <c r="NAP43" s="60"/>
      <c r="NAQ43" s="60"/>
      <c r="NAR43" s="60"/>
      <c r="NAS43" s="60"/>
      <c r="NAT43" s="60"/>
      <c r="NAU43" s="60"/>
      <c r="NAV43" s="60"/>
      <c r="NAW43" s="60"/>
      <c r="NAX43" s="60"/>
      <c r="NAY43" s="60"/>
      <c r="NAZ43" s="60"/>
      <c r="NBA43" s="60"/>
      <c r="NBB43" s="60"/>
      <c r="NBC43" s="60"/>
      <c r="NBD43" s="60"/>
      <c r="NBE43" s="60"/>
      <c r="NBF43" s="60"/>
      <c r="NBG43" s="60"/>
      <c r="NBH43" s="60"/>
      <c r="NBI43" s="60"/>
      <c r="NBJ43" s="60"/>
      <c r="NBK43" s="60"/>
      <c r="NBL43" s="60"/>
      <c r="NBM43" s="60"/>
      <c r="NBN43" s="60"/>
      <c r="NBO43" s="60"/>
      <c r="NBP43" s="60"/>
      <c r="NBQ43" s="60"/>
      <c r="NBR43" s="60"/>
      <c r="NBS43" s="60"/>
      <c r="NBT43" s="60"/>
      <c r="NBU43" s="60"/>
      <c r="NBV43" s="60"/>
      <c r="NBW43" s="60"/>
      <c r="NBX43" s="60"/>
      <c r="NBY43" s="60"/>
      <c r="NBZ43" s="60"/>
      <c r="NCA43" s="60"/>
      <c r="NCB43" s="60"/>
      <c r="NCC43" s="60"/>
      <c r="NCD43" s="60"/>
      <c r="NCE43" s="60"/>
      <c r="NCF43" s="60"/>
      <c r="NCG43" s="60"/>
      <c r="NCH43" s="60"/>
      <c r="NCI43" s="60"/>
      <c r="NCJ43" s="60"/>
      <c r="NCK43" s="60"/>
      <c r="NCL43" s="60"/>
      <c r="NCM43" s="60"/>
      <c r="NCN43" s="60"/>
      <c r="NCO43" s="60"/>
      <c r="NCP43" s="60"/>
      <c r="NCQ43" s="60"/>
      <c r="NCR43" s="60"/>
      <c r="NCS43" s="60"/>
      <c r="NCT43" s="60"/>
      <c r="NCU43" s="60"/>
      <c r="NCV43" s="60"/>
      <c r="NCW43" s="60"/>
      <c r="NCX43" s="60"/>
      <c r="NCY43" s="60"/>
      <c r="NCZ43" s="60"/>
      <c r="NDA43" s="60"/>
      <c r="NDB43" s="60"/>
      <c r="NDC43" s="60"/>
      <c r="NDD43" s="60"/>
      <c r="NDE43" s="60"/>
      <c r="NDF43" s="60"/>
      <c r="NDG43" s="60"/>
      <c r="NDH43" s="60"/>
      <c r="NDI43" s="60"/>
      <c r="NDJ43" s="60"/>
      <c r="NDK43" s="60"/>
      <c r="NDL43" s="60"/>
      <c r="NDM43" s="60"/>
      <c r="NDN43" s="60"/>
      <c r="NDO43" s="60"/>
      <c r="NDP43" s="60"/>
      <c r="NDQ43" s="60"/>
      <c r="NDR43" s="60"/>
      <c r="NDS43" s="60"/>
      <c r="NDT43" s="60"/>
      <c r="NDU43" s="60"/>
      <c r="NDV43" s="60"/>
      <c r="NDW43" s="60"/>
      <c r="NDX43" s="60"/>
      <c r="NDY43" s="60"/>
      <c r="NDZ43" s="60"/>
      <c r="NEA43" s="60"/>
      <c r="NEB43" s="60"/>
      <c r="NEC43" s="60"/>
      <c r="NED43" s="60"/>
      <c r="NEE43" s="60"/>
      <c r="NEF43" s="60"/>
      <c r="NEG43" s="60"/>
      <c r="NEH43" s="60"/>
      <c r="NEI43" s="60"/>
      <c r="NEJ43" s="60"/>
      <c r="NEK43" s="60"/>
      <c r="NEL43" s="60"/>
      <c r="NEM43" s="60"/>
      <c r="NEN43" s="60"/>
      <c r="NEO43" s="60"/>
      <c r="NEP43" s="60"/>
      <c r="NEQ43" s="60"/>
      <c r="NER43" s="60"/>
      <c r="NES43" s="60"/>
      <c r="NET43" s="60"/>
      <c r="NEU43" s="60"/>
      <c r="NEV43" s="60"/>
      <c r="NEW43" s="60"/>
      <c r="NEX43" s="60"/>
      <c r="NEY43" s="60"/>
      <c r="NEZ43" s="60"/>
      <c r="NFA43" s="60"/>
      <c r="NFB43" s="60"/>
      <c r="NFC43" s="60"/>
      <c r="NFD43" s="60"/>
      <c r="NFE43" s="60"/>
      <c r="NFF43" s="60"/>
      <c r="NFG43" s="60"/>
      <c r="NFH43" s="60"/>
      <c r="NFI43" s="60"/>
      <c r="NFJ43" s="60"/>
      <c r="NFK43" s="60"/>
      <c r="NFL43" s="60"/>
      <c r="NFM43" s="60"/>
      <c r="NFN43" s="60"/>
      <c r="NFO43" s="60"/>
      <c r="NFP43" s="60"/>
      <c r="NFQ43" s="60"/>
      <c r="NFR43" s="60"/>
      <c r="NFS43" s="60"/>
      <c r="NFT43" s="60"/>
      <c r="NFU43" s="60"/>
      <c r="NFV43" s="60"/>
      <c r="NFW43" s="60"/>
      <c r="NFX43" s="60"/>
      <c r="NFY43" s="60"/>
      <c r="NFZ43" s="60"/>
      <c r="NGA43" s="60"/>
      <c r="NGB43" s="60"/>
      <c r="NGC43" s="60"/>
      <c r="NGD43" s="60"/>
      <c r="NGE43" s="60"/>
      <c r="NGF43" s="60"/>
      <c r="NGG43" s="60"/>
      <c r="NGH43" s="60"/>
      <c r="NGI43" s="60"/>
      <c r="NGJ43" s="60"/>
      <c r="NGK43" s="60"/>
      <c r="NGL43" s="60"/>
      <c r="NGM43" s="60"/>
      <c r="NGN43" s="60"/>
      <c r="NGO43" s="60"/>
      <c r="NGP43" s="60"/>
      <c r="NGQ43" s="60"/>
      <c r="NGR43" s="60"/>
      <c r="NGS43" s="60"/>
      <c r="NGT43" s="60"/>
      <c r="NGU43" s="60"/>
      <c r="NGV43" s="60"/>
      <c r="NGW43" s="60"/>
      <c r="NGX43" s="60"/>
      <c r="NGY43" s="60"/>
      <c r="NGZ43" s="60"/>
      <c r="NHA43" s="60"/>
      <c r="NHB43" s="60"/>
      <c r="NHC43" s="60"/>
      <c r="NHD43" s="60"/>
      <c r="NHE43" s="60"/>
      <c r="NHF43" s="60"/>
      <c r="NHG43" s="60"/>
      <c r="NHH43" s="60"/>
      <c r="NHI43" s="60"/>
      <c r="NHJ43" s="60"/>
      <c r="NHK43" s="60"/>
      <c r="NHL43" s="60"/>
      <c r="NHM43" s="60"/>
      <c r="NHN43" s="60"/>
      <c r="NHO43" s="60"/>
      <c r="NHP43" s="60"/>
      <c r="NHQ43" s="60"/>
      <c r="NHR43" s="60"/>
      <c r="NHS43" s="60"/>
      <c r="NHT43" s="60"/>
      <c r="NHU43" s="60"/>
      <c r="NHV43" s="60"/>
      <c r="NHW43" s="60"/>
      <c r="NHX43" s="60"/>
      <c r="NHY43" s="60"/>
      <c r="NHZ43" s="60"/>
      <c r="NIA43" s="60"/>
      <c r="NIB43" s="60"/>
      <c r="NIC43" s="60"/>
      <c r="NID43" s="60"/>
      <c r="NIE43" s="60"/>
      <c r="NIF43" s="60"/>
      <c r="NIG43" s="60"/>
      <c r="NIH43" s="60"/>
      <c r="NII43" s="60"/>
      <c r="NIJ43" s="60"/>
      <c r="NIK43" s="60"/>
      <c r="NIL43" s="60"/>
      <c r="NIM43" s="60"/>
      <c r="NIN43" s="60"/>
      <c r="NIO43" s="60"/>
      <c r="NIP43" s="60"/>
      <c r="NIQ43" s="60"/>
      <c r="NIR43" s="60"/>
      <c r="NIS43" s="60"/>
      <c r="NIT43" s="60"/>
      <c r="NIU43" s="60"/>
      <c r="NIV43" s="60"/>
      <c r="NIW43" s="60"/>
      <c r="NIX43" s="60"/>
      <c r="NIY43" s="60"/>
      <c r="NIZ43" s="60"/>
      <c r="NJA43" s="60"/>
      <c r="NJB43" s="60"/>
      <c r="NJC43" s="60"/>
      <c r="NJD43" s="60"/>
      <c r="NJE43" s="60"/>
      <c r="NJF43" s="60"/>
      <c r="NJG43" s="60"/>
      <c r="NJH43" s="60"/>
      <c r="NJI43" s="60"/>
      <c r="NJJ43" s="60"/>
      <c r="NJK43" s="60"/>
      <c r="NJL43" s="60"/>
      <c r="NJM43" s="60"/>
      <c r="NJN43" s="60"/>
      <c r="NJO43" s="60"/>
      <c r="NJP43" s="60"/>
      <c r="NJQ43" s="60"/>
      <c r="NJR43" s="60"/>
      <c r="NJS43" s="60"/>
      <c r="NJT43" s="60"/>
      <c r="NJU43" s="60"/>
      <c r="NJV43" s="60"/>
      <c r="NJW43" s="60"/>
      <c r="NJX43" s="60"/>
      <c r="NJY43" s="60"/>
      <c r="NJZ43" s="60"/>
      <c r="NKA43" s="60"/>
      <c r="NKB43" s="60"/>
      <c r="NKC43" s="60"/>
      <c r="NKD43" s="60"/>
      <c r="NKE43" s="60"/>
      <c r="NKF43" s="60"/>
      <c r="NKG43" s="60"/>
      <c r="NKH43" s="60"/>
      <c r="NKI43" s="60"/>
      <c r="NKJ43" s="60"/>
      <c r="NKK43" s="60"/>
      <c r="NKL43" s="60"/>
      <c r="NKM43" s="60"/>
      <c r="NKN43" s="60"/>
      <c r="NKO43" s="60"/>
      <c r="NKP43" s="60"/>
      <c r="NKQ43" s="60"/>
      <c r="NKR43" s="60"/>
      <c r="NKS43" s="60"/>
      <c r="NKT43" s="60"/>
      <c r="NKU43" s="60"/>
      <c r="NKV43" s="60"/>
      <c r="NKW43" s="60"/>
      <c r="NKX43" s="60"/>
      <c r="NKY43" s="60"/>
      <c r="NKZ43" s="60"/>
      <c r="NLA43" s="60"/>
      <c r="NLB43" s="60"/>
      <c r="NLC43" s="60"/>
      <c r="NLD43" s="60"/>
      <c r="NLE43" s="60"/>
      <c r="NLF43" s="60"/>
      <c r="NLG43" s="60"/>
      <c r="NLH43" s="60"/>
      <c r="NLI43" s="60"/>
      <c r="NLJ43" s="60"/>
      <c r="NLK43" s="60"/>
      <c r="NLL43" s="60"/>
      <c r="NLM43" s="60"/>
      <c r="NLN43" s="60"/>
      <c r="NLO43" s="60"/>
      <c r="NLP43" s="60"/>
      <c r="NLQ43" s="60"/>
      <c r="NLR43" s="60"/>
      <c r="NLS43" s="60"/>
      <c r="NLT43" s="60"/>
      <c r="NLU43" s="60"/>
      <c r="NLV43" s="60"/>
      <c r="NLW43" s="60"/>
      <c r="NLX43" s="60"/>
      <c r="NLY43" s="60"/>
      <c r="NLZ43" s="60"/>
      <c r="NMA43" s="60"/>
      <c r="NMB43" s="60"/>
      <c r="NMC43" s="60"/>
      <c r="NMD43" s="60"/>
      <c r="NME43" s="60"/>
      <c r="NMF43" s="60"/>
      <c r="NMG43" s="60"/>
      <c r="NMH43" s="60"/>
      <c r="NMI43" s="60"/>
      <c r="NMJ43" s="60"/>
      <c r="NMK43" s="60"/>
      <c r="NML43" s="60"/>
      <c r="NMM43" s="60"/>
      <c r="NMN43" s="60"/>
      <c r="NMO43" s="60"/>
      <c r="NMP43" s="60"/>
      <c r="NMQ43" s="60"/>
      <c r="NMR43" s="60"/>
      <c r="NMS43" s="60"/>
      <c r="NMT43" s="60"/>
      <c r="NMU43" s="60"/>
      <c r="NMV43" s="60"/>
      <c r="NMW43" s="60"/>
      <c r="NMX43" s="60"/>
      <c r="NMY43" s="60"/>
      <c r="NMZ43" s="60"/>
      <c r="NNA43" s="60"/>
      <c r="NNB43" s="60"/>
      <c r="NNC43" s="60"/>
      <c r="NND43" s="60"/>
      <c r="NNE43" s="60"/>
      <c r="NNF43" s="60"/>
      <c r="NNG43" s="60"/>
      <c r="NNH43" s="60"/>
      <c r="NNI43" s="60"/>
      <c r="NNJ43" s="60"/>
      <c r="NNK43" s="60"/>
      <c r="NNL43" s="60"/>
      <c r="NNM43" s="60"/>
      <c r="NNN43" s="60"/>
      <c r="NNO43" s="60"/>
      <c r="NNP43" s="60"/>
      <c r="NNQ43" s="60"/>
      <c r="NNR43" s="60"/>
      <c r="NNS43" s="60"/>
      <c r="NNT43" s="60"/>
      <c r="NNU43" s="60"/>
      <c r="NNV43" s="60"/>
      <c r="NNW43" s="60"/>
      <c r="NNX43" s="60"/>
      <c r="NNY43" s="60"/>
      <c r="NNZ43" s="60"/>
      <c r="NOA43" s="60"/>
      <c r="NOB43" s="60"/>
      <c r="NOC43" s="60"/>
      <c r="NOD43" s="60"/>
      <c r="NOE43" s="60"/>
      <c r="NOF43" s="60"/>
      <c r="NOG43" s="60"/>
      <c r="NOH43" s="60"/>
      <c r="NOI43" s="60"/>
      <c r="NOJ43" s="60"/>
      <c r="NOK43" s="60"/>
      <c r="NOL43" s="60"/>
      <c r="NOM43" s="60"/>
      <c r="NON43" s="60"/>
      <c r="NOO43" s="60"/>
      <c r="NOP43" s="60"/>
      <c r="NOQ43" s="60"/>
      <c r="NOR43" s="60"/>
      <c r="NOS43" s="60"/>
      <c r="NOT43" s="60"/>
      <c r="NOU43" s="60"/>
      <c r="NOV43" s="60"/>
      <c r="NOW43" s="60"/>
      <c r="NOX43" s="60"/>
      <c r="NOY43" s="60"/>
      <c r="NOZ43" s="60"/>
      <c r="NPA43" s="60"/>
      <c r="NPB43" s="60"/>
      <c r="NPC43" s="60"/>
      <c r="NPD43" s="60"/>
      <c r="NPE43" s="60"/>
      <c r="NPF43" s="60"/>
      <c r="NPG43" s="60"/>
      <c r="NPH43" s="60"/>
      <c r="NPI43" s="60"/>
      <c r="NPJ43" s="60"/>
      <c r="NPK43" s="60"/>
      <c r="NPL43" s="60"/>
      <c r="NPM43" s="60"/>
      <c r="NPN43" s="60"/>
      <c r="NPO43" s="60"/>
      <c r="NPP43" s="60"/>
      <c r="NPQ43" s="60"/>
      <c r="NPR43" s="60"/>
      <c r="NPS43" s="60"/>
      <c r="NPT43" s="60"/>
      <c r="NPU43" s="60"/>
      <c r="NPV43" s="60"/>
      <c r="NPW43" s="60"/>
      <c r="NPX43" s="60"/>
      <c r="NPY43" s="60"/>
      <c r="NPZ43" s="60"/>
      <c r="NQA43" s="60"/>
      <c r="NQB43" s="60"/>
      <c r="NQC43" s="60"/>
      <c r="NQD43" s="60"/>
      <c r="NQE43" s="60"/>
      <c r="NQF43" s="60"/>
      <c r="NQG43" s="60"/>
      <c r="NQH43" s="60"/>
      <c r="NQI43" s="60"/>
      <c r="NQJ43" s="60"/>
      <c r="NQK43" s="60"/>
      <c r="NQL43" s="60"/>
      <c r="NQM43" s="60"/>
      <c r="NQN43" s="60"/>
      <c r="NQO43" s="60"/>
      <c r="NQP43" s="60"/>
      <c r="NQQ43" s="60"/>
      <c r="NQR43" s="60"/>
      <c r="NQS43" s="60"/>
      <c r="NQT43" s="60"/>
      <c r="NQU43" s="60"/>
      <c r="NQV43" s="60"/>
      <c r="NQW43" s="60"/>
      <c r="NQX43" s="60"/>
      <c r="NQY43" s="60"/>
      <c r="NQZ43" s="60"/>
      <c r="NRA43" s="60"/>
      <c r="NRB43" s="60"/>
      <c r="NRC43" s="60"/>
      <c r="NRD43" s="60"/>
      <c r="NRE43" s="60"/>
      <c r="NRF43" s="60"/>
      <c r="NRG43" s="60"/>
      <c r="NRH43" s="60"/>
      <c r="NRI43" s="60"/>
      <c r="NRJ43" s="60"/>
      <c r="NRK43" s="60"/>
      <c r="NRL43" s="60"/>
      <c r="NRM43" s="60"/>
      <c r="NRN43" s="60"/>
      <c r="NRO43" s="60"/>
      <c r="NRP43" s="60"/>
      <c r="NRQ43" s="60"/>
      <c r="NRR43" s="60"/>
      <c r="NRS43" s="60"/>
      <c r="NRT43" s="60"/>
      <c r="NRU43" s="60"/>
      <c r="NRV43" s="60"/>
      <c r="NRW43" s="60"/>
      <c r="NRX43" s="60"/>
      <c r="NRY43" s="60"/>
      <c r="NRZ43" s="60"/>
      <c r="NSA43" s="60"/>
      <c r="NSB43" s="60"/>
      <c r="NSC43" s="60"/>
      <c r="NSD43" s="60"/>
      <c r="NSE43" s="60"/>
      <c r="NSF43" s="60"/>
      <c r="NSG43" s="60"/>
      <c r="NSH43" s="60"/>
      <c r="NSI43" s="60"/>
      <c r="NSJ43" s="60"/>
      <c r="NSK43" s="60"/>
      <c r="NSL43" s="60"/>
      <c r="NSM43" s="60"/>
      <c r="NSN43" s="60"/>
      <c r="NSO43" s="60"/>
      <c r="NSP43" s="60"/>
      <c r="NSQ43" s="60"/>
      <c r="NSR43" s="60"/>
      <c r="NSS43" s="60"/>
      <c r="NST43" s="60"/>
      <c r="NSU43" s="60"/>
      <c r="NSV43" s="60"/>
      <c r="NSW43" s="60"/>
      <c r="NSX43" s="60"/>
      <c r="NSY43" s="60"/>
      <c r="NSZ43" s="60"/>
      <c r="NTA43" s="60"/>
      <c r="NTB43" s="60"/>
      <c r="NTC43" s="60"/>
      <c r="NTD43" s="60"/>
      <c r="NTE43" s="60"/>
      <c r="NTF43" s="60"/>
      <c r="NTG43" s="60"/>
      <c r="NTH43" s="60"/>
      <c r="NTI43" s="60"/>
      <c r="NTJ43" s="60"/>
      <c r="NTK43" s="60"/>
      <c r="NTL43" s="60"/>
      <c r="NTM43" s="60"/>
      <c r="NTN43" s="60"/>
      <c r="NTO43" s="60"/>
      <c r="NTP43" s="60"/>
      <c r="NTQ43" s="60"/>
      <c r="NTR43" s="60"/>
      <c r="NTS43" s="60"/>
      <c r="NTT43" s="60"/>
      <c r="NTU43" s="60"/>
      <c r="NTV43" s="60"/>
      <c r="NTW43" s="60"/>
      <c r="NTX43" s="60"/>
      <c r="NTY43" s="60"/>
      <c r="NTZ43" s="60"/>
      <c r="NUA43" s="60"/>
      <c r="NUB43" s="60"/>
      <c r="NUC43" s="60"/>
      <c r="NUD43" s="60"/>
      <c r="NUE43" s="60"/>
      <c r="NUF43" s="60"/>
      <c r="NUG43" s="60"/>
      <c r="NUH43" s="60"/>
      <c r="NUI43" s="60"/>
      <c r="NUJ43" s="60"/>
      <c r="NUK43" s="60"/>
      <c r="NUL43" s="60"/>
      <c r="NUM43" s="60"/>
      <c r="NUN43" s="60"/>
      <c r="NUO43" s="60"/>
      <c r="NUP43" s="60"/>
      <c r="NUQ43" s="60"/>
      <c r="NUR43" s="60"/>
      <c r="NUS43" s="60"/>
      <c r="NUT43" s="60"/>
      <c r="NUU43" s="60"/>
      <c r="NUV43" s="60"/>
      <c r="NUW43" s="60"/>
      <c r="NUX43" s="60"/>
      <c r="NUY43" s="60"/>
      <c r="NUZ43" s="60"/>
      <c r="NVA43" s="60"/>
      <c r="NVB43" s="60"/>
      <c r="NVC43" s="60"/>
      <c r="NVD43" s="60"/>
      <c r="NVE43" s="60"/>
      <c r="NVF43" s="60"/>
      <c r="NVG43" s="60"/>
      <c r="NVH43" s="60"/>
      <c r="NVI43" s="60"/>
      <c r="NVJ43" s="60"/>
      <c r="NVK43" s="60"/>
      <c r="NVL43" s="60"/>
      <c r="NVM43" s="60"/>
      <c r="NVN43" s="60"/>
      <c r="NVO43" s="60"/>
      <c r="NVP43" s="60"/>
      <c r="NVQ43" s="60"/>
      <c r="NVR43" s="60"/>
      <c r="NVS43" s="60"/>
      <c r="NVT43" s="60"/>
      <c r="NVU43" s="60"/>
      <c r="NVV43" s="60"/>
      <c r="NVW43" s="60"/>
      <c r="NVX43" s="60"/>
      <c r="NVY43" s="60"/>
      <c r="NVZ43" s="60"/>
      <c r="NWA43" s="60"/>
      <c r="NWB43" s="60"/>
      <c r="NWC43" s="60"/>
      <c r="NWD43" s="60"/>
      <c r="NWE43" s="60"/>
      <c r="NWF43" s="60"/>
      <c r="NWG43" s="60"/>
      <c r="NWH43" s="60"/>
      <c r="NWI43" s="60"/>
      <c r="NWJ43" s="60"/>
      <c r="NWK43" s="60"/>
      <c r="NWL43" s="60"/>
      <c r="NWM43" s="60"/>
      <c r="NWN43" s="60"/>
      <c r="NWO43" s="60"/>
      <c r="NWP43" s="60"/>
      <c r="NWQ43" s="60"/>
      <c r="NWR43" s="60"/>
      <c r="NWS43" s="60"/>
      <c r="NWT43" s="60"/>
      <c r="NWU43" s="60"/>
      <c r="NWV43" s="60"/>
      <c r="NWW43" s="60"/>
      <c r="NWX43" s="60"/>
      <c r="NWY43" s="60"/>
      <c r="NWZ43" s="60"/>
      <c r="NXA43" s="60"/>
      <c r="NXB43" s="60"/>
      <c r="NXC43" s="60"/>
      <c r="NXD43" s="60"/>
      <c r="NXE43" s="60"/>
      <c r="NXF43" s="60"/>
      <c r="NXG43" s="60"/>
      <c r="NXH43" s="60"/>
      <c r="NXI43" s="60"/>
      <c r="NXJ43" s="60"/>
      <c r="NXK43" s="60"/>
      <c r="NXL43" s="60"/>
      <c r="NXM43" s="60"/>
      <c r="NXN43" s="60"/>
      <c r="NXO43" s="60"/>
      <c r="NXP43" s="60"/>
      <c r="NXQ43" s="60"/>
      <c r="NXR43" s="60"/>
      <c r="NXS43" s="60"/>
      <c r="NXT43" s="60"/>
      <c r="NXU43" s="60"/>
      <c r="NXV43" s="60"/>
      <c r="NXW43" s="60"/>
      <c r="NXX43" s="60"/>
      <c r="NXY43" s="60"/>
      <c r="NXZ43" s="60"/>
      <c r="NYA43" s="60"/>
      <c r="NYB43" s="60"/>
      <c r="NYC43" s="60"/>
      <c r="NYD43" s="60"/>
      <c r="NYE43" s="60"/>
      <c r="NYF43" s="60"/>
      <c r="NYG43" s="60"/>
      <c r="NYH43" s="60"/>
      <c r="NYI43" s="60"/>
      <c r="NYJ43" s="60"/>
      <c r="NYK43" s="60"/>
      <c r="NYL43" s="60"/>
      <c r="NYM43" s="60"/>
      <c r="NYN43" s="60"/>
      <c r="NYO43" s="60"/>
      <c r="NYP43" s="60"/>
      <c r="NYQ43" s="60"/>
      <c r="NYR43" s="60"/>
      <c r="NYS43" s="60"/>
      <c r="NYT43" s="60"/>
      <c r="NYU43" s="60"/>
      <c r="NYV43" s="60"/>
      <c r="NYW43" s="60"/>
      <c r="NYX43" s="60"/>
      <c r="NYY43" s="60"/>
      <c r="NYZ43" s="60"/>
      <c r="NZA43" s="60"/>
      <c r="NZB43" s="60"/>
      <c r="NZC43" s="60"/>
      <c r="NZD43" s="60"/>
      <c r="NZE43" s="60"/>
      <c r="NZF43" s="60"/>
      <c r="NZG43" s="60"/>
      <c r="NZH43" s="60"/>
      <c r="NZI43" s="60"/>
      <c r="NZJ43" s="60"/>
      <c r="NZK43" s="60"/>
      <c r="NZL43" s="60"/>
      <c r="NZM43" s="60"/>
      <c r="NZN43" s="60"/>
      <c r="NZO43" s="60"/>
      <c r="NZP43" s="60"/>
      <c r="NZQ43" s="60"/>
      <c r="NZR43" s="60"/>
      <c r="NZS43" s="60"/>
      <c r="NZT43" s="60"/>
      <c r="NZU43" s="60"/>
      <c r="NZV43" s="60"/>
      <c r="NZW43" s="60"/>
      <c r="NZX43" s="60"/>
      <c r="NZY43" s="60"/>
      <c r="NZZ43" s="60"/>
      <c r="OAA43" s="60"/>
      <c r="OAB43" s="60"/>
      <c r="OAC43" s="60"/>
      <c r="OAD43" s="60"/>
      <c r="OAE43" s="60"/>
      <c r="OAF43" s="60"/>
      <c r="OAG43" s="60"/>
      <c r="OAH43" s="60"/>
      <c r="OAI43" s="60"/>
      <c r="OAJ43" s="60"/>
      <c r="OAK43" s="60"/>
      <c r="OAL43" s="60"/>
      <c r="OAM43" s="60"/>
      <c r="OAN43" s="60"/>
      <c r="OAO43" s="60"/>
      <c r="OAP43" s="60"/>
      <c r="OAQ43" s="60"/>
      <c r="OAR43" s="60"/>
      <c r="OAS43" s="60"/>
      <c r="OAT43" s="60"/>
      <c r="OAU43" s="60"/>
      <c r="OAV43" s="60"/>
      <c r="OAW43" s="60"/>
      <c r="OAX43" s="60"/>
      <c r="OAY43" s="60"/>
      <c r="OAZ43" s="60"/>
      <c r="OBA43" s="60"/>
      <c r="OBB43" s="60"/>
      <c r="OBC43" s="60"/>
      <c r="OBD43" s="60"/>
      <c r="OBE43" s="60"/>
      <c r="OBF43" s="60"/>
      <c r="OBG43" s="60"/>
      <c r="OBH43" s="60"/>
      <c r="OBI43" s="60"/>
      <c r="OBJ43" s="60"/>
      <c r="OBK43" s="60"/>
      <c r="OBL43" s="60"/>
      <c r="OBM43" s="60"/>
      <c r="OBN43" s="60"/>
      <c r="OBO43" s="60"/>
      <c r="OBP43" s="60"/>
      <c r="OBQ43" s="60"/>
      <c r="OBR43" s="60"/>
      <c r="OBS43" s="60"/>
      <c r="OBT43" s="60"/>
      <c r="OBU43" s="60"/>
      <c r="OBV43" s="60"/>
      <c r="OBW43" s="60"/>
      <c r="OBX43" s="60"/>
      <c r="OBY43" s="60"/>
      <c r="OBZ43" s="60"/>
      <c r="OCA43" s="60"/>
      <c r="OCB43" s="60"/>
      <c r="OCC43" s="60"/>
      <c r="OCD43" s="60"/>
      <c r="OCE43" s="60"/>
      <c r="OCF43" s="60"/>
      <c r="OCG43" s="60"/>
      <c r="OCH43" s="60"/>
      <c r="OCI43" s="60"/>
      <c r="OCJ43" s="60"/>
      <c r="OCK43" s="60"/>
      <c r="OCL43" s="60"/>
      <c r="OCM43" s="60"/>
      <c r="OCN43" s="60"/>
      <c r="OCO43" s="60"/>
      <c r="OCP43" s="60"/>
      <c r="OCQ43" s="60"/>
      <c r="OCR43" s="60"/>
      <c r="OCS43" s="60"/>
      <c r="OCT43" s="60"/>
      <c r="OCU43" s="60"/>
      <c r="OCV43" s="60"/>
      <c r="OCW43" s="60"/>
      <c r="OCX43" s="60"/>
      <c r="OCY43" s="60"/>
      <c r="OCZ43" s="60"/>
      <c r="ODA43" s="60"/>
      <c r="ODB43" s="60"/>
      <c r="ODC43" s="60"/>
      <c r="ODD43" s="60"/>
      <c r="ODE43" s="60"/>
      <c r="ODF43" s="60"/>
      <c r="ODG43" s="60"/>
      <c r="ODH43" s="60"/>
      <c r="ODI43" s="60"/>
      <c r="ODJ43" s="60"/>
      <c r="ODK43" s="60"/>
      <c r="ODL43" s="60"/>
      <c r="ODM43" s="60"/>
      <c r="ODN43" s="60"/>
      <c r="ODO43" s="60"/>
      <c r="ODP43" s="60"/>
      <c r="ODQ43" s="60"/>
      <c r="ODR43" s="60"/>
      <c r="ODS43" s="60"/>
      <c r="ODT43" s="60"/>
      <c r="ODU43" s="60"/>
      <c r="ODV43" s="60"/>
      <c r="ODW43" s="60"/>
      <c r="ODX43" s="60"/>
      <c r="ODY43" s="60"/>
      <c r="ODZ43" s="60"/>
      <c r="OEA43" s="60"/>
      <c r="OEB43" s="60"/>
      <c r="OEC43" s="60"/>
      <c r="OED43" s="60"/>
      <c r="OEE43" s="60"/>
      <c r="OEF43" s="60"/>
      <c r="OEG43" s="60"/>
      <c r="OEH43" s="60"/>
      <c r="OEI43" s="60"/>
      <c r="OEJ43" s="60"/>
      <c r="OEK43" s="60"/>
      <c r="OEL43" s="60"/>
      <c r="OEM43" s="60"/>
      <c r="OEN43" s="60"/>
      <c r="OEO43" s="60"/>
      <c r="OEP43" s="60"/>
      <c r="OEQ43" s="60"/>
      <c r="OER43" s="60"/>
      <c r="OES43" s="60"/>
      <c r="OET43" s="60"/>
      <c r="OEU43" s="60"/>
      <c r="OEV43" s="60"/>
      <c r="OEW43" s="60"/>
      <c r="OEX43" s="60"/>
      <c r="OEY43" s="60"/>
      <c r="OEZ43" s="60"/>
      <c r="OFA43" s="60"/>
      <c r="OFB43" s="60"/>
      <c r="OFC43" s="60"/>
      <c r="OFD43" s="60"/>
      <c r="OFE43" s="60"/>
      <c r="OFF43" s="60"/>
      <c r="OFG43" s="60"/>
      <c r="OFH43" s="60"/>
      <c r="OFI43" s="60"/>
      <c r="OFJ43" s="60"/>
      <c r="OFK43" s="60"/>
      <c r="OFL43" s="60"/>
      <c r="OFM43" s="60"/>
      <c r="OFN43" s="60"/>
      <c r="OFO43" s="60"/>
      <c r="OFP43" s="60"/>
      <c r="OFQ43" s="60"/>
      <c r="OFR43" s="60"/>
      <c r="OFS43" s="60"/>
      <c r="OFT43" s="60"/>
      <c r="OFU43" s="60"/>
      <c r="OFV43" s="60"/>
      <c r="OFW43" s="60"/>
      <c r="OFX43" s="60"/>
      <c r="OFY43" s="60"/>
      <c r="OFZ43" s="60"/>
      <c r="OGA43" s="60"/>
      <c r="OGB43" s="60"/>
      <c r="OGC43" s="60"/>
      <c r="OGD43" s="60"/>
      <c r="OGE43" s="60"/>
      <c r="OGF43" s="60"/>
      <c r="OGG43" s="60"/>
      <c r="OGH43" s="60"/>
      <c r="OGI43" s="60"/>
      <c r="OGJ43" s="60"/>
      <c r="OGK43" s="60"/>
      <c r="OGL43" s="60"/>
      <c r="OGM43" s="60"/>
      <c r="OGN43" s="60"/>
      <c r="OGO43" s="60"/>
      <c r="OGP43" s="60"/>
      <c r="OGQ43" s="60"/>
      <c r="OGR43" s="60"/>
      <c r="OGS43" s="60"/>
      <c r="OGT43" s="60"/>
      <c r="OGU43" s="60"/>
      <c r="OGV43" s="60"/>
      <c r="OGW43" s="60"/>
      <c r="OGX43" s="60"/>
      <c r="OGY43" s="60"/>
      <c r="OGZ43" s="60"/>
      <c r="OHA43" s="60"/>
      <c r="OHB43" s="60"/>
      <c r="OHC43" s="60"/>
      <c r="OHD43" s="60"/>
      <c r="OHE43" s="60"/>
      <c r="OHF43" s="60"/>
      <c r="OHG43" s="60"/>
      <c r="OHH43" s="60"/>
      <c r="OHI43" s="60"/>
      <c r="OHJ43" s="60"/>
      <c r="OHK43" s="60"/>
      <c r="OHL43" s="60"/>
      <c r="OHM43" s="60"/>
      <c r="OHN43" s="60"/>
      <c r="OHO43" s="60"/>
      <c r="OHP43" s="60"/>
      <c r="OHQ43" s="60"/>
      <c r="OHR43" s="60"/>
      <c r="OHS43" s="60"/>
      <c r="OHT43" s="60"/>
      <c r="OHU43" s="60"/>
      <c r="OHV43" s="60"/>
      <c r="OHW43" s="60"/>
      <c r="OHX43" s="60"/>
      <c r="OHY43" s="60"/>
      <c r="OHZ43" s="60"/>
      <c r="OIA43" s="60"/>
      <c r="OIB43" s="60"/>
      <c r="OIC43" s="60"/>
      <c r="OID43" s="60"/>
      <c r="OIE43" s="60"/>
      <c r="OIF43" s="60"/>
      <c r="OIG43" s="60"/>
      <c r="OIH43" s="60"/>
      <c r="OII43" s="60"/>
      <c r="OIJ43" s="60"/>
      <c r="OIK43" s="60"/>
      <c r="OIL43" s="60"/>
      <c r="OIM43" s="60"/>
      <c r="OIN43" s="60"/>
      <c r="OIO43" s="60"/>
      <c r="OIP43" s="60"/>
      <c r="OIQ43" s="60"/>
      <c r="OIR43" s="60"/>
      <c r="OIS43" s="60"/>
      <c r="OIT43" s="60"/>
      <c r="OIU43" s="60"/>
      <c r="OIV43" s="60"/>
      <c r="OIW43" s="60"/>
      <c r="OIX43" s="60"/>
      <c r="OIY43" s="60"/>
      <c r="OIZ43" s="60"/>
      <c r="OJA43" s="60"/>
      <c r="OJB43" s="60"/>
      <c r="OJC43" s="60"/>
      <c r="OJD43" s="60"/>
      <c r="OJE43" s="60"/>
      <c r="OJF43" s="60"/>
      <c r="OJG43" s="60"/>
      <c r="OJH43" s="60"/>
      <c r="OJI43" s="60"/>
      <c r="OJJ43" s="60"/>
      <c r="OJK43" s="60"/>
      <c r="OJL43" s="60"/>
      <c r="OJM43" s="60"/>
      <c r="OJN43" s="60"/>
      <c r="OJO43" s="60"/>
      <c r="OJP43" s="60"/>
      <c r="OJQ43" s="60"/>
      <c r="OJR43" s="60"/>
      <c r="OJS43" s="60"/>
      <c r="OJT43" s="60"/>
      <c r="OJU43" s="60"/>
      <c r="OJV43" s="60"/>
      <c r="OJW43" s="60"/>
      <c r="OJX43" s="60"/>
      <c r="OJY43" s="60"/>
      <c r="OJZ43" s="60"/>
      <c r="OKA43" s="60"/>
      <c r="OKB43" s="60"/>
      <c r="OKC43" s="60"/>
      <c r="OKD43" s="60"/>
      <c r="OKE43" s="60"/>
      <c r="OKF43" s="60"/>
      <c r="OKG43" s="60"/>
      <c r="OKH43" s="60"/>
      <c r="OKI43" s="60"/>
      <c r="OKJ43" s="60"/>
      <c r="OKK43" s="60"/>
      <c r="OKL43" s="60"/>
      <c r="OKM43" s="60"/>
      <c r="OKN43" s="60"/>
      <c r="OKO43" s="60"/>
      <c r="OKP43" s="60"/>
      <c r="OKQ43" s="60"/>
      <c r="OKR43" s="60"/>
      <c r="OKS43" s="60"/>
      <c r="OKT43" s="60"/>
      <c r="OKU43" s="60"/>
      <c r="OKV43" s="60"/>
      <c r="OKW43" s="60"/>
      <c r="OKX43" s="60"/>
      <c r="OKY43" s="60"/>
      <c r="OKZ43" s="60"/>
      <c r="OLA43" s="60"/>
      <c r="OLB43" s="60"/>
      <c r="OLC43" s="60"/>
      <c r="OLD43" s="60"/>
      <c r="OLE43" s="60"/>
      <c r="OLF43" s="60"/>
      <c r="OLG43" s="60"/>
      <c r="OLH43" s="60"/>
      <c r="OLI43" s="60"/>
      <c r="OLJ43" s="60"/>
      <c r="OLK43" s="60"/>
      <c r="OLL43" s="60"/>
      <c r="OLM43" s="60"/>
      <c r="OLN43" s="60"/>
      <c r="OLO43" s="60"/>
      <c r="OLP43" s="60"/>
      <c r="OLQ43" s="60"/>
      <c r="OLR43" s="60"/>
      <c r="OLS43" s="60"/>
      <c r="OLT43" s="60"/>
      <c r="OLU43" s="60"/>
      <c r="OLV43" s="60"/>
      <c r="OLW43" s="60"/>
      <c r="OLX43" s="60"/>
      <c r="OLY43" s="60"/>
      <c r="OLZ43" s="60"/>
      <c r="OMA43" s="60"/>
      <c r="OMB43" s="60"/>
      <c r="OMC43" s="60"/>
      <c r="OMD43" s="60"/>
      <c r="OME43" s="60"/>
      <c r="OMF43" s="60"/>
      <c r="OMG43" s="60"/>
      <c r="OMH43" s="60"/>
      <c r="OMI43" s="60"/>
      <c r="OMJ43" s="60"/>
      <c r="OMK43" s="60"/>
      <c r="OML43" s="60"/>
      <c r="OMM43" s="60"/>
      <c r="OMN43" s="60"/>
      <c r="OMO43" s="60"/>
      <c r="OMP43" s="60"/>
      <c r="OMQ43" s="60"/>
      <c r="OMR43" s="60"/>
      <c r="OMS43" s="60"/>
      <c r="OMT43" s="60"/>
      <c r="OMU43" s="60"/>
      <c r="OMV43" s="60"/>
      <c r="OMW43" s="60"/>
      <c r="OMX43" s="60"/>
      <c r="OMY43" s="60"/>
      <c r="OMZ43" s="60"/>
      <c r="ONA43" s="60"/>
      <c r="ONB43" s="60"/>
      <c r="ONC43" s="60"/>
      <c r="OND43" s="60"/>
      <c r="ONE43" s="60"/>
      <c r="ONF43" s="60"/>
      <c r="ONG43" s="60"/>
      <c r="ONH43" s="60"/>
      <c r="ONI43" s="60"/>
      <c r="ONJ43" s="60"/>
      <c r="ONK43" s="60"/>
      <c r="ONL43" s="60"/>
      <c r="ONM43" s="60"/>
      <c r="ONN43" s="60"/>
      <c r="ONO43" s="60"/>
      <c r="ONP43" s="60"/>
      <c r="ONQ43" s="60"/>
      <c r="ONR43" s="60"/>
      <c r="ONS43" s="60"/>
      <c r="ONT43" s="60"/>
      <c r="ONU43" s="60"/>
      <c r="ONV43" s="60"/>
      <c r="ONW43" s="60"/>
      <c r="ONX43" s="60"/>
      <c r="ONY43" s="60"/>
      <c r="ONZ43" s="60"/>
      <c r="OOA43" s="60"/>
      <c r="OOB43" s="60"/>
      <c r="OOC43" s="60"/>
      <c r="OOD43" s="60"/>
      <c r="OOE43" s="60"/>
      <c r="OOF43" s="60"/>
      <c r="OOG43" s="60"/>
      <c r="OOH43" s="60"/>
      <c r="OOI43" s="60"/>
      <c r="OOJ43" s="60"/>
      <c r="OOK43" s="60"/>
      <c r="OOL43" s="60"/>
      <c r="OOM43" s="60"/>
      <c r="OON43" s="60"/>
      <c r="OOO43" s="60"/>
      <c r="OOP43" s="60"/>
      <c r="OOQ43" s="60"/>
      <c r="OOR43" s="60"/>
      <c r="OOS43" s="60"/>
      <c r="OOT43" s="60"/>
      <c r="OOU43" s="60"/>
      <c r="OOV43" s="60"/>
      <c r="OOW43" s="60"/>
      <c r="OOX43" s="60"/>
      <c r="OOY43" s="60"/>
      <c r="OOZ43" s="60"/>
      <c r="OPA43" s="60"/>
      <c r="OPB43" s="60"/>
      <c r="OPC43" s="60"/>
      <c r="OPD43" s="60"/>
      <c r="OPE43" s="60"/>
      <c r="OPF43" s="60"/>
      <c r="OPG43" s="60"/>
      <c r="OPH43" s="60"/>
      <c r="OPI43" s="60"/>
      <c r="OPJ43" s="60"/>
      <c r="OPK43" s="60"/>
      <c r="OPL43" s="60"/>
      <c r="OPM43" s="60"/>
      <c r="OPN43" s="60"/>
      <c r="OPO43" s="60"/>
      <c r="OPP43" s="60"/>
      <c r="OPQ43" s="60"/>
      <c r="OPR43" s="60"/>
      <c r="OPS43" s="60"/>
      <c r="OPT43" s="60"/>
      <c r="OPU43" s="60"/>
      <c r="OPV43" s="60"/>
      <c r="OPW43" s="60"/>
      <c r="OPX43" s="60"/>
      <c r="OPY43" s="60"/>
      <c r="OPZ43" s="60"/>
      <c r="OQA43" s="60"/>
      <c r="OQB43" s="60"/>
      <c r="OQC43" s="60"/>
      <c r="OQD43" s="60"/>
      <c r="OQE43" s="60"/>
      <c r="OQF43" s="60"/>
      <c r="OQG43" s="60"/>
      <c r="OQH43" s="60"/>
      <c r="OQI43" s="60"/>
      <c r="OQJ43" s="60"/>
      <c r="OQK43" s="60"/>
      <c r="OQL43" s="60"/>
      <c r="OQM43" s="60"/>
      <c r="OQN43" s="60"/>
      <c r="OQO43" s="60"/>
      <c r="OQP43" s="60"/>
      <c r="OQQ43" s="60"/>
      <c r="OQR43" s="60"/>
      <c r="OQS43" s="60"/>
      <c r="OQT43" s="60"/>
      <c r="OQU43" s="60"/>
      <c r="OQV43" s="60"/>
      <c r="OQW43" s="60"/>
      <c r="OQX43" s="60"/>
      <c r="OQY43" s="60"/>
      <c r="OQZ43" s="60"/>
      <c r="ORA43" s="60"/>
      <c r="ORB43" s="60"/>
      <c r="ORC43" s="60"/>
      <c r="ORD43" s="60"/>
      <c r="ORE43" s="60"/>
      <c r="ORF43" s="60"/>
      <c r="ORG43" s="60"/>
      <c r="ORH43" s="60"/>
      <c r="ORI43" s="60"/>
      <c r="ORJ43" s="60"/>
      <c r="ORK43" s="60"/>
      <c r="ORL43" s="60"/>
      <c r="ORM43" s="60"/>
      <c r="ORN43" s="60"/>
      <c r="ORO43" s="60"/>
      <c r="ORP43" s="60"/>
      <c r="ORQ43" s="60"/>
      <c r="ORR43" s="60"/>
      <c r="ORS43" s="60"/>
      <c r="ORT43" s="60"/>
      <c r="ORU43" s="60"/>
      <c r="ORV43" s="60"/>
      <c r="ORW43" s="60"/>
      <c r="ORX43" s="60"/>
      <c r="ORY43" s="60"/>
      <c r="ORZ43" s="60"/>
      <c r="OSA43" s="60"/>
      <c r="OSB43" s="60"/>
      <c r="OSC43" s="60"/>
      <c r="OSD43" s="60"/>
      <c r="OSE43" s="60"/>
      <c r="OSF43" s="60"/>
      <c r="OSG43" s="60"/>
      <c r="OSH43" s="60"/>
      <c r="OSI43" s="60"/>
      <c r="OSJ43" s="60"/>
      <c r="OSK43" s="60"/>
      <c r="OSL43" s="60"/>
      <c r="OSM43" s="60"/>
      <c r="OSN43" s="60"/>
      <c r="OSO43" s="60"/>
      <c r="OSP43" s="60"/>
      <c r="OSQ43" s="60"/>
      <c r="OSR43" s="60"/>
      <c r="OSS43" s="60"/>
      <c r="OST43" s="60"/>
      <c r="OSU43" s="60"/>
      <c r="OSV43" s="60"/>
      <c r="OSW43" s="60"/>
      <c r="OSX43" s="60"/>
      <c r="OSY43" s="60"/>
      <c r="OSZ43" s="60"/>
      <c r="OTA43" s="60"/>
      <c r="OTB43" s="60"/>
      <c r="OTC43" s="60"/>
      <c r="OTD43" s="60"/>
      <c r="OTE43" s="60"/>
      <c r="OTF43" s="60"/>
      <c r="OTG43" s="60"/>
      <c r="OTH43" s="60"/>
      <c r="OTI43" s="60"/>
      <c r="OTJ43" s="60"/>
      <c r="OTK43" s="60"/>
      <c r="OTL43" s="60"/>
      <c r="OTM43" s="60"/>
      <c r="OTN43" s="60"/>
      <c r="OTO43" s="60"/>
      <c r="OTP43" s="60"/>
      <c r="OTQ43" s="60"/>
      <c r="OTR43" s="60"/>
      <c r="OTS43" s="60"/>
      <c r="OTT43" s="60"/>
      <c r="OTU43" s="60"/>
      <c r="OTV43" s="60"/>
      <c r="OTW43" s="60"/>
      <c r="OTX43" s="60"/>
      <c r="OTY43" s="60"/>
      <c r="OTZ43" s="60"/>
      <c r="OUA43" s="60"/>
      <c r="OUB43" s="60"/>
      <c r="OUC43" s="60"/>
      <c r="OUD43" s="60"/>
      <c r="OUE43" s="60"/>
      <c r="OUF43" s="60"/>
      <c r="OUG43" s="60"/>
      <c r="OUH43" s="60"/>
      <c r="OUI43" s="60"/>
      <c r="OUJ43" s="60"/>
      <c r="OUK43" s="60"/>
      <c r="OUL43" s="60"/>
      <c r="OUM43" s="60"/>
      <c r="OUN43" s="60"/>
      <c r="OUO43" s="60"/>
      <c r="OUP43" s="60"/>
      <c r="OUQ43" s="60"/>
      <c r="OUR43" s="60"/>
      <c r="OUS43" s="60"/>
      <c r="OUT43" s="60"/>
      <c r="OUU43" s="60"/>
      <c r="OUV43" s="60"/>
      <c r="OUW43" s="60"/>
      <c r="OUX43" s="60"/>
      <c r="OUY43" s="60"/>
      <c r="OUZ43" s="60"/>
      <c r="OVA43" s="60"/>
      <c r="OVB43" s="60"/>
      <c r="OVC43" s="60"/>
      <c r="OVD43" s="60"/>
      <c r="OVE43" s="60"/>
      <c r="OVF43" s="60"/>
      <c r="OVG43" s="60"/>
      <c r="OVH43" s="60"/>
      <c r="OVI43" s="60"/>
      <c r="OVJ43" s="60"/>
      <c r="OVK43" s="60"/>
      <c r="OVL43" s="60"/>
      <c r="OVM43" s="60"/>
      <c r="OVN43" s="60"/>
      <c r="OVO43" s="60"/>
      <c r="OVP43" s="60"/>
      <c r="OVQ43" s="60"/>
      <c r="OVR43" s="60"/>
      <c r="OVS43" s="60"/>
      <c r="OVT43" s="60"/>
      <c r="OVU43" s="60"/>
      <c r="OVV43" s="60"/>
      <c r="OVW43" s="60"/>
      <c r="OVX43" s="60"/>
      <c r="OVY43" s="60"/>
      <c r="OVZ43" s="60"/>
      <c r="OWA43" s="60"/>
      <c r="OWB43" s="60"/>
      <c r="OWC43" s="60"/>
      <c r="OWD43" s="60"/>
      <c r="OWE43" s="60"/>
      <c r="OWF43" s="60"/>
      <c r="OWG43" s="60"/>
      <c r="OWH43" s="60"/>
      <c r="OWI43" s="60"/>
      <c r="OWJ43" s="60"/>
      <c r="OWK43" s="60"/>
      <c r="OWL43" s="60"/>
      <c r="OWM43" s="60"/>
      <c r="OWN43" s="60"/>
      <c r="OWO43" s="60"/>
      <c r="OWP43" s="60"/>
      <c r="OWQ43" s="60"/>
      <c r="OWR43" s="60"/>
      <c r="OWS43" s="60"/>
      <c r="OWT43" s="60"/>
      <c r="OWU43" s="60"/>
      <c r="OWV43" s="60"/>
      <c r="OWW43" s="60"/>
      <c r="OWX43" s="60"/>
      <c r="OWY43" s="60"/>
      <c r="OWZ43" s="60"/>
      <c r="OXA43" s="60"/>
      <c r="OXB43" s="60"/>
      <c r="OXC43" s="60"/>
      <c r="OXD43" s="60"/>
      <c r="OXE43" s="60"/>
      <c r="OXF43" s="60"/>
      <c r="OXG43" s="60"/>
      <c r="OXH43" s="60"/>
      <c r="OXI43" s="60"/>
      <c r="OXJ43" s="60"/>
      <c r="OXK43" s="60"/>
      <c r="OXL43" s="60"/>
      <c r="OXM43" s="60"/>
      <c r="OXN43" s="60"/>
      <c r="OXO43" s="60"/>
      <c r="OXP43" s="60"/>
      <c r="OXQ43" s="60"/>
      <c r="OXR43" s="60"/>
      <c r="OXS43" s="60"/>
      <c r="OXT43" s="60"/>
      <c r="OXU43" s="60"/>
      <c r="OXV43" s="60"/>
      <c r="OXW43" s="60"/>
      <c r="OXX43" s="60"/>
      <c r="OXY43" s="60"/>
      <c r="OXZ43" s="60"/>
      <c r="OYA43" s="60"/>
      <c r="OYB43" s="60"/>
      <c r="OYC43" s="60"/>
      <c r="OYD43" s="60"/>
      <c r="OYE43" s="60"/>
      <c r="OYF43" s="60"/>
      <c r="OYG43" s="60"/>
      <c r="OYH43" s="60"/>
      <c r="OYI43" s="60"/>
      <c r="OYJ43" s="60"/>
      <c r="OYK43" s="60"/>
      <c r="OYL43" s="60"/>
      <c r="OYM43" s="60"/>
      <c r="OYN43" s="60"/>
      <c r="OYO43" s="60"/>
      <c r="OYP43" s="60"/>
      <c r="OYQ43" s="60"/>
      <c r="OYR43" s="60"/>
      <c r="OYS43" s="60"/>
      <c r="OYT43" s="60"/>
      <c r="OYU43" s="60"/>
      <c r="OYV43" s="60"/>
      <c r="OYW43" s="60"/>
      <c r="OYX43" s="60"/>
      <c r="OYY43" s="60"/>
      <c r="OYZ43" s="60"/>
      <c r="OZA43" s="60"/>
      <c r="OZB43" s="60"/>
      <c r="OZC43" s="60"/>
      <c r="OZD43" s="60"/>
      <c r="OZE43" s="60"/>
      <c r="OZF43" s="60"/>
      <c r="OZG43" s="60"/>
      <c r="OZH43" s="60"/>
      <c r="OZI43" s="60"/>
      <c r="OZJ43" s="60"/>
      <c r="OZK43" s="60"/>
      <c r="OZL43" s="60"/>
      <c r="OZM43" s="60"/>
      <c r="OZN43" s="60"/>
      <c r="OZO43" s="60"/>
      <c r="OZP43" s="60"/>
      <c r="OZQ43" s="60"/>
      <c r="OZR43" s="60"/>
      <c r="OZS43" s="60"/>
      <c r="OZT43" s="60"/>
      <c r="OZU43" s="60"/>
      <c r="OZV43" s="60"/>
      <c r="OZW43" s="60"/>
      <c r="OZX43" s="60"/>
      <c r="OZY43" s="60"/>
      <c r="OZZ43" s="60"/>
      <c r="PAA43" s="60"/>
      <c r="PAB43" s="60"/>
      <c r="PAC43" s="60"/>
      <c r="PAD43" s="60"/>
      <c r="PAE43" s="60"/>
      <c r="PAF43" s="60"/>
      <c r="PAG43" s="60"/>
      <c r="PAH43" s="60"/>
      <c r="PAI43" s="60"/>
      <c r="PAJ43" s="60"/>
      <c r="PAK43" s="60"/>
      <c r="PAL43" s="60"/>
      <c r="PAM43" s="60"/>
      <c r="PAN43" s="60"/>
      <c r="PAO43" s="60"/>
      <c r="PAP43" s="60"/>
      <c r="PAQ43" s="60"/>
      <c r="PAR43" s="60"/>
      <c r="PAS43" s="60"/>
      <c r="PAT43" s="60"/>
      <c r="PAU43" s="60"/>
      <c r="PAV43" s="60"/>
      <c r="PAW43" s="60"/>
      <c r="PAX43" s="60"/>
      <c r="PAY43" s="60"/>
      <c r="PAZ43" s="60"/>
      <c r="PBA43" s="60"/>
      <c r="PBB43" s="60"/>
      <c r="PBC43" s="60"/>
      <c r="PBD43" s="60"/>
      <c r="PBE43" s="60"/>
      <c r="PBF43" s="60"/>
      <c r="PBG43" s="60"/>
      <c r="PBH43" s="60"/>
      <c r="PBI43" s="60"/>
      <c r="PBJ43" s="60"/>
      <c r="PBK43" s="60"/>
      <c r="PBL43" s="60"/>
      <c r="PBM43" s="60"/>
      <c r="PBN43" s="60"/>
      <c r="PBO43" s="60"/>
      <c r="PBP43" s="60"/>
      <c r="PBQ43" s="60"/>
      <c r="PBR43" s="60"/>
      <c r="PBS43" s="60"/>
      <c r="PBT43" s="60"/>
      <c r="PBU43" s="60"/>
      <c r="PBV43" s="60"/>
      <c r="PBW43" s="60"/>
      <c r="PBX43" s="60"/>
      <c r="PBY43" s="60"/>
      <c r="PBZ43" s="60"/>
      <c r="PCA43" s="60"/>
      <c r="PCB43" s="60"/>
      <c r="PCC43" s="60"/>
      <c r="PCD43" s="60"/>
      <c r="PCE43" s="60"/>
      <c r="PCF43" s="60"/>
      <c r="PCG43" s="60"/>
      <c r="PCH43" s="60"/>
      <c r="PCI43" s="60"/>
      <c r="PCJ43" s="60"/>
      <c r="PCK43" s="60"/>
      <c r="PCL43" s="60"/>
      <c r="PCM43" s="60"/>
      <c r="PCN43" s="60"/>
      <c r="PCO43" s="60"/>
      <c r="PCP43" s="60"/>
      <c r="PCQ43" s="60"/>
      <c r="PCR43" s="60"/>
      <c r="PCS43" s="60"/>
      <c r="PCT43" s="60"/>
      <c r="PCU43" s="60"/>
      <c r="PCV43" s="60"/>
      <c r="PCW43" s="60"/>
      <c r="PCX43" s="60"/>
      <c r="PCY43" s="60"/>
      <c r="PCZ43" s="60"/>
      <c r="PDA43" s="60"/>
      <c r="PDB43" s="60"/>
      <c r="PDC43" s="60"/>
      <c r="PDD43" s="60"/>
      <c r="PDE43" s="60"/>
      <c r="PDF43" s="60"/>
      <c r="PDG43" s="60"/>
      <c r="PDH43" s="60"/>
      <c r="PDI43" s="60"/>
      <c r="PDJ43" s="60"/>
      <c r="PDK43" s="60"/>
      <c r="PDL43" s="60"/>
      <c r="PDM43" s="60"/>
      <c r="PDN43" s="60"/>
      <c r="PDO43" s="60"/>
      <c r="PDP43" s="60"/>
      <c r="PDQ43" s="60"/>
      <c r="PDR43" s="60"/>
      <c r="PDS43" s="60"/>
      <c r="PDT43" s="60"/>
      <c r="PDU43" s="60"/>
      <c r="PDV43" s="60"/>
      <c r="PDW43" s="60"/>
      <c r="PDX43" s="60"/>
      <c r="PDY43" s="60"/>
      <c r="PDZ43" s="60"/>
      <c r="PEA43" s="60"/>
      <c r="PEB43" s="60"/>
      <c r="PEC43" s="60"/>
      <c r="PED43" s="60"/>
      <c r="PEE43" s="60"/>
      <c r="PEF43" s="60"/>
      <c r="PEG43" s="60"/>
      <c r="PEH43" s="60"/>
      <c r="PEI43" s="60"/>
      <c r="PEJ43" s="60"/>
      <c r="PEK43" s="60"/>
      <c r="PEL43" s="60"/>
      <c r="PEM43" s="60"/>
      <c r="PEN43" s="60"/>
      <c r="PEO43" s="60"/>
      <c r="PEP43" s="60"/>
      <c r="PEQ43" s="60"/>
      <c r="PER43" s="60"/>
      <c r="PES43" s="60"/>
      <c r="PET43" s="60"/>
      <c r="PEU43" s="60"/>
      <c r="PEV43" s="60"/>
      <c r="PEW43" s="60"/>
      <c r="PEX43" s="60"/>
      <c r="PEY43" s="60"/>
      <c r="PEZ43" s="60"/>
      <c r="PFA43" s="60"/>
      <c r="PFB43" s="60"/>
      <c r="PFC43" s="60"/>
      <c r="PFD43" s="60"/>
      <c r="PFE43" s="60"/>
      <c r="PFF43" s="60"/>
      <c r="PFG43" s="60"/>
      <c r="PFH43" s="60"/>
      <c r="PFI43" s="60"/>
      <c r="PFJ43" s="60"/>
      <c r="PFK43" s="60"/>
      <c r="PFL43" s="60"/>
      <c r="PFM43" s="60"/>
      <c r="PFN43" s="60"/>
      <c r="PFO43" s="60"/>
      <c r="PFP43" s="60"/>
      <c r="PFQ43" s="60"/>
      <c r="PFR43" s="60"/>
      <c r="PFS43" s="60"/>
      <c r="PFT43" s="60"/>
      <c r="PFU43" s="60"/>
      <c r="PFV43" s="60"/>
      <c r="PFW43" s="60"/>
      <c r="PFX43" s="60"/>
      <c r="PFY43" s="60"/>
      <c r="PFZ43" s="60"/>
      <c r="PGA43" s="60"/>
      <c r="PGB43" s="60"/>
      <c r="PGC43" s="60"/>
      <c r="PGD43" s="60"/>
      <c r="PGE43" s="60"/>
      <c r="PGF43" s="60"/>
      <c r="PGG43" s="60"/>
      <c r="PGH43" s="60"/>
      <c r="PGI43" s="60"/>
      <c r="PGJ43" s="60"/>
      <c r="PGK43" s="60"/>
      <c r="PGL43" s="60"/>
      <c r="PGM43" s="60"/>
      <c r="PGN43" s="60"/>
      <c r="PGO43" s="60"/>
      <c r="PGP43" s="60"/>
      <c r="PGQ43" s="60"/>
      <c r="PGR43" s="60"/>
      <c r="PGS43" s="60"/>
      <c r="PGT43" s="60"/>
      <c r="PGU43" s="60"/>
      <c r="PGV43" s="60"/>
      <c r="PGW43" s="60"/>
      <c r="PGX43" s="60"/>
      <c r="PGY43" s="60"/>
      <c r="PGZ43" s="60"/>
      <c r="PHA43" s="60"/>
      <c r="PHB43" s="60"/>
      <c r="PHC43" s="60"/>
      <c r="PHD43" s="60"/>
      <c r="PHE43" s="60"/>
      <c r="PHF43" s="60"/>
      <c r="PHG43" s="60"/>
      <c r="PHH43" s="60"/>
      <c r="PHI43" s="60"/>
      <c r="PHJ43" s="60"/>
      <c r="PHK43" s="60"/>
      <c r="PHL43" s="60"/>
      <c r="PHM43" s="60"/>
      <c r="PHN43" s="60"/>
      <c r="PHO43" s="60"/>
      <c r="PHP43" s="60"/>
      <c r="PHQ43" s="60"/>
      <c r="PHR43" s="60"/>
      <c r="PHS43" s="60"/>
      <c r="PHT43" s="60"/>
      <c r="PHU43" s="60"/>
      <c r="PHV43" s="60"/>
      <c r="PHW43" s="60"/>
      <c r="PHX43" s="60"/>
      <c r="PHY43" s="60"/>
      <c r="PHZ43" s="60"/>
      <c r="PIA43" s="60"/>
      <c r="PIB43" s="60"/>
      <c r="PIC43" s="60"/>
      <c r="PID43" s="60"/>
      <c r="PIE43" s="60"/>
      <c r="PIF43" s="60"/>
      <c r="PIG43" s="60"/>
      <c r="PIH43" s="60"/>
      <c r="PII43" s="60"/>
      <c r="PIJ43" s="60"/>
      <c r="PIK43" s="60"/>
      <c r="PIL43" s="60"/>
      <c r="PIM43" s="60"/>
      <c r="PIN43" s="60"/>
      <c r="PIO43" s="60"/>
      <c r="PIP43" s="60"/>
      <c r="PIQ43" s="60"/>
      <c r="PIR43" s="60"/>
      <c r="PIS43" s="60"/>
      <c r="PIT43" s="60"/>
      <c r="PIU43" s="60"/>
      <c r="PIV43" s="60"/>
      <c r="PIW43" s="60"/>
      <c r="PIX43" s="60"/>
      <c r="PIY43" s="60"/>
      <c r="PIZ43" s="60"/>
      <c r="PJA43" s="60"/>
      <c r="PJB43" s="60"/>
      <c r="PJC43" s="60"/>
      <c r="PJD43" s="60"/>
      <c r="PJE43" s="60"/>
      <c r="PJF43" s="60"/>
      <c r="PJG43" s="60"/>
      <c r="PJH43" s="60"/>
      <c r="PJI43" s="60"/>
      <c r="PJJ43" s="60"/>
      <c r="PJK43" s="60"/>
      <c r="PJL43" s="60"/>
      <c r="PJM43" s="60"/>
      <c r="PJN43" s="60"/>
      <c r="PJO43" s="60"/>
      <c r="PJP43" s="60"/>
      <c r="PJQ43" s="60"/>
      <c r="PJR43" s="60"/>
      <c r="PJS43" s="60"/>
      <c r="PJT43" s="60"/>
      <c r="PJU43" s="60"/>
      <c r="PJV43" s="60"/>
      <c r="PJW43" s="60"/>
      <c r="PJX43" s="60"/>
      <c r="PJY43" s="60"/>
      <c r="PJZ43" s="60"/>
      <c r="PKA43" s="60"/>
      <c r="PKB43" s="60"/>
      <c r="PKC43" s="60"/>
      <c r="PKD43" s="60"/>
      <c r="PKE43" s="60"/>
      <c r="PKF43" s="60"/>
      <c r="PKG43" s="60"/>
      <c r="PKH43" s="60"/>
      <c r="PKI43" s="60"/>
      <c r="PKJ43" s="60"/>
      <c r="PKK43" s="60"/>
      <c r="PKL43" s="60"/>
      <c r="PKM43" s="60"/>
      <c r="PKN43" s="60"/>
      <c r="PKO43" s="60"/>
      <c r="PKP43" s="60"/>
      <c r="PKQ43" s="60"/>
      <c r="PKR43" s="60"/>
      <c r="PKS43" s="60"/>
      <c r="PKT43" s="60"/>
      <c r="PKU43" s="60"/>
      <c r="PKV43" s="60"/>
      <c r="PKW43" s="60"/>
      <c r="PKX43" s="60"/>
      <c r="PKY43" s="60"/>
      <c r="PKZ43" s="60"/>
      <c r="PLA43" s="60"/>
      <c r="PLB43" s="60"/>
      <c r="PLC43" s="60"/>
      <c r="PLD43" s="60"/>
      <c r="PLE43" s="60"/>
      <c r="PLF43" s="60"/>
      <c r="PLG43" s="60"/>
      <c r="PLH43" s="60"/>
      <c r="PLI43" s="60"/>
      <c r="PLJ43" s="60"/>
      <c r="PLK43" s="60"/>
      <c r="PLL43" s="60"/>
      <c r="PLM43" s="60"/>
      <c r="PLN43" s="60"/>
      <c r="PLO43" s="60"/>
      <c r="PLP43" s="60"/>
      <c r="PLQ43" s="60"/>
      <c r="PLR43" s="60"/>
      <c r="PLS43" s="60"/>
      <c r="PLT43" s="60"/>
      <c r="PLU43" s="60"/>
      <c r="PLV43" s="60"/>
      <c r="PLW43" s="60"/>
      <c r="PLX43" s="60"/>
      <c r="PLY43" s="60"/>
      <c r="PLZ43" s="60"/>
      <c r="PMA43" s="60"/>
      <c r="PMB43" s="60"/>
      <c r="PMC43" s="60"/>
      <c r="PMD43" s="60"/>
      <c r="PME43" s="60"/>
      <c r="PMF43" s="60"/>
      <c r="PMG43" s="60"/>
      <c r="PMH43" s="60"/>
      <c r="PMI43" s="60"/>
      <c r="PMJ43" s="60"/>
      <c r="PMK43" s="60"/>
      <c r="PML43" s="60"/>
      <c r="PMM43" s="60"/>
      <c r="PMN43" s="60"/>
      <c r="PMO43" s="60"/>
      <c r="PMP43" s="60"/>
      <c r="PMQ43" s="60"/>
      <c r="PMR43" s="60"/>
      <c r="PMS43" s="60"/>
      <c r="PMT43" s="60"/>
      <c r="PMU43" s="60"/>
      <c r="PMV43" s="60"/>
      <c r="PMW43" s="60"/>
      <c r="PMX43" s="60"/>
      <c r="PMY43" s="60"/>
      <c r="PMZ43" s="60"/>
      <c r="PNA43" s="60"/>
      <c r="PNB43" s="60"/>
      <c r="PNC43" s="60"/>
      <c r="PND43" s="60"/>
      <c r="PNE43" s="60"/>
      <c r="PNF43" s="60"/>
      <c r="PNG43" s="60"/>
      <c r="PNH43" s="60"/>
      <c r="PNI43" s="60"/>
      <c r="PNJ43" s="60"/>
      <c r="PNK43" s="60"/>
      <c r="PNL43" s="60"/>
      <c r="PNM43" s="60"/>
      <c r="PNN43" s="60"/>
      <c r="PNO43" s="60"/>
      <c r="PNP43" s="60"/>
      <c r="PNQ43" s="60"/>
      <c r="PNR43" s="60"/>
      <c r="PNS43" s="60"/>
      <c r="PNT43" s="60"/>
      <c r="PNU43" s="60"/>
      <c r="PNV43" s="60"/>
      <c r="PNW43" s="60"/>
      <c r="PNX43" s="60"/>
      <c r="PNY43" s="60"/>
      <c r="PNZ43" s="60"/>
      <c r="POA43" s="60"/>
      <c r="POB43" s="60"/>
      <c r="POC43" s="60"/>
      <c r="POD43" s="60"/>
      <c r="POE43" s="60"/>
      <c r="POF43" s="60"/>
      <c r="POG43" s="60"/>
      <c r="POH43" s="60"/>
      <c r="POI43" s="60"/>
      <c r="POJ43" s="60"/>
      <c r="POK43" s="60"/>
      <c r="POL43" s="60"/>
      <c r="POM43" s="60"/>
      <c r="PON43" s="60"/>
      <c r="POO43" s="60"/>
      <c r="POP43" s="60"/>
      <c r="POQ43" s="60"/>
      <c r="POR43" s="60"/>
      <c r="POS43" s="60"/>
      <c r="POT43" s="60"/>
      <c r="POU43" s="60"/>
      <c r="POV43" s="60"/>
      <c r="POW43" s="60"/>
      <c r="POX43" s="60"/>
      <c r="POY43" s="60"/>
      <c r="POZ43" s="60"/>
      <c r="PPA43" s="60"/>
      <c r="PPB43" s="60"/>
      <c r="PPC43" s="60"/>
      <c r="PPD43" s="60"/>
      <c r="PPE43" s="60"/>
      <c r="PPF43" s="60"/>
      <c r="PPG43" s="60"/>
      <c r="PPH43" s="60"/>
      <c r="PPI43" s="60"/>
      <c r="PPJ43" s="60"/>
      <c r="PPK43" s="60"/>
      <c r="PPL43" s="60"/>
      <c r="PPM43" s="60"/>
      <c r="PPN43" s="60"/>
      <c r="PPO43" s="60"/>
      <c r="PPP43" s="60"/>
      <c r="PPQ43" s="60"/>
      <c r="PPR43" s="60"/>
      <c r="PPS43" s="60"/>
      <c r="PPT43" s="60"/>
      <c r="PPU43" s="60"/>
      <c r="PPV43" s="60"/>
      <c r="PPW43" s="60"/>
      <c r="PPX43" s="60"/>
      <c r="PPY43" s="60"/>
      <c r="PPZ43" s="60"/>
      <c r="PQA43" s="60"/>
      <c r="PQB43" s="60"/>
      <c r="PQC43" s="60"/>
      <c r="PQD43" s="60"/>
      <c r="PQE43" s="60"/>
      <c r="PQF43" s="60"/>
      <c r="PQG43" s="60"/>
      <c r="PQH43" s="60"/>
      <c r="PQI43" s="60"/>
      <c r="PQJ43" s="60"/>
      <c r="PQK43" s="60"/>
      <c r="PQL43" s="60"/>
      <c r="PQM43" s="60"/>
      <c r="PQN43" s="60"/>
      <c r="PQO43" s="60"/>
      <c r="PQP43" s="60"/>
      <c r="PQQ43" s="60"/>
      <c r="PQR43" s="60"/>
      <c r="PQS43" s="60"/>
      <c r="PQT43" s="60"/>
      <c r="PQU43" s="60"/>
      <c r="PQV43" s="60"/>
      <c r="PQW43" s="60"/>
      <c r="PQX43" s="60"/>
      <c r="PQY43" s="60"/>
      <c r="PQZ43" s="60"/>
      <c r="PRA43" s="60"/>
      <c r="PRB43" s="60"/>
      <c r="PRC43" s="60"/>
      <c r="PRD43" s="60"/>
      <c r="PRE43" s="60"/>
      <c r="PRF43" s="60"/>
      <c r="PRG43" s="60"/>
      <c r="PRH43" s="60"/>
      <c r="PRI43" s="60"/>
      <c r="PRJ43" s="60"/>
      <c r="PRK43" s="60"/>
      <c r="PRL43" s="60"/>
      <c r="PRM43" s="60"/>
      <c r="PRN43" s="60"/>
      <c r="PRO43" s="60"/>
      <c r="PRP43" s="60"/>
      <c r="PRQ43" s="60"/>
      <c r="PRR43" s="60"/>
      <c r="PRS43" s="60"/>
      <c r="PRT43" s="60"/>
      <c r="PRU43" s="60"/>
      <c r="PRV43" s="60"/>
      <c r="PRW43" s="60"/>
      <c r="PRX43" s="60"/>
      <c r="PRY43" s="60"/>
      <c r="PRZ43" s="60"/>
      <c r="PSA43" s="60"/>
      <c r="PSB43" s="60"/>
      <c r="PSC43" s="60"/>
      <c r="PSD43" s="60"/>
      <c r="PSE43" s="60"/>
      <c r="PSF43" s="60"/>
      <c r="PSG43" s="60"/>
      <c r="PSH43" s="60"/>
      <c r="PSI43" s="60"/>
      <c r="PSJ43" s="60"/>
      <c r="PSK43" s="60"/>
      <c r="PSL43" s="60"/>
      <c r="PSM43" s="60"/>
      <c r="PSN43" s="60"/>
      <c r="PSO43" s="60"/>
      <c r="PSP43" s="60"/>
      <c r="PSQ43" s="60"/>
      <c r="PSR43" s="60"/>
      <c r="PSS43" s="60"/>
      <c r="PST43" s="60"/>
      <c r="PSU43" s="60"/>
      <c r="PSV43" s="60"/>
      <c r="PSW43" s="60"/>
      <c r="PSX43" s="60"/>
      <c r="PSY43" s="60"/>
      <c r="PSZ43" s="60"/>
      <c r="PTA43" s="60"/>
      <c r="PTB43" s="60"/>
      <c r="PTC43" s="60"/>
      <c r="PTD43" s="60"/>
      <c r="PTE43" s="60"/>
      <c r="PTF43" s="60"/>
      <c r="PTG43" s="60"/>
      <c r="PTH43" s="60"/>
      <c r="PTI43" s="60"/>
      <c r="PTJ43" s="60"/>
      <c r="PTK43" s="60"/>
      <c r="PTL43" s="60"/>
      <c r="PTM43" s="60"/>
      <c r="PTN43" s="60"/>
      <c r="PTO43" s="60"/>
      <c r="PTP43" s="60"/>
      <c r="PTQ43" s="60"/>
      <c r="PTR43" s="60"/>
      <c r="PTS43" s="60"/>
      <c r="PTT43" s="60"/>
      <c r="PTU43" s="60"/>
      <c r="PTV43" s="60"/>
      <c r="PTW43" s="60"/>
      <c r="PTX43" s="60"/>
      <c r="PTY43" s="60"/>
      <c r="PTZ43" s="60"/>
      <c r="PUA43" s="60"/>
      <c r="PUB43" s="60"/>
      <c r="PUC43" s="60"/>
      <c r="PUD43" s="60"/>
      <c r="PUE43" s="60"/>
      <c r="PUF43" s="60"/>
      <c r="PUG43" s="60"/>
      <c r="PUH43" s="60"/>
      <c r="PUI43" s="60"/>
      <c r="PUJ43" s="60"/>
      <c r="PUK43" s="60"/>
      <c r="PUL43" s="60"/>
      <c r="PUM43" s="60"/>
      <c r="PUN43" s="60"/>
      <c r="PUO43" s="60"/>
      <c r="PUP43" s="60"/>
      <c r="PUQ43" s="60"/>
      <c r="PUR43" s="60"/>
      <c r="PUS43" s="60"/>
      <c r="PUT43" s="60"/>
      <c r="PUU43" s="60"/>
      <c r="PUV43" s="60"/>
      <c r="PUW43" s="60"/>
      <c r="PUX43" s="60"/>
      <c r="PUY43" s="60"/>
      <c r="PUZ43" s="60"/>
      <c r="PVA43" s="60"/>
      <c r="PVB43" s="60"/>
      <c r="PVC43" s="60"/>
      <c r="PVD43" s="60"/>
      <c r="PVE43" s="60"/>
      <c r="PVF43" s="60"/>
      <c r="PVG43" s="60"/>
      <c r="PVH43" s="60"/>
      <c r="PVI43" s="60"/>
      <c r="PVJ43" s="60"/>
      <c r="PVK43" s="60"/>
      <c r="PVL43" s="60"/>
      <c r="PVM43" s="60"/>
      <c r="PVN43" s="60"/>
      <c r="PVO43" s="60"/>
      <c r="PVP43" s="60"/>
      <c r="PVQ43" s="60"/>
      <c r="PVR43" s="60"/>
      <c r="PVS43" s="60"/>
      <c r="PVT43" s="60"/>
      <c r="PVU43" s="60"/>
      <c r="PVV43" s="60"/>
      <c r="PVW43" s="60"/>
      <c r="PVX43" s="60"/>
      <c r="PVY43" s="60"/>
      <c r="PVZ43" s="60"/>
      <c r="PWA43" s="60"/>
      <c r="PWB43" s="60"/>
      <c r="PWC43" s="60"/>
      <c r="PWD43" s="60"/>
      <c r="PWE43" s="60"/>
      <c r="PWF43" s="60"/>
      <c r="PWG43" s="60"/>
      <c r="PWH43" s="60"/>
      <c r="PWI43" s="60"/>
      <c r="PWJ43" s="60"/>
      <c r="PWK43" s="60"/>
      <c r="PWL43" s="60"/>
      <c r="PWM43" s="60"/>
      <c r="PWN43" s="60"/>
      <c r="PWO43" s="60"/>
      <c r="PWP43" s="60"/>
      <c r="PWQ43" s="60"/>
      <c r="PWR43" s="60"/>
      <c r="PWS43" s="60"/>
      <c r="PWT43" s="60"/>
      <c r="PWU43" s="60"/>
      <c r="PWV43" s="60"/>
      <c r="PWW43" s="60"/>
      <c r="PWX43" s="60"/>
      <c r="PWY43" s="60"/>
      <c r="PWZ43" s="60"/>
      <c r="PXA43" s="60"/>
      <c r="PXB43" s="60"/>
      <c r="PXC43" s="60"/>
      <c r="PXD43" s="60"/>
      <c r="PXE43" s="60"/>
      <c r="PXF43" s="60"/>
      <c r="PXG43" s="60"/>
      <c r="PXH43" s="60"/>
      <c r="PXI43" s="60"/>
      <c r="PXJ43" s="60"/>
      <c r="PXK43" s="60"/>
      <c r="PXL43" s="60"/>
      <c r="PXM43" s="60"/>
      <c r="PXN43" s="60"/>
      <c r="PXO43" s="60"/>
      <c r="PXP43" s="60"/>
      <c r="PXQ43" s="60"/>
      <c r="PXR43" s="60"/>
      <c r="PXS43" s="60"/>
      <c r="PXT43" s="60"/>
      <c r="PXU43" s="60"/>
      <c r="PXV43" s="60"/>
      <c r="PXW43" s="60"/>
      <c r="PXX43" s="60"/>
      <c r="PXY43" s="60"/>
      <c r="PXZ43" s="60"/>
      <c r="PYA43" s="60"/>
      <c r="PYB43" s="60"/>
      <c r="PYC43" s="60"/>
      <c r="PYD43" s="60"/>
      <c r="PYE43" s="60"/>
      <c r="PYF43" s="60"/>
      <c r="PYG43" s="60"/>
      <c r="PYH43" s="60"/>
      <c r="PYI43" s="60"/>
      <c r="PYJ43" s="60"/>
      <c r="PYK43" s="60"/>
      <c r="PYL43" s="60"/>
      <c r="PYM43" s="60"/>
      <c r="PYN43" s="60"/>
      <c r="PYO43" s="60"/>
      <c r="PYP43" s="60"/>
      <c r="PYQ43" s="60"/>
      <c r="PYR43" s="60"/>
      <c r="PYS43" s="60"/>
      <c r="PYT43" s="60"/>
      <c r="PYU43" s="60"/>
      <c r="PYV43" s="60"/>
      <c r="PYW43" s="60"/>
      <c r="PYX43" s="60"/>
      <c r="PYY43" s="60"/>
      <c r="PYZ43" s="60"/>
      <c r="PZA43" s="60"/>
      <c r="PZB43" s="60"/>
      <c r="PZC43" s="60"/>
      <c r="PZD43" s="60"/>
      <c r="PZE43" s="60"/>
      <c r="PZF43" s="60"/>
      <c r="PZG43" s="60"/>
      <c r="PZH43" s="60"/>
      <c r="PZI43" s="60"/>
      <c r="PZJ43" s="60"/>
      <c r="PZK43" s="60"/>
      <c r="PZL43" s="60"/>
      <c r="PZM43" s="60"/>
      <c r="PZN43" s="60"/>
      <c r="PZO43" s="60"/>
      <c r="PZP43" s="60"/>
      <c r="PZQ43" s="60"/>
      <c r="PZR43" s="60"/>
      <c r="PZS43" s="60"/>
      <c r="PZT43" s="60"/>
      <c r="PZU43" s="60"/>
      <c r="PZV43" s="60"/>
      <c r="PZW43" s="60"/>
      <c r="PZX43" s="60"/>
      <c r="PZY43" s="60"/>
      <c r="PZZ43" s="60"/>
      <c r="QAA43" s="60"/>
      <c r="QAB43" s="60"/>
      <c r="QAC43" s="60"/>
      <c r="QAD43" s="60"/>
      <c r="QAE43" s="60"/>
      <c r="QAF43" s="60"/>
      <c r="QAG43" s="60"/>
      <c r="QAH43" s="60"/>
      <c r="QAI43" s="60"/>
      <c r="QAJ43" s="60"/>
      <c r="QAK43" s="60"/>
      <c r="QAL43" s="60"/>
      <c r="QAM43" s="60"/>
      <c r="QAN43" s="60"/>
      <c r="QAO43" s="60"/>
      <c r="QAP43" s="60"/>
      <c r="QAQ43" s="60"/>
      <c r="QAR43" s="60"/>
      <c r="QAS43" s="60"/>
      <c r="QAT43" s="60"/>
      <c r="QAU43" s="60"/>
      <c r="QAV43" s="60"/>
      <c r="QAW43" s="60"/>
      <c r="QAX43" s="60"/>
      <c r="QAY43" s="60"/>
      <c r="QAZ43" s="60"/>
      <c r="QBA43" s="60"/>
      <c r="QBB43" s="60"/>
      <c r="QBC43" s="60"/>
      <c r="QBD43" s="60"/>
      <c r="QBE43" s="60"/>
      <c r="QBF43" s="60"/>
      <c r="QBG43" s="60"/>
      <c r="QBH43" s="60"/>
      <c r="QBI43" s="60"/>
      <c r="QBJ43" s="60"/>
      <c r="QBK43" s="60"/>
      <c r="QBL43" s="60"/>
      <c r="QBM43" s="60"/>
      <c r="QBN43" s="60"/>
      <c r="QBO43" s="60"/>
      <c r="QBP43" s="60"/>
      <c r="QBQ43" s="60"/>
      <c r="QBR43" s="60"/>
      <c r="QBS43" s="60"/>
      <c r="QBT43" s="60"/>
      <c r="QBU43" s="60"/>
      <c r="QBV43" s="60"/>
      <c r="QBW43" s="60"/>
      <c r="QBX43" s="60"/>
      <c r="QBY43" s="60"/>
      <c r="QBZ43" s="60"/>
      <c r="QCA43" s="60"/>
      <c r="QCB43" s="60"/>
      <c r="QCC43" s="60"/>
      <c r="QCD43" s="60"/>
      <c r="QCE43" s="60"/>
      <c r="QCF43" s="60"/>
      <c r="QCG43" s="60"/>
      <c r="QCH43" s="60"/>
      <c r="QCI43" s="60"/>
      <c r="QCJ43" s="60"/>
      <c r="QCK43" s="60"/>
      <c r="QCL43" s="60"/>
      <c r="QCM43" s="60"/>
      <c r="QCN43" s="60"/>
      <c r="QCO43" s="60"/>
      <c r="QCP43" s="60"/>
      <c r="QCQ43" s="60"/>
      <c r="QCR43" s="60"/>
      <c r="QCS43" s="60"/>
      <c r="QCT43" s="60"/>
      <c r="QCU43" s="60"/>
      <c r="QCV43" s="60"/>
      <c r="QCW43" s="60"/>
      <c r="QCX43" s="60"/>
      <c r="QCY43" s="60"/>
      <c r="QCZ43" s="60"/>
      <c r="QDA43" s="60"/>
      <c r="QDB43" s="60"/>
      <c r="QDC43" s="60"/>
      <c r="QDD43" s="60"/>
      <c r="QDE43" s="60"/>
      <c r="QDF43" s="60"/>
      <c r="QDG43" s="60"/>
      <c r="QDH43" s="60"/>
      <c r="QDI43" s="60"/>
      <c r="QDJ43" s="60"/>
      <c r="QDK43" s="60"/>
      <c r="QDL43" s="60"/>
      <c r="QDM43" s="60"/>
      <c r="QDN43" s="60"/>
      <c r="QDO43" s="60"/>
      <c r="QDP43" s="60"/>
      <c r="QDQ43" s="60"/>
      <c r="QDR43" s="60"/>
      <c r="QDS43" s="60"/>
      <c r="QDT43" s="60"/>
      <c r="QDU43" s="60"/>
      <c r="QDV43" s="60"/>
      <c r="QDW43" s="60"/>
      <c r="QDX43" s="60"/>
      <c r="QDY43" s="60"/>
      <c r="QDZ43" s="60"/>
      <c r="QEA43" s="60"/>
      <c r="QEB43" s="60"/>
      <c r="QEC43" s="60"/>
      <c r="QED43" s="60"/>
      <c r="QEE43" s="60"/>
      <c r="QEF43" s="60"/>
      <c r="QEG43" s="60"/>
      <c r="QEH43" s="60"/>
      <c r="QEI43" s="60"/>
      <c r="QEJ43" s="60"/>
      <c r="QEK43" s="60"/>
      <c r="QEL43" s="60"/>
      <c r="QEM43" s="60"/>
      <c r="QEN43" s="60"/>
      <c r="QEO43" s="60"/>
      <c r="QEP43" s="60"/>
      <c r="QEQ43" s="60"/>
      <c r="QER43" s="60"/>
      <c r="QES43" s="60"/>
      <c r="QET43" s="60"/>
      <c r="QEU43" s="60"/>
      <c r="QEV43" s="60"/>
      <c r="QEW43" s="60"/>
      <c r="QEX43" s="60"/>
      <c r="QEY43" s="60"/>
      <c r="QEZ43" s="60"/>
      <c r="QFA43" s="60"/>
      <c r="QFB43" s="60"/>
      <c r="QFC43" s="60"/>
      <c r="QFD43" s="60"/>
      <c r="QFE43" s="60"/>
      <c r="QFF43" s="60"/>
      <c r="QFG43" s="60"/>
      <c r="QFH43" s="60"/>
      <c r="QFI43" s="60"/>
      <c r="QFJ43" s="60"/>
      <c r="QFK43" s="60"/>
      <c r="QFL43" s="60"/>
      <c r="QFM43" s="60"/>
      <c r="QFN43" s="60"/>
      <c r="QFO43" s="60"/>
      <c r="QFP43" s="60"/>
      <c r="QFQ43" s="60"/>
      <c r="QFR43" s="60"/>
      <c r="QFS43" s="60"/>
      <c r="QFT43" s="60"/>
      <c r="QFU43" s="60"/>
      <c r="QFV43" s="60"/>
      <c r="QFW43" s="60"/>
      <c r="QFX43" s="60"/>
      <c r="QFY43" s="60"/>
      <c r="QFZ43" s="60"/>
      <c r="QGA43" s="60"/>
      <c r="QGB43" s="60"/>
      <c r="QGC43" s="60"/>
      <c r="QGD43" s="60"/>
      <c r="QGE43" s="60"/>
      <c r="QGF43" s="60"/>
      <c r="QGG43" s="60"/>
      <c r="QGH43" s="60"/>
      <c r="QGI43" s="60"/>
      <c r="QGJ43" s="60"/>
      <c r="QGK43" s="60"/>
      <c r="QGL43" s="60"/>
      <c r="QGM43" s="60"/>
      <c r="QGN43" s="60"/>
      <c r="QGO43" s="60"/>
      <c r="QGP43" s="60"/>
      <c r="QGQ43" s="60"/>
      <c r="QGR43" s="60"/>
      <c r="QGS43" s="60"/>
      <c r="QGT43" s="60"/>
      <c r="QGU43" s="60"/>
      <c r="QGV43" s="60"/>
      <c r="QGW43" s="60"/>
      <c r="QGX43" s="60"/>
      <c r="QGY43" s="60"/>
      <c r="QGZ43" s="60"/>
      <c r="QHA43" s="60"/>
      <c r="QHB43" s="60"/>
      <c r="QHC43" s="60"/>
      <c r="QHD43" s="60"/>
      <c r="QHE43" s="60"/>
      <c r="QHF43" s="60"/>
      <c r="QHG43" s="60"/>
      <c r="QHH43" s="60"/>
      <c r="QHI43" s="60"/>
      <c r="QHJ43" s="60"/>
      <c r="QHK43" s="60"/>
      <c r="QHL43" s="60"/>
      <c r="QHM43" s="60"/>
      <c r="QHN43" s="60"/>
      <c r="QHO43" s="60"/>
      <c r="QHP43" s="60"/>
      <c r="QHQ43" s="60"/>
      <c r="QHR43" s="60"/>
      <c r="QHS43" s="60"/>
      <c r="QHT43" s="60"/>
      <c r="QHU43" s="60"/>
      <c r="QHV43" s="60"/>
      <c r="QHW43" s="60"/>
      <c r="QHX43" s="60"/>
      <c r="QHY43" s="60"/>
      <c r="QHZ43" s="60"/>
      <c r="QIA43" s="60"/>
      <c r="QIB43" s="60"/>
      <c r="QIC43" s="60"/>
      <c r="QID43" s="60"/>
      <c r="QIE43" s="60"/>
      <c r="QIF43" s="60"/>
      <c r="QIG43" s="60"/>
      <c r="QIH43" s="60"/>
      <c r="QII43" s="60"/>
      <c r="QIJ43" s="60"/>
      <c r="QIK43" s="60"/>
      <c r="QIL43" s="60"/>
      <c r="QIM43" s="60"/>
      <c r="QIN43" s="60"/>
      <c r="QIO43" s="60"/>
      <c r="QIP43" s="60"/>
      <c r="QIQ43" s="60"/>
      <c r="QIR43" s="60"/>
      <c r="QIS43" s="60"/>
      <c r="QIT43" s="60"/>
      <c r="QIU43" s="60"/>
      <c r="QIV43" s="60"/>
      <c r="QIW43" s="60"/>
      <c r="QIX43" s="60"/>
      <c r="QIY43" s="60"/>
      <c r="QIZ43" s="60"/>
      <c r="QJA43" s="60"/>
      <c r="QJB43" s="60"/>
      <c r="QJC43" s="60"/>
      <c r="QJD43" s="60"/>
      <c r="QJE43" s="60"/>
      <c r="QJF43" s="60"/>
      <c r="QJG43" s="60"/>
      <c r="QJH43" s="60"/>
      <c r="QJI43" s="60"/>
      <c r="QJJ43" s="60"/>
      <c r="QJK43" s="60"/>
      <c r="QJL43" s="60"/>
      <c r="QJM43" s="60"/>
      <c r="QJN43" s="60"/>
      <c r="QJO43" s="60"/>
      <c r="QJP43" s="60"/>
      <c r="QJQ43" s="60"/>
      <c r="QJR43" s="60"/>
      <c r="QJS43" s="60"/>
      <c r="QJT43" s="60"/>
      <c r="QJU43" s="60"/>
      <c r="QJV43" s="60"/>
      <c r="QJW43" s="60"/>
      <c r="QJX43" s="60"/>
      <c r="QJY43" s="60"/>
      <c r="QJZ43" s="60"/>
      <c r="QKA43" s="60"/>
      <c r="QKB43" s="60"/>
      <c r="QKC43" s="60"/>
      <c r="QKD43" s="60"/>
      <c r="QKE43" s="60"/>
      <c r="QKF43" s="60"/>
      <c r="QKG43" s="60"/>
      <c r="QKH43" s="60"/>
      <c r="QKI43" s="60"/>
      <c r="QKJ43" s="60"/>
      <c r="QKK43" s="60"/>
      <c r="QKL43" s="60"/>
      <c r="QKM43" s="60"/>
      <c r="QKN43" s="60"/>
      <c r="QKO43" s="60"/>
      <c r="QKP43" s="60"/>
      <c r="QKQ43" s="60"/>
      <c r="QKR43" s="60"/>
      <c r="QKS43" s="60"/>
      <c r="QKT43" s="60"/>
      <c r="QKU43" s="60"/>
      <c r="QKV43" s="60"/>
      <c r="QKW43" s="60"/>
      <c r="QKX43" s="60"/>
      <c r="QKY43" s="60"/>
      <c r="QKZ43" s="60"/>
      <c r="QLA43" s="60"/>
      <c r="QLB43" s="60"/>
      <c r="QLC43" s="60"/>
      <c r="QLD43" s="60"/>
      <c r="QLE43" s="60"/>
      <c r="QLF43" s="60"/>
      <c r="QLG43" s="60"/>
      <c r="QLH43" s="60"/>
      <c r="QLI43" s="60"/>
      <c r="QLJ43" s="60"/>
      <c r="QLK43" s="60"/>
      <c r="QLL43" s="60"/>
      <c r="QLM43" s="60"/>
      <c r="QLN43" s="60"/>
      <c r="QLO43" s="60"/>
      <c r="QLP43" s="60"/>
      <c r="QLQ43" s="60"/>
      <c r="QLR43" s="60"/>
      <c r="QLS43" s="60"/>
      <c r="QLT43" s="60"/>
      <c r="QLU43" s="60"/>
      <c r="QLV43" s="60"/>
      <c r="QLW43" s="60"/>
      <c r="QLX43" s="60"/>
      <c r="QLY43" s="60"/>
      <c r="QLZ43" s="60"/>
      <c r="QMA43" s="60"/>
      <c r="QMB43" s="60"/>
      <c r="QMC43" s="60"/>
      <c r="QMD43" s="60"/>
      <c r="QME43" s="60"/>
      <c r="QMF43" s="60"/>
      <c r="QMG43" s="60"/>
      <c r="QMH43" s="60"/>
      <c r="QMI43" s="60"/>
      <c r="QMJ43" s="60"/>
      <c r="QMK43" s="60"/>
      <c r="QML43" s="60"/>
      <c r="QMM43" s="60"/>
      <c r="QMN43" s="60"/>
      <c r="QMO43" s="60"/>
      <c r="QMP43" s="60"/>
      <c r="QMQ43" s="60"/>
      <c r="QMR43" s="60"/>
      <c r="QMS43" s="60"/>
      <c r="QMT43" s="60"/>
      <c r="QMU43" s="60"/>
      <c r="QMV43" s="60"/>
      <c r="QMW43" s="60"/>
      <c r="QMX43" s="60"/>
      <c r="QMY43" s="60"/>
      <c r="QMZ43" s="60"/>
      <c r="QNA43" s="60"/>
      <c r="QNB43" s="60"/>
      <c r="QNC43" s="60"/>
      <c r="QND43" s="60"/>
      <c r="QNE43" s="60"/>
      <c r="QNF43" s="60"/>
      <c r="QNG43" s="60"/>
      <c r="QNH43" s="60"/>
      <c r="QNI43" s="60"/>
      <c r="QNJ43" s="60"/>
      <c r="QNK43" s="60"/>
      <c r="QNL43" s="60"/>
      <c r="QNM43" s="60"/>
      <c r="QNN43" s="60"/>
      <c r="QNO43" s="60"/>
      <c r="QNP43" s="60"/>
      <c r="QNQ43" s="60"/>
      <c r="QNR43" s="60"/>
      <c r="QNS43" s="60"/>
      <c r="QNT43" s="60"/>
      <c r="QNU43" s="60"/>
      <c r="QNV43" s="60"/>
      <c r="QNW43" s="60"/>
      <c r="QNX43" s="60"/>
      <c r="QNY43" s="60"/>
      <c r="QNZ43" s="60"/>
      <c r="QOA43" s="60"/>
      <c r="QOB43" s="60"/>
      <c r="QOC43" s="60"/>
      <c r="QOD43" s="60"/>
      <c r="QOE43" s="60"/>
      <c r="QOF43" s="60"/>
      <c r="QOG43" s="60"/>
      <c r="QOH43" s="60"/>
      <c r="QOI43" s="60"/>
      <c r="QOJ43" s="60"/>
      <c r="QOK43" s="60"/>
      <c r="QOL43" s="60"/>
      <c r="QOM43" s="60"/>
      <c r="QON43" s="60"/>
      <c r="QOO43" s="60"/>
      <c r="QOP43" s="60"/>
      <c r="QOQ43" s="60"/>
      <c r="QOR43" s="60"/>
      <c r="QOS43" s="60"/>
      <c r="QOT43" s="60"/>
      <c r="QOU43" s="60"/>
      <c r="QOV43" s="60"/>
      <c r="QOW43" s="60"/>
      <c r="QOX43" s="60"/>
      <c r="QOY43" s="60"/>
      <c r="QOZ43" s="60"/>
      <c r="QPA43" s="60"/>
      <c r="QPB43" s="60"/>
      <c r="QPC43" s="60"/>
      <c r="QPD43" s="60"/>
      <c r="QPE43" s="60"/>
      <c r="QPF43" s="60"/>
      <c r="QPG43" s="60"/>
      <c r="QPH43" s="60"/>
      <c r="QPI43" s="60"/>
      <c r="QPJ43" s="60"/>
      <c r="QPK43" s="60"/>
      <c r="QPL43" s="60"/>
      <c r="QPM43" s="60"/>
      <c r="QPN43" s="60"/>
      <c r="QPO43" s="60"/>
      <c r="QPP43" s="60"/>
      <c r="QPQ43" s="60"/>
      <c r="QPR43" s="60"/>
      <c r="QPS43" s="60"/>
      <c r="QPT43" s="60"/>
      <c r="QPU43" s="60"/>
      <c r="QPV43" s="60"/>
      <c r="QPW43" s="60"/>
      <c r="QPX43" s="60"/>
      <c r="QPY43" s="60"/>
      <c r="QPZ43" s="60"/>
      <c r="QQA43" s="60"/>
      <c r="QQB43" s="60"/>
      <c r="QQC43" s="60"/>
      <c r="QQD43" s="60"/>
      <c r="QQE43" s="60"/>
      <c r="QQF43" s="60"/>
      <c r="QQG43" s="60"/>
      <c r="QQH43" s="60"/>
      <c r="QQI43" s="60"/>
      <c r="QQJ43" s="60"/>
      <c r="QQK43" s="60"/>
      <c r="QQL43" s="60"/>
      <c r="QQM43" s="60"/>
      <c r="QQN43" s="60"/>
      <c r="QQO43" s="60"/>
      <c r="QQP43" s="60"/>
      <c r="QQQ43" s="60"/>
      <c r="QQR43" s="60"/>
      <c r="QQS43" s="60"/>
      <c r="QQT43" s="60"/>
      <c r="QQU43" s="60"/>
      <c r="QQV43" s="60"/>
      <c r="QQW43" s="60"/>
      <c r="QQX43" s="60"/>
      <c r="QQY43" s="60"/>
      <c r="QQZ43" s="60"/>
      <c r="QRA43" s="60"/>
      <c r="QRB43" s="60"/>
      <c r="QRC43" s="60"/>
      <c r="QRD43" s="60"/>
      <c r="QRE43" s="60"/>
      <c r="QRF43" s="60"/>
      <c r="QRG43" s="60"/>
      <c r="QRH43" s="60"/>
      <c r="QRI43" s="60"/>
      <c r="QRJ43" s="60"/>
      <c r="QRK43" s="60"/>
      <c r="QRL43" s="60"/>
      <c r="QRM43" s="60"/>
      <c r="QRN43" s="60"/>
      <c r="QRO43" s="60"/>
      <c r="QRP43" s="60"/>
      <c r="QRQ43" s="60"/>
      <c r="QRR43" s="60"/>
      <c r="QRS43" s="60"/>
      <c r="QRT43" s="60"/>
      <c r="QRU43" s="60"/>
      <c r="QRV43" s="60"/>
      <c r="QRW43" s="60"/>
      <c r="QRX43" s="60"/>
      <c r="QRY43" s="60"/>
      <c r="QRZ43" s="60"/>
      <c r="QSA43" s="60"/>
      <c r="QSB43" s="60"/>
      <c r="QSC43" s="60"/>
      <c r="QSD43" s="60"/>
      <c r="QSE43" s="60"/>
      <c r="QSF43" s="60"/>
      <c r="QSG43" s="60"/>
      <c r="QSH43" s="60"/>
      <c r="QSI43" s="60"/>
      <c r="QSJ43" s="60"/>
      <c r="QSK43" s="60"/>
      <c r="QSL43" s="60"/>
      <c r="QSM43" s="60"/>
      <c r="QSN43" s="60"/>
      <c r="QSO43" s="60"/>
      <c r="QSP43" s="60"/>
      <c r="QSQ43" s="60"/>
      <c r="QSR43" s="60"/>
      <c r="QSS43" s="60"/>
      <c r="QST43" s="60"/>
      <c r="QSU43" s="60"/>
      <c r="QSV43" s="60"/>
      <c r="QSW43" s="60"/>
      <c r="QSX43" s="60"/>
      <c r="QSY43" s="60"/>
      <c r="QSZ43" s="60"/>
      <c r="QTA43" s="60"/>
      <c r="QTB43" s="60"/>
      <c r="QTC43" s="60"/>
      <c r="QTD43" s="60"/>
      <c r="QTE43" s="60"/>
      <c r="QTF43" s="60"/>
      <c r="QTG43" s="60"/>
      <c r="QTH43" s="60"/>
      <c r="QTI43" s="60"/>
      <c r="QTJ43" s="60"/>
      <c r="QTK43" s="60"/>
      <c r="QTL43" s="60"/>
      <c r="QTM43" s="60"/>
      <c r="QTN43" s="60"/>
      <c r="QTO43" s="60"/>
      <c r="QTP43" s="60"/>
      <c r="QTQ43" s="60"/>
      <c r="QTR43" s="60"/>
      <c r="QTS43" s="60"/>
      <c r="QTT43" s="60"/>
      <c r="QTU43" s="60"/>
      <c r="QTV43" s="60"/>
      <c r="QTW43" s="60"/>
      <c r="QTX43" s="60"/>
      <c r="QTY43" s="60"/>
      <c r="QTZ43" s="60"/>
      <c r="QUA43" s="60"/>
      <c r="QUB43" s="60"/>
      <c r="QUC43" s="60"/>
      <c r="QUD43" s="60"/>
      <c r="QUE43" s="60"/>
      <c r="QUF43" s="60"/>
      <c r="QUG43" s="60"/>
      <c r="QUH43" s="60"/>
      <c r="QUI43" s="60"/>
      <c r="QUJ43" s="60"/>
      <c r="QUK43" s="60"/>
      <c r="QUL43" s="60"/>
      <c r="QUM43" s="60"/>
      <c r="QUN43" s="60"/>
      <c r="QUO43" s="60"/>
      <c r="QUP43" s="60"/>
      <c r="QUQ43" s="60"/>
      <c r="QUR43" s="60"/>
      <c r="QUS43" s="60"/>
      <c r="QUT43" s="60"/>
      <c r="QUU43" s="60"/>
      <c r="QUV43" s="60"/>
      <c r="QUW43" s="60"/>
      <c r="QUX43" s="60"/>
      <c r="QUY43" s="60"/>
      <c r="QUZ43" s="60"/>
      <c r="QVA43" s="60"/>
      <c r="QVB43" s="60"/>
      <c r="QVC43" s="60"/>
      <c r="QVD43" s="60"/>
      <c r="QVE43" s="60"/>
      <c r="QVF43" s="60"/>
      <c r="QVG43" s="60"/>
      <c r="QVH43" s="60"/>
      <c r="QVI43" s="60"/>
      <c r="QVJ43" s="60"/>
      <c r="QVK43" s="60"/>
      <c r="QVL43" s="60"/>
      <c r="QVM43" s="60"/>
      <c r="QVN43" s="60"/>
      <c r="QVO43" s="60"/>
      <c r="QVP43" s="60"/>
      <c r="QVQ43" s="60"/>
      <c r="QVR43" s="60"/>
      <c r="QVS43" s="60"/>
      <c r="QVT43" s="60"/>
      <c r="QVU43" s="60"/>
      <c r="QVV43" s="60"/>
      <c r="QVW43" s="60"/>
      <c r="QVX43" s="60"/>
      <c r="QVY43" s="60"/>
      <c r="QVZ43" s="60"/>
      <c r="QWA43" s="60"/>
      <c r="QWB43" s="60"/>
      <c r="QWC43" s="60"/>
      <c r="QWD43" s="60"/>
      <c r="QWE43" s="60"/>
      <c r="QWF43" s="60"/>
      <c r="QWG43" s="60"/>
      <c r="QWH43" s="60"/>
      <c r="QWI43" s="60"/>
      <c r="QWJ43" s="60"/>
      <c r="QWK43" s="60"/>
      <c r="QWL43" s="60"/>
      <c r="QWM43" s="60"/>
      <c r="QWN43" s="60"/>
      <c r="QWO43" s="60"/>
      <c r="QWP43" s="60"/>
      <c r="QWQ43" s="60"/>
      <c r="QWR43" s="60"/>
      <c r="QWS43" s="60"/>
      <c r="QWT43" s="60"/>
      <c r="QWU43" s="60"/>
      <c r="QWV43" s="60"/>
      <c r="QWW43" s="60"/>
      <c r="QWX43" s="60"/>
      <c r="QWY43" s="60"/>
      <c r="QWZ43" s="60"/>
      <c r="QXA43" s="60"/>
      <c r="QXB43" s="60"/>
      <c r="QXC43" s="60"/>
      <c r="QXD43" s="60"/>
      <c r="QXE43" s="60"/>
      <c r="QXF43" s="60"/>
      <c r="QXG43" s="60"/>
      <c r="QXH43" s="60"/>
      <c r="QXI43" s="60"/>
      <c r="QXJ43" s="60"/>
      <c r="QXK43" s="60"/>
      <c r="QXL43" s="60"/>
      <c r="QXM43" s="60"/>
      <c r="QXN43" s="60"/>
      <c r="QXO43" s="60"/>
      <c r="QXP43" s="60"/>
      <c r="QXQ43" s="60"/>
      <c r="QXR43" s="60"/>
      <c r="QXS43" s="60"/>
      <c r="QXT43" s="60"/>
      <c r="QXU43" s="60"/>
      <c r="QXV43" s="60"/>
      <c r="QXW43" s="60"/>
      <c r="QXX43" s="60"/>
      <c r="QXY43" s="60"/>
      <c r="QXZ43" s="60"/>
      <c r="QYA43" s="60"/>
      <c r="QYB43" s="60"/>
      <c r="QYC43" s="60"/>
      <c r="QYD43" s="60"/>
      <c r="QYE43" s="60"/>
      <c r="QYF43" s="60"/>
      <c r="QYG43" s="60"/>
      <c r="QYH43" s="60"/>
      <c r="QYI43" s="60"/>
      <c r="QYJ43" s="60"/>
      <c r="QYK43" s="60"/>
      <c r="QYL43" s="60"/>
      <c r="QYM43" s="60"/>
      <c r="QYN43" s="60"/>
      <c r="QYO43" s="60"/>
      <c r="QYP43" s="60"/>
      <c r="QYQ43" s="60"/>
      <c r="QYR43" s="60"/>
      <c r="QYS43" s="60"/>
      <c r="QYT43" s="60"/>
      <c r="QYU43" s="60"/>
      <c r="QYV43" s="60"/>
      <c r="QYW43" s="60"/>
      <c r="QYX43" s="60"/>
      <c r="QYY43" s="60"/>
      <c r="QYZ43" s="60"/>
      <c r="QZA43" s="60"/>
      <c r="QZB43" s="60"/>
      <c r="QZC43" s="60"/>
      <c r="QZD43" s="60"/>
      <c r="QZE43" s="60"/>
      <c r="QZF43" s="60"/>
      <c r="QZG43" s="60"/>
      <c r="QZH43" s="60"/>
      <c r="QZI43" s="60"/>
      <c r="QZJ43" s="60"/>
      <c r="QZK43" s="60"/>
      <c r="QZL43" s="60"/>
      <c r="QZM43" s="60"/>
      <c r="QZN43" s="60"/>
      <c r="QZO43" s="60"/>
      <c r="QZP43" s="60"/>
      <c r="QZQ43" s="60"/>
      <c r="QZR43" s="60"/>
      <c r="QZS43" s="60"/>
      <c r="QZT43" s="60"/>
      <c r="QZU43" s="60"/>
      <c r="QZV43" s="60"/>
      <c r="QZW43" s="60"/>
      <c r="QZX43" s="60"/>
      <c r="QZY43" s="60"/>
      <c r="QZZ43" s="60"/>
      <c r="RAA43" s="60"/>
      <c r="RAB43" s="60"/>
      <c r="RAC43" s="60"/>
      <c r="RAD43" s="60"/>
      <c r="RAE43" s="60"/>
      <c r="RAF43" s="60"/>
      <c r="RAG43" s="60"/>
      <c r="RAH43" s="60"/>
      <c r="RAI43" s="60"/>
      <c r="RAJ43" s="60"/>
      <c r="RAK43" s="60"/>
      <c r="RAL43" s="60"/>
      <c r="RAM43" s="60"/>
      <c r="RAN43" s="60"/>
      <c r="RAO43" s="60"/>
      <c r="RAP43" s="60"/>
      <c r="RAQ43" s="60"/>
      <c r="RAR43" s="60"/>
      <c r="RAS43" s="60"/>
      <c r="RAT43" s="60"/>
      <c r="RAU43" s="60"/>
      <c r="RAV43" s="60"/>
      <c r="RAW43" s="60"/>
      <c r="RAX43" s="60"/>
      <c r="RAY43" s="60"/>
      <c r="RAZ43" s="60"/>
      <c r="RBA43" s="60"/>
      <c r="RBB43" s="60"/>
      <c r="RBC43" s="60"/>
      <c r="RBD43" s="60"/>
      <c r="RBE43" s="60"/>
      <c r="RBF43" s="60"/>
      <c r="RBG43" s="60"/>
      <c r="RBH43" s="60"/>
      <c r="RBI43" s="60"/>
      <c r="RBJ43" s="60"/>
      <c r="RBK43" s="60"/>
      <c r="RBL43" s="60"/>
      <c r="RBM43" s="60"/>
      <c r="RBN43" s="60"/>
      <c r="RBO43" s="60"/>
      <c r="RBP43" s="60"/>
      <c r="RBQ43" s="60"/>
      <c r="RBR43" s="60"/>
      <c r="RBS43" s="60"/>
      <c r="RBT43" s="60"/>
      <c r="RBU43" s="60"/>
      <c r="RBV43" s="60"/>
      <c r="RBW43" s="60"/>
      <c r="RBX43" s="60"/>
      <c r="RBY43" s="60"/>
      <c r="RBZ43" s="60"/>
      <c r="RCA43" s="60"/>
      <c r="RCB43" s="60"/>
      <c r="RCC43" s="60"/>
      <c r="RCD43" s="60"/>
      <c r="RCE43" s="60"/>
      <c r="RCF43" s="60"/>
      <c r="RCG43" s="60"/>
      <c r="RCH43" s="60"/>
      <c r="RCI43" s="60"/>
      <c r="RCJ43" s="60"/>
      <c r="RCK43" s="60"/>
      <c r="RCL43" s="60"/>
      <c r="RCM43" s="60"/>
      <c r="RCN43" s="60"/>
      <c r="RCO43" s="60"/>
      <c r="RCP43" s="60"/>
      <c r="RCQ43" s="60"/>
      <c r="RCR43" s="60"/>
      <c r="RCS43" s="60"/>
      <c r="RCT43" s="60"/>
      <c r="RCU43" s="60"/>
      <c r="RCV43" s="60"/>
      <c r="RCW43" s="60"/>
      <c r="RCX43" s="60"/>
      <c r="RCY43" s="60"/>
      <c r="RCZ43" s="60"/>
      <c r="RDA43" s="60"/>
      <c r="RDB43" s="60"/>
      <c r="RDC43" s="60"/>
      <c r="RDD43" s="60"/>
      <c r="RDE43" s="60"/>
      <c r="RDF43" s="60"/>
      <c r="RDG43" s="60"/>
      <c r="RDH43" s="60"/>
      <c r="RDI43" s="60"/>
      <c r="RDJ43" s="60"/>
      <c r="RDK43" s="60"/>
      <c r="RDL43" s="60"/>
      <c r="RDM43" s="60"/>
      <c r="RDN43" s="60"/>
      <c r="RDO43" s="60"/>
      <c r="RDP43" s="60"/>
      <c r="RDQ43" s="60"/>
      <c r="RDR43" s="60"/>
      <c r="RDS43" s="60"/>
      <c r="RDT43" s="60"/>
      <c r="RDU43" s="60"/>
      <c r="RDV43" s="60"/>
      <c r="RDW43" s="60"/>
      <c r="RDX43" s="60"/>
      <c r="RDY43" s="60"/>
      <c r="RDZ43" s="60"/>
      <c r="REA43" s="60"/>
      <c r="REB43" s="60"/>
      <c r="REC43" s="60"/>
      <c r="RED43" s="60"/>
      <c r="REE43" s="60"/>
      <c r="REF43" s="60"/>
      <c r="REG43" s="60"/>
      <c r="REH43" s="60"/>
      <c r="REI43" s="60"/>
      <c r="REJ43" s="60"/>
      <c r="REK43" s="60"/>
      <c r="REL43" s="60"/>
      <c r="REM43" s="60"/>
      <c r="REN43" s="60"/>
      <c r="REO43" s="60"/>
      <c r="REP43" s="60"/>
      <c r="REQ43" s="60"/>
      <c r="RER43" s="60"/>
      <c r="RES43" s="60"/>
      <c r="RET43" s="60"/>
      <c r="REU43" s="60"/>
      <c r="REV43" s="60"/>
      <c r="REW43" s="60"/>
      <c r="REX43" s="60"/>
      <c r="REY43" s="60"/>
      <c r="REZ43" s="60"/>
      <c r="RFA43" s="60"/>
      <c r="RFB43" s="60"/>
      <c r="RFC43" s="60"/>
      <c r="RFD43" s="60"/>
      <c r="RFE43" s="60"/>
      <c r="RFF43" s="60"/>
      <c r="RFG43" s="60"/>
      <c r="RFH43" s="60"/>
      <c r="RFI43" s="60"/>
      <c r="RFJ43" s="60"/>
      <c r="RFK43" s="60"/>
      <c r="RFL43" s="60"/>
      <c r="RFM43" s="60"/>
      <c r="RFN43" s="60"/>
      <c r="RFO43" s="60"/>
      <c r="RFP43" s="60"/>
      <c r="RFQ43" s="60"/>
      <c r="RFR43" s="60"/>
      <c r="RFS43" s="60"/>
      <c r="RFT43" s="60"/>
      <c r="RFU43" s="60"/>
      <c r="RFV43" s="60"/>
      <c r="RFW43" s="60"/>
      <c r="RFX43" s="60"/>
      <c r="RFY43" s="60"/>
      <c r="RFZ43" s="60"/>
      <c r="RGA43" s="60"/>
      <c r="RGB43" s="60"/>
      <c r="RGC43" s="60"/>
      <c r="RGD43" s="60"/>
      <c r="RGE43" s="60"/>
      <c r="RGF43" s="60"/>
      <c r="RGG43" s="60"/>
      <c r="RGH43" s="60"/>
      <c r="RGI43" s="60"/>
      <c r="RGJ43" s="60"/>
      <c r="RGK43" s="60"/>
      <c r="RGL43" s="60"/>
      <c r="RGM43" s="60"/>
      <c r="RGN43" s="60"/>
      <c r="RGO43" s="60"/>
      <c r="RGP43" s="60"/>
      <c r="RGQ43" s="60"/>
      <c r="RGR43" s="60"/>
      <c r="RGS43" s="60"/>
      <c r="RGT43" s="60"/>
      <c r="RGU43" s="60"/>
      <c r="RGV43" s="60"/>
      <c r="RGW43" s="60"/>
      <c r="RGX43" s="60"/>
      <c r="RGY43" s="60"/>
      <c r="RGZ43" s="60"/>
      <c r="RHA43" s="60"/>
      <c r="RHB43" s="60"/>
      <c r="RHC43" s="60"/>
      <c r="RHD43" s="60"/>
      <c r="RHE43" s="60"/>
      <c r="RHF43" s="60"/>
      <c r="RHG43" s="60"/>
      <c r="RHH43" s="60"/>
      <c r="RHI43" s="60"/>
      <c r="RHJ43" s="60"/>
      <c r="RHK43" s="60"/>
      <c r="RHL43" s="60"/>
      <c r="RHM43" s="60"/>
      <c r="RHN43" s="60"/>
      <c r="RHO43" s="60"/>
      <c r="RHP43" s="60"/>
      <c r="RHQ43" s="60"/>
      <c r="RHR43" s="60"/>
      <c r="RHS43" s="60"/>
      <c r="RHT43" s="60"/>
      <c r="RHU43" s="60"/>
      <c r="RHV43" s="60"/>
      <c r="RHW43" s="60"/>
      <c r="RHX43" s="60"/>
      <c r="RHY43" s="60"/>
      <c r="RHZ43" s="60"/>
      <c r="RIA43" s="60"/>
      <c r="RIB43" s="60"/>
      <c r="RIC43" s="60"/>
      <c r="RID43" s="60"/>
      <c r="RIE43" s="60"/>
      <c r="RIF43" s="60"/>
      <c r="RIG43" s="60"/>
      <c r="RIH43" s="60"/>
      <c r="RII43" s="60"/>
      <c r="RIJ43" s="60"/>
      <c r="RIK43" s="60"/>
      <c r="RIL43" s="60"/>
      <c r="RIM43" s="60"/>
      <c r="RIN43" s="60"/>
      <c r="RIO43" s="60"/>
      <c r="RIP43" s="60"/>
      <c r="RIQ43" s="60"/>
      <c r="RIR43" s="60"/>
      <c r="RIS43" s="60"/>
      <c r="RIT43" s="60"/>
      <c r="RIU43" s="60"/>
      <c r="RIV43" s="60"/>
      <c r="RIW43" s="60"/>
      <c r="RIX43" s="60"/>
      <c r="RIY43" s="60"/>
      <c r="RIZ43" s="60"/>
      <c r="RJA43" s="60"/>
      <c r="RJB43" s="60"/>
      <c r="RJC43" s="60"/>
      <c r="RJD43" s="60"/>
      <c r="RJE43" s="60"/>
      <c r="RJF43" s="60"/>
      <c r="RJG43" s="60"/>
      <c r="RJH43" s="60"/>
      <c r="RJI43" s="60"/>
      <c r="RJJ43" s="60"/>
      <c r="RJK43" s="60"/>
      <c r="RJL43" s="60"/>
      <c r="RJM43" s="60"/>
      <c r="RJN43" s="60"/>
      <c r="RJO43" s="60"/>
      <c r="RJP43" s="60"/>
      <c r="RJQ43" s="60"/>
      <c r="RJR43" s="60"/>
      <c r="RJS43" s="60"/>
      <c r="RJT43" s="60"/>
      <c r="RJU43" s="60"/>
      <c r="RJV43" s="60"/>
      <c r="RJW43" s="60"/>
      <c r="RJX43" s="60"/>
      <c r="RJY43" s="60"/>
      <c r="RJZ43" s="60"/>
      <c r="RKA43" s="60"/>
      <c r="RKB43" s="60"/>
      <c r="RKC43" s="60"/>
      <c r="RKD43" s="60"/>
      <c r="RKE43" s="60"/>
      <c r="RKF43" s="60"/>
      <c r="RKG43" s="60"/>
      <c r="RKH43" s="60"/>
      <c r="RKI43" s="60"/>
      <c r="RKJ43" s="60"/>
      <c r="RKK43" s="60"/>
      <c r="RKL43" s="60"/>
      <c r="RKM43" s="60"/>
      <c r="RKN43" s="60"/>
      <c r="RKO43" s="60"/>
      <c r="RKP43" s="60"/>
      <c r="RKQ43" s="60"/>
      <c r="RKR43" s="60"/>
      <c r="RKS43" s="60"/>
      <c r="RKT43" s="60"/>
      <c r="RKU43" s="60"/>
      <c r="RKV43" s="60"/>
      <c r="RKW43" s="60"/>
      <c r="RKX43" s="60"/>
      <c r="RKY43" s="60"/>
      <c r="RKZ43" s="60"/>
      <c r="RLA43" s="60"/>
      <c r="RLB43" s="60"/>
      <c r="RLC43" s="60"/>
      <c r="RLD43" s="60"/>
      <c r="RLE43" s="60"/>
      <c r="RLF43" s="60"/>
      <c r="RLG43" s="60"/>
      <c r="RLH43" s="60"/>
      <c r="RLI43" s="60"/>
      <c r="RLJ43" s="60"/>
      <c r="RLK43" s="60"/>
      <c r="RLL43" s="60"/>
      <c r="RLM43" s="60"/>
      <c r="RLN43" s="60"/>
      <c r="RLO43" s="60"/>
      <c r="RLP43" s="60"/>
      <c r="RLQ43" s="60"/>
      <c r="RLR43" s="60"/>
      <c r="RLS43" s="60"/>
      <c r="RLT43" s="60"/>
      <c r="RLU43" s="60"/>
      <c r="RLV43" s="60"/>
      <c r="RLW43" s="60"/>
      <c r="RLX43" s="60"/>
      <c r="RLY43" s="60"/>
      <c r="RLZ43" s="60"/>
      <c r="RMA43" s="60"/>
      <c r="RMB43" s="60"/>
      <c r="RMC43" s="60"/>
      <c r="RMD43" s="60"/>
      <c r="RME43" s="60"/>
      <c r="RMF43" s="60"/>
      <c r="RMG43" s="60"/>
      <c r="RMH43" s="60"/>
      <c r="RMI43" s="60"/>
      <c r="RMJ43" s="60"/>
      <c r="RMK43" s="60"/>
      <c r="RML43" s="60"/>
      <c r="RMM43" s="60"/>
      <c r="RMN43" s="60"/>
      <c r="RMO43" s="60"/>
      <c r="RMP43" s="60"/>
      <c r="RMQ43" s="60"/>
      <c r="RMR43" s="60"/>
      <c r="RMS43" s="60"/>
      <c r="RMT43" s="60"/>
      <c r="RMU43" s="60"/>
      <c r="RMV43" s="60"/>
      <c r="RMW43" s="60"/>
      <c r="RMX43" s="60"/>
      <c r="RMY43" s="60"/>
      <c r="RMZ43" s="60"/>
      <c r="RNA43" s="60"/>
      <c r="RNB43" s="60"/>
      <c r="RNC43" s="60"/>
      <c r="RND43" s="60"/>
      <c r="RNE43" s="60"/>
      <c r="RNF43" s="60"/>
      <c r="RNG43" s="60"/>
      <c r="RNH43" s="60"/>
      <c r="RNI43" s="60"/>
      <c r="RNJ43" s="60"/>
      <c r="RNK43" s="60"/>
      <c r="RNL43" s="60"/>
      <c r="RNM43" s="60"/>
      <c r="RNN43" s="60"/>
      <c r="RNO43" s="60"/>
      <c r="RNP43" s="60"/>
      <c r="RNQ43" s="60"/>
      <c r="RNR43" s="60"/>
      <c r="RNS43" s="60"/>
      <c r="RNT43" s="60"/>
      <c r="RNU43" s="60"/>
      <c r="RNV43" s="60"/>
      <c r="RNW43" s="60"/>
      <c r="RNX43" s="60"/>
      <c r="RNY43" s="60"/>
      <c r="RNZ43" s="60"/>
      <c r="ROA43" s="60"/>
      <c r="ROB43" s="60"/>
      <c r="ROC43" s="60"/>
      <c r="ROD43" s="60"/>
      <c r="ROE43" s="60"/>
      <c r="ROF43" s="60"/>
      <c r="ROG43" s="60"/>
      <c r="ROH43" s="60"/>
      <c r="ROI43" s="60"/>
      <c r="ROJ43" s="60"/>
      <c r="ROK43" s="60"/>
      <c r="ROL43" s="60"/>
      <c r="ROM43" s="60"/>
      <c r="RON43" s="60"/>
      <c r="ROO43" s="60"/>
      <c r="ROP43" s="60"/>
      <c r="ROQ43" s="60"/>
      <c r="ROR43" s="60"/>
      <c r="ROS43" s="60"/>
      <c r="ROT43" s="60"/>
      <c r="ROU43" s="60"/>
      <c r="ROV43" s="60"/>
      <c r="ROW43" s="60"/>
      <c r="ROX43" s="60"/>
      <c r="ROY43" s="60"/>
      <c r="ROZ43" s="60"/>
      <c r="RPA43" s="60"/>
      <c r="RPB43" s="60"/>
      <c r="RPC43" s="60"/>
      <c r="RPD43" s="60"/>
      <c r="RPE43" s="60"/>
      <c r="RPF43" s="60"/>
      <c r="RPG43" s="60"/>
      <c r="RPH43" s="60"/>
      <c r="RPI43" s="60"/>
      <c r="RPJ43" s="60"/>
      <c r="RPK43" s="60"/>
      <c r="RPL43" s="60"/>
      <c r="RPM43" s="60"/>
      <c r="RPN43" s="60"/>
      <c r="RPO43" s="60"/>
      <c r="RPP43" s="60"/>
      <c r="RPQ43" s="60"/>
      <c r="RPR43" s="60"/>
      <c r="RPS43" s="60"/>
      <c r="RPT43" s="60"/>
      <c r="RPU43" s="60"/>
      <c r="RPV43" s="60"/>
      <c r="RPW43" s="60"/>
      <c r="RPX43" s="60"/>
      <c r="RPY43" s="60"/>
      <c r="RPZ43" s="60"/>
      <c r="RQA43" s="60"/>
      <c r="RQB43" s="60"/>
      <c r="RQC43" s="60"/>
      <c r="RQD43" s="60"/>
      <c r="RQE43" s="60"/>
      <c r="RQF43" s="60"/>
      <c r="RQG43" s="60"/>
      <c r="RQH43" s="60"/>
      <c r="RQI43" s="60"/>
      <c r="RQJ43" s="60"/>
      <c r="RQK43" s="60"/>
      <c r="RQL43" s="60"/>
      <c r="RQM43" s="60"/>
      <c r="RQN43" s="60"/>
      <c r="RQO43" s="60"/>
      <c r="RQP43" s="60"/>
      <c r="RQQ43" s="60"/>
      <c r="RQR43" s="60"/>
      <c r="RQS43" s="60"/>
      <c r="RQT43" s="60"/>
      <c r="RQU43" s="60"/>
      <c r="RQV43" s="60"/>
      <c r="RQW43" s="60"/>
      <c r="RQX43" s="60"/>
      <c r="RQY43" s="60"/>
      <c r="RQZ43" s="60"/>
      <c r="RRA43" s="60"/>
      <c r="RRB43" s="60"/>
      <c r="RRC43" s="60"/>
      <c r="RRD43" s="60"/>
      <c r="RRE43" s="60"/>
      <c r="RRF43" s="60"/>
      <c r="RRG43" s="60"/>
      <c r="RRH43" s="60"/>
      <c r="RRI43" s="60"/>
      <c r="RRJ43" s="60"/>
      <c r="RRK43" s="60"/>
      <c r="RRL43" s="60"/>
      <c r="RRM43" s="60"/>
      <c r="RRN43" s="60"/>
      <c r="RRO43" s="60"/>
      <c r="RRP43" s="60"/>
      <c r="RRQ43" s="60"/>
      <c r="RRR43" s="60"/>
      <c r="RRS43" s="60"/>
      <c r="RRT43" s="60"/>
      <c r="RRU43" s="60"/>
      <c r="RRV43" s="60"/>
      <c r="RRW43" s="60"/>
      <c r="RRX43" s="60"/>
      <c r="RRY43" s="60"/>
      <c r="RRZ43" s="60"/>
      <c r="RSA43" s="60"/>
      <c r="RSB43" s="60"/>
      <c r="RSC43" s="60"/>
      <c r="RSD43" s="60"/>
      <c r="RSE43" s="60"/>
      <c r="RSF43" s="60"/>
      <c r="RSG43" s="60"/>
      <c r="RSH43" s="60"/>
      <c r="RSI43" s="60"/>
      <c r="RSJ43" s="60"/>
      <c r="RSK43" s="60"/>
      <c r="RSL43" s="60"/>
      <c r="RSM43" s="60"/>
      <c r="RSN43" s="60"/>
      <c r="RSO43" s="60"/>
      <c r="RSP43" s="60"/>
      <c r="RSQ43" s="60"/>
      <c r="RSR43" s="60"/>
      <c r="RSS43" s="60"/>
      <c r="RST43" s="60"/>
      <c r="RSU43" s="60"/>
      <c r="RSV43" s="60"/>
      <c r="RSW43" s="60"/>
      <c r="RSX43" s="60"/>
      <c r="RSY43" s="60"/>
      <c r="RSZ43" s="60"/>
      <c r="RTA43" s="60"/>
      <c r="RTB43" s="60"/>
      <c r="RTC43" s="60"/>
      <c r="RTD43" s="60"/>
      <c r="RTE43" s="60"/>
      <c r="RTF43" s="60"/>
      <c r="RTG43" s="60"/>
      <c r="RTH43" s="60"/>
      <c r="RTI43" s="60"/>
      <c r="RTJ43" s="60"/>
      <c r="RTK43" s="60"/>
      <c r="RTL43" s="60"/>
      <c r="RTM43" s="60"/>
      <c r="RTN43" s="60"/>
      <c r="RTO43" s="60"/>
      <c r="RTP43" s="60"/>
      <c r="RTQ43" s="60"/>
      <c r="RTR43" s="60"/>
      <c r="RTS43" s="60"/>
      <c r="RTT43" s="60"/>
      <c r="RTU43" s="60"/>
      <c r="RTV43" s="60"/>
      <c r="RTW43" s="60"/>
      <c r="RTX43" s="60"/>
      <c r="RTY43" s="60"/>
      <c r="RTZ43" s="60"/>
      <c r="RUA43" s="60"/>
      <c r="RUB43" s="60"/>
      <c r="RUC43" s="60"/>
      <c r="RUD43" s="60"/>
      <c r="RUE43" s="60"/>
      <c r="RUF43" s="60"/>
      <c r="RUG43" s="60"/>
      <c r="RUH43" s="60"/>
      <c r="RUI43" s="60"/>
      <c r="RUJ43" s="60"/>
      <c r="RUK43" s="60"/>
      <c r="RUL43" s="60"/>
      <c r="RUM43" s="60"/>
      <c r="RUN43" s="60"/>
      <c r="RUO43" s="60"/>
      <c r="RUP43" s="60"/>
      <c r="RUQ43" s="60"/>
      <c r="RUR43" s="60"/>
      <c r="RUS43" s="60"/>
      <c r="RUT43" s="60"/>
      <c r="RUU43" s="60"/>
      <c r="RUV43" s="60"/>
      <c r="RUW43" s="60"/>
      <c r="RUX43" s="60"/>
      <c r="RUY43" s="60"/>
      <c r="RUZ43" s="60"/>
      <c r="RVA43" s="60"/>
      <c r="RVB43" s="60"/>
      <c r="RVC43" s="60"/>
      <c r="RVD43" s="60"/>
      <c r="RVE43" s="60"/>
      <c r="RVF43" s="60"/>
      <c r="RVG43" s="60"/>
      <c r="RVH43" s="60"/>
      <c r="RVI43" s="60"/>
      <c r="RVJ43" s="60"/>
      <c r="RVK43" s="60"/>
      <c r="RVL43" s="60"/>
      <c r="RVM43" s="60"/>
      <c r="RVN43" s="60"/>
      <c r="RVO43" s="60"/>
      <c r="RVP43" s="60"/>
      <c r="RVQ43" s="60"/>
      <c r="RVR43" s="60"/>
      <c r="RVS43" s="60"/>
      <c r="RVT43" s="60"/>
      <c r="RVU43" s="60"/>
      <c r="RVV43" s="60"/>
      <c r="RVW43" s="60"/>
      <c r="RVX43" s="60"/>
      <c r="RVY43" s="60"/>
      <c r="RVZ43" s="60"/>
      <c r="RWA43" s="60"/>
      <c r="RWB43" s="60"/>
      <c r="RWC43" s="60"/>
      <c r="RWD43" s="60"/>
      <c r="RWE43" s="60"/>
      <c r="RWF43" s="60"/>
      <c r="RWG43" s="60"/>
      <c r="RWH43" s="60"/>
      <c r="RWI43" s="60"/>
      <c r="RWJ43" s="60"/>
      <c r="RWK43" s="60"/>
      <c r="RWL43" s="60"/>
      <c r="RWM43" s="60"/>
      <c r="RWN43" s="60"/>
      <c r="RWO43" s="60"/>
      <c r="RWP43" s="60"/>
      <c r="RWQ43" s="60"/>
      <c r="RWR43" s="60"/>
      <c r="RWS43" s="60"/>
      <c r="RWT43" s="60"/>
      <c r="RWU43" s="60"/>
      <c r="RWV43" s="60"/>
      <c r="RWW43" s="60"/>
      <c r="RWX43" s="60"/>
      <c r="RWY43" s="60"/>
      <c r="RWZ43" s="60"/>
      <c r="RXA43" s="60"/>
      <c r="RXB43" s="60"/>
      <c r="RXC43" s="60"/>
      <c r="RXD43" s="60"/>
      <c r="RXE43" s="60"/>
      <c r="RXF43" s="60"/>
      <c r="RXG43" s="60"/>
      <c r="RXH43" s="60"/>
      <c r="RXI43" s="60"/>
      <c r="RXJ43" s="60"/>
      <c r="RXK43" s="60"/>
      <c r="RXL43" s="60"/>
      <c r="RXM43" s="60"/>
      <c r="RXN43" s="60"/>
      <c r="RXO43" s="60"/>
      <c r="RXP43" s="60"/>
      <c r="RXQ43" s="60"/>
      <c r="RXR43" s="60"/>
      <c r="RXS43" s="60"/>
      <c r="RXT43" s="60"/>
      <c r="RXU43" s="60"/>
      <c r="RXV43" s="60"/>
      <c r="RXW43" s="60"/>
      <c r="RXX43" s="60"/>
      <c r="RXY43" s="60"/>
      <c r="RXZ43" s="60"/>
      <c r="RYA43" s="60"/>
      <c r="RYB43" s="60"/>
      <c r="RYC43" s="60"/>
      <c r="RYD43" s="60"/>
      <c r="RYE43" s="60"/>
      <c r="RYF43" s="60"/>
      <c r="RYG43" s="60"/>
      <c r="RYH43" s="60"/>
      <c r="RYI43" s="60"/>
      <c r="RYJ43" s="60"/>
      <c r="RYK43" s="60"/>
      <c r="RYL43" s="60"/>
      <c r="RYM43" s="60"/>
      <c r="RYN43" s="60"/>
      <c r="RYO43" s="60"/>
      <c r="RYP43" s="60"/>
      <c r="RYQ43" s="60"/>
      <c r="RYR43" s="60"/>
      <c r="RYS43" s="60"/>
      <c r="RYT43" s="60"/>
      <c r="RYU43" s="60"/>
      <c r="RYV43" s="60"/>
      <c r="RYW43" s="60"/>
      <c r="RYX43" s="60"/>
      <c r="RYY43" s="60"/>
      <c r="RYZ43" s="60"/>
      <c r="RZA43" s="60"/>
      <c r="RZB43" s="60"/>
      <c r="RZC43" s="60"/>
      <c r="RZD43" s="60"/>
      <c r="RZE43" s="60"/>
      <c r="RZF43" s="60"/>
      <c r="RZG43" s="60"/>
      <c r="RZH43" s="60"/>
      <c r="RZI43" s="60"/>
      <c r="RZJ43" s="60"/>
      <c r="RZK43" s="60"/>
      <c r="RZL43" s="60"/>
      <c r="RZM43" s="60"/>
      <c r="RZN43" s="60"/>
      <c r="RZO43" s="60"/>
      <c r="RZP43" s="60"/>
      <c r="RZQ43" s="60"/>
      <c r="RZR43" s="60"/>
      <c r="RZS43" s="60"/>
      <c r="RZT43" s="60"/>
      <c r="RZU43" s="60"/>
      <c r="RZV43" s="60"/>
      <c r="RZW43" s="60"/>
      <c r="RZX43" s="60"/>
      <c r="RZY43" s="60"/>
      <c r="RZZ43" s="60"/>
      <c r="SAA43" s="60"/>
      <c r="SAB43" s="60"/>
      <c r="SAC43" s="60"/>
      <c r="SAD43" s="60"/>
      <c r="SAE43" s="60"/>
      <c r="SAF43" s="60"/>
      <c r="SAG43" s="60"/>
      <c r="SAH43" s="60"/>
      <c r="SAI43" s="60"/>
      <c r="SAJ43" s="60"/>
      <c r="SAK43" s="60"/>
      <c r="SAL43" s="60"/>
      <c r="SAM43" s="60"/>
      <c r="SAN43" s="60"/>
      <c r="SAO43" s="60"/>
      <c r="SAP43" s="60"/>
      <c r="SAQ43" s="60"/>
      <c r="SAR43" s="60"/>
      <c r="SAS43" s="60"/>
      <c r="SAT43" s="60"/>
      <c r="SAU43" s="60"/>
      <c r="SAV43" s="60"/>
      <c r="SAW43" s="60"/>
      <c r="SAX43" s="60"/>
      <c r="SAY43" s="60"/>
      <c r="SAZ43" s="60"/>
      <c r="SBA43" s="60"/>
      <c r="SBB43" s="60"/>
      <c r="SBC43" s="60"/>
      <c r="SBD43" s="60"/>
      <c r="SBE43" s="60"/>
      <c r="SBF43" s="60"/>
      <c r="SBG43" s="60"/>
      <c r="SBH43" s="60"/>
      <c r="SBI43" s="60"/>
      <c r="SBJ43" s="60"/>
      <c r="SBK43" s="60"/>
      <c r="SBL43" s="60"/>
      <c r="SBM43" s="60"/>
      <c r="SBN43" s="60"/>
      <c r="SBO43" s="60"/>
      <c r="SBP43" s="60"/>
      <c r="SBQ43" s="60"/>
      <c r="SBR43" s="60"/>
      <c r="SBS43" s="60"/>
      <c r="SBT43" s="60"/>
      <c r="SBU43" s="60"/>
      <c r="SBV43" s="60"/>
      <c r="SBW43" s="60"/>
      <c r="SBX43" s="60"/>
      <c r="SBY43" s="60"/>
      <c r="SBZ43" s="60"/>
      <c r="SCA43" s="60"/>
      <c r="SCB43" s="60"/>
      <c r="SCC43" s="60"/>
      <c r="SCD43" s="60"/>
      <c r="SCE43" s="60"/>
      <c r="SCF43" s="60"/>
      <c r="SCG43" s="60"/>
      <c r="SCH43" s="60"/>
      <c r="SCI43" s="60"/>
      <c r="SCJ43" s="60"/>
      <c r="SCK43" s="60"/>
      <c r="SCL43" s="60"/>
      <c r="SCM43" s="60"/>
      <c r="SCN43" s="60"/>
      <c r="SCO43" s="60"/>
      <c r="SCP43" s="60"/>
      <c r="SCQ43" s="60"/>
      <c r="SCR43" s="60"/>
      <c r="SCS43" s="60"/>
      <c r="SCT43" s="60"/>
      <c r="SCU43" s="60"/>
      <c r="SCV43" s="60"/>
      <c r="SCW43" s="60"/>
      <c r="SCX43" s="60"/>
      <c r="SCY43" s="60"/>
      <c r="SCZ43" s="60"/>
      <c r="SDA43" s="60"/>
      <c r="SDB43" s="60"/>
      <c r="SDC43" s="60"/>
      <c r="SDD43" s="60"/>
      <c r="SDE43" s="60"/>
      <c r="SDF43" s="60"/>
      <c r="SDG43" s="60"/>
      <c r="SDH43" s="60"/>
      <c r="SDI43" s="60"/>
      <c r="SDJ43" s="60"/>
      <c r="SDK43" s="60"/>
      <c r="SDL43" s="60"/>
      <c r="SDM43" s="60"/>
      <c r="SDN43" s="60"/>
      <c r="SDO43" s="60"/>
      <c r="SDP43" s="60"/>
      <c r="SDQ43" s="60"/>
      <c r="SDR43" s="60"/>
      <c r="SDS43" s="60"/>
      <c r="SDT43" s="60"/>
      <c r="SDU43" s="60"/>
      <c r="SDV43" s="60"/>
      <c r="SDW43" s="60"/>
      <c r="SDX43" s="60"/>
      <c r="SDY43" s="60"/>
      <c r="SDZ43" s="60"/>
      <c r="SEA43" s="60"/>
      <c r="SEB43" s="60"/>
      <c r="SEC43" s="60"/>
      <c r="SED43" s="60"/>
      <c r="SEE43" s="60"/>
      <c r="SEF43" s="60"/>
      <c r="SEG43" s="60"/>
      <c r="SEH43" s="60"/>
      <c r="SEI43" s="60"/>
      <c r="SEJ43" s="60"/>
      <c r="SEK43" s="60"/>
      <c r="SEL43" s="60"/>
      <c r="SEM43" s="60"/>
      <c r="SEN43" s="60"/>
      <c r="SEO43" s="60"/>
      <c r="SEP43" s="60"/>
      <c r="SEQ43" s="60"/>
      <c r="SER43" s="60"/>
      <c r="SES43" s="60"/>
      <c r="SET43" s="60"/>
      <c r="SEU43" s="60"/>
      <c r="SEV43" s="60"/>
      <c r="SEW43" s="60"/>
      <c r="SEX43" s="60"/>
      <c r="SEY43" s="60"/>
      <c r="SEZ43" s="60"/>
      <c r="SFA43" s="60"/>
      <c r="SFB43" s="60"/>
      <c r="SFC43" s="60"/>
      <c r="SFD43" s="60"/>
      <c r="SFE43" s="60"/>
      <c r="SFF43" s="60"/>
      <c r="SFG43" s="60"/>
      <c r="SFH43" s="60"/>
      <c r="SFI43" s="60"/>
      <c r="SFJ43" s="60"/>
      <c r="SFK43" s="60"/>
      <c r="SFL43" s="60"/>
      <c r="SFM43" s="60"/>
      <c r="SFN43" s="60"/>
      <c r="SFO43" s="60"/>
      <c r="SFP43" s="60"/>
      <c r="SFQ43" s="60"/>
      <c r="SFR43" s="60"/>
      <c r="SFS43" s="60"/>
      <c r="SFT43" s="60"/>
      <c r="SFU43" s="60"/>
      <c r="SFV43" s="60"/>
      <c r="SFW43" s="60"/>
      <c r="SFX43" s="60"/>
      <c r="SFY43" s="60"/>
      <c r="SFZ43" s="60"/>
      <c r="SGA43" s="60"/>
      <c r="SGB43" s="60"/>
      <c r="SGC43" s="60"/>
      <c r="SGD43" s="60"/>
      <c r="SGE43" s="60"/>
      <c r="SGF43" s="60"/>
      <c r="SGG43" s="60"/>
      <c r="SGH43" s="60"/>
      <c r="SGI43" s="60"/>
      <c r="SGJ43" s="60"/>
      <c r="SGK43" s="60"/>
      <c r="SGL43" s="60"/>
      <c r="SGM43" s="60"/>
      <c r="SGN43" s="60"/>
      <c r="SGO43" s="60"/>
      <c r="SGP43" s="60"/>
      <c r="SGQ43" s="60"/>
      <c r="SGR43" s="60"/>
      <c r="SGS43" s="60"/>
      <c r="SGT43" s="60"/>
      <c r="SGU43" s="60"/>
      <c r="SGV43" s="60"/>
      <c r="SGW43" s="60"/>
      <c r="SGX43" s="60"/>
      <c r="SGY43" s="60"/>
      <c r="SGZ43" s="60"/>
      <c r="SHA43" s="60"/>
      <c r="SHB43" s="60"/>
      <c r="SHC43" s="60"/>
      <c r="SHD43" s="60"/>
      <c r="SHE43" s="60"/>
      <c r="SHF43" s="60"/>
      <c r="SHG43" s="60"/>
      <c r="SHH43" s="60"/>
      <c r="SHI43" s="60"/>
      <c r="SHJ43" s="60"/>
      <c r="SHK43" s="60"/>
      <c r="SHL43" s="60"/>
      <c r="SHM43" s="60"/>
      <c r="SHN43" s="60"/>
      <c r="SHO43" s="60"/>
      <c r="SHP43" s="60"/>
      <c r="SHQ43" s="60"/>
      <c r="SHR43" s="60"/>
      <c r="SHS43" s="60"/>
      <c r="SHT43" s="60"/>
      <c r="SHU43" s="60"/>
      <c r="SHV43" s="60"/>
      <c r="SHW43" s="60"/>
      <c r="SHX43" s="60"/>
      <c r="SHY43" s="60"/>
      <c r="SHZ43" s="60"/>
      <c r="SIA43" s="60"/>
      <c r="SIB43" s="60"/>
      <c r="SIC43" s="60"/>
      <c r="SID43" s="60"/>
      <c r="SIE43" s="60"/>
      <c r="SIF43" s="60"/>
      <c r="SIG43" s="60"/>
      <c r="SIH43" s="60"/>
      <c r="SII43" s="60"/>
      <c r="SIJ43" s="60"/>
      <c r="SIK43" s="60"/>
      <c r="SIL43" s="60"/>
      <c r="SIM43" s="60"/>
      <c r="SIN43" s="60"/>
      <c r="SIO43" s="60"/>
      <c r="SIP43" s="60"/>
      <c r="SIQ43" s="60"/>
      <c r="SIR43" s="60"/>
      <c r="SIS43" s="60"/>
      <c r="SIT43" s="60"/>
      <c r="SIU43" s="60"/>
      <c r="SIV43" s="60"/>
      <c r="SIW43" s="60"/>
      <c r="SIX43" s="60"/>
      <c r="SIY43" s="60"/>
      <c r="SIZ43" s="60"/>
      <c r="SJA43" s="60"/>
      <c r="SJB43" s="60"/>
      <c r="SJC43" s="60"/>
      <c r="SJD43" s="60"/>
      <c r="SJE43" s="60"/>
      <c r="SJF43" s="60"/>
      <c r="SJG43" s="60"/>
      <c r="SJH43" s="60"/>
      <c r="SJI43" s="60"/>
      <c r="SJJ43" s="60"/>
      <c r="SJK43" s="60"/>
      <c r="SJL43" s="60"/>
      <c r="SJM43" s="60"/>
      <c r="SJN43" s="60"/>
      <c r="SJO43" s="60"/>
      <c r="SJP43" s="60"/>
      <c r="SJQ43" s="60"/>
      <c r="SJR43" s="60"/>
      <c r="SJS43" s="60"/>
      <c r="SJT43" s="60"/>
      <c r="SJU43" s="60"/>
      <c r="SJV43" s="60"/>
      <c r="SJW43" s="60"/>
      <c r="SJX43" s="60"/>
      <c r="SJY43" s="60"/>
      <c r="SJZ43" s="60"/>
      <c r="SKA43" s="60"/>
      <c r="SKB43" s="60"/>
      <c r="SKC43" s="60"/>
      <c r="SKD43" s="60"/>
      <c r="SKE43" s="60"/>
      <c r="SKF43" s="60"/>
      <c r="SKG43" s="60"/>
      <c r="SKH43" s="60"/>
      <c r="SKI43" s="60"/>
      <c r="SKJ43" s="60"/>
      <c r="SKK43" s="60"/>
      <c r="SKL43" s="60"/>
      <c r="SKM43" s="60"/>
      <c r="SKN43" s="60"/>
      <c r="SKO43" s="60"/>
      <c r="SKP43" s="60"/>
      <c r="SKQ43" s="60"/>
      <c r="SKR43" s="60"/>
      <c r="SKS43" s="60"/>
      <c r="SKT43" s="60"/>
      <c r="SKU43" s="60"/>
      <c r="SKV43" s="60"/>
      <c r="SKW43" s="60"/>
      <c r="SKX43" s="60"/>
      <c r="SKY43" s="60"/>
      <c r="SKZ43" s="60"/>
      <c r="SLA43" s="60"/>
      <c r="SLB43" s="60"/>
      <c r="SLC43" s="60"/>
      <c r="SLD43" s="60"/>
      <c r="SLE43" s="60"/>
      <c r="SLF43" s="60"/>
      <c r="SLG43" s="60"/>
      <c r="SLH43" s="60"/>
      <c r="SLI43" s="60"/>
      <c r="SLJ43" s="60"/>
      <c r="SLK43" s="60"/>
      <c r="SLL43" s="60"/>
      <c r="SLM43" s="60"/>
      <c r="SLN43" s="60"/>
      <c r="SLO43" s="60"/>
      <c r="SLP43" s="60"/>
      <c r="SLQ43" s="60"/>
      <c r="SLR43" s="60"/>
      <c r="SLS43" s="60"/>
      <c r="SLT43" s="60"/>
      <c r="SLU43" s="60"/>
      <c r="SLV43" s="60"/>
      <c r="SLW43" s="60"/>
      <c r="SLX43" s="60"/>
      <c r="SLY43" s="60"/>
      <c r="SLZ43" s="60"/>
      <c r="SMA43" s="60"/>
      <c r="SMB43" s="60"/>
      <c r="SMC43" s="60"/>
      <c r="SMD43" s="60"/>
      <c r="SME43" s="60"/>
      <c r="SMF43" s="60"/>
      <c r="SMG43" s="60"/>
      <c r="SMH43" s="60"/>
      <c r="SMI43" s="60"/>
      <c r="SMJ43" s="60"/>
      <c r="SMK43" s="60"/>
      <c r="SML43" s="60"/>
      <c r="SMM43" s="60"/>
      <c r="SMN43" s="60"/>
      <c r="SMO43" s="60"/>
      <c r="SMP43" s="60"/>
      <c r="SMQ43" s="60"/>
      <c r="SMR43" s="60"/>
      <c r="SMS43" s="60"/>
      <c r="SMT43" s="60"/>
      <c r="SMU43" s="60"/>
      <c r="SMV43" s="60"/>
      <c r="SMW43" s="60"/>
      <c r="SMX43" s="60"/>
      <c r="SMY43" s="60"/>
      <c r="SMZ43" s="60"/>
      <c r="SNA43" s="60"/>
      <c r="SNB43" s="60"/>
      <c r="SNC43" s="60"/>
      <c r="SND43" s="60"/>
      <c r="SNE43" s="60"/>
      <c r="SNF43" s="60"/>
      <c r="SNG43" s="60"/>
      <c r="SNH43" s="60"/>
      <c r="SNI43" s="60"/>
      <c r="SNJ43" s="60"/>
      <c r="SNK43" s="60"/>
      <c r="SNL43" s="60"/>
      <c r="SNM43" s="60"/>
      <c r="SNN43" s="60"/>
      <c r="SNO43" s="60"/>
      <c r="SNP43" s="60"/>
      <c r="SNQ43" s="60"/>
      <c r="SNR43" s="60"/>
      <c r="SNS43" s="60"/>
      <c r="SNT43" s="60"/>
      <c r="SNU43" s="60"/>
      <c r="SNV43" s="60"/>
      <c r="SNW43" s="60"/>
      <c r="SNX43" s="60"/>
      <c r="SNY43" s="60"/>
      <c r="SNZ43" s="60"/>
      <c r="SOA43" s="60"/>
      <c r="SOB43" s="60"/>
      <c r="SOC43" s="60"/>
      <c r="SOD43" s="60"/>
      <c r="SOE43" s="60"/>
      <c r="SOF43" s="60"/>
      <c r="SOG43" s="60"/>
      <c r="SOH43" s="60"/>
      <c r="SOI43" s="60"/>
      <c r="SOJ43" s="60"/>
      <c r="SOK43" s="60"/>
      <c r="SOL43" s="60"/>
      <c r="SOM43" s="60"/>
      <c r="SON43" s="60"/>
      <c r="SOO43" s="60"/>
      <c r="SOP43" s="60"/>
      <c r="SOQ43" s="60"/>
      <c r="SOR43" s="60"/>
      <c r="SOS43" s="60"/>
      <c r="SOT43" s="60"/>
      <c r="SOU43" s="60"/>
      <c r="SOV43" s="60"/>
      <c r="SOW43" s="60"/>
      <c r="SOX43" s="60"/>
      <c r="SOY43" s="60"/>
      <c r="SOZ43" s="60"/>
      <c r="SPA43" s="60"/>
      <c r="SPB43" s="60"/>
      <c r="SPC43" s="60"/>
      <c r="SPD43" s="60"/>
      <c r="SPE43" s="60"/>
      <c r="SPF43" s="60"/>
      <c r="SPG43" s="60"/>
      <c r="SPH43" s="60"/>
      <c r="SPI43" s="60"/>
      <c r="SPJ43" s="60"/>
      <c r="SPK43" s="60"/>
      <c r="SPL43" s="60"/>
      <c r="SPM43" s="60"/>
      <c r="SPN43" s="60"/>
      <c r="SPO43" s="60"/>
      <c r="SPP43" s="60"/>
      <c r="SPQ43" s="60"/>
      <c r="SPR43" s="60"/>
      <c r="SPS43" s="60"/>
      <c r="SPT43" s="60"/>
      <c r="SPU43" s="60"/>
      <c r="SPV43" s="60"/>
      <c r="SPW43" s="60"/>
      <c r="SPX43" s="60"/>
      <c r="SPY43" s="60"/>
      <c r="SPZ43" s="60"/>
      <c r="SQA43" s="60"/>
      <c r="SQB43" s="60"/>
      <c r="SQC43" s="60"/>
      <c r="SQD43" s="60"/>
      <c r="SQE43" s="60"/>
      <c r="SQF43" s="60"/>
      <c r="SQG43" s="60"/>
      <c r="SQH43" s="60"/>
      <c r="SQI43" s="60"/>
      <c r="SQJ43" s="60"/>
      <c r="SQK43" s="60"/>
      <c r="SQL43" s="60"/>
      <c r="SQM43" s="60"/>
      <c r="SQN43" s="60"/>
      <c r="SQO43" s="60"/>
      <c r="SQP43" s="60"/>
      <c r="SQQ43" s="60"/>
      <c r="SQR43" s="60"/>
      <c r="SQS43" s="60"/>
      <c r="SQT43" s="60"/>
      <c r="SQU43" s="60"/>
      <c r="SQV43" s="60"/>
      <c r="SQW43" s="60"/>
      <c r="SQX43" s="60"/>
      <c r="SQY43" s="60"/>
      <c r="SQZ43" s="60"/>
      <c r="SRA43" s="60"/>
      <c r="SRB43" s="60"/>
      <c r="SRC43" s="60"/>
      <c r="SRD43" s="60"/>
      <c r="SRE43" s="60"/>
      <c r="SRF43" s="60"/>
      <c r="SRG43" s="60"/>
      <c r="SRH43" s="60"/>
      <c r="SRI43" s="60"/>
      <c r="SRJ43" s="60"/>
      <c r="SRK43" s="60"/>
      <c r="SRL43" s="60"/>
      <c r="SRM43" s="60"/>
      <c r="SRN43" s="60"/>
      <c r="SRO43" s="60"/>
      <c r="SRP43" s="60"/>
      <c r="SRQ43" s="60"/>
      <c r="SRR43" s="60"/>
      <c r="SRS43" s="60"/>
      <c r="SRT43" s="60"/>
      <c r="SRU43" s="60"/>
      <c r="SRV43" s="60"/>
      <c r="SRW43" s="60"/>
      <c r="SRX43" s="60"/>
      <c r="SRY43" s="60"/>
      <c r="SRZ43" s="60"/>
      <c r="SSA43" s="60"/>
      <c r="SSB43" s="60"/>
      <c r="SSC43" s="60"/>
      <c r="SSD43" s="60"/>
      <c r="SSE43" s="60"/>
      <c r="SSF43" s="60"/>
      <c r="SSG43" s="60"/>
      <c r="SSH43" s="60"/>
      <c r="SSI43" s="60"/>
      <c r="SSJ43" s="60"/>
      <c r="SSK43" s="60"/>
      <c r="SSL43" s="60"/>
      <c r="SSM43" s="60"/>
      <c r="SSN43" s="60"/>
      <c r="SSO43" s="60"/>
      <c r="SSP43" s="60"/>
      <c r="SSQ43" s="60"/>
      <c r="SSR43" s="60"/>
      <c r="SSS43" s="60"/>
      <c r="SST43" s="60"/>
      <c r="SSU43" s="60"/>
      <c r="SSV43" s="60"/>
      <c r="SSW43" s="60"/>
      <c r="SSX43" s="60"/>
      <c r="SSY43" s="60"/>
      <c r="SSZ43" s="60"/>
      <c r="STA43" s="60"/>
      <c r="STB43" s="60"/>
      <c r="STC43" s="60"/>
      <c r="STD43" s="60"/>
      <c r="STE43" s="60"/>
      <c r="STF43" s="60"/>
      <c r="STG43" s="60"/>
      <c r="STH43" s="60"/>
      <c r="STI43" s="60"/>
      <c r="STJ43" s="60"/>
      <c r="STK43" s="60"/>
      <c r="STL43" s="60"/>
      <c r="STM43" s="60"/>
      <c r="STN43" s="60"/>
      <c r="STO43" s="60"/>
      <c r="STP43" s="60"/>
      <c r="STQ43" s="60"/>
      <c r="STR43" s="60"/>
      <c r="STS43" s="60"/>
      <c r="STT43" s="60"/>
      <c r="STU43" s="60"/>
      <c r="STV43" s="60"/>
      <c r="STW43" s="60"/>
      <c r="STX43" s="60"/>
      <c r="STY43" s="60"/>
      <c r="STZ43" s="60"/>
      <c r="SUA43" s="60"/>
      <c r="SUB43" s="60"/>
      <c r="SUC43" s="60"/>
      <c r="SUD43" s="60"/>
      <c r="SUE43" s="60"/>
      <c r="SUF43" s="60"/>
      <c r="SUG43" s="60"/>
      <c r="SUH43" s="60"/>
      <c r="SUI43" s="60"/>
      <c r="SUJ43" s="60"/>
      <c r="SUK43" s="60"/>
      <c r="SUL43" s="60"/>
      <c r="SUM43" s="60"/>
      <c r="SUN43" s="60"/>
      <c r="SUO43" s="60"/>
      <c r="SUP43" s="60"/>
      <c r="SUQ43" s="60"/>
      <c r="SUR43" s="60"/>
      <c r="SUS43" s="60"/>
      <c r="SUT43" s="60"/>
      <c r="SUU43" s="60"/>
      <c r="SUV43" s="60"/>
      <c r="SUW43" s="60"/>
      <c r="SUX43" s="60"/>
      <c r="SUY43" s="60"/>
      <c r="SUZ43" s="60"/>
      <c r="SVA43" s="60"/>
      <c r="SVB43" s="60"/>
      <c r="SVC43" s="60"/>
      <c r="SVD43" s="60"/>
      <c r="SVE43" s="60"/>
      <c r="SVF43" s="60"/>
      <c r="SVG43" s="60"/>
      <c r="SVH43" s="60"/>
      <c r="SVI43" s="60"/>
      <c r="SVJ43" s="60"/>
      <c r="SVK43" s="60"/>
      <c r="SVL43" s="60"/>
      <c r="SVM43" s="60"/>
      <c r="SVN43" s="60"/>
      <c r="SVO43" s="60"/>
      <c r="SVP43" s="60"/>
      <c r="SVQ43" s="60"/>
      <c r="SVR43" s="60"/>
      <c r="SVS43" s="60"/>
      <c r="SVT43" s="60"/>
      <c r="SVU43" s="60"/>
      <c r="SVV43" s="60"/>
      <c r="SVW43" s="60"/>
      <c r="SVX43" s="60"/>
      <c r="SVY43" s="60"/>
      <c r="SVZ43" s="60"/>
      <c r="SWA43" s="60"/>
      <c r="SWB43" s="60"/>
      <c r="SWC43" s="60"/>
      <c r="SWD43" s="60"/>
      <c r="SWE43" s="60"/>
      <c r="SWF43" s="60"/>
      <c r="SWG43" s="60"/>
      <c r="SWH43" s="60"/>
      <c r="SWI43" s="60"/>
      <c r="SWJ43" s="60"/>
      <c r="SWK43" s="60"/>
      <c r="SWL43" s="60"/>
      <c r="SWM43" s="60"/>
      <c r="SWN43" s="60"/>
      <c r="SWO43" s="60"/>
      <c r="SWP43" s="60"/>
      <c r="SWQ43" s="60"/>
      <c r="SWR43" s="60"/>
      <c r="SWS43" s="60"/>
      <c r="SWT43" s="60"/>
      <c r="SWU43" s="60"/>
      <c r="SWV43" s="60"/>
      <c r="SWW43" s="60"/>
      <c r="SWX43" s="60"/>
      <c r="SWY43" s="60"/>
      <c r="SWZ43" s="60"/>
      <c r="SXA43" s="60"/>
      <c r="SXB43" s="60"/>
      <c r="SXC43" s="60"/>
      <c r="SXD43" s="60"/>
      <c r="SXE43" s="60"/>
      <c r="SXF43" s="60"/>
      <c r="SXG43" s="60"/>
      <c r="SXH43" s="60"/>
      <c r="SXI43" s="60"/>
      <c r="SXJ43" s="60"/>
      <c r="SXK43" s="60"/>
      <c r="SXL43" s="60"/>
      <c r="SXM43" s="60"/>
      <c r="SXN43" s="60"/>
      <c r="SXO43" s="60"/>
      <c r="SXP43" s="60"/>
      <c r="SXQ43" s="60"/>
      <c r="SXR43" s="60"/>
      <c r="SXS43" s="60"/>
      <c r="SXT43" s="60"/>
      <c r="SXU43" s="60"/>
      <c r="SXV43" s="60"/>
      <c r="SXW43" s="60"/>
      <c r="SXX43" s="60"/>
      <c r="SXY43" s="60"/>
      <c r="SXZ43" s="60"/>
      <c r="SYA43" s="60"/>
      <c r="SYB43" s="60"/>
      <c r="SYC43" s="60"/>
      <c r="SYD43" s="60"/>
      <c r="SYE43" s="60"/>
      <c r="SYF43" s="60"/>
      <c r="SYG43" s="60"/>
      <c r="SYH43" s="60"/>
      <c r="SYI43" s="60"/>
      <c r="SYJ43" s="60"/>
      <c r="SYK43" s="60"/>
      <c r="SYL43" s="60"/>
      <c r="SYM43" s="60"/>
      <c r="SYN43" s="60"/>
      <c r="SYO43" s="60"/>
      <c r="SYP43" s="60"/>
      <c r="SYQ43" s="60"/>
      <c r="SYR43" s="60"/>
      <c r="SYS43" s="60"/>
      <c r="SYT43" s="60"/>
      <c r="SYU43" s="60"/>
      <c r="SYV43" s="60"/>
      <c r="SYW43" s="60"/>
      <c r="SYX43" s="60"/>
      <c r="SYY43" s="60"/>
      <c r="SYZ43" s="60"/>
      <c r="SZA43" s="60"/>
      <c r="SZB43" s="60"/>
      <c r="SZC43" s="60"/>
      <c r="SZD43" s="60"/>
      <c r="SZE43" s="60"/>
      <c r="SZF43" s="60"/>
      <c r="SZG43" s="60"/>
      <c r="SZH43" s="60"/>
      <c r="SZI43" s="60"/>
      <c r="SZJ43" s="60"/>
      <c r="SZK43" s="60"/>
      <c r="SZL43" s="60"/>
      <c r="SZM43" s="60"/>
      <c r="SZN43" s="60"/>
      <c r="SZO43" s="60"/>
      <c r="SZP43" s="60"/>
      <c r="SZQ43" s="60"/>
      <c r="SZR43" s="60"/>
      <c r="SZS43" s="60"/>
      <c r="SZT43" s="60"/>
      <c r="SZU43" s="60"/>
      <c r="SZV43" s="60"/>
      <c r="SZW43" s="60"/>
      <c r="SZX43" s="60"/>
      <c r="SZY43" s="60"/>
      <c r="SZZ43" s="60"/>
      <c r="TAA43" s="60"/>
      <c r="TAB43" s="60"/>
      <c r="TAC43" s="60"/>
      <c r="TAD43" s="60"/>
      <c r="TAE43" s="60"/>
      <c r="TAF43" s="60"/>
      <c r="TAG43" s="60"/>
      <c r="TAH43" s="60"/>
      <c r="TAI43" s="60"/>
      <c r="TAJ43" s="60"/>
      <c r="TAK43" s="60"/>
      <c r="TAL43" s="60"/>
      <c r="TAM43" s="60"/>
      <c r="TAN43" s="60"/>
      <c r="TAO43" s="60"/>
      <c r="TAP43" s="60"/>
      <c r="TAQ43" s="60"/>
      <c r="TAR43" s="60"/>
      <c r="TAS43" s="60"/>
      <c r="TAT43" s="60"/>
      <c r="TAU43" s="60"/>
      <c r="TAV43" s="60"/>
      <c r="TAW43" s="60"/>
      <c r="TAX43" s="60"/>
      <c r="TAY43" s="60"/>
      <c r="TAZ43" s="60"/>
      <c r="TBA43" s="60"/>
      <c r="TBB43" s="60"/>
      <c r="TBC43" s="60"/>
      <c r="TBD43" s="60"/>
      <c r="TBE43" s="60"/>
      <c r="TBF43" s="60"/>
      <c r="TBG43" s="60"/>
      <c r="TBH43" s="60"/>
      <c r="TBI43" s="60"/>
      <c r="TBJ43" s="60"/>
      <c r="TBK43" s="60"/>
      <c r="TBL43" s="60"/>
      <c r="TBM43" s="60"/>
      <c r="TBN43" s="60"/>
      <c r="TBO43" s="60"/>
      <c r="TBP43" s="60"/>
      <c r="TBQ43" s="60"/>
      <c r="TBR43" s="60"/>
      <c r="TBS43" s="60"/>
      <c r="TBT43" s="60"/>
      <c r="TBU43" s="60"/>
      <c r="TBV43" s="60"/>
      <c r="TBW43" s="60"/>
      <c r="TBX43" s="60"/>
      <c r="TBY43" s="60"/>
      <c r="TBZ43" s="60"/>
      <c r="TCA43" s="60"/>
      <c r="TCB43" s="60"/>
      <c r="TCC43" s="60"/>
      <c r="TCD43" s="60"/>
      <c r="TCE43" s="60"/>
      <c r="TCF43" s="60"/>
      <c r="TCG43" s="60"/>
      <c r="TCH43" s="60"/>
      <c r="TCI43" s="60"/>
      <c r="TCJ43" s="60"/>
      <c r="TCK43" s="60"/>
      <c r="TCL43" s="60"/>
      <c r="TCM43" s="60"/>
      <c r="TCN43" s="60"/>
      <c r="TCO43" s="60"/>
      <c r="TCP43" s="60"/>
      <c r="TCQ43" s="60"/>
      <c r="TCR43" s="60"/>
      <c r="TCS43" s="60"/>
      <c r="TCT43" s="60"/>
      <c r="TCU43" s="60"/>
      <c r="TCV43" s="60"/>
      <c r="TCW43" s="60"/>
      <c r="TCX43" s="60"/>
      <c r="TCY43" s="60"/>
      <c r="TCZ43" s="60"/>
      <c r="TDA43" s="60"/>
      <c r="TDB43" s="60"/>
      <c r="TDC43" s="60"/>
      <c r="TDD43" s="60"/>
      <c r="TDE43" s="60"/>
      <c r="TDF43" s="60"/>
      <c r="TDG43" s="60"/>
      <c r="TDH43" s="60"/>
      <c r="TDI43" s="60"/>
      <c r="TDJ43" s="60"/>
      <c r="TDK43" s="60"/>
      <c r="TDL43" s="60"/>
      <c r="TDM43" s="60"/>
      <c r="TDN43" s="60"/>
      <c r="TDO43" s="60"/>
      <c r="TDP43" s="60"/>
      <c r="TDQ43" s="60"/>
      <c r="TDR43" s="60"/>
      <c r="TDS43" s="60"/>
      <c r="TDT43" s="60"/>
      <c r="TDU43" s="60"/>
      <c r="TDV43" s="60"/>
      <c r="TDW43" s="60"/>
      <c r="TDX43" s="60"/>
      <c r="TDY43" s="60"/>
      <c r="TDZ43" s="60"/>
      <c r="TEA43" s="60"/>
      <c r="TEB43" s="60"/>
      <c r="TEC43" s="60"/>
      <c r="TED43" s="60"/>
      <c r="TEE43" s="60"/>
      <c r="TEF43" s="60"/>
      <c r="TEG43" s="60"/>
      <c r="TEH43" s="60"/>
      <c r="TEI43" s="60"/>
      <c r="TEJ43" s="60"/>
      <c r="TEK43" s="60"/>
      <c r="TEL43" s="60"/>
      <c r="TEM43" s="60"/>
      <c r="TEN43" s="60"/>
      <c r="TEO43" s="60"/>
      <c r="TEP43" s="60"/>
      <c r="TEQ43" s="60"/>
      <c r="TER43" s="60"/>
      <c r="TES43" s="60"/>
      <c r="TET43" s="60"/>
      <c r="TEU43" s="60"/>
      <c r="TEV43" s="60"/>
      <c r="TEW43" s="60"/>
      <c r="TEX43" s="60"/>
      <c r="TEY43" s="60"/>
      <c r="TEZ43" s="60"/>
      <c r="TFA43" s="60"/>
      <c r="TFB43" s="60"/>
      <c r="TFC43" s="60"/>
      <c r="TFD43" s="60"/>
      <c r="TFE43" s="60"/>
      <c r="TFF43" s="60"/>
      <c r="TFG43" s="60"/>
      <c r="TFH43" s="60"/>
      <c r="TFI43" s="60"/>
      <c r="TFJ43" s="60"/>
      <c r="TFK43" s="60"/>
      <c r="TFL43" s="60"/>
      <c r="TFM43" s="60"/>
      <c r="TFN43" s="60"/>
      <c r="TFO43" s="60"/>
      <c r="TFP43" s="60"/>
      <c r="TFQ43" s="60"/>
      <c r="TFR43" s="60"/>
      <c r="TFS43" s="60"/>
      <c r="TFT43" s="60"/>
      <c r="TFU43" s="60"/>
      <c r="TFV43" s="60"/>
      <c r="TFW43" s="60"/>
      <c r="TFX43" s="60"/>
      <c r="TFY43" s="60"/>
      <c r="TFZ43" s="60"/>
      <c r="TGA43" s="60"/>
      <c r="TGB43" s="60"/>
      <c r="TGC43" s="60"/>
      <c r="TGD43" s="60"/>
      <c r="TGE43" s="60"/>
      <c r="TGF43" s="60"/>
      <c r="TGG43" s="60"/>
      <c r="TGH43" s="60"/>
      <c r="TGI43" s="60"/>
      <c r="TGJ43" s="60"/>
      <c r="TGK43" s="60"/>
      <c r="TGL43" s="60"/>
      <c r="TGM43" s="60"/>
      <c r="TGN43" s="60"/>
      <c r="TGO43" s="60"/>
      <c r="TGP43" s="60"/>
      <c r="TGQ43" s="60"/>
      <c r="TGR43" s="60"/>
      <c r="TGS43" s="60"/>
      <c r="TGT43" s="60"/>
      <c r="TGU43" s="60"/>
      <c r="TGV43" s="60"/>
      <c r="TGW43" s="60"/>
      <c r="TGX43" s="60"/>
      <c r="TGY43" s="60"/>
      <c r="TGZ43" s="60"/>
      <c r="THA43" s="60"/>
      <c r="THB43" s="60"/>
      <c r="THC43" s="60"/>
      <c r="THD43" s="60"/>
      <c r="THE43" s="60"/>
      <c r="THF43" s="60"/>
      <c r="THG43" s="60"/>
      <c r="THH43" s="60"/>
      <c r="THI43" s="60"/>
      <c r="THJ43" s="60"/>
      <c r="THK43" s="60"/>
      <c r="THL43" s="60"/>
      <c r="THM43" s="60"/>
      <c r="THN43" s="60"/>
      <c r="THO43" s="60"/>
      <c r="THP43" s="60"/>
      <c r="THQ43" s="60"/>
      <c r="THR43" s="60"/>
      <c r="THS43" s="60"/>
      <c r="THT43" s="60"/>
      <c r="THU43" s="60"/>
      <c r="THV43" s="60"/>
      <c r="THW43" s="60"/>
      <c r="THX43" s="60"/>
      <c r="THY43" s="60"/>
      <c r="THZ43" s="60"/>
      <c r="TIA43" s="60"/>
      <c r="TIB43" s="60"/>
      <c r="TIC43" s="60"/>
      <c r="TID43" s="60"/>
      <c r="TIE43" s="60"/>
      <c r="TIF43" s="60"/>
      <c r="TIG43" s="60"/>
      <c r="TIH43" s="60"/>
      <c r="TII43" s="60"/>
      <c r="TIJ43" s="60"/>
      <c r="TIK43" s="60"/>
      <c r="TIL43" s="60"/>
      <c r="TIM43" s="60"/>
      <c r="TIN43" s="60"/>
      <c r="TIO43" s="60"/>
      <c r="TIP43" s="60"/>
      <c r="TIQ43" s="60"/>
      <c r="TIR43" s="60"/>
      <c r="TIS43" s="60"/>
      <c r="TIT43" s="60"/>
      <c r="TIU43" s="60"/>
      <c r="TIV43" s="60"/>
      <c r="TIW43" s="60"/>
      <c r="TIX43" s="60"/>
      <c r="TIY43" s="60"/>
      <c r="TIZ43" s="60"/>
      <c r="TJA43" s="60"/>
      <c r="TJB43" s="60"/>
      <c r="TJC43" s="60"/>
      <c r="TJD43" s="60"/>
      <c r="TJE43" s="60"/>
      <c r="TJF43" s="60"/>
      <c r="TJG43" s="60"/>
      <c r="TJH43" s="60"/>
      <c r="TJI43" s="60"/>
      <c r="TJJ43" s="60"/>
      <c r="TJK43" s="60"/>
      <c r="TJL43" s="60"/>
      <c r="TJM43" s="60"/>
      <c r="TJN43" s="60"/>
      <c r="TJO43" s="60"/>
      <c r="TJP43" s="60"/>
      <c r="TJQ43" s="60"/>
      <c r="TJR43" s="60"/>
      <c r="TJS43" s="60"/>
      <c r="TJT43" s="60"/>
      <c r="TJU43" s="60"/>
      <c r="TJV43" s="60"/>
      <c r="TJW43" s="60"/>
      <c r="TJX43" s="60"/>
      <c r="TJY43" s="60"/>
      <c r="TJZ43" s="60"/>
      <c r="TKA43" s="60"/>
      <c r="TKB43" s="60"/>
      <c r="TKC43" s="60"/>
      <c r="TKD43" s="60"/>
      <c r="TKE43" s="60"/>
      <c r="TKF43" s="60"/>
      <c r="TKG43" s="60"/>
      <c r="TKH43" s="60"/>
      <c r="TKI43" s="60"/>
      <c r="TKJ43" s="60"/>
      <c r="TKK43" s="60"/>
      <c r="TKL43" s="60"/>
      <c r="TKM43" s="60"/>
      <c r="TKN43" s="60"/>
      <c r="TKO43" s="60"/>
      <c r="TKP43" s="60"/>
      <c r="TKQ43" s="60"/>
      <c r="TKR43" s="60"/>
      <c r="TKS43" s="60"/>
      <c r="TKT43" s="60"/>
      <c r="TKU43" s="60"/>
      <c r="TKV43" s="60"/>
      <c r="TKW43" s="60"/>
      <c r="TKX43" s="60"/>
      <c r="TKY43" s="60"/>
      <c r="TKZ43" s="60"/>
      <c r="TLA43" s="60"/>
      <c r="TLB43" s="60"/>
      <c r="TLC43" s="60"/>
      <c r="TLD43" s="60"/>
      <c r="TLE43" s="60"/>
      <c r="TLF43" s="60"/>
      <c r="TLG43" s="60"/>
      <c r="TLH43" s="60"/>
      <c r="TLI43" s="60"/>
      <c r="TLJ43" s="60"/>
      <c r="TLK43" s="60"/>
      <c r="TLL43" s="60"/>
      <c r="TLM43" s="60"/>
      <c r="TLN43" s="60"/>
      <c r="TLO43" s="60"/>
      <c r="TLP43" s="60"/>
      <c r="TLQ43" s="60"/>
      <c r="TLR43" s="60"/>
      <c r="TLS43" s="60"/>
      <c r="TLT43" s="60"/>
      <c r="TLU43" s="60"/>
      <c r="TLV43" s="60"/>
      <c r="TLW43" s="60"/>
      <c r="TLX43" s="60"/>
      <c r="TLY43" s="60"/>
      <c r="TLZ43" s="60"/>
      <c r="TMA43" s="60"/>
      <c r="TMB43" s="60"/>
      <c r="TMC43" s="60"/>
      <c r="TMD43" s="60"/>
      <c r="TME43" s="60"/>
      <c r="TMF43" s="60"/>
      <c r="TMG43" s="60"/>
      <c r="TMH43" s="60"/>
      <c r="TMI43" s="60"/>
      <c r="TMJ43" s="60"/>
      <c r="TMK43" s="60"/>
      <c r="TML43" s="60"/>
      <c r="TMM43" s="60"/>
      <c r="TMN43" s="60"/>
      <c r="TMO43" s="60"/>
      <c r="TMP43" s="60"/>
      <c r="TMQ43" s="60"/>
      <c r="TMR43" s="60"/>
      <c r="TMS43" s="60"/>
      <c r="TMT43" s="60"/>
      <c r="TMU43" s="60"/>
      <c r="TMV43" s="60"/>
      <c r="TMW43" s="60"/>
      <c r="TMX43" s="60"/>
      <c r="TMY43" s="60"/>
      <c r="TMZ43" s="60"/>
      <c r="TNA43" s="60"/>
      <c r="TNB43" s="60"/>
      <c r="TNC43" s="60"/>
      <c r="TND43" s="60"/>
      <c r="TNE43" s="60"/>
      <c r="TNF43" s="60"/>
      <c r="TNG43" s="60"/>
      <c r="TNH43" s="60"/>
      <c r="TNI43" s="60"/>
      <c r="TNJ43" s="60"/>
      <c r="TNK43" s="60"/>
      <c r="TNL43" s="60"/>
      <c r="TNM43" s="60"/>
      <c r="TNN43" s="60"/>
      <c r="TNO43" s="60"/>
      <c r="TNP43" s="60"/>
      <c r="TNQ43" s="60"/>
      <c r="TNR43" s="60"/>
      <c r="TNS43" s="60"/>
      <c r="TNT43" s="60"/>
      <c r="TNU43" s="60"/>
      <c r="TNV43" s="60"/>
      <c r="TNW43" s="60"/>
      <c r="TNX43" s="60"/>
      <c r="TNY43" s="60"/>
      <c r="TNZ43" s="60"/>
      <c r="TOA43" s="60"/>
      <c r="TOB43" s="60"/>
      <c r="TOC43" s="60"/>
      <c r="TOD43" s="60"/>
      <c r="TOE43" s="60"/>
      <c r="TOF43" s="60"/>
      <c r="TOG43" s="60"/>
      <c r="TOH43" s="60"/>
      <c r="TOI43" s="60"/>
      <c r="TOJ43" s="60"/>
      <c r="TOK43" s="60"/>
      <c r="TOL43" s="60"/>
      <c r="TOM43" s="60"/>
      <c r="TON43" s="60"/>
      <c r="TOO43" s="60"/>
      <c r="TOP43" s="60"/>
      <c r="TOQ43" s="60"/>
      <c r="TOR43" s="60"/>
      <c r="TOS43" s="60"/>
      <c r="TOT43" s="60"/>
      <c r="TOU43" s="60"/>
      <c r="TOV43" s="60"/>
      <c r="TOW43" s="60"/>
      <c r="TOX43" s="60"/>
      <c r="TOY43" s="60"/>
      <c r="TOZ43" s="60"/>
      <c r="TPA43" s="60"/>
      <c r="TPB43" s="60"/>
      <c r="TPC43" s="60"/>
      <c r="TPD43" s="60"/>
      <c r="TPE43" s="60"/>
      <c r="TPF43" s="60"/>
      <c r="TPG43" s="60"/>
      <c r="TPH43" s="60"/>
      <c r="TPI43" s="60"/>
      <c r="TPJ43" s="60"/>
      <c r="TPK43" s="60"/>
      <c r="TPL43" s="60"/>
      <c r="TPM43" s="60"/>
      <c r="TPN43" s="60"/>
      <c r="TPO43" s="60"/>
      <c r="TPP43" s="60"/>
      <c r="TPQ43" s="60"/>
      <c r="TPR43" s="60"/>
      <c r="TPS43" s="60"/>
      <c r="TPT43" s="60"/>
      <c r="TPU43" s="60"/>
      <c r="TPV43" s="60"/>
      <c r="TPW43" s="60"/>
      <c r="TPX43" s="60"/>
      <c r="TPY43" s="60"/>
      <c r="TPZ43" s="60"/>
      <c r="TQA43" s="60"/>
      <c r="TQB43" s="60"/>
      <c r="TQC43" s="60"/>
      <c r="TQD43" s="60"/>
      <c r="TQE43" s="60"/>
      <c r="TQF43" s="60"/>
      <c r="TQG43" s="60"/>
      <c r="TQH43" s="60"/>
      <c r="TQI43" s="60"/>
      <c r="TQJ43" s="60"/>
      <c r="TQK43" s="60"/>
      <c r="TQL43" s="60"/>
      <c r="TQM43" s="60"/>
      <c r="TQN43" s="60"/>
      <c r="TQO43" s="60"/>
      <c r="TQP43" s="60"/>
      <c r="TQQ43" s="60"/>
      <c r="TQR43" s="60"/>
      <c r="TQS43" s="60"/>
      <c r="TQT43" s="60"/>
      <c r="TQU43" s="60"/>
      <c r="TQV43" s="60"/>
      <c r="TQW43" s="60"/>
      <c r="TQX43" s="60"/>
      <c r="TQY43" s="60"/>
      <c r="TQZ43" s="60"/>
      <c r="TRA43" s="60"/>
      <c r="TRB43" s="60"/>
      <c r="TRC43" s="60"/>
      <c r="TRD43" s="60"/>
      <c r="TRE43" s="60"/>
      <c r="TRF43" s="60"/>
      <c r="TRG43" s="60"/>
      <c r="TRH43" s="60"/>
      <c r="TRI43" s="60"/>
      <c r="TRJ43" s="60"/>
      <c r="TRK43" s="60"/>
      <c r="TRL43" s="60"/>
      <c r="TRM43" s="60"/>
      <c r="TRN43" s="60"/>
      <c r="TRO43" s="60"/>
      <c r="TRP43" s="60"/>
      <c r="TRQ43" s="60"/>
      <c r="TRR43" s="60"/>
      <c r="TRS43" s="60"/>
      <c r="TRT43" s="60"/>
      <c r="TRU43" s="60"/>
      <c r="TRV43" s="60"/>
      <c r="TRW43" s="60"/>
      <c r="TRX43" s="60"/>
      <c r="TRY43" s="60"/>
      <c r="TRZ43" s="60"/>
      <c r="TSA43" s="60"/>
      <c r="TSB43" s="60"/>
      <c r="TSC43" s="60"/>
      <c r="TSD43" s="60"/>
      <c r="TSE43" s="60"/>
      <c r="TSF43" s="60"/>
      <c r="TSG43" s="60"/>
      <c r="TSH43" s="60"/>
      <c r="TSI43" s="60"/>
      <c r="TSJ43" s="60"/>
      <c r="TSK43" s="60"/>
      <c r="TSL43" s="60"/>
      <c r="TSM43" s="60"/>
      <c r="TSN43" s="60"/>
      <c r="TSO43" s="60"/>
      <c r="TSP43" s="60"/>
      <c r="TSQ43" s="60"/>
      <c r="TSR43" s="60"/>
      <c r="TSS43" s="60"/>
      <c r="TST43" s="60"/>
      <c r="TSU43" s="60"/>
      <c r="TSV43" s="60"/>
      <c r="TSW43" s="60"/>
      <c r="TSX43" s="60"/>
      <c r="TSY43" s="60"/>
      <c r="TSZ43" s="60"/>
      <c r="TTA43" s="60"/>
      <c r="TTB43" s="60"/>
      <c r="TTC43" s="60"/>
      <c r="TTD43" s="60"/>
      <c r="TTE43" s="60"/>
      <c r="TTF43" s="60"/>
      <c r="TTG43" s="60"/>
      <c r="TTH43" s="60"/>
      <c r="TTI43" s="60"/>
      <c r="TTJ43" s="60"/>
      <c r="TTK43" s="60"/>
      <c r="TTL43" s="60"/>
      <c r="TTM43" s="60"/>
      <c r="TTN43" s="60"/>
      <c r="TTO43" s="60"/>
      <c r="TTP43" s="60"/>
      <c r="TTQ43" s="60"/>
      <c r="TTR43" s="60"/>
      <c r="TTS43" s="60"/>
      <c r="TTT43" s="60"/>
      <c r="TTU43" s="60"/>
      <c r="TTV43" s="60"/>
      <c r="TTW43" s="60"/>
      <c r="TTX43" s="60"/>
      <c r="TTY43" s="60"/>
      <c r="TTZ43" s="60"/>
      <c r="TUA43" s="60"/>
      <c r="TUB43" s="60"/>
      <c r="TUC43" s="60"/>
      <c r="TUD43" s="60"/>
      <c r="TUE43" s="60"/>
      <c r="TUF43" s="60"/>
      <c r="TUG43" s="60"/>
      <c r="TUH43" s="60"/>
      <c r="TUI43" s="60"/>
      <c r="TUJ43" s="60"/>
      <c r="TUK43" s="60"/>
      <c r="TUL43" s="60"/>
      <c r="TUM43" s="60"/>
      <c r="TUN43" s="60"/>
      <c r="TUO43" s="60"/>
      <c r="TUP43" s="60"/>
      <c r="TUQ43" s="60"/>
      <c r="TUR43" s="60"/>
      <c r="TUS43" s="60"/>
      <c r="TUT43" s="60"/>
      <c r="TUU43" s="60"/>
      <c r="TUV43" s="60"/>
      <c r="TUW43" s="60"/>
      <c r="TUX43" s="60"/>
      <c r="TUY43" s="60"/>
      <c r="TUZ43" s="60"/>
      <c r="TVA43" s="60"/>
      <c r="TVB43" s="60"/>
      <c r="TVC43" s="60"/>
      <c r="TVD43" s="60"/>
      <c r="TVE43" s="60"/>
      <c r="TVF43" s="60"/>
      <c r="TVG43" s="60"/>
      <c r="TVH43" s="60"/>
      <c r="TVI43" s="60"/>
      <c r="TVJ43" s="60"/>
      <c r="TVK43" s="60"/>
      <c r="TVL43" s="60"/>
      <c r="TVM43" s="60"/>
      <c r="TVN43" s="60"/>
      <c r="TVO43" s="60"/>
      <c r="TVP43" s="60"/>
      <c r="TVQ43" s="60"/>
      <c r="TVR43" s="60"/>
      <c r="TVS43" s="60"/>
      <c r="TVT43" s="60"/>
      <c r="TVU43" s="60"/>
      <c r="TVV43" s="60"/>
      <c r="TVW43" s="60"/>
      <c r="TVX43" s="60"/>
      <c r="TVY43" s="60"/>
      <c r="TVZ43" s="60"/>
      <c r="TWA43" s="60"/>
      <c r="TWB43" s="60"/>
      <c r="TWC43" s="60"/>
      <c r="TWD43" s="60"/>
      <c r="TWE43" s="60"/>
      <c r="TWF43" s="60"/>
      <c r="TWG43" s="60"/>
      <c r="TWH43" s="60"/>
      <c r="TWI43" s="60"/>
      <c r="TWJ43" s="60"/>
      <c r="TWK43" s="60"/>
      <c r="TWL43" s="60"/>
      <c r="TWM43" s="60"/>
      <c r="TWN43" s="60"/>
      <c r="TWO43" s="60"/>
      <c r="TWP43" s="60"/>
      <c r="TWQ43" s="60"/>
      <c r="TWR43" s="60"/>
      <c r="TWS43" s="60"/>
      <c r="TWT43" s="60"/>
      <c r="TWU43" s="60"/>
      <c r="TWV43" s="60"/>
      <c r="TWW43" s="60"/>
      <c r="TWX43" s="60"/>
      <c r="TWY43" s="60"/>
      <c r="TWZ43" s="60"/>
      <c r="TXA43" s="60"/>
      <c r="TXB43" s="60"/>
      <c r="TXC43" s="60"/>
      <c r="TXD43" s="60"/>
      <c r="TXE43" s="60"/>
      <c r="TXF43" s="60"/>
      <c r="TXG43" s="60"/>
      <c r="TXH43" s="60"/>
      <c r="TXI43" s="60"/>
      <c r="TXJ43" s="60"/>
      <c r="TXK43" s="60"/>
      <c r="TXL43" s="60"/>
      <c r="TXM43" s="60"/>
      <c r="TXN43" s="60"/>
      <c r="TXO43" s="60"/>
      <c r="TXP43" s="60"/>
      <c r="TXQ43" s="60"/>
      <c r="TXR43" s="60"/>
      <c r="TXS43" s="60"/>
      <c r="TXT43" s="60"/>
      <c r="TXU43" s="60"/>
      <c r="TXV43" s="60"/>
      <c r="TXW43" s="60"/>
      <c r="TXX43" s="60"/>
      <c r="TXY43" s="60"/>
      <c r="TXZ43" s="60"/>
      <c r="TYA43" s="60"/>
      <c r="TYB43" s="60"/>
      <c r="TYC43" s="60"/>
      <c r="TYD43" s="60"/>
      <c r="TYE43" s="60"/>
      <c r="TYF43" s="60"/>
      <c r="TYG43" s="60"/>
      <c r="TYH43" s="60"/>
      <c r="TYI43" s="60"/>
      <c r="TYJ43" s="60"/>
      <c r="TYK43" s="60"/>
      <c r="TYL43" s="60"/>
      <c r="TYM43" s="60"/>
      <c r="TYN43" s="60"/>
      <c r="TYO43" s="60"/>
      <c r="TYP43" s="60"/>
      <c r="TYQ43" s="60"/>
      <c r="TYR43" s="60"/>
      <c r="TYS43" s="60"/>
      <c r="TYT43" s="60"/>
      <c r="TYU43" s="60"/>
      <c r="TYV43" s="60"/>
      <c r="TYW43" s="60"/>
      <c r="TYX43" s="60"/>
      <c r="TYY43" s="60"/>
      <c r="TYZ43" s="60"/>
      <c r="TZA43" s="60"/>
      <c r="TZB43" s="60"/>
      <c r="TZC43" s="60"/>
      <c r="TZD43" s="60"/>
      <c r="TZE43" s="60"/>
      <c r="TZF43" s="60"/>
      <c r="TZG43" s="60"/>
      <c r="TZH43" s="60"/>
      <c r="TZI43" s="60"/>
      <c r="TZJ43" s="60"/>
      <c r="TZK43" s="60"/>
      <c r="TZL43" s="60"/>
      <c r="TZM43" s="60"/>
      <c r="TZN43" s="60"/>
      <c r="TZO43" s="60"/>
      <c r="TZP43" s="60"/>
      <c r="TZQ43" s="60"/>
      <c r="TZR43" s="60"/>
      <c r="TZS43" s="60"/>
      <c r="TZT43" s="60"/>
      <c r="TZU43" s="60"/>
      <c r="TZV43" s="60"/>
      <c r="TZW43" s="60"/>
      <c r="TZX43" s="60"/>
      <c r="TZY43" s="60"/>
      <c r="TZZ43" s="60"/>
      <c r="UAA43" s="60"/>
      <c r="UAB43" s="60"/>
      <c r="UAC43" s="60"/>
      <c r="UAD43" s="60"/>
      <c r="UAE43" s="60"/>
      <c r="UAF43" s="60"/>
      <c r="UAG43" s="60"/>
      <c r="UAH43" s="60"/>
      <c r="UAI43" s="60"/>
      <c r="UAJ43" s="60"/>
      <c r="UAK43" s="60"/>
      <c r="UAL43" s="60"/>
      <c r="UAM43" s="60"/>
      <c r="UAN43" s="60"/>
      <c r="UAO43" s="60"/>
      <c r="UAP43" s="60"/>
      <c r="UAQ43" s="60"/>
      <c r="UAR43" s="60"/>
      <c r="UAS43" s="60"/>
      <c r="UAT43" s="60"/>
      <c r="UAU43" s="60"/>
      <c r="UAV43" s="60"/>
      <c r="UAW43" s="60"/>
      <c r="UAX43" s="60"/>
      <c r="UAY43" s="60"/>
      <c r="UAZ43" s="60"/>
      <c r="UBA43" s="60"/>
      <c r="UBB43" s="60"/>
      <c r="UBC43" s="60"/>
      <c r="UBD43" s="60"/>
      <c r="UBE43" s="60"/>
      <c r="UBF43" s="60"/>
      <c r="UBG43" s="60"/>
      <c r="UBH43" s="60"/>
      <c r="UBI43" s="60"/>
      <c r="UBJ43" s="60"/>
      <c r="UBK43" s="60"/>
      <c r="UBL43" s="60"/>
      <c r="UBM43" s="60"/>
      <c r="UBN43" s="60"/>
      <c r="UBO43" s="60"/>
      <c r="UBP43" s="60"/>
      <c r="UBQ43" s="60"/>
      <c r="UBR43" s="60"/>
      <c r="UBS43" s="60"/>
      <c r="UBT43" s="60"/>
      <c r="UBU43" s="60"/>
      <c r="UBV43" s="60"/>
      <c r="UBW43" s="60"/>
      <c r="UBX43" s="60"/>
      <c r="UBY43" s="60"/>
      <c r="UBZ43" s="60"/>
      <c r="UCA43" s="60"/>
      <c r="UCB43" s="60"/>
      <c r="UCC43" s="60"/>
      <c r="UCD43" s="60"/>
      <c r="UCE43" s="60"/>
      <c r="UCF43" s="60"/>
      <c r="UCG43" s="60"/>
      <c r="UCH43" s="60"/>
      <c r="UCI43" s="60"/>
      <c r="UCJ43" s="60"/>
      <c r="UCK43" s="60"/>
      <c r="UCL43" s="60"/>
      <c r="UCM43" s="60"/>
      <c r="UCN43" s="60"/>
      <c r="UCO43" s="60"/>
      <c r="UCP43" s="60"/>
      <c r="UCQ43" s="60"/>
      <c r="UCR43" s="60"/>
      <c r="UCS43" s="60"/>
      <c r="UCT43" s="60"/>
      <c r="UCU43" s="60"/>
      <c r="UCV43" s="60"/>
      <c r="UCW43" s="60"/>
      <c r="UCX43" s="60"/>
      <c r="UCY43" s="60"/>
      <c r="UCZ43" s="60"/>
      <c r="UDA43" s="60"/>
      <c r="UDB43" s="60"/>
      <c r="UDC43" s="60"/>
      <c r="UDD43" s="60"/>
      <c r="UDE43" s="60"/>
      <c r="UDF43" s="60"/>
      <c r="UDG43" s="60"/>
      <c r="UDH43" s="60"/>
      <c r="UDI43" s="60"/>
      <c r="UDJ43" s="60"/>
      <c r="UDK43" s="60"/>
      <c r="UDL43" s="60"/>
      <c r="UDM43" s="60"/>
      <c r="UDN43" s="60"/>
      <c r="UDO43" s="60"/>
      <c r="UDP43" s="60"/>
      <c r="UDQ43" s="60"/>
      <c r="UDR43" s="60"/>
      <c r="UDS43" s="60"/>
      <c r="UDT43" s="60"/>
      <c r="UDU43" s="60"/>
      <c r="UDV43" s="60"/>
      <c r="UDW43" s="60"/>
      <c r="UDX43" s="60"/>
      <c r="UDY43" s="60"/>
      <c r="UDZ43" s="60"/>
      <c r="UEA43" s="60"/>
      <c r="UEB43" s="60"/>
      <c r="UEC43" s="60"/>
      <c r="UED43" s="60"/>
      <c r="UEE43" s="60"/>
      <c r="UEF43" s="60"/>
      <c r="UEG43" s="60"/>
      <c r="UEH43" s="60"/>
      <c r="UEI43" s="60"/>
      <c r="UEJ43" s="60"/>
      <c r="UEK43" s="60"/>
      <c r="UEL43" s="60"/>
      <c r="UEM43" s="60"/>
      <c r="UEN43" s="60"/>
      <c r="UEO43" s="60"/>
      <c r="UEP43" s="60"/>
      <c r="UEQ43" s="60"/>
      <c r="UER43" s="60"/>
      <c r="UES43" s="60"/>
      <c r="UET43" s="60"/>
      <c r="UEU43" s="60"/>
      <c r="UEV43" s="60"/>
      <c r="UEW43" s="60"/>
      <c r="UEX43" s="60"/>
      <c r="UEY43" s="60"/>
      <c r="UEZ43" s="60"/>
      <c r="UFA43" s="60"/>
      <c r="UFB43" s="60"/>
      <c r="UFC43" s="60"/>
      <c r="UFD43" s="60"/>
      <c r="UFE43" s="60"/>
      <c r="UFF43" s="60"/>
      <c r="UFG43" s="60"/>
      <c r="UFH43" s="60"/>
      <c r="UFI43" s="60"/>
      <c r="UFJ43" s="60"/>
      <c r="UFK43" s="60"/>
      <c r="UFL43" s="60"/>
      <c r="UFM43" s="60"/>
      <c r="UFN43" s="60"/>
      <c r="UFO43" s="60"/>
      <c r="UFP43" s="60"/>
      <c r="UFQ43" s="60"/>
      <c r="UFR43" s="60"/>
      <c r="UFS43" s="60"/>
      <c r="UFT43" s="60"/>
      <c r="UFU43" s="60"/>
      <c r="UFV43" s="60"/>
      <c r="UFW43" s="60"/>
      <c r="UFX43" s="60"/>
      <c r="UFY43" s="60"/>
      <c r="UFZ43" s="60"/>
      <c r="UGA43" s="60"/>
      <c r="UGB43" s="60"/>
      <c r="UGC43" s="60"/>
      <c r="UGD43" s="60"/>
      <c r="UGE43" s="60"/>
      <c r="UGF43" s="60"/>
      <c r="UGG43" s="60"/>
      <c r="UGH43" s="60"/>
      <c r="UGI43" s="60"/>
      <c r="UGJ43" s="60"/>
      <c r="UGK43" s="60"/>
      <c r="UGL43" s="60"/>
      <c r="UGM43" s="60"/>
      <c r="UGN43" s="60"/>
      <c r="UGO43" s="60"/>
      <c r="UGP43" s="60"/>
      <c r="UGQ43" s="60"/>
      <c r="UGR43" s="60"/>
      <c r="UGS43" s="60"/>
      <c r="UGT43" s="60"/>
      <c r="UGU43" s="60"/>
      <c r="UGV43" s="60"/>
      <c r="UGW43" s="60"/>
      <c r="UGX43" s="60"/>
      <c r="UGY43" s="60"/>
      <c r="UGZ43" s="60"/>
      <c r="UHA43" s="60"/>
      <c r="UHB43" s="60"/>
      <c r="UHC43" s="60"/>
      <c r="UHD43" s="60"/>
      <c r="UHE43" s="60"/>
      <c r="UHF43" s="60"/>
      <c r="UHG43" s="60"/>
      <c r="UHH43" s="60"/>
      <c r="UHI43" s="60"/>
      <c r="UHJ43" s="60"/>
      <c r="UHK43" s="60"/>
      <c r="UHL43" s="60"/>
      <c r="UHM43" s="60"/>
      <c r="UHN43" s="60"/>
      <c r="UHO43" s="60"/>
      <c r="UHP43" s="60"/>
      <c r="UHQ43" s="60"/>
      <c r="UHR43" s="60"/>
      <c r="UHS43" s="60"/>
      <c r="UHT43" s="60"/>
      <c r="UHU43" s="60"/>
      <c r="UHV43" s="60"/>
      <c r="UHW43" s="60"/>
      <c r="UHX43" s="60"/>
      <c r="UHY43" s="60"/>
      <c r="UHZ43" s="60"/>
      <c r="UIA43" s="60"/>
      <c r="UIB43" s="60"/>
      <c r="UIC43" s="60"/>
      <c r="UID43" s="60"/>
      <c r="UIE43" s="60"/>
      <c r="UIF43" s="60"/>
      <c r="UIG43" s="60"/>
      <c r="UIH43" s="60"/>
      <c r="UII43" s="60"/>
      <c r="UIJ43" s="60"/>
      <c r="UIK43" s="60"/>
      <c r="UIL43" s="60"/>
      <c r="UIM43" s="60"/>
      <c r="UIN43" s="60"/>
      <c r="UIO43" s="60"/>
      <c r="UIP43" s="60"/>
      <c r="UIQ43" s="60"/>
      <c r="UIR43" s="60"/>
      <c r="UIS43" s="60"/>
      <c r="UIT43" s="60"/>
      <c r="UIU43" s="60"/>
      <c r="UIV43" s="60"/>
      <c r="UIW43" s="60"/>
      <c r="UIX43" s="60"/>
      <c r="UIY43" s="60"/>
      <c r="UIZ43" s="60"/>
      <c r="UJA43" s="60"/>
      <c r="UJB43" s="60"/>
      <c r="UJC43" s="60"/>
      <c r="UJD43" s="60"/>
      <c r="UJE43" s="60"/>
      <c r="UJF43" s="60"/>
      <c r="UJG43" s="60"/>
      <c r="UJH43" s="60"/>
      <c r="UJI43" s="60"/>
      <c r="UJJ43" s="60"/>
      <c r="UJK43" s="60"/>
      <c r="UJL43" s="60"/>
      <c r="UJM43" s="60"/>
      <c r="UJN43" s="60"/>
      <c r="UJO43" s="60"/>
      <c r="UJP43" s="60"/>
      <c r="UJQ43" s="60"/>
      <c r="UJR43" s="60"/>
      <c r="UJS43" s="60"/>
      <c r="UJT43" s="60"/>
      <c r="UJU43" s="60"/>
      <c r="UJV43" s="60"/>
      <c r="UJW43" s="60"/>
      <c r="UJX43" s="60"/>
      <c r="UJY43" s="60"/>
      <c r="UJZ43" s="60"/>
      <c r="UKA43" s="60"/>
      <c r="UKB43" s="60"/>
      <c r="UKC43" s="60"/>
      <c r="UKD43" s="60"/>
      <c r="UKE43" s="60"/>
      <c r="UKF43" s="60"/>
      <c r="UKG43" s="60"/>
      <c r="UKH43" s="60"/>
      <c r="UKI43" s="60"/>
      <c r="UKJ43" s="60"/>
      <c r="UKK43" s="60"/>
      <c r="UKL43" s="60"/>
      <c r="UKM43" s="60"/>
      <c r="UKN43" s="60"/>
      <c r="UKO43" s="60"/>
      <c r="UKP43" s="60"/>
      <c r="UKQ43" s="60"/>
      <c r="UKR43" s="60"/>
      <c r="UKS43" s="60"/>
      <c r="UKT43" s="60"/>
      <c r="UKU43" s="60"/>
      <c r="UKV43" s="60"/>
      <c r="UKW43" s="60"/>
      <c r="UKX43" s="60"/>
      <c r="UKY43" s="60"/>
      <c r="UKZ43" s="60"/>
      <c r="ULA43" s="60"/>
      <c r="ULB43" s="60"/>
      <c r="ULC43" s="60"/>
      <c r="ULD43" s="60"/>
      <c r="ULE43" s="60"/>
      <c r="ULF43" s="60"/>
      <c r="ULG43" s="60"/>
      <c r="ULH43" s="60"/>
      <c r="ULI43" s="60"/>
      <c r="ULJ43" s="60"/>
      <c r="ULK43" s="60"/>
      <c r="ULL43" s="60"/>
      <c r="ULM43" s="60"/>
      <c r="ULN43" s="60"/>
      <c r="ULO43" s="60"/>
      <c r="ULP43" s="60"/>
      <c r="ULQ43" s="60"/>
      <c r="ULR43" s="60"/>
      <c r="ULS43" s="60"/>
      <c r="ULT43" s="60"/>
      <c r="ULU43" s="60"/>
      <c r="ULV43" s="60"/>
      <c r="ULW43" s="60"/>
      <c r="ULX43" s="60"/>
      <c r="ULY43" s="60"/>
      <c r="ULZ43" s="60"/>
      <c r="UMA43" s="60"/>
      <c r="UMB43" s="60"/>
      <c r="UMC43" s="60"/>
      <c r="UMD43" s="60"/>
      <c r="UME43" s="60"/>
      <c r="UMF43" s="60"/>
      <c r="UMG43" s="60"/>
      <c r="UMH43" s="60"/>
      <c r="UMI43" s="60"/>
      <c r="UMJ43" s="60"/>
      <c r="UMK43" s="60"/>
      <c r="UML43" s="60"/>
      <c r="UMM43" s="60"/>
      <c r="UMN43" s="60"/>
      <c r="UMO43" s="60"/>
      <c r="UMP43" s="60"/>
      <c r="UMQ43" s="60"/>
      <c r="UMR43" s="60"/>
      <c r="UMS43" s="60"/>
      <c r="UMT43" s="60"/>
      <c r="UMU43" s="60"/>
      <c r="UMV43" s="60"/>
      <c r="UMW43" s="60"/>
      <c r="UMX43" s="60"/>
      <c r="UMY43" s="60"/>
      <c r="UMZ43" s="60"/>
      <c r="UNA43" s="60"/>
      <c r="UNB43" s="60"/>
      <c r="UNC43" s="60"/>
      <c r="UND43" s="60"/>
      <c r="UNE43" s="60"/>
      <c r="UNF43" s="60"/>
      <c r="UNG43" s="60"/>
      <c r="UNH43" s="60"/>
      <c r="UNI43" s="60"/>
      <c r="UNJ43" s="60"/>
      <c r="UNK43" s="60"/>
      <c r="UNL43" s="60"/>
      <c r="UNM43" s="60"/>
      <c r="UNN43" s="60"/>
      <c r="UNO43" s="60"/>
      <c r="UNP43" s="60"/>
      <c r="UNQ43" s="60"/>
      <c r="UNR43" s="60"/>
      <c r="UNS43" s="60"/>
      <c r="UNT43" s="60"/>
      <c r="UNU43" s="60"/>
      <c r="UNV43" s="60"/>
      <c r="UNW43" s="60"/>
      <c r="UNX43" s="60"/>
      <c r="UNY43" s="60"/>
      <c r="UNZ43" s="60"/>
      <c r="UOA43" s="60"/>
      <c r="UOB43" s="60"/>
      <c r="UOC43" s="60"/>
      <c r="UOD43" s="60"/>
      <c r="UOE43" s="60"/>
      <c r="UOF43" s="60"/>
      <c r="UOG43" s="60"/>
      <c r="UOH43" s="60"/>
      <c r="UOI43" s="60"/>
      <c r="UOJ43" s="60"/>
      <c r="UOK43" s="60"/>
      <c r="UOL43" s="60"/>
      <c r="UOM43" s="60"/>
      <c r="UON43" s="60"/>
      <c r="UOO43" s="60"/>
      <c r="UOP43" s="60"/>
      <c r="UOQ43" s="60"/>
      <c r="UOR43" s="60"/>
      <c r="UOS43" s="60"/>
      <c r="UOT43" s="60"/>
      <c r="UOU43" s="60"/>
      <c r="UOV43" s="60"/>
      <c r="UOW43" s="60"/>
      <c r="UOX43" s="60"/>
      <c r="UOY43" s="60"/>
      <c r="UOZ43" s="60"/>
      <c r="UPA43" s="60"/>
      <c r="UPB43" s="60"/>
      <c r="UPC43" s="60"/>
      <c r="UPD43" s="60"/>
      <c r="UPE43" s="60"/>
      <c r="UPF43" s="60"/>
      <c r="UPG43" s="60"/>
      <c r="UPH43" s="60"/>
      <c r="UPI43" s="60"/>
      <c r="UPJ43" s="60"/>
      <c r="UPK43" s="60"/>
      <c r="UPL43" s="60"/>
      <c r="UPM43" s="60"/>
      <c r="UPN43" s="60"/>
      <c r="UPO43" s="60"/>
      <c r="UPP43" s="60"/>
      <c r="UPQ43" s="60"/>
      <c r="UPR43" s="60"/>
      <c r="UPS43" s="60"/>
      <c r="UPT43" s="60"/>
      <c r="UPU43" s="60"/>
      <c r="UPV43" s="60"/>
      <c r="UPW43" s="60"/>
      <c r="UPX43" s="60"/>
      <c r="UPY43" s="60"/>
      <c r="UPZ43" s="60"/>
      <c r="UQA43" s="60"/>
      <c r="UQB43" s="60"/>
      <c r="UQC43" s="60"/>
      <c r="UQD43" s="60"/>
      <c r="UQE43" s="60"/>
      <c r="UQF43" s="60"/>
      <c r="UQG43" s="60"/>
      <c r="UQH43" s="60"/>
      <c r="UQI43" s="60"/>
      <c r="UQJ43" s="60"/>
      <c r="UQK43" s="60"/>
      <c r="UQL43" s="60"/>
      <c r="UQM43" s="60"/>
      <c r="UQN43" s="60"/>
      <c r="UQO43" s="60"/>
      <c r="UQP43" s="60"/>
      <c r="UQQ43" s="60"/>
      <c r="UQR43" s="60"/>
      <c r="UQS43" s="60"/>
      <c r="UQT43" s="60"/>
      <c r="UQU43" s="60"/>
      <c r="UQV43" s="60"/>
      <c r="UQW43" s="60"/>
      <c r="UQX43" s="60"/>
      <c r="UQY43" s="60"/>
      <c r="UQZ43" s="60"/>
      <c r="URA43" s="60"/>
      <c r="URB43" s="60"/>
      <c r="URC43" s="60"/>
      <c r="URD43" s="60"/>
      <c r="URE43" s="60"/>
      <c r="URF43" s="60"/>
      <c r="URG43" s="60"/>
      <c r="URH43" s="60"/>
      <c r="URI43" s="60"/>
      <c r="URJ43" s="60"/>
      <c r="URK43" s="60"/>
      <c r="URL43" s="60"/>
      <c r="URM43" s="60"/>
      <c r="URN43" s="60"/>
      <c r="URO43" s="60"/>
      <c r="URP43" s="60"/>
      <c r="URQ43" s="60"/>
      <c r="URR43" s="60"/>
      <c r="URS43" s="60"/>
      <c r="URT43" s="60"/>
      <c r="URU43" s="60"/>
      <c r="URV43" s="60"/>
      <c r="URW43" s="60"/>
      <c r="URX43" s="60"/>
      <c r="URY43" s="60"/>
      <c r="URZ43" s="60"/>
      <c r="USA43" s="60"/>
      <c r="USB43" s="60"/>
      <c r="USC43" s="60"/>
      <c r="USD43" s="60"/>
      <c r="USE43" s="60"/>
      <c r="USF43" s="60"/>
      <c r="USG43" s="60"/>
      <c r="USH43" s="60"/>
      <c r="USI43" s="60"/>
      <c r="USJ43" s="60"/>
      <c r="USK43" s="60"/>
      <c r="USL43" s="60"/>
      <c r="USM43" s="60"/>
      <c r="USN43" s="60"/>
      <c r="USO43" s="60"/>
      <c r="USP43" s="60"/>
      <c r="USQ43" s="60"/>
      <c r="USR43" s="60"/>
      <c r="USS43" s="60"/>
      <c r="UST43" s="60"/>
      <c r="USU43" s="60"/>
      <c r="USV43" s="60"/>
      <c r="USW43" s="60"/>
      <c r="USX43" s="60"/>
      <c r="USY43" s="60"/>
      <c r="USZ43" s="60"/>
      <c r="UTA43" s="60"/>
      <c r="UTB43" s="60"/>
      <c r="UTC43" s="60"/>
      <c r="UTD43" s="60"/>
      <c r="UTE43" s="60"/>
      <c r="UTF43" s="60"/>
      <c r="UTG43" s="60"/>
      <c r="UTH43" s="60"/>
      <c r="UTI43" s="60"/>
      <c r="UTJ43" s="60"/>
      <c r="UTK43" s="60"/>
      <c r="UTL43" s="60"/>
      <c r="UTM43" s="60"/>
      <c r="UTN43" s="60"/>
      <c r="UTO43" s="60"/>
      <c r="UTP43" s="60"/>
      <c r="UTQ43" s="60"/>
      <c r="UTR43" s="60"/>
      <c r="UTS43" s="60"/>
      <c r="UTT43" s="60"/>
      <c r="UTU43" s="60"/>
      <c r="UTV43" s="60"/>
      <c r="UTW43" s="60"/>
      <c r="UTX43" s="60"/>
      <c r="UTY43" s="60"/>
      <c r="UTZ43" s="60"/>
      <c r="UUA43" s="60"/>
      <c r="UUB43" s="60"/>
      <c r="UUC43" s="60"/>
      <c r="UUD43" s="60"/>
      <c r="UUE43" s="60"/>
      <c r="UUF43" s="60"/>
      <c r="UUG43" s="60"/>
      <c r="UUH43" s="60"/>
      <c r="UUI43" s="60"/>
      <c r="UUJ43" s="60"/>
      <c r="UUK43" s="60"/>
      <c r="UUL43" s="60"/>
      <c r="UUM43" s="60"/>
      <c r="UUN43" s="60"/>
      <c r="UUO43" s="60"/>
      <c r="UUP43" s="60"/>
      <c r="UUQ43" s="60"/>
      <c r="UUR43" s="60"/>
      <c r="UUS43" s="60"/>
      <c r="UUT43" s="60"/>
      <c r="UUU43" s="60"/>
      <c r="UUV43" s="60"/>
      <c r="UUW43" s="60"/>
      <c r="UUX43" s="60"/>
      <c r="UUY43" s="60"/>
      <c r="UUZ43" s="60"/>
      <c r="UVA43" s="60"/>
      <c r="UVB43" s="60"/>
      <c r="UVC43" s="60"/>
      <c r="UVD43" s="60"/>
      <c r="UVE43" s="60"/>
      <c r="UVF43" s="60"/>
      <c r="UVG43" s="60"/>
      <c r="UVH43" s="60"/>
      <c r="UVI43" s="60"/>
      <c r="UVJ43" s="60"/>
      <c r="UVK43" s="60"/>
      <c r="UVL43" s="60"/>
      <c r="UVM43" s="60"/>
      <c r="UVN43" s="60"/>
      <c r="UVO43" s="60"/>
      <c r="UVP43" s="60"/>
      <c r="UVQ43" s="60"/>
      <c r="UVR43" s="60"/>
      <c r="UVS43" s="60"/>
      <c r="UVT43" s="60"/>
      <c r="UVU43" s="60"/>
      <c r="UVV43" s="60"/>
      <c r="UVW43" s="60"/>
      <c r="UVX43" s="60"/>
      <c r="UVY43" s="60"/>
      <c r="UVZ43" s="60"/>
      <c r="UWA43" s="60"/>
      <c r="UWB43" s="60"/>
      <c r="UWC43" s="60"/>
      <c r="UWD43" s="60"/>
      <c r="UWE43" s="60"/>
      <c r="UWF43" s="60"/>
      <c r="UWG43" s="60"/>
      <c r="UWH43" s="60"/>
      <c r="UWI43" s="60"/>
      <c r="UWJ43" s="60"/>
      <c r="UWK43" s="60"/>
      <c r="UWL43" s="60"/>
      <c r="UWM43" s="60"/>
      <c r="UWN43" s="60"/>
      <c r="UWO43" s="60"/>
      <c r="UWP43" s="60"/>
      <c r="UWQ43" s="60"/>
      <c r="UWR43" s="60"/>
      <c r="UWS43" s="60"/>
      <c r="UWT43" s="60"/>
      <c r="UWU43" s="60"/>
      <c r="UWV43" s="60"/>
      <c r="UWW43" s="60"/>
      <c r="UWX43" s="60"/>
      <c r="UWY43" s="60"/>
      <c r="UWZ43" s="60"/>
      <c r="UXA43" s="60"/>
      <c r="UXB43" s="60"/>
      <c r="UXC43" s="60"/>
      <c r="UXD43" s="60"/>
      <c r="UXE43" s="60"/>
      <c r="UXF43" s="60"/>
      <c r="UXG43" s="60"/>
      <c r="UXH43" s="60"/>
      <c r="UXI43" s="60"/>
      <c r="UXJ43" s="60"/>
      <c r="UXK43" s="60"/>
      <c r="UXL43" s="60"/>
      <c r="UXM43" s="60"/>
      <c r="UXN43" s="60"/>
      <c r="UXO43" s="60"/>
      <c r="UXP43" s="60"/>
      <c r="UXQ43" s="60"/>
      <c r="UXR43" s="60"/>
      <c r="UXS43" s="60"/>
      <c r="UXT43" s="60"/>
      <c r="UXU43" s="60"/>
      <c r="UXV43" s="60"/>
      <c r="UXW43" s="60"/>
      <c r="UXX43" s="60"/>
      <c r="UXY43" s="60"/>
      <c r="UXZ43" s="60"/>
      <c r="UYA43" s="60"/>
      <c r="UYB43" s="60"/>
      <c r="UYC43" s="60"/>
      <c r="UYD43" s="60"/>
      <c r="UYE43" s="60"/>
      <c r="UYF43" s="60"/>
      <c r="UYG43" s="60"/>
      <c r="UYH43" s="60"/>
      <c r="UYI43" s="60"/>
      <c r="UYJ43" s="60"/>
      <c r="UYK43" s="60"/>
      <c r="UYL43" s="60"/>
      <c r="UYM43" s="60"/>
      <c r="UYN43" s="60"/>
      <c r="UYO43" s="60"/>
      <c r="UYP43" s="60"/>
      <c r="UYQ43" s="60"/>
      <c r="UYR43" s="60"/>
      <c r="UYS43" s="60"/>
      <c r="UYT43" s="60"/>
      <c r="UYU43" s="60"/>
      <c r="UYV43" s="60"/>
      <c r="UYW43" s="60"/>
      <c r="UYX43" s="60"/>
      <c r="UYY43" s="60"/>
      <c r="UYZ43" s="60"/>
      <c r="UZA43" s="60"/>
      <c r="UZB43" s="60"/>
      <c r="UZC43" s="60"/>
      <c r="UZD43" s="60"/>
      <c r="UZE43" s="60"/>
      <c r="UZF43" s="60"/>
      <c r="UZG43" s="60"/>
      <c r="UZH43" s="60"/>
      <c r="UZI43" s="60"/>
      <c r="UZJ43" s="60"/>
      <c r="UZK43" s="60"/>
      <c r="UZL43" s="60"/>
      <c r="UZM43" s="60"/>
      <c r="UZN43" s="60"/>
      <c r="UZO43" s="60"/>
      <c r="UZP43" s="60"/>
      <c r="UZQ43" s="60"/>
      <c r="UZR43" s="60"/>
      <c r="UZS43" s="60"/>
      <c r="UZT43" s="60"/>
      <c r="UZU43" s="60"/>
      <c r="UZV43" s="60"/>
      <c r="UZW43" s="60"/>
      <c r="UZX43" s="60"/>
      <c r="UZY43" s="60"/>
      <c r="UZZ43" s="60"/>
      <c r="VAA43" s="60"/>
      <c r="VAB43" s="60"/>
      <c r="VAC43" s="60"/>
      <c r="VAD43" s="60"/>
      <c r="VAE43" s="60"/>
      <c r="VAF43" s="60"/>
      <c r="VAG43" s="60"/>
      <c r="VAH43" s="60"/>
      <c r="VAI43" s="60"/>
      <c r="VAJ43" s="60"/>
      <c r="VAK43" s="60"/>
      <c r="VAL43" s="60"/>
      <c r="VAM43" s="60"/>
      <c r="VAN43" s="60"/>
      <c r="VAO43" s="60"/>
      <c r="VAP43" s="60"/>
      <c r="VAQ43" s="60"/>
      <c r="VAR43" s="60"/>
      <c r="VAS43" s="60"/>
      <c r="VAT43" s="60"/>
      <c r="VAU43" s="60"/>
      <c r="VAV43" s="60"/>
      <c r="VAW43" s="60"/>
      <c r="VAX43" s="60"/>
      <c r="VAY43" s="60"/>
      <c r="VAZ43" s="60"/>
      <c r="VBA43" s="60"/>
      <c r="VBB43" s="60"/>
      <c r="VBC43" s="60"/>
      <c r="VBD43" s="60"/>
      <c r="VBE43" s="60"/>
      <c r="VBF43" s="60"/>
      <c r="VBG43" s="60"/>
      <c r="VBH43" s="60"/>
      <c r="VBI43" s="60"/>
      <c r="VBJ43" s="60"/>
      <c r="VBK43" s="60"/>
      <c r="VBL43" s="60"/>
      <c r="VBM43" s="60"/>
      <c r="VBN43" s="60"/>
      <c r="VBO43" s="60"/>
      <c r="VBP43" s="60"/>
      <c r="VBQ43" s="60"/>
      <c r="VBR43" s="60"/>
      <c r="VBS43" s="60"/>
      <c r="VBT43" s="60"/>
      <c r="VBU43" s="60"/>
      <c r="VBV43" s="60"/>
      <c r="VBW43" s="60"/>
      <c r="VBX43" s="60"/>
      <c r="VBY43" s="60"/>
      <c r="VBZ43" s="60"/>
      <c r="VCA43" s="60"/>
      <c r="VCB43" s="60"/>
      <c r="VCC43" s="60"/>
      <c r="VCD43" s="60"/>
      <c r="VCE43" s="60"/>
      <c r="VCF43" s="60"/>
      <c r="VCG43" s="60"/>
      <c r="VCH43" s="60"/>
      <c r="VCI43" s="60"/>
      <c r="VCJ43" s="60"/>
      <c r="VCK43" s="60"/>
      <c r="VCL43" s="60"/>
      <c r="VCM43" s="60"/>
      <c r="VCN43" s="60"/>
      <c r="VCO43" s="60"/>
      <c r="VCP43" s="60"/>
      <c r="VCQ43" s="60"/>
      <c r="VCR43" s="60"/>
      <c r="VCS43" s="60"/>
      <c r="VCT43" s="60"/>
      <c r="VCU43" s="60"/>
      <c r="VCV43" s="60"/>
      <c r="VCW43" s="60"/>
      <c r="VCX43" s="60"/>
      <c r="VCY43" s="60"/>
      <c r="VCZ43" s="60"/>
      <c r="VDA43" s="60"/>
      <c r="VDB43" s="60"/>
      <c r="VDC43" s="60"/>
      <c r="VDD43" s="60"/>
      <c r="VDE43" s="60"/>
      <c r="VDF43" s="60"/>
      <c r="VDG43" s="60"/>
      <c r="VDH43" s="60"/>
      <c r="VDI43" s="60"/>
      <c r="VDJ43" s="60"/>
      <c r="VDK43" s="60"/>
      <c r="VDL43" s="60"/>
      <c r="VDM43" s="60"/>
      <c r="VDN43" s="60"/>
      <c r="VDO43" s="60"/>
      <c r="VDP43" s="60"/>
      <c r="VDQ43" s="60"/>
      <c r="VDR43" s="60"/>
      <c r="VDS43" s="60"/>
      <c r="VDT43" s="60"/>
      <c r="VDU43" s="60"/>
      <c r="VDV43" s="60"/>
      <c r="VDW43" s="60"/>
      <c r="VDX43" s="60"/>
      <c r="VDY43" s="60"/>
      <c r="VDZ43" s="60"/>
      <c r="VEA43" s="60"/>
      <c r="VEB43" s="60"/>
      <c r="VEC43" s="60"/>
      <c r="VED43" s="60"/>
      <c r="VEE43" s="60"/>
      <c r="VEF43" s="60"/>
      <c r="VEG43" s="60"/>
      <c r="VEH43" s="60"/>
      <c r="VEI43" s="60"/>
      <c r="VEJ43" s="60"/>
      <c r="VEK43" s="60"/>
      <c r="VEL43" s="60"/>
      <c r="VEM43" s="60"/>
      <c r="VEN43" s="60"/>
      <c r="VEO43" s="60"/>
      <c r="VEP43" s="60"/>
      <c r="VEQ43" s="60"/>
      <c r="VER43" s="60"/>
      <c r="VES43" s="60"/>
      <c r="VET43" s="60"/>
      <c r="VEU43" s="60"/>
      <c r="VEV43" s="60"/>
      <c r="VEW43" s="60"/>
      <c r="VEX43" s="60"/>
      <c r="VEY43" s="60"/>
      <c r="VEZ43" s="60"/>
      <c r="VFA43" s="60"/>
      <c r="VFB43" s="60"/>
      <c r="VFC43" s="60"/>
      <c r="VFD43" s="60"/>
      <c r="VFE43" s="60"/>
      <c r="VFF43" s="60"/>
      <c r="VFG43" s="60"/>
      <c r="VFH43" s="60"/>
      <c r="VFI43" s="60"/>
      <c r="VFJ43" s="60"/>
      <c r="VFK43" s="60"/>
      <c r="VFL43" s="60"/>
      <c r="VFM43" s="60"/>
      <c r="VFN43" s="60"/>
      <c r="VFO43" s="60"/>
      <c r="VFP43" s="60"/>
      <c r="VFQ43" s="60"/>
      <c r="VFR43" s="60"/>
      <c r="VFS43" s="60"/>
      <c r="VFT43" s="60"/>
      <c r="VFU43" s="60"/>
      <c r="VFV43" s="60"/>
      <c r="VFW43" s="60"/>
      <c r="VFX43" s="60"/>
      <c r="VFY43" s="60"/>
      <c r="VFZ43" s="60"/>
      <c r="VGA43" s="60"/>
      <c r="VGB43" s="60"/>
      <c r="VGC43" s="60"/>
      <c r="VGD43" s="60"/>
      <c r="VGE43" s="60"/>
      <c r="VGF43" s="60"/>
      <c r="VGG43" s="60"/>
      <c r="VGH43" s="60"/>
      <c r="VGI43" s="60"/>
      <c r="VGJ43" s="60"/>
      <c r="VGK43" s="60"/>
      <c r="VGL43" s="60"/>
      <c r="VGM43" s="60"/>
      <c r="VGN43" s="60"/>
      <c r="VGO43" s="60"/>
      <c r="VGP43" s="60"/>
      <c r="VGQ43" s="60"/>
      <c r="VGR43" s="60"/>
      <c r="VGS43" s="60"/>
      <c r="VGT43" s="60"/>
      <c r="VGU43" s="60"/>
      <c r="VGV43" s="60"/>
      <c r="VGW43" s="60"/>
      <c r="VGX43" s="60"/>
      <c r="VGY43" s="60"/>
      <c r="VGZ43" s="60"/>
      <c r="VHA43" s="60"/>
      <c r="VHB43" s="60"/>
      <c r="VHC43" s="60"/>
      <c r="VHD43" s="60"/>
      <c r="VHE43" s="60"/>
      <c r="VHF43" s="60"/>
      <c r="VHG43" s="60"/>
      <c r="VHH43" s="60"/>
      <c r="VHI43" s="60"/>
      <c r="VHJ43" s="60"/>
      <c r="VHK43" s="60"/>
      <c r="VHL43" s="60"/>
      <c r="VHM43" s="60"/>
      <c r="VHN43" s="60"/>
      <c r="VHO43" s="60"/>
      <c r="VHP43" s="60"/>
      <c r="VHQ43" s="60"/>
      <c r="VHR43" s="60"/>
      <c r="VHS43" s="60"/>
      <c r="VHT43" s="60"/>
      <c r="VHU43" s="60"/>
      <c r="VHV43" s="60"/>
      <c r="VHW43" s="60"/>
      <c r="VHX43" s="60"/>
      <c r="VHY43" s="60"/>
      <c r="VHZ43" s="60"/>
      <c r="VIA43" s="60"/>
      <c r="VIB43" s="60"/>
      <c r="VIC43" s="60"/>
      <c r="VID43" s="60"/>
      <c r="VIE43" s="60"/>
      <c r="VIF43" s="60"/>
      <c r="VIG43" s="60"/>
      <c r="VIH43" s="60"/>
      <c r="VII43" s="60"/>
      <c r="VIJ43" s="60"/>
      <c r="VIK43" s="60"/>
      <c r="VIL43" s="60"/>
      <c r="VIM43" s="60"/>
      <c r="VIN43" s="60"/>
      <c r="VIO43" s="60"/>
      <c r="VIP43" s="60"/>
      <c r="VIQ43" s="60"/>
      <c r="VIR43" s="60"/>
      <c r="VIS43" s="60"/>
      <c r="VIT43" s="60"/>
      <c r="VIU43" s="60"/>
      <c r="VIV43" s="60"/>
      <c r="VIW43" s="60"/>
      <c r="VIX43" s="60"/>
      <c r="VIY43" s="60"/>
      <c r="VIZ43" s="60"/>
      <c r="VJA43" s="60"/>
      <c r="VJB43" s="60"/>
      <c r="VJC43" s="60"/>
      <c r="VJD43" s="60"/>
      <c r="VJE43" s="60"/>
      <c r="VJF43" s="60"/>
      <c r="VJG43" s="60"/>
      <c r="VJH43" s="60"/>
      <c r="VJI43" s="60"/>
      <c r="VJJ43" s="60"/>
      <c r="VJK43" s="60"/>
      <c r="VJL43" s="60"/>
      <c r="VJM43" s="60"/>
      <c r="VJN43" s="60"/>
      <c r="VJO43" s="60"/>
      <c r="VJP43" s="60"/>
      <c r="VJQ43" s="60"/>
      <c r="VJR43" s="60"/>
      <c r="VJS43" s="60"/>
      <c r="VJT43" s="60"/>
      <c r="VJU43" s="60"/>
      <c r="VJV43" s="60"/>
      <c r="VJW43" s="60"/>
      <c r="VJX43" s="60"/>
      <c r="VJY43" s="60"/>
      <c r="VJZ43" s="60"/>
      <c r="VKA43" s="60"/>
      <c r="VKB43" s="60"/>
      <c r="VKC43" s="60"/>
      <c r="VKD43" s="60"/>
      <c r="VKE43" s="60"/>
      <c r="VKF43" s="60"/>
      <c r="VKG43" s="60"/>
      <c r="VKH43" s="60"/>
      <c r="VKI43" s="60"/>
      <c r="VKJ43" s="60"/>
      <c r="VKK43" s="60"/>
      <c r="VKL43" s="60"/>
      <c r="VKM43" s="60"/>
      <c r="VKN43" s="60"/>
      <c r="VKO43" s="60"/>
      <c r="VKP43" s="60"/>
      <c r="VKQ43" s="60"/>
      <c r="VKR43" s="60"/>
      <c r="VKS43" s="60"/>
      <c r="VKT43" s="60"/>
      <c r="VKU43" s="60"/>
      <c r="VKV43" s="60"/>
      <c r="VKW43" s="60"/>
      <c r="VKX43" s="60"/>
      <c r="VKY43" s="60"/>
      <c r="VKZ43" s="60"/>
      <c r="VLA43" s="60"/>
      <c r="VLB43" s="60"/>
      <c r="VLC43" s="60"/>
      <c r="VLD43" s="60"/>
      <c r="VLE43" s="60"/>
      <c r="VLF43" s="60"/>
      <c r="VLG43" s="60"/>
      <c r="VLH43" s="60"/>
      <c r="VLI43" s="60"/>
      <c r="VLJ43" s="60"/>
      <c r="VLK43" s="60"/>
      <c r="VLL43" s="60"/>
      <c r="VLM43" s="60"/>
      <c r="VLN43" s="60"/>
      <c r="VLO43" s="60"/>
      <c r="VLP43" s="60"/>
      <c r="VLQ43" s="60"/>
      <c r="VLR43" s="60"/>
      <c r="VLS43" s="60"/>
      <c r="VLT43" s="60"/>
      <c r="VLU43" s="60"/>
      <c r="VLV43" s="60"/>
      <c r="VLW43" s="60"/>
      <c r="VLX43" s="60"/>
      <c r="VLY43" s="60"/>
      <c r="VLZ43" s="60"/>
      <c r="VMA43" s="60"/>
      <c r="VMB43" s="60"/>
      <c r="VMC43" s="60"/>
      <c r="VMD43" s="60"/>
      <c r="VME43" s="60"/>
      <c r="VMF43" s="60"/>
      <c r="VMG43" s="60"/>
      <c r="VMH43" s="60"/>
      <c r="VMI43" s="60"/>
      <c r="VMJ43" s="60"/>
      <c r="VMK43" s="60"/>
      <c r="VML43" s="60"/>
      <c r="VMM43" s="60"/>
      <c r="VMN43" s="60"/>
      <c r="VMO43" s="60"/>
      <c r="VMP43" s="60"/>
      <c r="VMQ43" s="60"/>
      <c r="VMR43" s="60"/>
      <c r="VMS43" s="60"/>
      <c r="VMT43" s="60"/>
      <c r="VMU43" s="60"/>
      <c r="VMV43" s="60"/>
      <c r="VMW43" s="60"/>
      <c r="VMX43" s="60"/>
      <c r="VMY43" s="60"/>
      <c r="VMZ43" s="60"/>
      <c r="VNA43" s="60"/>
      <c r="VNB43" s="60"/>
      <c r="VNC43" s="60"/>
      <c r="VND43" s="60"/>
      <c r="VNE43" s="60"/>
      <c r="VNF43" s="60"/>
      <c r="VNG43" s="60"/>
      <c r="VNH43" s="60"/>
      <c r="VNI43" s="60"/>
      <c r="VNJ43" s="60"/>
      <c r="VNK43" s="60"/>
      <c r="VNL43" s="60"/>
      <c r="VNM43" s="60"/>
      <c r="VNN43" s="60"/>
      <c r="VNO43" s="60"/>
      <c r="VNP43" s="60"/>
      <c r="VNQ43" s="60"/>
      <c r="VNR43" s="60"/>
      <c r="VNS43" s="60"/>
      <c r="VNT43" s="60"/>
      <c r="VNU43" s="60"/>
      <c r="VNV43" s="60"/>
      <c r="VNW43" s="60"/>
      <c r="VNX43" s="60"/>
      <c r="VNY43" s="60"/>
      <c r="VNZ43" s="60"/>
      <c r="VOA43" s="60"/>
      <c r="VOB43" s="60"/>
      <c r="VOC43" s="60"/>
      <c r="VOD43" s="60"/>
      <c r="VOE43" s="60"/>
      <c r="VOF43" s="60"/>
      <c r="VOG43" s="60"/>
      <c r="VOH43" s="60"/>
      <c r="VOI43" s="60"/>
      <c r="VOJ43" s="60"/>
      <c r="VOK43" s="60"/>
      <c r="VOL43" s="60"/>
      <c r="VOM43" s="60"/>
      <c r="VON43" s="60"/>
      <c r="VOO43" s="60"/>
      <c r="VOP43" s="60"/>
      <c r="VOQ43" s="60"/>
      <c r="VOR43" s="60"/>
      <c r="VOS43" s="60"/>
      <c r="VOT43" s="60"/>
      <c r="VOU43" s="60"/>
      <c r="VOV43" s="60"/>
      <c r="VOW43" s="60"/>
      <c r="VOX43" s="60"/>
      <c r="VOY43" s="60"/>
      <c r="VOZ43" s="60"/>
      <c r="VPA43" s="60"/>
      <c r="VPB43" s="60"/>
      <c r="VPC43" s="60"/>
      <c r="VPD43" s="60"/>
      <c r="VPE43" s="60"/>
      <c r="VPF43" s="60"/>
      <c r="VPG43" s="60"/>
      <c r="VPH43" s="60"/>
      <c r="VPI43" s="60"/>
      <c r="VPJ43" s="60"/>
      <c r="VPK43" s="60"/>
      <c r="VPL43" s="60"/>
      <c r="VPM43" s="60"/>
      <c r="VPN43" s="60"/>
      <c r="VPO43" s="60"/>
      <c r="VPP43" s="60"/>
      <c r="VPQ43" s="60"/>
      <c r="VPR43" s="60"/>
      <c r="VPS43" s="60"/>
      <c r="VPT43" s="60"/>
      <c r="VPU43" s="60"/>
      <c r="VPV43" s="60"/>
      <c r="VPW43" s="60"/>
      <c r="VPX43" s="60"/>
      <c r="VPY43" s="60"/>
      <c r="VPZ43" s="60"/>
      <c r="VQA43" s="60"/>
      <c r="VQB43" s="60"/>
      <c r="VQC43" s="60"/>
      <c r="VQD43" s="60"/>
      <c r="VQE43" s="60"/>
      <c r="VQF43" s="60"/>
      <c r="VQG43" s="60"/>
      <c r="VQH43" s="60"/>
      <c r="VQI43" s="60"/>
      <c r="VQJ43" s="60"/>
      <c r="VQK43" s="60"/>
      <c r="VQL43" s="60"/>
      <c r="VQM43" s="60"/>
      <c r="VQN43" s="60"/>
      <c r="VQO43" s="60"/>
      <c r="VQP43" s="60"/>
      <c r="VQQ43" s="60"/>
      <c r="VQR43" s="60"/>
      <c r="VQS43" s="60"/>
      <c r="VQT43" s="60"/>
      <c r="VQU43" s="60"/>
      <c r="VQV43" s="60"/>
      <c r="VQW43" s="60"/>
      <c r="VQX43" s="60"/>
      <c r="VQY43" s="60"/>
      <c r="VQZ43" s="60"/>
      <c r="VRA43" s="60"/>
      <c r="VRB43" s="60"/>
      <c r="VRC43" s="60"/>
      <c r="VRD43" s="60"/>
      <c r="VRE43" s="60"/>
      <c r="VRF43" s="60"/>
      <c r="VRG43" s="60"/>
      <c r="VRH43" s="60"/>
      <c r="VRI43" s="60"/>
      <c r="VRJ43" s="60"/>
      <c r="VRK43" s="60"/>
      <c r="VRL43" s="60"/>
      <c r="VRM43" s="60"/>
      <c r="VRN43" s="60"/>
      <c r="VRO43" s="60"/>
      <c r="VRP43" s="60"/>
      <c r="VRQ43" s="60"/>
      <c r="VRR43" s="60"/>
      <c r="VRS43" s="60"/>
      <c r="VRT43" s="60"/>
      <c r="VRU43" s="60"/>
      <c r="VRV43" s="60"/>
      <c r="VRW43" s="60"/>
      <c r="VRX43" s="60"/>
      <c r="VRY43" s="60"/>
      <c r="VRZ43" s="60"/>
      <c r="VSA43" s="60"/>
      <c r="VSB43" s="60"/>
      <c r="VSC43" s="60"/>
      <c r="VSD43" s="60"/>
      <c r="VSE43" s="60"/>
      <c r="VSF43" s="60"/>
      <c r="VSG43" s="60"/>
      <c r="VSH43" s="60"/>
      <c r="VSI43" s="60"/>
      <c r="VSJ43" s="60"/>
      <c r="VSK43" s="60"/>
      <c r="VSL43" s="60"/>
      <c r="VSM43" s="60"/>
      <c r="VSN43" s="60"/>
      <c r="VSO43" s="60"/>
      <c r="VSP43" s="60"/>
      <c r="VSQ43" s="60"/>
      <c r="VSR43" s="60"/>
      <c r="VSS43" s="60"/>
      <c r="VST43" s="60"/>
      <c r="VSU43" s="60"/>
      <c r="VSV43" s="60"/>
      <c r="VSW43" s="60"/>
      <c r="VSX43" s="60"/>
      <c r="VSY43" s="60"/>
      <c r="VSZ43" s="60"/>
      <c r="VTA43" s="60"/>
      <c r="VTB43" s="60"/>
      <c r="VTC43" s="60"/>
      <c r="VTD43" s="60"/>
      <c r="VTE43" s="60"/>
      <c r="VTF43" s="60"/>
      <c r="VTG43" s="60"/>
      <c r="VTH43" s="60"/>
      <c r="VTI43" s="60"/>
      <c r="VTJ43" s="60"/>
      <c r="VTK43" s="60"/>
      <c r="VTL43" s="60"/>
      <c r="VTM43" s="60"/>
      <c r="VTN43" s="60"/>
      <c r="VTO43" s="60"/>
      <c r="VTP43" s="60"/>
      <c r="VTQ43" s="60"/>
      <c r="VTR43" s="60"/>
      <c r="VTS43" s="60"/>
      <c r="VTT43" s="60"/>
      <c r="VTU43" s="60"/>
      <c r="VTV43" s="60"/>
      <c r="VTW43" s="60"/>
      <c r="VTX43" s="60"/>
      <c r="VTY43" s="60"/>
      <c r="VTZ43" s="60"/>
      <c r="VUA43" s="60"/>
      <c r="VUB43" s="60"/>
      <c r="VUC43" s="60"/>
      <c r="VUD43" s="60"/>
      <c r="VUE43" s="60"/>
      <c r="VUF43" s="60"/>
      <c r="VUG43" s="60"/>
      <c r="VUH43" s="60"/>
      <c r="VUI43" s="60"/>
      <c r="VUJ43" s="60"/>
      <c r="VUK43" s="60"/>
      <c r="VUL43" s="60"/>
      <c r="VUM43" s="60"/>
      <c r="VUN43" s="60"/>
      <c r="VUO43" s="60"/>
      <c r="VUP43" s="60"/>
      <c r="VUQ43" s="60"/>
      <c r="VUR43" s="60"/>
      <c r="VUS43" s="60"/>
      <c r="VUT43" s="60"/>
      <c r="VUU43" s="60"/>
      <c r="VUV43" s="60"/>
      <c r="VUW43" s="60"/>
      <c r="VUX43" s="60"/>
      <c r="VUY43" s="60"/>
      <c r="VUZ43" s="60"/>
      <c r="VVA43" s="60"/>
      <c r="VVB43" s="60"/>
      <c r="VVC43" s="60"/>
      <c r="VVD43" s="60"/>
      <c r="VVE43" s="60"/>
      <c r="VVF43" s="60"/>
      <c r="VVG43" s="60"/>
      <c r="VVH43" s="60"/>
      <c r="VVI43" s="60"/>
      <c r="VVJ43" s="60"/>
      <c r="VVK43" s="60"/>
      <c r="VVL43" s="60"/>
      <c r="VVM43" s="60"/>
      <c r="VVN43" s="60"/>
      <c r="VVO43" s="60"/>
      <c r="VVP43" s="60"/>
      <c r="VVQ43" s="60"/>
      <c r="VVR43" s="60"/>
      <c r="VVS43" s="60"/>
      <c r="VVT43" s="60"/>
      <c r="VVU43" s="60"/>
      <c r="VVV43" s="60"/>
      <c r="VVW43" s="60"/>
      <c r="VVX43" s="60"/>
      <c r="VVY43" s="60"/>
      <c r="VVZ43" s="60"/>
      <c r="VWA43" s="60"/>
      <c r="VWB43" s="60"/>
      <c r="VWC43" s="60"/>
      <c r="VWD43" s="60"/>
      <c r="VWE43" s="60"/>
      <c r="VWF43" s="60"/>
      <c r="VWG43" s="60"/>
      <c r="VWH43" s="60"/>
      <c r="VWI43" s="60"/>
      <c r="VWJ43" s="60"/>
      <c r="VWK43" s="60"/>
      <c r="VWL43" s="60"/>
      <c r="VWM43" s="60"/>
      <c r="VWN43" s="60"/>
      <c r="VWO43" s="60"/>
      <c r="VWP43" s="60"/>
      <c r="VWQ43" s="60"/>
      <c r="VWR43" s="60"/>
      <c r="VWS43" s="60"/>
      <c r="VWT43" s="60"/>
      <c r="VWU43" s="60"/>
      <c r="VWV43" s="60"/>
      <c r="VWW43" s="60"/>
      <c r="VWX43" s="60"/>
      <c r="VWY43" s="60"/>
      <c r="VWZ43" s="60"/>
      <c r="VXA43" s="60"/>
      <c r="VXB43" s="60"/>
      <c r="VXC43" s="60"/>
      <c r="VXD43" s="60"/>
      <c r="VXE43" s="60"/>
      <c r="VXF43" s="60"/>
      <c r="VXG43" s="60"/>
      <c r="VXH43" s="60"/>
      <c r="VXI43" s="60"/>
      <c r="VXJ43" s="60"/>
      <c r="VXK43" s="60"/>
      <c r="VXL43" s="60"/>
      <c r="VXM43" s="60"/>
      <c r="VXN43" s="60"/>
      <c r="VXO43" s="60"/>
      <c r="VXP43" s="60"/>
      <c r="VXQ43" s="60"/>
      <c r="VXR43" s="60"/>
      <c r="VXS43" s="60"/>
      <c r="VXT43" s="60"/>
      <c r="VXU43" s="60"/>
      <c r="VXV43" s="60"/>
      <c r="VXW43" s="60"/>
      <c r="VXX43" s="60"/>
      <c r="VXY43" s="60"/>
      <c r="VXZ43" s="60"/>
      <c r="VYA43" s="60"/>
      <c r="VYB43" s="60"/>
      <c r="VYC43" s="60"/>
      <c r="VYD43" s="60"/>
      <c r="VYE43" s="60"/>
      <c r="VYF43" s="60"/>
      <c r="VYG43" s="60"/>
      <c r="VYH43" s="60"/>
      <c r="VYI43" s="60"/>
      <c r="VYJ43" s="60"/>
      <c r="VYK43" s="60"/>
      <c r="VYL43" s="60"/>
      <c r="VYM43" s="60"/>
      <c r="VYN43" s="60"/>
      <c r="VYO43" s="60"/>
      <c r="VYP43" s="60"/>
      <c r="VYQ43" s="60"/>
      <c r="VYR43" s="60"/>
      <c r="VYS43" s="60"/>
      <c r="VYT43" s="60"/>
      <c r="VYU43" s="60"/>
      <c r="VYV43" s="60"/>
      <c r="VYW43" s="60"/>
      <c r="VYX43" s="60"/>
      <c r="VYY43" s="60"/>
      <c r="VYZ43" s="60"/>
      <c r="VZA43" s="60"/>
      <c r="VZB43" s="60"/>
      <c r="VZC43" s="60"/>
      <c r="VZD43" s="60"/>
      <c r="VZE43" s="60"/>
      <c r="VZF43" s="60"/>
      <c r="VZG43" s="60"/>
      <c r="VZH43" s="60"/>
      <c r="VZI43" s="60"/>
      <c r="VZJ43" s="60"/>
      <c r="VZK43" s="60"/>
      <c r="VZL43" s="60"/>
      <c r="VZM43" s="60"/>
      <c r="VZN43" s="60"/>
      <c r="VZO43" s="60"/>
      <c r="VZP43" s="60"/>
      <c r="VZQ43" s="60"/>
      <c r="VZR43" s="60"/>
      <c r="VZS43" s="60"/>
      <c r="VZT43" s="60"/>
      <c r="VZU43" s="60"/>
      <c r="VZV43" s="60"/>
      <c r="VZW43" s="60"/>
      <c r="VZX43" s="60"/>
      <c r="VZY43" s="60"/>
      <c r="VZZ43" s="60"/>
      <c r="WAA43" s="60"/>
      <c r="WAB43" s="60"/>
      <c r="WAC43" s="60"/>
      <c r="WAD43" s="60"/>
      <c r="WAE43" s="60"/>
      <c r="WAF43" s="60"/>
      <c r="WAG43" s="60"/>
      <c r="WAH43" s="60"/>
      <c r="WAI43" s="60"/>
      <c r="WAJ43" s="60"/>
      <c r="WAK43" s="60"/>
      <c r="WAL43" s="60"/>
      <c r="WAM43" s="60"/>
      <c r="WAN43" s="60"/>
      <c r="WAO43" s="60"/>
      <c r="WAP43" s="60"/>
      <c r="WAQ43" s="60"/>
      <c r="WAR43" s="60"/>
      <c r="WAS43" s="60"/>
      <c r="WAT43" s="60"/>
      <c r="WAU43" s="60"/>
      <c r="WAV43" s="60"/>
      <c r="WAW43" s="60"/>
      <c r="WAX43" s="60"/>
      <c r="WAY43" s="60"/>
      <c r="WAZ43" s="60"/>
      <c r="WBA43" s="60"/>
      <c r="WBB43" s="60"/>
      <c r="WBC43" s="60"/>
      <c r="WBD43" s="60"/>
      <c r="WBE43" s="60"/>
      <c r="WBF43" s="60"/>
      <c r="WBG43" s="60"/>
      <c r="WBH43" s="60"/>
      <c r="WBI43" s="60"/>
      <c r="WBJ43" s="60"/>
      <c r="WBK43" s="60"/>
      <c r="WBL43" s="60"/>
      <c r="WBM43" s="60"/>
      <c r="WBN43" s="60"/>
      <c r="WBO43" s="60"/>
      <c r="WBP43" s="60"/>
      <c r="WBQ43" s="60"/>
      <c r="WBR43" s="60"/>
      <c r="WBS43" s="60"/>
      <c r="WBT43" s="60"/>
      <c r="WBU43" s="60"/>
      <c r="WBV43" s="60"/>
      <c r="WBW43" s="60"/>
      <c r="WBX43" s="60"/>
      <c r="WBY43" s="60"/>
      <c r="WBZ43" s="60"/>
      <c r="WCA43" s="60"/>
      <c r="WCB43" s="60"/>
      <c r="WCC43" s="60"/>
      <c r="WCD43" s="60"/>
      <c r="WCE43" s="60"/>
      <c r="WCF43" s="60"/>
      <c r="WCG43" s="60"/>
      <c r="WCH43" s="60"/>
      <c r="WCI43" s="60"/>
      <c r="WCJ43" s="60"/>
      <c r="WCK43" s="60"/>
      <c r="WCL43" s="60"/>
      <c r="WCM43" s="60"/>
      <c r="WCN43" s="60"/>
      <c r="WCO43" s="60"/>
      <c r="WCP43" s="60"/>
      <c r="WCQ43" s="60"/>
      <c r="WCR43" s="60"/>
      <c r="WCS43" s="60"/>
      <c r="WCT43" s="60"/>
      <c r="WCU43" s="60"/>
      <c r="WCV43" s="60"/>
      <c r="WCW43" s="60"/>
      <c r="WCX43" s="60"/>
      <c r="WCY43" s="60"/>
      <c r="WCZ43" s="60"/>
      <c r="WDA43" s="60"/>
      <c r="WDB43" s="60"/>
      <c r="WDC43" s="60"/>
      <c r="WDD43" s="60"/>
      <c r="WDE43" s="60"/>
      <c r="WDF43" s="60"/>
      <c r="WDG43" s="60"/>
      <c r="WDH43" s="60"/>
      <c r="WDI43" s="60"/>
      <c r="WDJ43" s="60"/>
      <c r="WDK43" s="60"/>
      <c r="WDL43" s="60"/>
      <c r="WDM43" s="60"/>
      <c r="WDN43" s="60"/>
      <c r="WDO43" s="60"/>
      <c r="WDP43" s="60"/>
      <c r="WDQ43" s="60"/>
      <c r="WDR43" s="60"/>
      <c r="WDS43" s="60"/>
      <c r="WDT43" s="60"/>
      <c r="WDU43" s="60"/>
      <c r="WDV43" s="60"/>
      <c r="WDW43" s="60"/>
      <c r="WDX43" s="60"/>
      <c r="WDY43" s="60"/>
      <c r="WDZ43" s="60"/>
      <c r="WEA43" s="60"/>
      <c r="WEB43" s="60"/>
      <c r="WEC43" s="60"/>
      <c r="WED43" s="60"/>
      <c r="WEE43" s="60"/>
      <c r="WEF43" s="60"/>
      <c r="WEG43" s="60"/>
      <c r="WEH43" s="60"/>
      <c r="WEI43" s="60"/>
      <c r="WEJ43" s="60"/>
      <c r="WEK43" s="60"/>
      <c r="WEL43" s="60"/>
      <c r="WEM43" s="60"/>
      <c r="WEN43" s="60"/>
      <c r="WEO43" s="60"/>
      <c r="WEP43" s="60"/>
      <c r="WEQ43" s="60"/>
      <c r="WER43" s="60"/>
      <c r="WES43" s="60"/>
      <c r="WET43" s="60"/>
      <c r="WEU43" s="60"/>
      <c r="WEV43" s="60"/>
      <c r="WEW43" s="60"/>
      <c r="WEX43" s="60"/>
      <c r="WEY43" s="60"/>
      <c r="WEZ43" s="60"/>
      <c r="WFA43" s="60"/>
      <c r="WFB43" s="60"/>
      <c r="WFC43" s="60"/>
      <c r="WFD43" s="60"/>
      <c r="WFE43" s="60"/>
      <c r="WFF43" s="60"/>
      <c r="WFG43" s="60"/>
      <c r="WFH43" s="60"/>
      <c r="WFI43" s="60"/>
      <c r="WFJ43" s="60"/>
      <c r="WFK43" s="60"/>
      <c r="WFL43" s="60"/>
      <c r="WFM43" s="60"/>
      <c r="WFN43" s="60"/>
      <c r="WFO43" s="60"/>
      <c r="WFP43" s="60"/>
      <c r="WFQ43" s="60"/>
      <c r="WFR43" s="60"/>
      <c r="WFS43" s="60"/>
      <c r="WFT43" s="60"/>
      <c r="WFU43" s="60"/>
      <c r="WFV43" s="60"/>
      <c r="WFW43" s="60"/>
      <c r="WFX43" s="60"/>
      <c r="WFY43" s="60"/>
      <c r="WFZ43" s="60"/>
      <c r="WGA43" s="60"/>
      <c r="WGB43" s="60"/>
      <c r="WGC43" s="60"/>
      <c r="WGD43" s="60"/>
      <c r="WGE43" s="60"/>
      <c r="WGF43" s="60"/>
      <c r="WGG43" s="60"/>
      <c r="WGH43" s="60"/>
      <c r="WGI43" s="60"/>
      <c r="WGJ43" s="60"/>
      <c r="WGK43" s="60"/>
      <c r="WGL43" s="60"/>
      <c r="WGM43" s="60"/>
      <c r="WGN43" s="60"/>
      <c r="WGO43" s="60"/>
      <c r="WGP43" s="60"/>
      <c r="WGQ43" s="60"/>
      <c r="WGR43" s="60"/>
      <c r="WGS43" s="60"/>
      <c r="WGT43" s="60"/>
      <c r="WGU43" s="60"/>
      <c r="WGV43" s="60"/>
      <c r="WGW43" s="60"/>
      <c r="WGX43" s="60"/>
      <c r="WGY43" s="60"/>
      <c r="WGZ43" s="60"/>
      <c r="WHA43" s="60"/>
      <c r="WHB43" s="60"/>
      <c r="WHC43" s="60"/>
      <c r="WHD43" s="60"/>
      <c r="WHE43" s="60"/>
      <c r="WHF43" s="60"/>
      <c r="WHG43" s="60"/>
      <c r="WHH43" s="60"/>
      <c r="WHI43" s="60"/>
      <c r="WHJ43" s="60"/>
      <c r="WHK43" s="60"/>
      <c r="WHL43" s="60"/>
      <c r="WHM43" s="60"/>
      <c r="WHN43" s="60"/>
      <c r="WHO43" s="60"/>
      <c r="WHP43" s="60"/>
      <c r="WHQ43" s="60"/>
      <c r="WHR43" s="60"/>
      <c r="WHS43" s="60"/>
      <c r="WHT43" s="60"/>
      <c r="WHU43" s="60"/>
      <c r="WHV43" s="60"/>
      <c r="WHW43" s="60"/>
      <c r="WHX43" s="60"/>
      <c r="WHY43" s="60"/>
      <c r="WHZ43" s="60"/>
      <c r="WIA43" s="60"/>
      <c r="WIB43" s="60"/>
      <c r="WIC43" s="60"/>
      <c r="WID43" s="60"/>
      <c r="WIE43" s="60"/>
      <c r="WIF43" s="60"/>
      <c r="WIG43" s="60"/>
      <c r="WIH43" s="60"/>
      <c r="WII43" s="60"/>
      <c r="WIJ43" s="60"/>
      <c r="WIK43" s="60"/>
      <c r="WIL43" s="60"/>
      <c r="WIM43" s="60"/>
      <c r="WIN43" s="60"/>
      <c r="WIO43" s="60"/>
      <c r="WIP43" s="60"/>
      <c r="WIQ43" s="60"/>
      <c r="WIR43" s="60"/>
      <c r="WIS43" s="60"/>
      <c r="WIT43" s="60"/>
      <c r="WIU43" s="60"/>
      <c r="WIV43" s="60"/>
      <c r="WIW43" s="60"/>
      <c r="WIX43" s="60"/>
      <c r="WIY43" s="60"/>
      <c r="WIZ43" s="60"/>
      <c r="WJA43" s="60"/>
      <c r="WJB43" s="60"/>
      <c r="WJC43" s="60"/>
      <c r="WJD43" s="60"/>
      <c r="WJE43" s="60"/>
      <c r="WJF43" s="60"/>
      <c r="WJG43" s="60"/>
      <c r="WJH43" s="60"/>
      <c r="WJI43" s="60"/>
      <c r="WJJ43" s="60"/>
      <c r="WJK43" s="60"/>
      <c r="WJL43" s="60"/>
      <c r="WJM43" s="60"/>
      <c r="WJN43" s="60"/>
      <c r="WJO43" s="60"/>
      <c r="WJP43" s="60"/>
      <c r="WJQ43" s="60"/>
      <c r="WJR43" s="60"/>
      <c r="WJS43" s="60"/>
      <c r="WJT43" s="60"/>
      <c r="WJU43" s="60"/>
      <c r="WJV43" s="60"/>
      <c r="WJW43" s="60"/>
      <c r="WJX43" s="60"/>
      <c r="WJY43" s="60"/>
      <c r="WJZ43" s="60"/>
      <c r="WKA43" s="60"/>
      <c r="WKB43" s="60"/>
      <c r="WKC43" s="60"/>
      <c r="WKD43" s="60"/>
      <c r="WKE43" s="60"/>
      <c r="WKF43" s="60"/>
      <c r="WKG43" s="60"/>
      <c r="WKH43" s="60"/>
      <c r="WKI43" s="60"/>
      <c r="WKJ43" s="60"/>
      <c r="WKK43" s="60"/>
      <c r="WKL43" s="60"/>
      <c r="WKM43" s="60"/>
      <c r="WKN43" s="60"/>
      <c r="WKO43" s="60"/>
      <c r="WKP43" s="60"/>
      <c r="WKQ43" s="60"/>
      <c r="WKR43" s="60"/>
      <c r="WKS43" s="60"/>
      <c r="WKT43" s="60"/>
      <c r="WKU43" s="60"/>
      <c r="WKV43" s="60"/>
      <c r="WKW43" s="60"/>
      <c r="WKX43" s="60"/>
      <c r="WKY43" s="60"/>
      <c r="WKZ43" s="60"/>
      <c r="WLA43" s="60"/>
      <c r="WLB43" s="60"/>
      <c r="WLC43" s="60"/>
      <c r="WLD43" s="60"/>
      <c r="WLE43" s="60"/>
      <c r="WLF43" s="60"/>
      <c r="WLG43" s="60"/>
      <c r="WLH43" s="60"/>
      <c r="WLI43" s="60"/>
      <c r="WLJ43" s="60"/>
      <c r="WLK43" s="60"/>
      <c r="WLL43" s="60"/>
      <c r="WLM43" s="60"/>
      <c r="WLN43" s="60"/>
      <c r="WLO43" s="60"/>
      <c r="WLP43" s="60"/>
      <c r="WLQ43" s="60"/>
      <c r="WLR43" s="60"/>
      <c r="WLS43" s="60"/>
      <c r="WLT43" s="60"/>
      <c r="WLU43" s="60"/>
      <c r="WLV43" s="60"/>
      <c r="WLW43" s="60"/>
      <c r="WLX43" s="60"/>
      <c r="WLY43" s="60"/>
      <c r="WLZ43" s="60"/>
      <c r="WMA43" s="60"/>
      <c r="WMB43" s="60"/>
      <c r="WMC43" s="60"/>
      <c r="WMD43" s="60"/>
      <c r="WME43" s="60"/>
      <c r="WMF43" s="60"/>
      <c r="WMG43" s="60"/>
      <c r="WMH43" s="60"/>
      <c r="WMI43" s="60"/>
      <c r="WMJ43" s="60"/>
      <c r="WMK43" s="60"/>
      <c r="WML43" s="60"/>
      <c r="WMM43" s="60"/>
      <c r="WMN43" s="60"/>
      <c r="WMO43" s="60"/>
      <c r="WMP43" s="60"/>
      <c r="WMQ43" s="60"/>
      <c r="WMR43" s="60"/>
      <c r="WMS43" s="60"/>
      <c r="WMT43" s="60"/>
      <c r="WMU43" s="60"/>
      <c r="WMV43" s="60"/>
      <c r="WMW43" s="60"/>
      <c r="WMX43" s="60"/>
      <c r="WMY43" s="60"/>
      <c r="WMZ43" s="60"/>
      <c r="WNA43" s="60"/>
      <c r="WNB43" s="60"/>
      <c r="WNC43" s="60"/>
      <c r="WND43" s="60"/>
      <c r="WNE43" s="60"/>
      <c r="WNF43" s="60"/>
      <c r="WNG43" s="60"/>
      <c r="WNH43" s="60"/>
      <c r="WNI43" s="60"/>
      <c r="WNJ43" s="60"/>
      <c r="WNK43" s="60"/>
      <c r="WNL43" s="60"/>
      <c r="WNM43" s="60"/>
      <c r="WNN43" s="60"/>
      <c r="WNO43" s="60"/>
      <c r="WNP43" s="60"/>
      <c r="WNQ43" s="60"/>
      <c r="WNR43" s="60"/>
      <c r="WNS43" s="60"/>
      <c r="WNT43" s="60"/>
      <c r="WNU43" s="60"/>
      <c r="WNV43" s="60"/>
      <c r="WNW43" s="60"/>
      <c r="WNX43" s="60"/>
      <c r="WNY43" s="60"/>
      <c r="WNZ43" s="60"/>
      <c r="WOA43" s="60"/>
      <c r="WOB43" s="60"/>
      <c r="WOC43" s="60"/>
      <c r="WOD43" s="60"/>
      <c r="WOE43" s="60"/>
      <c r="WOF43" s="60"/>
      <c r="WOG43" s="60"/>
      <c r="WOH43" s="60"/>
      <c r="WOI43" s="60"/>
      <c r="WOJ43" s="60"/>
      <c r="WOK43" s="60"/>
      <c r="WOL43" s="60"/>
      <c r="WOM43" s="60"/>
      <c r="WON43" s="60"/>
      <c r="WOO43" s="60"/>
      <c r="WOP43" s="60"/>
      <c r="WOQ43" s="60"/>
      <c r="WOR43" s="60"/>
      <c r="WOS43" s="60"/>
      <c r="WOT43" s="60"/>
      <c r="WOU43" s="60"/>
      <c r="WOV43" s="60"/>
      <c r="WOW43" s="60"/>
      <c r="WOX43" s="60"/>
      <c r="WOY43" s="60"/>
      <c r="WOZ43" s="60"/>
      <c r="WPA43" s="60"/>
      <c r="WPB43" s="60"/>
      <c r="WPC43" s="60"/>
      <c r="WPD43" s="60"/>
      <c r="WPE43" s="60"/>
      <c r="WPF43" s="60"/>
      <c r="WPG43" s="60"/>
      <c r="WPH43" s="60"/>
      <c r="WPI43" s="60"/>
      <c r="WPJ43" s="60"/>
      <c r="WPK43" s="60"/>
      <c r="WPL43" s="60"/>
      <c r="WPM43" s="60"/>
      <c r="WPN43" s="60"/>
      <c r="WPO43" s="60"/>
      <c r="WPP43" s="60"/>
      <c r="WPQ43" s="60"/>
      <c r="WPR43" s="60"/>
      <c r="WPS43" s="60"/>
      <c r="WPT43" s="60"/>
      <c r="WPU43" s="60"/>
      <c r="WPV43" s="60"/>
      <c r="WPW43" s="60"/>
      <c r="WPX43" s="60"/>
      <c r="WPY43" s="60"/>
      <c r="WPZ43" s="60"/>
      <c r="WQA43" s="60"/>
      <c r="WQB43" s="60"/>
      <c r="WQC43" s="60"/>
      <c r="WQD43" s="60"/>
      <c r="WQE43" s="60"/>
      <c r="WQF43" s="60"/>
      <c r="WQG43" s="60"/>
      <c r="WQH43" s="60"/>
      <c r="WQI43" s="60"/>
      <c r="WQJ43" s="60"/>
      <c r="WQK43" s="60"/>
      <c r="WQL43" s="60"/>
      <c r="WQM43" s="60"/>
      <c r="WQN43" s="60"/>
      <c r="WQO43" s="60"/>
      <c r="WQP43" s="60"/>
      <c r="WQQ43" s="60"/>
      <c r="WQR43" s="60"/>
      <c r="WQS43" s="60"/>
      <c r="WQT43" s="60"/>
      <c r="WQU43" s="60"/>
      <c r="WQV43" s="60"/>
      <c r="WQW43" s="60"/>
      <c r="WQX43" s="60"/>
      <c r="WQY43" s="60"/>
      <c r="WQZ43" s="60"/>
      <c r="WRA43" s="60"/>
      <c r="WRB43" s="60"/>
      <c r="WRC43" s="60"/>
      <c r="WRD43" s="60"/>
      <c r="WRE43" s="60"/>
      <c r="WRF43" s="60"/>
      <c r="WRG43" s="60"/>
      <c r="WRH43" s="60"/>
      <c r="WRI43" s="60"/>
      <c r="WRJ43" s="60"/>
      <c r="WRK43" s="60"/>
      <c r="WRL43" s="60"/>
      <c r="WRM43" s="60"/>
      <c r="WRN43" s="60"/>
      <c r="WRO43" s="60"/>
      <c r="WRP43" s="60"/>
      <c r="WRQ43" s="60"/>
      <c r="WRR43" s="60"/>
      <c r="WRS43" s="60"/>
      <c r="WRT43" s="60"/>
      <c r="WRU43" s="60"/>
      <c r="WRV43" s="60"/>
      <c r="WRW43" s="60"/>
      <c r="WRX43" s="60"/>
      <c r="WRY43" s="60"/>
      <c r="WRZ43" s="60"/>
      <c r="WSA43" s="60"/>
      <c r="WSB43" s="60"/>
      <c r="WSC43" s="60"/>
      <c r="WSD43" s="60"/>
      <c r="WSE43" s="60"/>
      <c r="WSF43" s="60"/>
      <c r="WSG43" s="60"/>
      <c r="WSH43" s="60"/>
      <c r="WSI43" s="60"/>
      <c r="WSJ43" s="60"/>
      <c r="WSK43" s="60"/>
      <c r="WSL43" s="60"/>
      <c r="WSM43" s="60"/>
      <c r="WSN43" s="60"/>
      <c r="WSO43" s="60"/>
      <c r="WSP43" s="60"/>
      <c r="WSQ43" s="60"/>
      <c r="WSR43" s="60"/>
      <c r="WSS43" s="60"/>
      <c r="WST43" s="60"/>
      <c r="WSU43" s="60"/>
      <c r="WSV43" s="60"/>
      <c r="WSW43" s="60"/>
      <c r="WSX43" s="60"/>
      <c r="WSY43" s="60"/>
      <c r="WSZ43" s="60"/>
      <c r="WTA43" s="60"/>
      <c r="WTB43" s="60"/>
      <c r="WTC43" s="60"/>
      <c r="WTD43" s="60"/>
      <c r="WTE43" s="60"/>
      <c r="WTF43" s="60"/>
      <c r="WTG43" s="60"/>
      <c r="WTH43" s="60"/>
      <c r="WTI43" s="60"/>
      <c r="WTJ43" s="60"/>
      <c r="WTK43" s="60"/>
      <c r="WTL43" s="60"/>
      <c r="WTM43" s="60"/>
      <c r="WTN43" s="60"/>
      <c r="WTO43" s="60"/>
      <c r="WTP43" s="60"/>
      <c r="WTQ43" s="60"/>
      <c r="WTR43" s="60"/>
      <c r="WTS43" s="60"/>
      <c r="WTT43" s="60"/>
      <c r="WTU43" s="60"/>
      <c r="WTV43" s="60"/>
      <c r="WTW43" s="60"/>
      <c r="WTX43" s="60"/>
      <c r="WTY43" s="60"/>
      <c r="WTZ43" s="60"/>
      <c r="WUA43" s="60"/>
      <c r="WUB43" s="60"/>
      <c r="WUC43" s="60"/>
      <c r="WUD43" s="60"/>
      <c r="WUE43" s="60"/>
      <c r="WUF43" s="60"/>
      <c r="WUG43" s="60"/>
      <c r="WUH43" s="60"/>
      <c r="WUI43" s="60"/>
      <c r="WUJ43" s="60"/>
      <c r="WUK43" s="60"/>
      <c r="WUL43" s="60"/>
      <c r="WUM43" s="60"/>
      <c r="WUN43" s="60"/>
      <c r="WUO43" s="60"/>
      <c r="WUP43" s="60"/>
      <c r="WUQ43" s="60"/>
      <c r="WUR43" s="60"/>
      <c r="WUS43" s="60"/>
      <c r="WUT43" s="60"/>
      <c r="WUU43" s="60"/>
      <c r="WUV43" s="60"/>
      <c r="WUW43" s="60"/>
      <c r="WUX43" s="60"/>
      <c r="WUY43" s="60"/>
      <c r="WUZ43" s="60"/>
      <c r="WVA43" s="60"/>
      <c r="WVB43" s="60"/>
      <c r="WVC43" s="60"/>
      <c r="WVD43" s="60"/>
      <c r="WVE43" s="60"/>
      <c r="WVF43" s="60"/>
      <c r="WVG43" s="60"/>
      <c r="WVH43" s="60"/>
      <c r="WVI43" s="60"/>
      <c r="WVJ43" s="60"/>
      <c r="WVK43" s="60"/>
      <c r="WVL43" s="60"/>
      <c r="WVM43" s="60"/>
      <c r="WVN43" s="60"/>
      <c r="WVO43" s="60"/>
      <c r="WVP43" s="60"/>
      <c r="WVQ43" s="60"/>
      <c r="WVR43" s="60"/>
      <c r="WVS43" s="60"/>
      <c r="WVT43" s="60"/>
      <c r="WVU43" s="60"/>
      <c r="WVV43" s="60"/>
      <c r="WVW43" s="60"/>
      <c r="WVX43" s="60"/>
      <c r="WVY43" s="60"/>
      <c r="WVZ43" s="60"/>
      <c r="WWA43" s="60"/>
      <c r="WWB43" s="60"/>
      <c r="WWC43" s="60"/>
      <c r="WWD43" s="60"/>
      <c r="WWE43" s="60"/>
      <c r="WWF43" s="60"/>
      <c r="WWG43" s="60"/>
      <c r="WWH43" s="60"/>
      <c r="WWI43" s="60"/>
      <c r="WWJ43" s="60"/>
      <c r="WWK43" s="60"/>
      <c r="WWL43" s="60"/>
      <c r="WWM43" s="60"/>
      <c r="WWN43" s="60"/>
      <c r="WWO43" s="60"/>
      <c r="WWP43" s="60"/>
      <c r="WWQ43" s="60"/>
      <c r="WWR43" s="60"/>
      <c r="WWS43" s="60"/>
      <c r="WWT43" s="60"/>
      <c r="WWU43" s="60"/>
      <c r="WWV43" s="60"/>
      <c r="WWW43" s="60"/>
      <c r="WWX43" s="60"/>
      <c r="WWY43" s="60"/>
      <c r="WWZ43" s="60"/>
      <c r="WXA43" s="60"/>
      <c r="WXB43" s="60"/>
      <c r="WXC43" s="60"/>
      <c r="WXD43" s="60"/>
      <c r="WXE43" s="60"/>
      <c r="WXF43" s="60"/>
      <c r="WXG43" s="60"/>
      <c r="WXH43" s="60"/>
      <c r="WXI43" s="60"/>
      <c r="WXJ43" s="60"/>
      <c r="WXK43" s="60"/>
      <c r="WXL43" s="60"/>
      <c r="WXM43" s="60"/>
      <c r="WXN43" s="60"/>
      <c r="WXO43" s="60"/>
      <c r="WXP43" s="60"/>
      <c r="WXQ43" s="60"/>
      <c r="WXR43" s="60"/>
      <c r="WXS43" s="60"/>
      <c r="WXT43" s="60"/>
      <c r="WXU43" s="60"/>
      <c r="WXV43" s="60"/>
      <c r="WXW43" s="60"/>
      <c r="WXX43" s="60"/>
      <c r="WXY43" s="60"/>
      <c r="WXZ43" s="60"/>
      <c r="WYA43" s="60"/>
      <c r="WYB43" s="60"/>
      <c r="WYC43" s="60"/>
      <c r="WYD43" s="60"/>
      <c r="WYE43" s="60"/>
      <c r="WYF43" s="60"/>
      <c r="WYG43" s="60"/>
      <c r="WYH43" s="60"/>
      <c r="WYI43" s="60"/>
      <c r="WYJ43" s="60"/>
      <c r="WYK43" s="60"/>
      <c r="WYL43" s="60"/>
      <c r="WYM43" s="60"/>
      <c r="WYN43" s="60"/>
      <c r="WYO43" s="60"/>
      <c r="WYP43" s="60"/>
      <c r="WYQ43" s="60"/>
      <c r="WYR43" s="60"/>
      <c r="WYS43" s="60"/>
      <c r="WYT43" s="60"/>
      <c r="WYU43" s="60"/>
      <c r="WYV43" s="60"/>
      <c r="WYW43" s="60"/>
      <c r="WYX43" s="60"/>
      <c r="WYY43" s="60"/>
      <c r="WYZ43" s="60"/>
      <c r="WZA43" s="60"/>
      <c r="WZB43" s="60"/>
      <c r="WZC43" s="60"/>
      <c r="WZD43" s="60"/>
      <c r="WZE43" s="60"/>
      <c r="WZF43" s="60"/>
      <c r="WZG43" s="60"/>
      <c r="WZH43" s="60"/>
      <c r="WZI43" s="60"/>
      <c r="WZJ43" s="60"/>
      <c r="WZK43" s="60"/>
      <c r="WZL43" s="60"/>
      <c r="WZM43" s="60"/>
      <c r="WZN43" s="60"/>
      <c r="WZO43" s="60"/>
      <c r="WZP43" s="60"/>
      <c r="WZQ43" s="60"/>
      <c r="WZR43" s="60"/>
      <c r="WZS43" s="60"/>
      <c r="WZT43" s="60"/>
      <c r="WZU43" s="60"/>
      <c r="WZV43" s="60"/>
      <c r="WZW43" s="60"/>
      <c r="WZX43" s="60"/>
      <c r="WZY43" s="60"/>
      <c r="WZZ43" s="60"/>
      <c r="XAA43" s="60"/>
      <c r="XAB43" s="60"/>
      <c r="XAC43" s="60"/>
      <c r="XAD43" s="60"/>
      <c r="XAE43" s="60"/>
      <c r="XAF43" s="60"/>
      <c r="XAG43" s="60"/>
      <c r="XAH43" s="60"/>
      <c r="XAI43" s="60"/>
      <c r="XAJ43" s="60"/>
      <c r="XAK43" s="60"/>
      <c r="XAL43" s="60"/>
      <c r="XAM43" s="60"/>
      <c r="XAN43" s="60"/>
      <c r="XAO43" s="60"/>
      <c r="XAP43" s="60"/>
      <c r="XAQ43" s="60"/>
      <c r="XAR43" s="60"/>
      <c r="XAS43" s="60"/>
      <c r="XAT43" s="60"/>
      <c r="XAU43" s="60"/>
      <c r="XAV43" s="60"/>
      <c r="XAW43" s="60"/>
      <c r="XAX43" s="60"/>
      <c r="XAY43" s="60"/>
      <c r="XAZ43" s="60"/>
      <c r="XBA43" s="60"/>
      <c r="XBB43" s="60"/>
      <c r="XBC43" s="60"/>
      <c r="XBD43" s="60"/>
      <c r="XBE43" s="60"/>
      <c r="XBF43" s="60"/>
      <c r="XBG43" s="60"/>
      <c r="XBH43" s="60"/>
      <c r="XBI43" s="60"/>
      <c r="XBJ43" s="60"/>
      <c r="XBK43" s="60"/>
      <c r="XBL43" s="60"/>
      <c r="XBM43" s="60"/>
      <c r="XBN43" s="60"/>
      <c r="XBO43" s="60"/>
      <c r="XBP43" s="60"/>
      <c r="XBQ43" s="60"/>
      <c r="XBR43" s="60"/>
      <c r="XBS43" s="60"/>
      <c r="XBT43" s="60"/>
      <c r="XBU43" s="60"/>
      <c r="XBV43" s="60"/>
      <c r="XBW43" s="60"/>
      <c r="XBX43" s="60"/>
      <c r="XBY43" s="60"/>
      <c r="XBZ43" s="60"/>
      <c r="XCA43" s="60"/>
      <c r="XCB43" s="60"/>
      <c r="XCC43" s="60"/>
      <c r="XCD43" s="60"/>
      <c r="XCE43" s="60"/>
      <c r="XCF43" s="60"/>
      <c r="XCG43" s="60"/>
      <c r="XCH43" s="60"/>
      <c r="XCI43" s="60"/>
      <c r="XCJ43" s="60"/>
      <c r="XCK43" s="60"/>
      <c r="XCL43" s="60"/>
      <c r="XCM43" s="60"/>
      <c r="XCN43" s="60"/>
      <c r="XCO43" s="60"/>
      <c r="XCP43" s="60"/>
      <c r="XCQ43" s="60"/>
      <c r="XCR43" s="60"/>
      <c r="XCS43" s="60"/>
      <c r="XCT43" s="60"/>
      <c r="XCU43" s="60"/>
      <c r="XCV43" s="60"/>
      <c r="XCW43" s="60"/>
      <c r="XCX43" s="60"/>
      <c r="XCY43" s="60"/>
      <c r="XCZ43" s="60"/>
      <c r="XDA43" s="60"/>
      <c r="XDB43" s="60"/>
      <c r="XDC43" s="60"/>
      <c r="XDD43" s="60"/>
      <c r="XDE43" s="60"/>
      <c r="XDF43" s="60"/>
      <c r="XDG43" s="60"/>
      <c r="XDH43" s="60"/>
      <c r="XDI43" s="60"/>
      <c r="XDJ43" s="60"/>
      <c r="XDK43" s="60"/>
      <c r="XDL43" s="60"/>
      <c r="XDM43" s="60"/>
      <c r="XDN43" s="60"/>
      <c r="XDO43" s="60"/>
      <c r="XDP43" s="60"/>
      <c r="XDQ43" s="60"/>
      <c r="XDR43" s="60"/>
      <c r="XDS43" s="60"/>
      <c r="XDT43" s="60"/>
      <c r="XDU43" s="60"/>
      <c r="XDV43" s="60"/>
      <c r="XDW43" s="60"/>
      <c r="XDX43" s="60"/>
      <c r="XDY43" s="60"/>
      <c r="XDZ43" s="60"/>
      <c r="XEA43" s="60"/>
      <c r="XEB43" s="60"/>
      <c r="XEC43" s="60"/>
      <c r="XED43" s="60"/>
      <c r="XEE43" s="60"/>
      <c r="XEF43" s="60"/>
      <c r="XEG43" s="60"/>
      <c r="XEH43" s="60"/>
      <c r="XEI43" s="60"/>
      <c r="XEJ43" s="60"/>
      <c r="XEK43" s="60"/>
      <c r="XEL43" s="60"/>
      <c r="XEM43" s="60"/>
      <c r="XEN43" s="60"/>
      <c r="XEO43" s="60"/>
      <c r="XEP43" s="60"/>
      <c r="XEQ43" s="60"/>
      <c r="XER43" s="60"/>
      <c r="XES43" s="60"/>
      <c r="XET43" s="60"/>
      <c r="XEU43" s="60"/>
      <c r="XEV43" s="60"/>
      <c r="XEW43" s="60"/>
      <c r="XEX43" s="60"/>
      <c r="XEY43" s="60"/>
      <c r="XEZ43" s="60"/>
      <c r="XFA43" s="60"/>
      <c r="XFB43" s="60"/>
      <c r="XFC43" s="60"/>
    </row>
    <row r="44" spans="1:16383" ht="17.149999999999999" customHeight="1" x14ac:dyDescent="0.35">
      <c r="A44" s="959" t="s">
        <v>1067</v>
      </c>
      <c r="B44" s="983"/>
      <c r="C44" s="983"/>
      <c r="D44" s="983"/>
      <c r="E44" s="983"/>
      <c r="F44" s="983"/>
      <c r="G44" s="983"/>
      <c r="H44" s="1832"/>
      <c r="I44" s="1833"/>
      <c r="J44" s="1828"/>
      <c r="K44" s="1829"/>
      <c r="L44" s="1828"/>
      <c r="M44" s="1829"/>
      <c r="N44" s="983"/>
      <c r="O44" s="983"/>
      <c r="P44" s="983"/>
      <c r="Q44" s="983"/>
      <c r="R44" s="983"/>
      <c r="S44" s="983"/>
      <c r="T44" s="983"/>
      <c r="U44" s="983"/>
      <c r="V44" s="983"/>
      <c r="W44" s="60"/>
      <c r="X44" s="985"/>
      <c r="Y44" s="985"/>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row>
    <row r="45" spans="1:16383" s="60" customFormat="1" ht="17.149999999999999" customHeight="1" x14ac:dyDescent="0.35">
      <c r="A45" s="953" t="str">
        <f>'Interface_Emptying &amp; Transport'!B35</f>
        <v>Public provider [Name]</v>
      </c>
      <c r="B45" s="1510">
        <f>'Interface_Emptying &amp; Transport'!AA35</f>
        <v>0</v>
      </c>
      <c r="C45" s="1510"/>
      <c r="D45" s="966">
        <f>IF(B45="YES",'Emptying volumes'!L77,0)</f>
        <v>0</v>
      </c>
      <c r="E45" s="971">
        <f>'Interface_Emptying &amp; Transport'!AD35</f>
        <v>0</v>
      </c>
      <c r="F45" s="971">
        <f>'Interface_Emptying &amp; Transport'!AE35</f>
        <v>0</v>
      </c>
      <c r="G45" s="966">
        <f>IF(B45="NO", 'Emptying volumes'!L77,0)</f>
        <v>0</v>
      </c>
      <c r="H45" s="1817">
        <f>'Interface_Emptying &amp; Transport'!AF35</f>
        <v>0</v>
      </c>
      <c r="I45" s="1817"/>
      <c r="J45" s="1817">
        <f>'Interface_Emptying &amp; Transport'!AH35</f>
        <v>0</v>
      </c>
      <c r="K45" s="1817"/>
      <c r="L45" s="1817">
        <f>'Interface_Emptying &amp; Transport'!AJ35</f>
        <v>0</v>
      </c>
      <c r="M45" s="1817"/>
      <c r="N45" s="1522">
        <f t="shared" ref="N45:N52" si="4">ROUND((IF(J45="Sub-station",0,IF(L45="Legal",D45,IF(L45="Partly legal - partly illegal",D45/2,0))))/5,0)*5</f>
        <v>0</v>
      </c>
      <c r="O45" s="1522">
        <f t="shared" ref="O45:O52" si="5">ROUND((IF(J45="Sub-station",0,IF(L45="Illegal",D45,IF(L45="Partly legal - partly illegal",D45/2,0))))/5,0)*5</f>
        <v>0</v>
      </c>
      <c r="P45" s="969">
        <f>'Interface_Emptying &amp; Transport'!AL35</f>
        <v>0</v>
      </c>
      <c r="Q45" s="969">
        <f>'Interface_Emptying &amp; Transport'!AM35</f>
        <v>0</v>
      </c>
      <c r="R45" s="969">
        <f>'Interface_Emptying &amp; Transport'!AN35</f>
        <v>0</v>
      </c>
      <c r="S45" s="1510">
        <f>'Interface_Emptying &amp; Transport'!AP35</f>
        <v>0</v>
      </c>
      <c r="T45" s="1510">
        <f>'Interface_Emptying &amp; Transport'!AR35</f>
        <v>0</v>
      </c>
      <c r="U45" s="1522">
        <f>ROUND((IF(T45="Legal",D45+G45,IF(T45="Partly legal - partly illegal",(D45+G45)/2,0)))/5,0)*5</f>
        <v>0</v>
      </c>
      <c r="V45" s="1522">
        <f t="shared" ref="V45:V52" si="6">ROUND((IF(T45="Illegal",D45+G45,IF(T45="Partly legal partly - illegal",(D45+G45)/2,0)))/5,0)*5</f>
        <v>0</v>
      </c>
      <c r="X45" s="1518">
        <f t="shared" ref="X45:X52" si="7">ROUND((O45+V45)/5,0)*5</f>
        <v>0</v>
      </c>
      <c r="Y45" s="1518">
        <f t="shared" ref="Y45:Y52" si="8">ROUND((N45+U45)/5,0)*5</f>
        <v>0</v>
      </c>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6"/>
      <c r="BA45" s="136"/>
      <c r="BB45" s="136"/>
      <c r="BC45" s="136"/>
      <c r="BD45" s="136"/>
      <c r="BE45" s="136"/>
      <c r="BF45" s="136"/>
      <c r="BG45" s="136"/>
      <c r="BH45" s="136"/>
      <c r="BI45" s="136"/>
      <c r="BJ45" s="136"/>
      <c r="BK45" s="136"/>
      <c r="BL45" s="136"/>
      <c r="BM45" s="136"/>
      <c r="BN45" s="136"/>
      <c r="BO45" s="136"/>
      <c r="BP45" s="136"/>
      <c r="BQ45" s="136"/>
      <c r="BR45" s="136"/>
      <c r="BS45" s="136"/>
      <c r="BT45" s="136"/>
      <c r="BU45" s="136"/>
      <c r="BV45" s="136"/>
      <c r="BW45" s="136"/>
      <c r="BX45" s="136"/>
      <c r="BY45" s="136"/>
      <c r="BZ45" s="136"/>
      <c r="CA45" s="136"/>
      <c r="CB45" s="136"/>
      <c r="CC45" s="136"/>
      <c r="CD45" s="136"/>
      <c r="CE45" s="136"/>
      <c r="CF45" s="136"/>
      <c r="CG45" s="136"/>
      <c r="CH45" s="136"/>
      <c r="CI45" s="136"/>
    </row>
    <row r="46" spans="1:16383" s="60" customFormat="1" ht="17.149999999999999" customHeight="1" x14ac:dyDescent="0.35">
      <c r="A46" s="953" t="str">
        <f>'Interface_Emptying &amp; Transport'!B36</f>
        <v>Public provider [Name]</v>
      </c>
      <c r="B46" s="1510">
        <f>'Interface_Emptying &amp; Transport'!AA36</f>
        <v>0</v>
      </c>
      <c r="C46" s="1510"/>
      <c r="D46" s="966">
        <f>IF(B46="YES",'Emptying volumes'!L78,0)</f>
        <v>0</v>
      </c>
      <c r="E46" s="971">
        <f>'Interface_Emptying &amp; Transport'!AD36</f>
        <v>0</v>
      </c>
      <c r="F46" s="971">
        <f>'Interface_Emptying &amp; Transport'!AE36</f>
        <v>0</v>
      </c>
      <c r="G46" s="966">
        <f>IF(B46="NO", 'Emptying volumes'!L78,0)</f>
        <v>0</v>
      </c>
      <c r="H46" s="1817">
        <f>'Interface_Emptying &amp; Transport'!AF36</f>
        <v>0</v>
      </c>
      <c r="I46" s="1817"/>
      <c r="J46" s="1817">
        <f>'Interface_Emptying &amp; Transport'!AH36</f>
        <v>0</v>
      </c>
      <c r="K46" s="1817"/>
      <c r="L46" s="1817">
        <f>'Interface_Emptying &amp; Transport'!AJ36</f>
        <v>0</v>
      </c>
      <c r="M46" s="1817"/>
      <c r="N46" s="1522">
        <f t="shared" si="4"/>
        <v>0</v>
      </c>
      <c r="O46" s="1522">
        <f t="shared" si="5"/>
        <v>0</v>
      </c>
      <c r="P46" s="969">
        <f>'Interface_Emptying &amp; Transport'!AL36</f>
        <v>0</v>
      </c>
      <c r="Q46" s="969">
        <f>'Interface_Emptying &amp; Transport'!AM36</f>
        <v>0</v>
      </c>
      <c r="R46" s="969">
        <f>'Interface_Emptying &amp; Transport'!AN36</f>
        <v>0</v>
      </c>
      <c r="S46" s="1510">
        <f>'Interface_Emptying &amp; Transport'!AP36</f>
        <v>0</v>
      </c>
      <c r="T46" s="1510">
        <f>'Interface_Emptying &amp; Transport'!AR36</f>
        <v>0</v>
      </c>
      <c r="U46" s="1522">
        <f>ROUND((IF(T46="Legal",D46+G46,IF(T46="Partly legal partly - illegal",(D46+G46)/2,0)))/5,0)*5</f>
        <v>0</v>
      </c>
      <c r="V46" s="1522">
        <f t="shared" si="6"/>
        <v>0</v>
      </c>
      <c r="X46" s="1518">
        <f t="shared" si="7"/>
        <v>0</v>
      </c>
      <c r="Y46" s="1518">
        <f t="shared" si="8"/>
        <v>0</v>
      </c>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6"/>
      <c r="BA46" s="136"/>
      <c r="BB46" s="136"/>
      <c r="BC46" s="136"/>
      <c r="BD46" s="136"/>
      <c r="BE46" s="136"/>
      <c r="BF46" s="136"/>
      <c r="BG46" s="136"/>
      <c r="BH46" s="136"/>
      <c r="BI46" s="136"/>
      <c r="BJ46" s="136"/>
      <c r="BK46" s="136"/>
      <c r="BL46" s="136"/>
      <c r="BM46" s="136"/>
      <c r="BN46" s="136"/>
      <c r="BO46" s="136"/>
      <c r="BP46" s="136"/>
      <c r="BQ46" s="136"/>
      <c r="BR46" s="136"/>
      <c r="BS46" s="136"/>
      <c r="BT46" s="136"/>
      <c r="BU46" s="136"/>
      <c r="BV46" s="136"/>
      <c r="BW46" s="136"/>
      <c r="BX46" s="136"/>
      <c r="BY46" s="136"/>
      <c r="BZ46" s="136"/>
      <c r="CA46" s="136"/>
      <c r="CB46" s="136"/>
      <c r="CC46" s="136"/>
      <c r="CD46" s="136"/>
      <c r="CE46" s="136"/>
      <c r="CF46" s="136"/>
      <c r="CG46" s="136"/>
      <c r="CH46" s="136"/>
      <c r="CI46" s="136"/>
    </row>
    <row r="47" spans="1:16383" s="60" customFormat="1" ht="17.149999999999999" customHeight="1" x14ac:dyDescent="0.35">
      <c r="A47" s="953" t="str">
        <f>'Interface_Emptying &amp; Transport'!B37</f>
        <v>300 providers (approx)</v>
      </c>
      <c r="B47" s="1510" t="str">
        <f>'Interface_Emptying &amp; Transport'!AA37</f>
        <v>YES</v>
      </c>
      <c r="C47" s="1510"/>
      <c r="D47" s="966">
        <f>IF(B47="YES",'Emptying volumes'!L79,0)</f>
        <v>147900</v>
      </c>
      <c r="E47" s="971">
        <f>'Interface_Emptying &amp; Transport'!AD37</f>
        <v>0</v>
      </c>
      <c r="F47" s="971">
        <f>'Interface_Emptying &amp; Transport'!AE37</f>
        <v>0</v>
      </c>
      <c r="G47" s="966">
        <f>IF(B47="NO", 'Emptying volumes'!L79,0)</f>
        <v>0</v>
      </c>
      <c r="H47" s="1817">
        <f>'Interface_Emptying &amp; Transport'!AF37</f>
        <v>0</v>
      </c>
      <c r="I47" s="1817"/>
      <c r="J47" s="1817" t="str">
        <f>'Interface_Emptying &amp; Transport'!AH37</f>
        <v>Final destination</v>
      </c>
      <c r="K47" s="1817"/>
      <c r="L47" s="1817" t="str">
        <f>'Interface_Emptying &amp; Transport'!AJ37</f>
        <v>Illegal</v>
      </c>
      <c r="M47" s="1817"/>
      <c r="N47" s="1522">
        <f t="shared" si="4"/>
        <v>0</v>
      </c>
      <c r="O47" s="1522">
        <f t="shared" si="5"/>
        <v>147900</v>
      </c>
      <c r="P47" s="969">
        <f>'Interface_Emptying &amp; Transport'!AL37</f>
        <v>0</v>
      </c>
      <c r="Q47" s="969">
        <f>'Interface_Emptying &amp; Transport'!AM37</f>
        <v>0</v>
      </c>
      <c r="R47" s="969">
        <f>'Interface_Emptying &amp; Transport'!AN37</f>
        <v>0</v>
      </c>
      <c r="S47" s="1510">
        <f>'Interface_Emptying &amp; Transport'!AP37</f>
        <v>0</v>
      </c>
      <c r="T47" s="1510">
        <f>'Interface_Emptying &amp; Transport'!AR37</f>
        <v>0</v>
      </c>
      <c r="U47" s="1522">
        <f>ROUND((IF(T47="Legal",D47+G47,IF(T47="Partly legal - partly illegal",(D47+G47)/2,0)))/5,0)*5</f>
        <v>0</v>
      </c>
      <c r="V47" s="1522">
        <f t="shared" si="6"/>
        <v>0</v>
      </c>
      <c r="X47" s="1518">
        <f t="shared" si="7"/>
        <v>147900</v>
      </c>
      <c r="Y47" s="1518">
        <f t="shared" si="8"/>
        <v>0</v>
      </c>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6"/>
      <c r="BA47" s="136"/>
      <c r="BB47" s="136"/>
      <c r="BC47" s="136"/>
      <c r="BD47" s="136"/>
      <c r="BE47" s="136"/>
      <c r="BF47" s="136"/>
      <c r="BG47" s="136"/>
      <c r="BH47" s="136"/>
      <c r="BI47" s="136"/>
      <c r="BJ47" s="136"/>
      <c r="BK47" s="136"/>
      <c r="BL47" s="136"/>
      <c r="BM47" s="136"/>
      <c r="BN47" s="136"/>
      <c r="BO47" s="136"/>
      <c r="BP47" s="136"/>
      <c r="BQ47" s="136"/>
      <c r="BR47" s="136"/>
      <c r="BS47" s="136"/>
      <c r="BT47" s="136"/>
      <c r="BU47" s="136"/>
      <c r="BV47" s="136"/>
      <c r="BW47" s="136"/>
      <c r="BX47" s="136"/>
      <c r="BY47" s="136"/>
      <c r="BZ47" s="136"/>
      <c r="CA47" s="136"/>
      <c r="CB47" s="136"/>
      <c r="CC47" s="136"/>
      <c r="CD47" s="136"/>
      <c r="CE47" s="136"/>
      <c r="CF47" s="136"/>
      <c r="CG47" s="136"/>
      <c r="CH47" s="136"/>
      <c r="CI47" s="136"/>
    </row>
    <row r="48" spans="1:16383" s="60" customFormat="1" ht="17.149999999999999" customHeight="1" x14ac:dyDescent="0.35">
      <c r="A48" s="953" t="str">
        <f>'Interface_Emptying &amp; Transport'!B38</f>
        <v>Private provider 2 [Name]</v>
      </c>
      <c r="B48" s="1510">
        <f>'Interface_Emptying &amp; Transport'!AA38</f>
        <v>0</v>
      </c>
      <c r="C48" s="1510"/>
      <c r="D48" s="966">
        <f>IF(B48="YES",'Emptying volumes'!L80,0)</f>
        <v>0</v>
      </c>
      <c r="E48" s="971">
        <f>'Interface_Emptying &amp; Transport'!AD38</f>
        <v>0</v>
      </c>
      <c r="F48" s="971">
        <f>'Interface_Emptying &amp; Transport'!AE38</f>
        <v>0</v>
      </c>
      <c r="G48" s="966">
        <f>IF(B48="NO", 'Emptying volumes'!L80,0)</f>
        <v>0</v>
      </c>
      <c r="H48" s="1817">
        <f>'Interface_Emptying &amp; Transport'!AF38</f>
        <v>0</v>
      </c>
      <c r="I48" s="1817"/>
      <c r="J48" s="1817">
        <f>'Interface_Emptying &amp; Transport'!AH38</f>
        <v>0</v>
      </c>
      <c r="K48" s="1817"/>
      <c r="L48" s="1817">
        <f>'Interface_Emptying &amp; Transport'!AJ38</f>
        <v>0</v>
      </c>
      <c r="M48" s="1817"/>
      <c r="N48" s="1522">
        <f t="shared" si="4"/>
        <v>0</v>
      </c>
      <c r="O48" s="1522">
        <f t="shared" si="5"/>
        <v>0</v>
      </c>
      <c r="P48" s="969">
        <f>'Interface_Emptying &amp; Transport'!AL38</f>
        <v>0</v>
      </c>
      <c r="Q48" s="969">
        <f>'Interface_Emptying &amp; Transport'!AM38</f>
        <v>0</v>
      </c>
      <c r="R48" s="969">
        <f>'Interface_Emptying &amp; Transport'!AN38</f>
        <v>0</v>
      </c>
      <c r="S48" s="1510">
        <f>'Interface_Emptying &amp; Transport'!AP38</f>
        <v>0</v>
      </c>
      <c r="T48" s="1510">
        <f>'Interface_Emptying &amp; Transport'!AR38</f>
        <v>0</v>
      </c>
      <c r="U48" s="1522">
        <f>ROUND((IF(T48="Legal",D48+G48,IF(T48="Partly legal partly - illegal",(D48+G48)/2,0)))/5,0)*5</f>
        <v>0</v>
      </c>
      <c r="V48" s="1522">
        <f t="shared" si="6"/>
        <v>0</v>
      </c>
      <c r="X48" s="1518">
        <f t="shared" si="7"/>
        <v>0</v>
      </c>
      <c r="Y48" s="1518">
        <f t="shared" si="8"/>
        <v>0</v>
      </c>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6"/>
      <c r="BA48" s="136"/>
      <c r="BB48" s="136"/>
      <c r="BC48" s="136"/>
      <c r="BD48" s="136"/>
      <c r="BE48" s="136"/>
      <c r="BF48" s="136"/>
      <c r="BG48" s="136"/>
      <c r="BH48" s="136"/>
      <c r="BI48" s="136"/>
      <c r="BJ48" s="136"/>
      <c r="BK48" s="136"/>
      <c r="BL48" s="136"/>
      <c r="BM48" s="136"/>
      <c r="BN48" s="136"/>
      <c r="BO48" s="136"/>
      <c r="BP48" s="136"/>
      <c r="BQ48" s="136"/>
      <c r="BR48" s="136"/>
      <c r="BS48" s="136"/>
      <c r="BT48" s="136"/>
      <c r="BU48" s="136"/>
      <c r="BV48" s="136"/>
      <c r="BW48" s="136"/>
      <c r="BX48" s="136"/>
      <c r="BY48" s="136"/>
      <c r="BZ48" s="136"/>
      <c r="CA48" s="136"/>
      <c r="CB48" s="136"/>
      <c r="CC48" s="136"/>
      <c r="CD48" s="136"/>
      <c r="CE48" s="136"/>
      <c r="CF48" s="136"/>
      <c r="CG48" s="136"/>
      <c r="CH48" s="136"/>
      <c r="CI48" s="136"/>
    </row>
    <row r="49" spans="1:87" s="60" customFormat="1" ht="17.149999999999999" customHeight="1" x14ac:dyDescent="0.35">
      <c r="A49" s="953" t="str">
        <f>'Interface_Emptying &amp; Transport'!B39</f>
        <v>Private provider 3 [Name]</v>
      </c>
      <c r="B49" s="1510">
        <f>'Interface_Emptying &amp; Transport'!AA39</f>
        <v>0</v>
      </c>
      <c r="C49" s="1510"/>
      <c r="D49" s="966">
        <f>IF(B49="YES",'Emptying volumes'!L81,0)</f>
        <v>0</v>
      </c>
      <c r="E49" s="971">
        <f>'Interface_Emptying &amp; Transport'!AD39</f>
        <v>0</v>
      </c>
      <c r="F49" s="971">
        <f>'Interface_Emptying &amp; Transport'!AE39</f>
        <v>0</v>
      </c>
      <c r="G49" s="966">
        <f>IF(B49="NO", 'Emptying volumes'!L81,0)</f>
        <v>0</v>
      </c>
      <c r="H49" s="1817">
        <f>'Interface_Emptying &amp; Transport'!AF39</f>
        <v>0</v>
      </c>
      <c r="I49" s="1817"/>
      <c r="J49" s="1817">
        <f>'Interface_Emptying &amp; Transport'!AH39</f>
        <v>0</v>
      </c>
      <c r="K49" s="1817"/>
      <c r="L49" s="1817">
        <f>'Interface_Emptying &amp; Transport'!AJ39</f>
        <v>0</v>
      </c>
      <c r="M49" s="1817"/>
      <c r="N49" s="1522">
        <f t="shared" si="4"/>
        <v>0</v>
      </c>
      <c r="O49" s="1522">
        <f t="shared" si="5"/>
        <v>0</v>
      </c>
      <c r="P49" s="969">
        <f>'Interface_Emptying &amp; Transport'!AL39</f>
        <v>0</v>
      </c>
      <c r="Q49" s="969">
        <f>'Interface_Emptying &amp; Transport'!AM39</f>
        <v>0</v>
      </c>
      <c r="R49" s="969">
        <f>'Interface_Emptying &amp; Transport'!AN39</f>
        <v>0</v>
      </c>
      <c r="S49" s="1510">
        <f>'Interface_Emptying &amp; Transport'!AP39</f>
        <v>0</v>
      </c>
      <c r="T49" s="1510">
        <f>'Interface_Emptying &amp; Transport'!AR39</f>
        <v>0</v>
      </c>
      <c r="U49" s="1522">
        <f>ROUND((IF(T49="Legal",D49+G49,IF(T49="Partly legal - partly illegal",(D49+G49)/2,0)))/5,0)*5</f>
        <v>0</v>
      </c>
      <c r="V49" s="1522">
        <f t="shared" si="6"/>
        <v>0</v>
      </c>
      <c r="X49" s="1518">
        <f t="shared" si="7"/>
        <v>0</v>
      </c>
      <c r="Y49" s="1518">
        <f t="shared" si="8"/>
        <v>0</v>
      </c>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6"/>
      <c r="BA49" s="136"/>
      <c r="BB49" s="136"/>
      <c r="BC49" s="136"/>
      <c r="BD49" s="136"/>
      <c r="BE49" s="136"/>
      <c r="BF49" s="136"/>
      <c r="BG49" s="136"/>
      <c r="BH49" s="136"/>
      <c r="BI49" s="136"/>
      <c r="BJ49" s="136"/>
      <c r="BK49" s="136"/>
      <c r="BL49" s="136"/>
      <c r="BM49" s="136"/>
      <c r="BN49" s="136"/>
      <c r="BO49" s="136"/>
      <c r="BP49" s="136"/>
      <c r="BQ49" s="136"/>
      <c r="BR49" s="136"/>
      <c r="BS49" s="136"/>
      <c r="BT49" s="136"/>
      <c r="BU49" s="136"/>
      <c r="BV49" s="136"/>
      <c r="BW49" s="136"/>
      <c r="BX49" s="136"/>
      <c r="BY49" s="136"/>
      <c r="BZ49" s="136"/>
      <c r="CA49" s="136"/>
      <c r="CB49" s="136"/>
      <c r="CC49" s="136"/>
      <c r="CD49" s="136"/>
      <c r="CE49" s="136"/>
      <c r="CF49" s="136"/>
      <c r="CG49" s="136"/>
      <c r="CH49" s="136"/>
      <c r="CI49" s="136"/>
    </row>
    <row r="50" spans="1:87" s="60" customFormat="1" ht="17.149999999999999" customHeight="1" x14ac:dyDescent="0.35">
      <c r="A50" s="953" t="str">
        <f>'Interface_Emptying &amp; Transport'!B40</f>
        <v>Private provider 4 [Name]</v>
      </c>
      <c r="B50" s="1510">
        <f>'Interface_Emptying &amp; Transport'!AA40</f>
        <v>0</v>
      </c>
      <c r="C50" s="1510"/>
      <c r="D50" s="966">
        <f>IF(B50="YES",'Emptying volumes'!L82,0)</f>
        <v>0</v>
      </c>
      <c r="E50" s="971">
        <f>'Interface_Emptying &amp; Transport'!AD40</f>
        <v>0</v>
      </c>
      <c r="F50" s="971">
        <f>'Interface_Emptying &amp; Transport'!AE40</f>
        <v>0</v>
      </c>
      <c r="G50" s="966">
        <f>IF(B50="NO", 'Emptying volumes'!L82,0)</f>
        <v>0</v>
      </c>
      <c r="H50" s="1817">
        <f>'Interface_Emptying &amp; Transport'!AF40</f>
        <v>0</v>
      </c>
      <c r="I50" s="1817"/>
      <c r="J50" s="1817">
        <f>'Interface_Emptying &amp; Transport'!AH40</f>
        <v>0</v>
      </c>
      <c r="K50" s="1817"/>
      <c r="L50" s="1817">
        <f>'Interface_Emptying &amp; Transport'!AJ40</f>
        <v>0</v>
      </c>
      <c r="M50" s="1817"/>
      <c r="N50" s="1522">
        <f t="shared" si="4"/>
        <v>0</v>
      </c>
      <c r="O50" s="1522">
        <f t="shared" si="5"/>
        <v>0</v>
      </c>
      <c r="P50" s="969">
        <f>'Interface_Emptying &amp; Transport'!AL40</f>
        <v>0</v>
      </c>
      <c r="Q50" s="969">
        <f>'Interface_Emptying &amp; Transport'!AM40</f>
        <v>0</v>
      </c>
      <c r="R50" s="969">
        <f>'Interface_Emptying &amp; Transport'!AN40</f>
        <v>0</v>
      </c>
      <c r="S50" s="1510">
        <f>'Interface_Emptying &amp; Transport'!AP40</f>
        <v>0</v>
      </c>
      <c r="T50" s="1510">
        <f>'Interface_Emptying &amp; Transport'!AR40</f>
        <v>0</v>
      </c>
      <c r="U50" s="1522">
        <f>ROUND((IF(T50="Legal",D50+G50,IF(T50="Partly legal partly - illegal",(D50+G50)/2,0)))/5,0)*5</f>
        <v>0</v>
      </c>
      <c r="V50" s="1522">
        <f t="shared" si="6"/>
        <v>0</v>
      </c>
      <c r="X50" s="1518">
        <f t="shared" si="7"/>
        <v>0</v>
      </c>
      <c r="Y50" s="1518">
        <f t="shared" si="8"/>
        <v>0</v>
      </c>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6"/>
      <c r="BA50" s="136"/>
      <c r="BB50" s="136"/>
      <c r="BC50" s="136"/>
      <c r="BD50" s="136"/>
      <c r="BE50" s="136"/>
      <c r="BF50" s="136"/>
      <c r="BG50" s="136"/>
      <c r="BH50" s="136"/>
      <c r="BI50" s="136"/>
      <c r="BJ50" s="136"/>
      <c r="BK50" s="136"/>
      <c r="BL50" s="136"/>
      <c r="BM50" s="136"/>
      <c r="BN50" s="136"/>
      <c r="BO50" s="136"/>
      <c r="BP50" s="136"/>
      <c r="BQ50" s="136"/>
      <c r="BR50" s="136"/>
      <c r="BS50" s="136"/>
      <c r="BT50" s="136"/>
      <c r="BU50" s="136"/>
      <c r="BV50" s="136"/>
      <c r="BW50" s="136"/>
      <c r="BX50" s="136"/>
      <c r="BY50" s="136"/>
      <c r="BZ50" s="136"/>
      <c r="CA50" s="136"/>
      <c r="CB50" s="136"/>
      <c r="CC50" s="136"/>
      <c r="CD50" s="136"/>
      <c r="CE50" s="136"/>
      <c r="CF50" s="136"/>
      <c r="CG50" s="136"/>
      <c r="CH50" s="136"/>
      <c r="CI50" s="136"/>
    </row>
    <row r="51" spans="1:87" s="60" customFormat="1" ht="17.149999999999999" customHeight="1" x14ac:dyDescent="0.35">
      <c r="A51" s="953" t="str">
        <f>'Interface_Emptying &amp; Transport'!B41</f>
        <v>Private provider 5 [Name]</v>
      </c>
      <c r="B51" s="1510">
        <f>'Interface_Emptying &amp; Transport'!AA41</f>
        <v>0</v>
      </c>
      <c r="C51" s="1510"/>
      <c r="D51" s="966">
        <f>IF(B51="YES",'Emptying volumes'!L83,0)</f>
        <v>0</v>
      </c>
      <c r="E51" s="971">
        <f>'Interface_Emptying &amp; Transport'!AD41</f>
        <v>0</v>
      </c>
      <c r="F51" s="971">
        <f>'Interface_Emptying &amp; Transport'!AE41</f>
        <v>0</v>
      </c>
      <c r="G51" s="966">
        <f>IF(B51="NO", 'Emptying volumes'!L83,0)</f>
        <v>0</v>
      </c>
      <c r="H51" s="1817">
        <f>'Interface_Emptying &amp; Transport'!AF41</f>
        <v>0</v>
      </c>
      <c r="I51" s="1817"/>
      <c r="J51" s="1817">
        <f>'Interface_Emptying &amp; Transport'!AH41</f>
        <v>0</v>
      </c>
      <c r="K51" s="1817"/>
      <c r="L51" s="1817">
        <f>'Interface_Emptying &amp; Transport'!AJ41</f>
        <v>0</v>
      </c>
      <c r="M51" s="1817"/>
      <c r="N51" s="1522">
        <f t="shared" si="4"/>
        <v>0</v>
      </c>
      <c r="O51" s="1522">
        <f t="shared" si="5"/>
        <v>0</v>
      </c>
      <c r="P51" s="969">
        <f>'Interface_Emptying &amp; Transport'!AL41</f>
        <v>0</v>
      </c>
      <c r="Q51" s="969">
        <f>'Interface_Emptying &amp; Transport'!AM41</f>
        <v>0</v>
      </c>
      <c r="R51" s="969">
        <f>'Interface_Emptying &amp; Transport'!AN41</f>
        <v>0</v>
      </c>
      <c r="S51" s="1510">
        <f>'Interface_Emptying &amp; Transport'!AP41</f>
        <v>0</v>
      </c>
      <c r="T51" s="1510">
        <f>'Interface_Emptying &amp; Transport'!AR41</f>
        <v>0</v>
      </c>
      <c r="U51" s="1522">
        <f>ROUND((IF(T51="Legal",D51+G51,IF(T51="Partly legal - partly illegal",(D51+G51)/2,0)))/5,0)*5</f>
        <v>0</v>
      </c>
      <c r="V51" s="1522">
        <f t="shared" si="6"/>
        <v>0</v>
      </c>
      <c r="X51" s="1518">
        <f t="shared" si="7"/>
        <v>0</v>
      </c>
      <c r="Y51" s="1518">
        <f t="shared" si="8"/>
        <v>0</v>
      </c>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6"/>
      <c r="BA51" s="136"/>
      <c r="BB51" s="136"/>
      <c r="BC51" s="136"/>
      <c r="BD51" s="136"/>
      <c r="BE51" s="136"/>
      <c r="BF51" s="136"/>
      <c r="BG51" s="136"/>
      <c r="BH51" s="136"/>
      <c r="BI51" s="136"/>
      <c r="BJ51" s="136"/>
      <c r="BK51" s="136"/>
      <c r="BL51" s="136"/>
      <c r="BM51" s="136"/>
      <c r="BN51" s="136"/>
      <c r="BO51" s="136"/>
      <c r="BP51" s="136"/>
      <c r="BQ51" s="136"/>
      <c r="BR51" s="136"/>
      <c r="BS51" s="136"/>
      <c r="BT51" s="136"/>
      <c r="BU51" s="136"/>
      <c r="BV51" s="136"/>
      <c r="BW51" s="136"/>
      <c r="BX51" s="136"/>
      <c r="BY51" s="136"/>
      <c r="BZ51" s="136"/>
      <c r="CA51" s="136"/>
      <c r="CB51" s="136"/>
      <c r="CC51" s="136"/>
      <c r="CD51" s="136"/>
      <c r="CE51" s="136"/>
      <c r="CF51" s="136"/>
      <c r="CG51" s="136"/>
      <c r="CH51" s="136"/>
      <c r="CI51" s="136"/>
    </row>
    <row r="52" spans="1:87" s="60" customFormat="1" ht="17.149999999999999" customHeight="1" x14ac:dyDescent="0.35">
      <c r="A52" s="975" t="str">
        <f>'Interface_Emptying &amp; Transport'!B42</f>
        <v>Private provider 6 [Name]</v>
      </c>
      <c r="B52" s="1510">
        <f>'Interface_Emptying &amp; Transport'!AA42</f>
        <v>0</v>
      </c>
      <c r="C52" s="1510"/>
      <c r="D52" s="966">
        <f>IF(B52="YES",'Emptying volumes'!L84,0)</f>
        <v>0</v>
      </c>
      <c r="E52" s="971">
        <f>'Interface_Emptying &amp; Transport'!AD42</f>
        <v>0</v>
      </c>
      <c r="F52" s="971">
        <f>'Interface_Emptying &amp; Transport'!AE42</f>
        <v>0</v>
      </c>
      <c r="G52" s="966">
        <f>IF(B52="NO", 'Emptying volumes'!L84,0)</f>
        <v>0</v>
      </c>
      <c r="H52" s="1817">
        <f>'Interface_Emptying &amp; Transport'!AF42</f>
        <v>0</v>
      </c>
      <c r="I52" s="1817"/>
      <c r="J52" s="1817">
        <f>'Interface_Emptying &amp; Transport'!AH42</f>
        <v>0</v>
      </c>
      <c r="K52" s="1817"/>
      <c r="L52" s="1817">
        <f>'Interface_Emptying &amp; Transport'!AJ42</f>
        <v>0</v>
      </c>
      <c r="M52" s="1817"/>
      <c r="N52" s="1522">
        <f t="shared" si="4"/>
        <v>0</v>
      </c>
      <c r="O52" s="1522">
        <f t="shared" si="5"/>
        <v>0</v>
      </c>
      <c r="P52" s="969">
        <f>'Interface_Emptying &amp; Transport'!AL42</f>
        <v>0</v>
      </c>
      <c r="Q52" s="969">
        <f>'Interface_Emptying &amp; Transport'!AM42</f>
        <v>0</v>
      </c>
      <c r="R52" s="969">
        <f>'Interface_Emptying &amp; Transport'!AN42</f>
        <v>0</v>
      </c>
      <c r="S52" s="1510">
        <f>'Interface_Emptying &amp; Transport'!AP42</f>
        <v>0</v>
      </c>
      <c r="T52" s="1510">
        <f>'Interface_Emptying &amp; Transport'!AR42</f>
        <v>0</v>
      </c>
      <c r="U52" s="1522">
        <f>ROUND((IF(T52="Legal",D52+G52,IF(T52="Partly legal partly - illegal",(D52+G52)/2,0)))/5,0)*5</f>
        <v>0</v>
      </c>
      <c r="V52" s="1522">
        <f t="shared" si="6"/>
        <v>0</v>
      </c>
      <c r="X52" s="1518">
        <f t="shared" si="7"/>
        <v>0</v>
      </c>
      <c r="Y52" s="1518">
        <f t="shared" si="8"/>
        <v>0</v>
      </c>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6"/>
      <c r="BA52" s="136"/>
      <c r="BB52" s="136"/>
      <c r="BC52" s="136"/>
      <c r="BD52" s="136"/>
      <c r="BE52" s="136"/>
      <c r="BF52" s="136"/>
      <c r="BG52" s="136"/>
      <c r="BH52" s="136"/>
      <c r="BI52" s="136"/>
      <c r="BJ52" s="136"/>
      <c r="BK52" s="136"/>
      <c r="BL52" s="136"/>
      <c r="BM52" s="136"/>
      <c r="BN52" s="136"/>
      <c r="BO52" s="136"/>
      <c r="BP52" s="136"/>
      <c r="BQ52" s="136"/>
      <c r="BR52" s="136"/>
      <c r="BS52" s="136"/>
      <c r="BT52" s="136"/>
      <c r="BU52" s="136"/>
      <c r="BV52" s="136"/>
      <c r="BW52" s="136"/>
      <c r="BX52" s="136"/>
      <c r="BY52" s="136"/>
      <c r="BZ52" s="136"/>
      <c r="CA52" s="136"/>
      <c r="CB52" s="136"/>
      <c r="CC52" s="136"/>
      <c r="CD52" s="136"/>
      <c r="CE52" s="136"/>
      <c r="CF52" s="136"/>
      <c r="CG52" s="136"/>
      <c r="CH52" s="136"/>
      <c r="CI52" s="136"/>
    </row>
    <row r="53" spans="1:87" s="136" customFormat="1" ht="17.149999999999999" customHeight="1" x14ac:dyDescent="0.35">
      <c r="A53" s="977" t="s">
        <v>1066</v>
      </c>
      <c r="B53" s="978"/>
      <c r="C53" s="979"/>
      <c r="D53" s="980">
        <f>SUM(D45:D52)</f>
        <v>147900</v>
      </c>
      <c r="E53" s="981"/>
      <c r="F53" s="981"/>
      <c r="G53" s="980">
        <f>SUM(G45:G52)</f>
        <v>0</v>
      </c>
      <c r="H53" s="1824"/>
      <c r="I53" s="1825"/>
      <c r="J53" s="1824"/>
      <c r="K53" s="1825"/>
      <c r="L53" s="1824"/>
      <c r="M53" s="1825"/>
      <c r="N53" s="980">
        <f>SUM(N45:N52)</f>
        <v>0</v>
      </c>
      <c r="O53" s="980">
        <f>SUM(O45:O52)</f>
        <v>147900</v>
      </c>
      <c r="P53" s="982"/>
      <c r="Q53" s="982"/>
      <c r="R53" s="982"/>
      <c r="S53" s="982"/>
      <c r="T53" s="982"/>
      <c r="U53" s="980">
        <f>SUM(U45:U52)</f>
        <v>0</v>
      </c>
      <c r="V53" s="980">
        <f>SUM(V45:V52)</f>
        <v>0</v>
      </c>
      <c r="X53" s="980">
        <f>SUM(X45:X52)</f>
        <v>147900</v>
      </c>
      <c r="Y53" s="980">
        <f>SUM(Y45:Y52)</f>
        <v>0</v>
      </c>
      <c r="Z53" s="980">
        <f>SUM(X53:Y53)</f>
        <v>147900</v>
      </c>
    </row>
    <row r="54" spans="1:87" s="12" customFormat="1" ht="17.149999999999999" customHeight="1" x14ac:dyDescent="0.35">
      <c r="A54" s="949" t="s">
        <v>208</v>
      </c>
      <c r="B54" s="960"/>
      <c r="C54" s="960"/>
      <c r="D54" s="948">
        <f>D43+D53</f>
        <v>147900</v>
      </c>
      <c r="E54" s="960"/>
      <c r="F54" s="960"/>
      <c r="G54" s="948">
        <f>G43+G53</f>
        <v>0</v>
      </c>
      <c r="H54" s="961"/>
      <c r="I54" s="962"/>
      <c r="J54" s="961"/>
      <c r="K54" s="962"/>
      <c r="L54" s="961"/>
      <c r="M54" s="962"/>
      <c r="N54" s="948">
        <f>N43+N53</f>
        <v>0</v>
      </c>
      <c r="O54" s="948">
        <f>O43+O53</f>
        <v>147900</v>
      </c>
      <c r="P54" s="963"/>
      <c r="Q54" s="963"/>
      <c r="R54" s="963"/>
      <c r="S54" s="963"/>
      <c r="T54" s="963"/>
      <c r="U54" s="948">
        <f>U43+U53</f>
        <v>0</v>
      </c>
      <c r="V54" s="948">
        <f>V43+V53</f>
        <v>0</v>
      </c>
      <c r="X54" s="948">
        <f>X43+X53</f>
        <v>147900</v>
      </c>
      <c r="Y54" s="948">
        <f>Y43+Y53</f>
        <v>0</v>
      </c>
      <c r="Z54" s="948">
        <f>SUM(X54:Y54)</f>
        <v>147900</v>
      </c>
    </row>
    <row r="55" spans="1:87" s="136" customFormat="1" ht="17.149999999999999" customHeight="1" x14ac:dyDescent="0.35">
      <c r="A55" s="120"/>
      <c r="B55" s="75"/>
      <c r="C55" s="75"/>
      <c r="D55" s="1821">
        <f>SUM(D54:G54)</f>
        <v>147900</v>
      </c>
      <c r="E55" s="1821"/>
      <c r="F55" s="1821"/>
      <c r="G55" s="1821"/>
      <c r="H55" s="93"/>
      <c r="I55" s="93"/>
      <c r="J55" s="93"/>
      <c r="K55" s="93"/>
      <c r="L55" s="93"/>
      <c r="M55" s="93"/>
      <c r="N55" s="32"/>
      <c r="O55" s="32"/>
      <c r="P55" s="108"/>
      <c r="Q55" s="108"/>
      <c r="R55" s="108"/>
      <c r="S55" s="108"/>
      <c r="T55" s="108"/>
      <c r="U55" s="32"/>
      <c r="V55" s="32"/>
      <c r="X55" s="32"/>
      <c r="Y55" s="32"/>
      <c r="Z55" s="32"/>
    </row>
    <row r="56" spans="1:87" s="136" customFormat="1" ht="17.149999999999999" customHeight="1" x14ac:dyDescent="0.35">
      <c r="A56" s="120"/>
      <c r="B56" s="75"/>
      <c r="C56" s="75"/>
      <c r="D56" s="1822">
        <f>'FS_Emptying volumes'!B132</f>
        <v>147900</v>
      </c>
      <c r="E56" s="1822"/>
      <c r="F56" s="1822"/>
      <c r="G56" s="1822"/>
      <c r="H56" s="93"/>
      <c r="I56" s="93"/>
      <c r="J56" s="93"/>
      <c r="K56" s="93"/>
      <c r="L56" s="93"/>
      <c r="M56" s="93"/>
      <c r="N56" s="32"/>
      <c r="O56" s="32"/>
      <c r="P56" s="108"/>
      <c r="Q56" s="108"/>
      <c r="R56" s="108"/>
      <c r="S56" s="108"/>
      <c r="T56" s="108"/>
      <c r="U56" s="32"/>
      <c r="V56" s="32"/>
      <c r="X56" s="32"/>
      <c r="Y56" s="32"/>
      <c r="Z56" s="32"/>
    </row>
    <row r="57" spans="1:87" s="136" customFormat="1" ht="17.149999999999999" customHeight="1" x14ac:dyDescent="0.35">
      <c r="A57" s="120"/>
      <c r="B57" s="75"/>
      <c r="C57" s="75"/>
      <c r="D57" s="1823" t="str">
        <f>IF(D55=D56,"OK","Not OK")</f>
        <v>OK</v>
      </c>
      <c r="E57" s="1823"/>
      <c r="F57" s="1823"/>
      <c r="G57" s="1823"/>
      <c r="H57" s="93"/>
      <c r="I57" s="93"/>
      <c r="J57" s="93"/>
      <c r="K57" s="93"/>
      <c r="L57" s="93"/>
      <c r="M57" s="93"/>
      <c r="N57" s="32"/>
      <c r="O57" s="32"/>
      <c r="P57" s="108"/>
      <c r="Q57" s="108"/>
      <c r="R57" s="108"/>
      <c r="S57" s="108"/>
      <c r="T57" s="108"/>
      <c r="U57" s="32"/>
      <c r="V57" s="32"/>
      <c r="X57" s="32"/>
      <c r="Y57" s="32"/>
      <c r="Z57" s="32"/>
    </row>
    <row r="58" spans="1:87" s="136" customFormat="1" ht="17.149999999999999" customHeight="1" x14ac:dyDescent="0.35">
      <c r="A58" s="120"/>
      <c r="B58" s="75"/>
      <c r="C58" s="75"/>
      <c r="D58" s="32"/>
      <c r="E58" s="32"/>
      <c r="F58" s="32"/>
      <c r="G58" s="108"/>
      <c r="H58" s="93"/>
      <c r="I58" s="93"/>
      <c r="J58" s="93"/>
      <c r="K58" s="93"/>
      <c r="L58" s="93"/>
      <c r="M58" s="93"/>
      <c r="N58" s="32"/>
      <c r="O58" s="32"/>
      <c r="P58" s="108"/>
      <c r="Q58" s="108"/>
      <c r="R58" s="108"/>
      <c r="S58" s="108"/>
      <c r="T58" s="108"/>
      <c r="U58" s="32"/>
      <c r="V58" s="32"/>
      <c r="X58" s="32"/>
      <c r="Y58" s="32"/>
      <c r="Z58" s="32"/>
    </row>
    <row r="59" spans="1:87" s="3" customFormat="1" ht="17.149999999999999" customHeight="1" x14ac:dyDescent="0.35">
      <c r="A59" s="90" t="s">
        <v>1068</v>
      </c>
      <c r="B59" s="373"/>
      <c r="C59" s="373"/>
      <c r="D59" s="373"/>
      <c r="E59" s="373"/>
      <c r="F59" s="44"/>
      <c r="G59" s="44"/>
      <c r="H59" s="44"/>
      <c r="I59" s="44"/>
      <c r="J59" s="44"/>
      <c r="K59" s="44"/>
      <c r="L59" s="44"/>
      <c r="M59" s="44"/>
      <c r="N59" s="44"/>
      <c r="O59" s="372"/>
      <c r="P59" s="372" t="s">
        <v>1069</v>
      </c>
      <c r="Q59" s="44"/>
      <c r="R59" s="44"/>
      <c r="S59" s="44"/>
      <c r="T59" s="44"/>
      <c r="U59" s="44"/>
      <c r="V59" s="58"/>
    </row>
    <row r="60" spans="1:87" ht="17.149999999999999" customHeight="1" x14ac:dyDescent="0.35">
      <c r="A60" s="71"/>
      <c r="B60" s="72"/>
      <c r="C60" s="72"/>
      <c r="D60" s="72"/>
    </row>
    <row r="61" spans="1:87" ht="17.149999999999999" customHeight="1" x14ac:dyDescent="0.35">
      <c r="A61" s="71"/>
      <c r="B61" s="72"/>
      <c r="C61" s="72"/>
      <c r="D61" s="72"/>
    </row>
    <row r="62" spans="1:87" ht="17.149999999999999" customHeight="1" x14ac:dyDescent="0.35">
      <c r="A62" s="949" t="s">
        <v>362</v>
      </c>
      <c r="B62" s="1509" t="s">
        <v>9</v>
      </c>
      <c r="C62" s="72"/>
      <c r="D62" s="72"/>
    </row>
    <row r="63" spans="1:87" ht="17.149999999999999" customHeight="1" x14ac:dyDescent="0.35">
      <c r="A63" s="168" t="s">
        <v>363</v>
      </c>
      <c r="B63" s="278">
        <f>'Interface_Emptying &amp; Transport'!C48</f>
        <v>0</v>
      </c>
      <c r="C63" s="127"/>
      <c r="D63" s="72"/>
    </row>
    <row r="64" spans="1:87" ht="17.149999999999999" customHeight="1" x14ac:dyDescent="0.35">
      <c r="A64" s="168" t="s">
        <v>364</v>
      </c>
      <c r="B64" s="278">
        <f>'Interface_Emptying &amp; Transport'!C49</f>
        <v>0</v>
      </c>
      <c r="C64" s="127"/>
      <c r="D64" s="72"/>
    </row>
    <row r="65" spans="1:24" ht="17.149999999999999" customHeight="1" x14ac:dyDescent="0.35">
      <c r="A65" s="168" t="s">
        <v>365</v>
      </c>
      <c r="B65" s="278">
        <f>'Interface_Emptying &amp; Transport'!C50</f>
        <v>0</v>
      </c>
      <c r="C65" s="127"/>
      <c r="D65" s="72"/>
    </row>
    <row r="66" spans="1:24" ht="17.149999999999999" customHeight="1" x14ac:dyDescent="0.35">
      <c r="A66" s="168" t="s">
        <v>366</v>
      </c>
      <c r="B66" s="278">
        <f>'Interface_Emptying &amp; Transport'!C51</f>
        <v>0.01</v>
      </c>
      <c r="C66" s="127"/>
      <c r="D66" s="72"/>
    </row>
    <row r="67" spans="1:24" ht="17.149999999999999" customHeight="1" x14ac:dyDescent="0.35">
      <c r="A67" s="168"/>
      <c r="B67" s="278"/>
      <c r="C67" s="127"/>
      <c r="D67" s="72"/>
    </row>
    <row r="68" spans="1:24" ht="17.149999999999999" customHeight="1" x14ac:dyDescent="0.35">
      <c r="A68" s="142" t="s">
        <v>367</v>
      </c>
      <c r="B68" s="411"/>
      <c r="C68" s="127"/>
      <c r="D68" s="72"/>
    </row>
    <row r="69" spans="1:24" ht="17.149999999999999" customHeight="1" x14ac:dyDescent="0.35">
      <c r="A69" s="168" t="s">
        <v>368</v>
      </c>
      <c r="B69" s="278">
        <f>'Interface_Emptying &amp; Transport'!C54</f>
        <v>0.1</v>
      </c>
      <c r="C69" s="127"/>
    </row>
    <row r="70" spans="1:24" ht="17.149999999999999" customHeight="1" x14ac:dyDescent="0.35">
      <c r="A70" s="168" t="s">
        <v>369</v>
      </c>
      <c r="B70" s="278">
        <f>'Interface_Emptying &amp; Transport'!C55</f>
        <v>0</v>
      </c>
      <c r="C70" s="127"/>
    </row>
    <row r="71" spans="1:24" ht="17.149999999999999" customHeight="1" x14ac:dyDescent="0.35">
      <c r="A71" s="2"/>
    </row>
    <row r="72" spans="1:24" ht="17.149999999999999" customHeight="1" x14ac:dyDescent="0.35">
      <c r="A72" s="2"/>
    </row>
    <row r="73" spans="1:24" ht="17.149999999999999" customHeight="1" x14ac:dyDescent="0.35">
      <c r="A73" s="2"/>
      <c r="B73" s="1797" t="s">
        <v>1070</v>
      </c>
      <c r="C73" s="1805"/>
      <c r="D73" s="1805"/>
      <c r="E73" s="1798"/>
      <c r="F73" s="1784" t="s">
        <v>1071</v>
      </c>
      <c r="G73" s="1784"/>
      <c r="H73" s="1784"/>
      <c r="I73" s="1784"/>
      <c r="K73" s="1784" t="s">
        <v>1072</v>
      </c>
      <c r="L73" s="1784"/>
      <c r="M73" s="1784"/>
      <c r="W73" s="98"/>
    </row>
    <row r="74" spans="1:24" ht="17.149999999999999" customHeight="1" x14ac:dyDescent="0.35">
      <c r="A74" s="1834" t="s">
        <v>1049</v>
      </c>
      <c r="B74" s="1814" t="s">
        <v>1073</v>
      </c>
      <c r="C74" s="1815"/>
      <c r="D74" s="1816"/>
      <c r="E74" s="1764" t="s">
        <v>1074</v>
      </c>
      <c r="F74" s="1814" t="s">
        <v>1073</v>
      </c>
      <c r="G74" s="1815"/>
      <c r="H74" s="1816"/>
      <c r="I74" s="1764" t="s">
        <v>1074</v>
      </c>
      <c r="K74" s="1511" t="s">
        <v>1058</v>
      </c>
      <c r="L74" s="1814" t="s">
        <v>355</v>
      </c>
      <c r="M74" s="1816"/>
      <c r="W74" s="98"/>
      <c r="X74" s="98"/>
    </row>
    <row r="75" spans="1:24" ht="29" x14ac:dyDescent="0.35">
      <c r="A75" s="1835"/>
      <c r="B75" s="1511" t="s">
        <v>1183</v>
      </c>
      <c r="C75" s="1511" t="s">
        <v>1076</v>
      </c>
      <c r="D75" s="1511" t="s">
        <v>1077</v>
      </c>
      <c r="E75" s="1766"/>
      <c r="F75" s="1511" t="s">
        <v>1183</v>
      </c>
      <c r="G75" s="1511" t="s">
        <v>1076</v>
      </c>
      <c r="H75" s="1511" t="s">
        <v>1077</v>
      </c>
      <c r="I75" s="1766"/>
      <c r="K75" s="1511" t="s">
        <v>1078</v>
      </c>
      <c r="L75" s="1511" t="s">
        <v>1079</v>
      </c>
      <c r="M75" s="1511" t="s">
        <v>1080</v>
      </c>
      <c r="W75" s="98"/>
      <c r="X75" s="98"/>
    </row>
    <row r="76" spans="1:24" s="60" customFormat="1" ht="13" x14ac:dyDescent="0.35">
      <c r="A76" s="171"/>
      <c r="B76" s="356"/>
      <c r="C76" s="224"/>
      <c r="D76" s="225"/>
      <c r="E76" s="224"/>
      <c r="F76" s="356"/>
      <c r="G76" s="224"/>
      <c r="H76" s="225"/>
      <c r="I76" s="224"/>
      <c r="J76" s="58"/>
      <c r="K76" s="291"/>
      <c r="L76" s="224"/>
      <c r="M76" s="224"/>
      <c r="N76" s="58"/>
      <c r="O76" s="58"/>
      <c r="P76" s="58"/>
      <c r="Q76" s="58"/>
      <c r="R76" s="58"/>
      <c r="S76" s="58"/>
      <c r="T76" s="58"/>
      <c r="U76" s="58"/>
      <c r="V76" s="58"/>
      <c r="W76" s="58"/>
      <c r="X76" s="58"/>
    </row>
    <row r="77" spans="1:24" s="60" customFormat="1" ht="17.149999999999999" customHeight="1" x14ac:dyDescent="0.35">
      <c r="A77" s="155" t="s">
        <v>1063</v>
      </c>
      <c r="B77" s="1522">
        <f t="shared" ref="B77:B84" si="9">N35</f>
        <v>0</v>
      </c>
      <c r="C77" s="1518">
        <f>ROUND((B77*$B$63)/25,0)*25</f>
        <v>0</v>
      </c>
      <c r="D77" s="1518">
        <f t="shared" ref="D77:D84" si="10">B77-C77</f>
        <v>0</v>
      </c>
      <c r="E77" s="1518">
        <f t="shared" ref="E77:E84" si="11">O35</f>
        <v>0</v>
      </c>
      <c r="F77" s="1522">
        <f t="shared" ref="F77:F84" si="12">U35</f>
        <v>0</v>
      </c>
      <c r="G77" s="1518">
        <f>ROUND((F77*$B$63)/25,0)*25</f>
        <v>0</v>
      </c>
      <c r="H77" s="1518">
        <f t="shared" ref="H77:H84" si="13">F77-G77</f>
        <v>0</v>
      </c>
      <c r="I77" s="1518">
        <f t="shared" ref="I77:I84" si="14">V35</f>
        <v>0</v>
      </c>
      <c r="J77" s="58"/>
      <c r="K77" s="1518">
        <f>D77+H77</f>
        <v>0</v>
      </c>
      <c r="L77" s="1518">
        <f>C77+G77</f>
        <v>0</v>
      </c>
      <c r="M77" s="1518">
        <f>E77+I77</f>
        <v>0</v>
      </c>
      <c r="N77" s="58"/>
      <c r="O77" s="58"/>
      <c r="P77" s="58"/>
      <c r="Q77" s="58"/>
      <c r="R77" s="58"/>
      <c r="S77" s="58"/>
      <c r="T77" s="58"/>
      <c r="U77" s="58"/>
      <c r="V77" s="58"/>
      <c r="W77" s="58"/>
      <c r="X77" s="58"/>
    </row>
    <row r="78" spans="1:24" s="60" customFormat="1" ht="17.149999999999999" customHeight="1" x14ac:dyDescent="0.35">
      <c r="A78" s="155" t="s">
        <v>1063</v>
      </c>
      <c r="B78" s="1522">
        <f t="shared" si="9"/>
        <v>0</v>
      </c>
      <c r="C78" s="1518">
        <f>ROUND((B78*$B$63)/25,0)*25</f>
        <v>0</v>
      </c>
      <c r="D78" s="1518">
        <f t="shared" si="10"/>
        <v>0</v>
      </c>
      <c r="E78" s="1518">
        <f t="shared" si="11"/>
        <v>0</v>
      </c>
      <c r="F78" s="1522">
        <f t="shared" si="12"/>
        <v>0</v>
      </c>
      <c r="G78" s="1518">
        <f>ROUND((F78*$B$63)/25,0)*25</f>
        <v>0</v>
      </c>
      <c r="H78" s="1518">
        <f t="shared" si="13"/>
        <v>0</v>
      </c>
      <c r="I78" s="1518">
        <f t="shared" si="14"/>
        <v>0</v>
      </c>
      <c r="J78" s="58"/>
      <c r="K78" s="1518">
        <f t="shared" ref="K78:K87" si="15">D78+H78</f>
        <v>0</v>
      </c>
      <c r="L78" s="1518">
        <f t="shared" ref="L78:L84" si="16">C78+G78</f>
        <v>0</v>
      </c>
      <c r="M78" s="1518">
        <f t="shared" ref="M78:M84" si="17">E78+I78</f>
        <v>0</v>
      </c>
      <c r="N78" s="58"/>
      <c r="O78" s="58"/>
      <c r="P78" s="58"/>
      <c r="Q78" s="58"/>
      <c r="R78" s="58"/>
      <c r="S78" s="58"/>
      <c r="T78" s="58"/>
      <c r="U78" s="58"/>
      <c r="V78" s="58"/>
      <c r="W78" s="58"/>
      <c r="X78" s="58"/>
    </row>
    <row r="79" spans="1:24" s="60" customFormat="1" ht="17.149999999999999" customHeight="1" x14ac:dyDescent="0.35">
      <c r="A79" s="155" t="s">
        <v>1064</v>
      </c>
      <c r="B79" s="1522">
        <f t="shared" si="9"/>
        <v>0</v>
      </c>
      <c r="C79" s="1518">
        <f>ROUND((B79*$B$63)/25,0)*25</f>
        <v>0</v>
      </c>
      <c r="D79" s="1518">
        <f t="shared" si="10"/>
        <v>0</v>
      </c>
      <c r="E79" s="1518">
        <f t="shared" si="11"/>
        <v>0</v>
      </c>
      <c r="F79" s="1522">
        <f t="shared" si="12"/>
        <v>0</v>
      </c>
      <c r="G79" s="1518">
        <f>ROUND((F79*$B$63)/25,0)*25</f>
        <v>0</v>
      </c>
      <c r="H79" s="1518">
        <f t="shared" si="13"/>
        <v>0</v>
      </c>
      <c r="I79" s="1518">
        <f t="shared" si="14"/>
        <v>0</v>
      </c>
      <c r="J79" s="58"/>
      <c r="K79" s="1518">
        <f t="shared" si="15"/>
        <v>0</v>
      </c>
      <c r="L79" s="1518">
        <f t="shared" si="16"/>
        <v>0</v>
      </c>
      <c r="M79" s="1518">
        <f t="shared" si="17"/>
        <v>0</v>
      </c>
      <c r="N79" s="58"/>
      <c r="O79" s="58"/>
      <c r="P79" s="58"/>
      <c r="Q79" s="58"/>
      <c r="R79" s="58"/>
      <c r="S79" s="58"/>
      <c r="T79" s="58"/>
      <c r="U79" s="58"/>
      <c r="V79" s="58"/>
      <c r="W79" s="58"/>
      <c r="X79" s="58"/>
    </row>
    <row r="80" spans="1:24" s="60" customFormat="1" ht="17.149999999999999" customHeight="1" x14ac:dyDescent="0.35">
      <c r="A80" s="155" t="s">
        <v>1064</v>
      </c>
      <c r="B80" s="1522">
        <f t="shared" si="9"/>
        <v>0</v>
      </c>
      <c r="C80" s="1518">
        <f>ROUND((B80*$B$63)/25,0)*25</f>
        <v>0</v>
      </c>
      <c r="D80" s="1518">
        <f t="shared" si="10"/>
        <v>0</v>
      </c>
      <c r="E80" s="1518">
        <f t="shared" si="11"/>
        <v>0</v>
      </c>
      <c r="F80" s="1522">
        <f t="shared" si="12"/>
        <v>0</v>
      </c>
      <c r="G80" s="1518">
        <f>ROUND((F80*$B$63)/25,0)*25</f>
        <v>0</v>
      </c>
      <c r="H80" s="1518">
        <f t="shared" si="13"/>
        <v>0</v>
      </c>
      <c r="I80" s="1518">
        <f t="shared" si="14"/>
        <v>0</v>
      </c>
      <c r="J80" s="58"/>
      <c r="K80" s="1518">
        <f t="shared" si="15"/>
        <v>0</v>
      </c>
      <c r="L80" s="1518">
        <f t="shared" si="16"/>
        <v>0</v>
      </c>
      <c r="M80" s="1518">
        <f t="shared" si="17"/>
        <v>0</v>
      </c>
      <c r="N80" s="58"/>
      <c r="O80" s="58"/>
      <c r="P80" s="58"/>
      <c r="Q80" s="58"/>
      <c r="R80" s="58"/>
      <c r="S80" s="58"/>
      <c r="T80" s="58"/>
      <c r="U80" s="58"/>
      <c r="V80" s="58"/>
      <c r="W80" s="58"/>
      <c r="X80" s="58"/>
    </row>
    <row r="81" spans="1:24" s="60" customFormat="1" ht="17.149999999999999" customHeight="1" x14ac:dyDescent="0.35">
      <c r="A81" s="155" t="s">
        <v>1065</v>
      </c>
      <c r="B81" s="1522">
        <f t="shared" si="9"/>
        <v>0</v>
      </c>
      <c r="C81" s="1518">
        <f>ROUND((B81*$B$64)/25,0)*25</f>
        <v>0</v>
      </c>
      <c r="D81" s="1518">
        <f t="shared" si="10"/>
        <v>0</v>
      </c>
      <c r="E81" s="1518">
        <f t="shared" si="11"/>
        <v>0</v>
      </c>
      <c r="F81" s="1522">
        <f t="shared" si="12"/>
        <v>0</v>
      </c>
      <c r="G81" s="1518">
        <f>ROUND((F81*$B$64)/25,0)*25</f>
        <v>0</v>
      </c>
      <c r="H81" s="1518">
        <f t="shared" si="13"/>
        <v>0</v>
      </c>
      <c r="I81" s="1518">
        <f t="shared" si="14"/>
        <v>0</v>
      </c>
      <c r="J81" s="58"/>
      <c r="K81" s="1518">
        <f t="shared" si="15"/>
        <v>0</v>
      </c>
      <c r="L81" s="1518">
        <f t="shared" si="16"/>
        <v>0</v>
      </c>
      <c r="M81" s="1518">
        <f t="shared" si="17"/>
        <v>0</v>
      </c>
      <c r="N81" s="58"/>
      <c r="O81" s="58"/>
      <c r="P81" s="58"/>
      <c r="Q81" s="58"/>
      <c r="R81" s="58"/>
      <c r="S81" s="58"/>
      <c r="T81" s="58"/>
      <c r="U81" s="58"/>
      <c r="V81" s="58"/>
      <c r="W81" s="58"/>
      <c r="X81" s="58"/>
    </row>
    <row r="82" spans="1:24" s="60" customFormat="1" ht="17.149999999999999" customHeight="1" x14ac:dyDescent="0.35">
      <c r="A82" s="155" t="s">
        <v>1065</v>
      </c>
      <c r="B82" s="1522">
        <f t="shared" si="9"/>
        <v>0</v>
      </c>
      <c r="C82" s="1518">
        <f>ROUND((B82*$B$64)/25,0)*25</f>
        <v>0</v>
      </c>
      <c r="D82" s="1518">
        <f t="shared" si="10"/>
        <v>0</v>
      </c>
      <c r="E82" s="1518">
        <f t="shared" si="11"/>
        <v>0</v>
      </c>
      <c r="F82" s="1522">
        <f t="shared" si="12"/>
        <v>0</v>
      </c>
      <c r="G82" s="1518">
        <f>ROUND((F82*$B$64)/25,0)*25</f>
        <v>0</v>
      </c>
      <c r="H82" s="1518">
        <f t="shared" si="13"/>
        <v>0</v>
      </c>
      <c r="I82" s="1518">
        <f t="shared" si="14"/>
        <v>0</v>
      </c>
      <c r="J82" s="58"/>
      <c r="K82" s="1518">
        <f t="shared" si="15"/>
        <v>0</v>
      </c>
      <c r="L82" s="1518">
        <f t="shared" si="16"/>
        <v>0</v>
      </c>
      <c r="M82" s="1518">
        <f t="shared" si="17"/>
        <v>0</v>
      </c>
      <c r="N82" s="58"/>
      <c r="O82" s="58"/>
      <c r="P82" s="58"/>
      <c r="Q82" s="58"/>
      <c r="R82" s="58"/>
      <c r="S82" s="58"/>
      <c r="T82" s="58"/>
      <c r="U82" s="58"/>
      <c r="V82" s="58"/>
      <c r="W82" s="58"/>
      <c r="X82" s="58"/>
    </row>
    <row r="83" spans="1:24" s="60" customFormat="1" ht="17.149999999999999" customHeight="1" x14ac:dyDescent="0.35">
      <c r="A83" s="155" t="s">
        <v>537</v>
      </c>
      <c r="B83" s="1522">
        <f t="shared" si="9"/>
        <v>0</v>
      </c>
      <c r="C83" s="1518">
        <f>ROUND((B83*$B$64)/25,0)*25</f>
        <v>0</v>
      </c>
      <c r="D83" s="1518">
        <f t="shared" si="10"/>
        <v>0</v>
      </c>
      <c r="E83" s="1518">
        <f t="shared" si="11"/>
        <v>0</v>
      </c>
      <c r="F83" s="1522">
        <f t="shared" si="12"/>
        <v>0</v>
      </c>
      <c r="G83" s="1518">
        <f>ROUND((F83*$B$64)/25,0)*25</f>
        <v>0</v>
      </c>
      <c r="H83" s="1518">
        <f t="shared" si="13"/>
        <v>0</v>
      </c>
      <c r="I83" s="1518">
        <f t="shared" si="14"/>
        <v>0</v>
      </c>
      <c r="J83" s="58"/>
      <c r="K83" s="1518">
        <f t="shared" si="15"/>
        <v>0</v>
      </c>
      <c r="L83" s="1518">
        <f t="shared" si="16"/>
        <v>0</v>
      </c>
      <c r="M83" s="1518">
        <f t="shared" si="17"/>
        <v>0</v>
      </c>
      <c r="N83" s="58"/>
      <c r="O83" s="58"/>
      <c r="P83" s="58"/>
      <c r="Q83" s="58"/>
      <c r="R83" s="58"/>
      <c r="S83" s="58"/>
      <c r="T83" s="58"/>
      <c r="U83" s="58"/>
      <c r="V83" s="58"/>
      <c r="W83" s="58"/>
      <c r="X83" s="58"/>
    </row>
    <row r="84" spans="1:24" s="60" customFormat="1" ht="17.149999999999999" customHeight="1" x14ac:dyDescent="0.35">
      <c r="A84" s="972" t="s">
        <v>537</v>
      </c>
      <c r="B84" s="1522">
        <f t="shared" si="9"/>
        <v>0</v>
      </c>
      <c r="C84" s="1518">
        <f>ROUND((B84*$B$64)/25,0)*25</f>
        <v>0</v>
      </c>
      <c r="D84" s="1518">
        <f t="shared" si="10"/>
        <v>0</v>
      </c>
      <c r="E84" s="1518">
        <f t="shared" si="11"/>
        <v>0</v>
      </c>
      <c r="F84" s="1522">
        <f t="shared" si="12"/>
        <v>0</v>
      </c>
      <c r="G84" s="1518">
        <f>ROUND((F84*$B$64)/25,0)*25</f>
        <v>0</v>
      </c>
      <c r="H84" s="1518">
        <f t="shared" si="13"/>
        <v>0</v>
      </c>
      <c r="I84" s="1518">
        <f t="shared" si="14"/>
        <v>0</v>
      </c>
      <c r="J84" s="58"/>
      <c r="K84" s="1518">
        <f t="shared" si="15"/>
        <v>0</v>
      </c>
      <c r="L84" s="1518">
        <f t="shared" si="16"/>
        <v>0</v>
      </c>
      <c r="M84" s="1518">
        <f t="shared" si="17"/>
        <v>0</v>
      </c>
      <c r="N84" s="58"/>
      <c r="O84" s="58"/>
      <c r="P84" s="58"/>
      <c r="Q84" s="58"/>
      <c r="R84" s="58"/>
      <c r="S84" s="58"/>
      <c r="T84" s="58"/>
      <c r="U84" s="58"/>
      <c r="V84" s="58"/>
      <c r="W84" s="58"/>
      <c r="X84" s="58"/>
    </row>
    <row r="85" spans="1:24" s="3" customFormat="1" ht="17.149999999999999" customHeight="1" x14ac:dyDescent="0.35">
      <c r="A85" s="977" t="s">
        <v>1066</v>
      </c>
      <c r="B85" s="980">
        <f t="shared" ref="B85:I85" si="18">SUM(B77:B84)</f>
        <v>0</v>
      </c>
      <c r="C85" s="980">
        <f t="shared" si="18"/>
        <v>0</v>
      </c>
      <c r="D85" s="980">
        <f t="shared" si="18"/>
        <v>0</v>
      </c>
      <c r="E85" s="980">
        <f t="shared" si="18"/>
        <v>0</v>
      </c>
      <c r="F85" s="980">
        <f t="shared" si="18"/>
        <v>0</v>
      </c>
      <c r="G85" s="980">
        <f t="shared" si="18"/>
        <v>0</v>
      </c>
      <c r="H85" s="980">
        <f t="shared" si="18"/>
        <v>0</v>
      </c>
      <c r="I85" s="980">
        <f t="shared" si="18"/>
        <v>0</v>
      </c>
      <c r="J85" s="4"/>
      <c r="K85" s="980">
        <f>SUM(K77:K84)</f>
        <v>0</v>
      </c>
      <c r="L85" s="980">
        <f>SUM(L77:L84)</f>
        <v>0</v>
      </c>
      <c r="M85" s="980">
        <f>SUM(M77:M84)</f>
        <v>0</v>
      </c>
      <c r="N85" s="980">
        <f>SUM(K85:M85)</f>
        <v>0</v>
      </c>
      <c r="O85" s="148"/>
      <c r="P85" s="4"/>
      <c r="Q85" s="4"/>
      <c r="R85" s="4"/>
      <c r="S85" s="4"/>
      <c r="T85" s="4"/>
      <c r="U85" s="4"/>
      <c r="V85" s="4"/>
      <c r="W85" s="4"/>
      <c r="X85" s="4"/>
    </row>
    <row r="86" spans="1:24" s="60" customFormat="1" ht="17.149999999999999" customHeight="1" x14ac:dyDescent="0.35">
      <c r="A86" s="987"/>
      <c r="B86" s="988"/>
      <c r="C86" s="988"/>
      <c r="D86" s="988"/>
      <c r="E86" s="988"/>
      <c r="F86" s="988"/>
      <c r="G86" s="988"/>
      <c r="H86" s="988"/>
      <c r="I86" s="988"/>
      <c r="J86" s="58"/>
      <c r="K86" s="988"/>
      <c r="L86" s="988"/>
      <c r="M86" s="988"/>
      <c r="N86" s="58"/>
      <c r="O86" s="58"/>
      <c r="P86" s="58"/>
      <c r="Q86" s="58"/>
      <c r="R86" s="58"/>
      <c r="S86" s="58"/>
      <c r="T86" s="58"/>
      <c r="U86" s="58"/>
      <c r="V86" s="58"/>
      <c r="W86" s="58"/>
      <c r="X86" s="58"/>
    </row>
    <row r="87" spans="1:24" s="60" customFormat="1" ht="17.149999999999999" customHeight="1" x14ac:dyDescent="0.35">
      <c r="A87" s="953" t="str">
        <f>A45</f>
        <v>Public provider [Name]</v>
      </c>
      <c r="B87" s="1522">
        <f>N45</f>
        <v>0</v>
      </c>
      <c r="C87" s="1518">
        <f>ROUND((B87*$B$64)/25,0)*25</f>
        <v>0</v>
      </c>
      <c r="D87" s="1518">
        <f>B87-C87</f>
        <v>0</v>
      </c>
      <c r="E87" s="1518">
        <f>O45</f>
        <v>0</v>
      </c>
      <c r="F87" s="1522">
        <f>U45</f>
        <v>0</v>
      </c>
      <c r="G87" s="1518">
        <f>ROUND((F87*$B$64)/25,0)*25</f>
        <v>0</v>
      </c>
      <c r="H87" s="1518">
        <f>F87-G87</f>
        <v>0</v>
      </c>
      <c r="I87" s="1518">
        <f>V45</f>
        <v>0</v>
      </c>
      <c r="J87" s="58"/>
      <c r="K87" s="1518">
        <f t="shared" si="15"/>
        <v>0</v>
      </c>
      <c r="L87" s="1518">
        <f>C87+G87</f>
        <v>0</v>
      </c>
      <c r="M87" s="1518">
        <f>E87+I87</f>
        <v>0</v>
      </c>
      <c r="N87" s="58"/>
      <c r="O87" s="58"/>
      <c r="P87" s="58"/>
      <c r="Q87" s="58"/>
      <c r="R87" s="58"/>
      <c r="S87" s="58"/>
      <c r="T87" s="58"/>
      <c r="U87" s="58"/>
      <c r="V87" s="58"/>
      <c r="W87" s="58"/>
      <c r="X87" s="58"/>
    </row>
    <row r="88" spans="1:24" s="60" customFormat="1" ht="17.149999999999999" customHeight="1" x14ac:dyDescent="0.35">
      <c r="A88" s="953" t="str">
        <f t="shared" ref="A88:A94" si="19">A46</f>
        <v>Public provider [Name]</v>
      </c>
      <c r="B88" s="1522">
        <f t="shared" ref="B88:B94" si="20">N46</f>
        <v>0</v>
      </c>
      <c r="C88" s="1518">
        <f t="shared" ref="C88:C94" si="21">ROUND((B88*$B$64)/25,0)*25</f>
        <v>0</v>
      </c>
      <c r="D88" s="1518">
        <f t="shared" ref="D88:D94" si="22">B88-C88</f>
        <v>0</v>
      </c>
      <c r="E88" s="1518">
        <f t="shared" ref="E88:E94" si="23">O46</f>
        <v>0</v>
      </c>
      <c r="F88" s="1522">
        <f t="shared" ref="F88:F94" si="24">U46</f>
        <v>0</v>
      </c>
      <c r="G88" s="1518">
        <f t="shared" ref="G88:G94" si="25">ROUND((F88*$B$64)/25,0)*25</f>
        <v>0</v>
      </c>
      <c r="H88" s="1518">
        <f t="shared" ref="H88:H94" si="26">F88-G88</f>
        <v>0</v>
      </c>
      <c r="I88" s="1518">
        <f t="shared" ref="I88:I94" si="27">V46</f>
        <v>0</v>
      </c>
      <c r="J88" s="58"/>
      <c r="K88" s="1518">
        <f t="shared" ref="K88:K94" si="28">D88+H88</f>
        <v>0</v>
      </c>
      <c r="L88" s="1518">
        <f t="shared" ref="L88:L94" si="29">C88+G88</f>
        <v>0</v>
      </c>
      <c r="M88" s="1518">
        <f t="shared" ref="M88:M94" si="30">E88+I88</f>
        <v>0</v>
      </c>
      <c r="N88" s="58"/>
      <c r="O88" s="58"/>
      <c r="P88" s="58"/>
      <c r="Q88" s="58"/>
      <c r="R88" s="58"/>
      <c r="S88" s="58"/>
      <c r="T88" s="58"/>
      <c r="U88" s="58"/>
      <c r="V88" s="58"/>
      <c r="W88" s="58"/>
      <c r="X88" s="58"/>
    </row>
    <row r="89" spans="1:24" s="60" customFormat="1" ht="17.149999999999999" customHeight="1" x14ac:dyDescent="0.35">
      <c r="A89" s="953" t="str">
        <f t="shared" si="19"/>
        <v>300 providers (approx)</v>
      </c>
      <c r="B89" s="1522">
        <f t="shared" si="20"/>
        <v>0</v>
      </c>
      <c r="C89" s="1518">
        <f t="shared" si="21"/>
        <v>0</v>
      </c>
      <c r="D89" s="1518">
        <f t="shared" si="22"/>
        <v>0</v>
      </c>
      <c r="E89" s="1518">
        <f t="shared" si="23"/>
        <v>147900</v>
      </c>
      <c r="F89" s="1522">
        <f t="shared" si="24"/>
        <v>0</v>
      </c>
      <c r="G89" s="1518">
        <f t="shared" si="25"/>
        <v>0</v>
      </c>
      <c r="H89" s="1518">
        <f t="shared" si="26"/>
        <v>0</v>
      </c>
      <c r="I89" s="1518">
        <f t="shared" si="27"/>
        <v>0</v>
      </c>
      <c r="J89" s="58"/>
      <c r="K89" s="1518">
        <f t="shared" si="28"/>
        <v>0</v>
      </c>
      <c r="L89" s="1518">
        <f t="shared" si="29"/>
        <v>0</v>
      </c>
      <c r="M89" s="1518">
        <f t="shared" si="30"/>
        <v>147900</v>
      </c>
      <c r="N89" s="58"/>
      <c r="O89" s="58"/>
      <c r="P89" s="58"/>
      <c r="Q89" s="58"/>
      <c r="R89" s="58"/>
      <c r="S89" s="58"/>
      <c r="T89" s="58"/>
      <c r="U89" s="58"/>
      <c r="V89" s="58"/>
      <c r="W89" s="58"/>
      <c r="X89" s="58"/>
    </row>
    <row r="90" spans="1:24" s="60" customFormat="1" ht="17.149999999999999" customHeight="1" x14ac:dyDescent="0.35">
      <c r="A90" s="953" t="str">
        <f t="shared" si="19"/>
        <v>Private provider 2 [Name]</v>
      </c>
      <c r="B90" s="1522">
        <f t="shared" si="20"/>
        <v>0</v>
      </c>
      <c r="C90" s="1518">
        <f t="shared" si="21"/>
        <v>0</v>
      </c>
      <c r="D90" s="1518">
        <f t="shared" si="22"/>
        <v>0</v>
      </c>
      <c r="E90" s="1518">
        <f t="shared" si="23"/>
        <v>0</v>
      </c>
      <c r="F90" s="1522">
        <f t="shared" si="24"/>
        <v>0</v>
      </c>
      <c r="G90" s="1518">
        <f t="shared" si="25"/>
        <v>0</v>
      </c>
      <c r="H90" s="1518">
        <f t="shared" si="26"/>
        <v>0</v>
      </c>
      <c r="I90" s="1518">
        <f t="shared" si="27"/>
        <v>0</v>
      </c>
      <c r="J90" s="58"/>
      <c r="K90" s="1518">
        <f t="shared" si="28"/>
        <v>0</v>
      </c>
      <c r="L90" s="1518">
        <f t="shared" si="29"/>
        <v>0</v>
      </c>
      <c r="M90" s="1518">
        <f t="shared" si="30"/>
        <v>0</v>
      </c>
      <c r="N90" s="58"/>
      <c r="O90" s="58"/>
      <c r="P90" s="58"/>
      <c r="Q90" s="58"/>
      <c r="R90" s="58"/>
      <c r="S90" s="58"/>
      <c r="T90" s="58"/>
      <c r="U90" s="58"/>
      <c r="V90" s="58"/>
      <c r="W90" s="58"/>
      <c r="X90" s="58"/>
    </row>
    <row r="91" spans="1:24" s="60" customFormat="1" ht="17.149999999999999" customHeight="1" x14ac:dyDescent="0.35">
      <c r="A91" s="953" t="str">
        <f t="shared" si="19"/>
        <v>Private provider 3 [Name]</v>
      </c>
      <c r="B91" s="1522">
        <f t="shared" si="20"/>
        <v>0</v>
      </c>
      <c r="C91" s="1518">
        <f t="shared" si="21"/>
        <v>0</v>
      </c>
      <c r="D91" s="1518">
        <f t="shared" si="22"/>
        <v>0</v>
      </c>
      <c r="E91" s="1518">
        <f t="shared" si="23"/>
        <v>0</v>
      </c>
      <c r="F91" s="1522">
        <f t="shared" si="24"/>
        <v>0</v>
      </c>
      <c r="G91" s="1518">
        <f t="shared" si="25"/>
        <v>0</v>
      </c>
      <c r="H91" s="1518">
        <f t="shared" si="26"/>
        <v>0</v>
      </c>
      <c r="I91" s="1518">
        <f t="shared" si="27"/>
        <v>0</v>
      </c>
      <c r="J91" s="58"/>
      <c r="K91" s="1518">
        <f t="shared" si="28"/>
        <v>0</v>
      </c>
      <c r="L91" s="1518">
        <f t="shared" si="29"/>
        <v>0</v>
      </c>
      <c r="M91" s="1518">
        <f t="shared" si="30"/>
        <v>0</v>
      </c>
      <c r="N91" s="58"/>
      <c r="O91" s="58"/>
      <c r="P91" s="58"/>
      <c r="Q91" s="58"/>
      <c r="R91" s="58"/>
      <c r="S91" s="58"/>
      <c r="T91" s="58"/>
      <c r="U91" s="58"/>
      <c r="V91" s="58"/>
      <c r="W91" s="58"/>
      <c r="X91" s="58"/>
    </row>
    <row r="92" spans="1:24" s="60" customFormat="1" ht="17.149999999999999" customHeight="1" x14ac:dyDescent="0.35">
      <c r="A92" s="953" t="str">
        <f t="shared" si="19"/>
        <v>Private provider 4 [Name]</v>
      </c>
      <c r="B92" s="1522">
        <f t="shared" si="20"/>
        <v>0</v>
      </c>
      <c r="C92" s="1518">
        <f t="shared" si="21"/>
        <v>0</v>
      </c>
      <c r="D92" s="1518">
        <f t="shared" si="22"/>
        <v>0</v>
      </c>
      <c r="E92" s="1518">
        <f t="shared" si="23"/>
        <v>0</v>
      </c>
      <c r="F92" s="1522">
        <f t="shared" si="24"/>
        <v>0</v>
      </c>
      <c r="G92" s="1518">
        <f t="shared" si="25"/>
        <v>0</v>
      </c>
      <c r="H92" s="1518">
        <f t="shared" si="26"/>
        <v>0</v>
      </c>
      <c r="I92" s="1518">
        <f t="shared" si="27"/>
        <v>0</v>
      </c>
      <c r="J92" s="58"/>
      <c r="K92" s="1518">
        <f t="shared" si="28"/>
        <v>0</v>
      </c>
      <c r="L92" s="1518">
        <f t="shared" si="29"/>
        <v>0</v>
      </c>
      <c r="M92" s="1518">
        <f t="shared" si="30"/>
        <v>0</v>
      </c>
      <c r="N92" s="58"/>
      <c r="O92" s="58"/>
      <c r="P92" s="58"/>
      <c r="Q92" s="58"/>
      <c r="R92" s="58"/>
      <c r="S92" s="58"/>
      <c r="T92" s="58"/>
      <c r="U92" s="58"/>
      <c r="V92" s="58"/>
      <c r="W92" s="58"/>
      <c r="X92" s="58"/>
    </row>
    <row r="93" spans="1:24" s="60" customFormat="1" ht="17.149999999999999" customHeight="1" x14ac:dyDescent="0.35">
      <c r="A93" s="953" t="str">
        <f t="shared" si="19"/>
        <v>Private provider 5 [Name]</v>
      </c>
      <c r="B93" s="1522">
        <f t="shared" si="20"/>
        <v>0</v>
      </c>
      <c r="C93" s="1518">
        <f t="shared" si="21"/>
        <v>0</v>
      </c>
      <c r="D93" s="1518">
        <f t="shared" si="22"/>
        <v>0</v>
      </c>
      <c r="E93" s="1518">
        <f t="shared" si="23"/>
        <v>0</v>
      </c>
      <c r="F93" s="1522">
        <f t="shared" si="24"/>
        <v>0</v>
      </c>
      <c r="G93" s="1518">
        <f t="shared" si="25"/>
        <v>0</v>
      </c>
      <c r="H93" s="1518">
        <f t="shared" si="26"/>
        <v>0</v>
      </c>
      <c r="I93" s="1518">
        <f t="shared" si="27"/>
        <v>0</v>
      </c>
      <c r="J93" s="58"/>
      <c r="K93" s="1518">
        <f t="shared" si="28"/>
        <v>0</v>
      </c>
      <c r="L93" s="1518">
        <f t="shared" si="29"/>
        <v>0</v>
      </c>
      <c r="M93" s="1518">
        <f t="shared" si="30"/>
        <v>0</v>
      </c>
      <c r="N93" s="58"/>
      <c r="O93" s="58"/>
      <c r="P93" s="58"/>
      <c r="Q93" s="58"/>
      <c r="R93" s="58"/>
      <c r="S93" s="58"/>
      <c r="T93" s="58"/>
      <c r="U93" s="58"/>
      <c r="V93" s="58"/>
      <c r="W93" s="58"/>
      <c r="X93" s="58"/>
    </row>
    <row r="94" spans="1:24" s="60" customFormat="1" ht="17.149999999999999" customHeight="1" x14ac:dyDescent="0.35">
      <c r="A94" s="953" t="str">
        <f t="shared" si="19"/>
        <v>Private provider 6 [Name]</v>
      </c>
      <c r="B94" s="1522">
        <f t="shared" si="20"/>
        <v>0</v>
      </c>
      <c r="C94" s="1518">
        <f t="shared" si="21"/>
        <v>0</v>
      </c>
      <c r="D94" s="1518">
        <f t="shared" si="22"/>
        <v>0</v>
      </c>
      <c r="E94" s="1518">
        <f t="shared" si="23"/>
        <v>0</v>
      </c>
      <c r="F94" s="1522">
        <f t="shared" si="24"/>
        <v>0</v>
      </c>
      <c r="G94" s="1518">
        <f t="shared" si="25"/>
        <v>0</v>
      </c>
      <c r="H94" s="1518">
        <f t="shared" si="26"/>
        <v>0</v>
      </c>
      <c r="I94" s="1518">
        <f t="shared" si="27"/>
        <v>0</v>
      </c>
      <c r="J94" s="58"/>
      <c r="K94" s="1518">
        <f t="shared" si="28"/>
        <v>0</v>
      </c>
      <c r="L94" s="1518">
        <f t="shared" si="29"/>
        <v>0</v>
      </c>
      <c r="M94" s="1518">
        <f t="shared" si="30"/>
        <v>0</v>
      </c>
      <c r="N94" s="58"/>
      <c r="O94" s="58"/>
      <c r="P94" s="58"/>
      <c r="Q94" s="58"/>
      <c r="R94" s="58"/>
      <c r="S94" s="58"/>
      <c r="T94" s="58"/>
      <c r="U94" s="58"/>
      <c r="V94" s="58"/>
      <c r="W94" s="58"/>
      <c r="X94" s="58"/>
    </row>
    <row r="95" spans="1:24" s="3" customFormat="1" ht="17.149999999999999" customHeight="1" x14ac:dyDescent="0.35">
      <c r="A95" s="977" t="s">
        <v>1066</v>
      </c>
      <c r="B95" s="980">
        <f t="shared" ref="B95:I95" si="31">SUM(B87:B94)</f>
        <v>0</v>
      </c>
      <c r="C95" s="980">
        <f t="shared" si="31"/>
        <v>0</v>
      </c>
      <c r="D95" s="980">
        <f t="shared" si="31"/>
        <v>0</v>
      </c>
      <c r="E95" s="980">
        <f t="shared" si="31"/>
        <v>147900</v>
      </c>
      <c r="F95" s="980">
        <f t="shared" si="31"/>
        <v>0</v>
      </c>
      <c r="G95" s="980">
        <f t="shared" si="31"/>
        <v>0</v>
      </c>
      <c r="H95" s="980">
        <f t="shared" si="31"/>
        <v>0</v>
      </c>
      <c r="I95" s="980">
        <f t="shared" si="31"/>
        <v>0</v>
      </c>
      <c r="J95" s="4"/>
      <c r="K95" s="980">
        <f>SUM(K87:K94)</f>
        <v>0</v>
      </c>
      <c r="L95" s="980">
        <f>SUM(L87:L94)</f>
        <v>0</v>
      </c>
      <c r="M95" s="980">
        <f>SUM(M87:M94)</f>
        <v>147900</v>
      </c>
      <c r="N95" s="980">
        <f>SUM(K95:M95)</f>
        <v>147900</v>
      </c>
      <c r="O95" s="148"/>
      <c r="P95" s="4"/>
      <c r="Q95" s="4"/>
      <c r="R95" s="4"/>
      <c r="S95" s="4"/>
      <c r="T95" s="4"/>
      <c r="U95" s="4"/>
      <c r="V95" s="4"/>
      <c r="W95" s="4"/>
      <c r="X95" s="4"/>
    </row>
    <row r="96" spans="1:24" ht="17.149999999999999" customHeight="1" x14ac:dyDescent="0.35">
      <c r="A96" s="949" t="s">
        <v>208</v>
      </c>
      <c r="B96" s="948">
        <f t="shared" ref="B96:I96" si="32">B95+B85</f>
        <v>0</v>
      </c>
      <c r="C96" s="948">
        <f t="shared" si="32"/>
        <v>0</v>
      </c>
      <c r="D96" s="948">
        <f t="shared" si="32"/>
        <v>0</v>
      </c>
      <c r="E96" s="948">
        <f t="shared" si="32"/>
        <v>147900</v>
      </c>
      <c r="F96" s="948">
        <f t="shared" si="32"/>
        <v>0</v>
      </c>
      <c r="G96" s="948">
        <f t="shared" si="32"/>
        <v>0</v>
      </c>
      <c r="H96" s="948">
        <f t="shared" si="32"/>
        <v>0</v>
      </c>
      <c r="I96" s="948">
        <f t="shared" si="32"/>
        <v>0</v>
      </c>
      <c r="K96" s="948">
        <f>K95+K85</f>
        <v>0</v>
      </c>
      <c r="L96" s="948">
        <f>L95+L85</f>
        <v>0</v>
      </c>
      <c r="M96" s="948">
        <f>M95+M85</f>
        <v>147900</v>
      </c>
      <c r="N96" s="948">
        <f>SUM(K96:M96)</f>
        <v>147900</v>
      </c>
      <c r="W96" s="98"/>
    </row>
    <row r="97" spans="1:25" ht="17.149999999999999" customHeight="1" x14ac:dyDescent="0.35">
      <c r="A97" s="2"/>
      <c r="K97" s="454">
        <f>IF($N$96=0,0,K96/$N$96)</f>
        <v>0</v>
      </c>
      <c r="L97" s="454">
        <f>IF($N$96=0,0,L96/$N$96)</f>
        <v>0</v>
      </c>
      <c r="M97" s="454">
        <f>IF($N$96=0,0,M96/$N$96)</f>
        <v>1</v>
      </c>
      <c r="N97" s="454">
        <f>IF($N$96=0,0,N96/$N$96)</f>
        <v>1</v>
      </c>
      <c r="W97" s="98"/>
    </row>
    <row r="98" spans="1:25" ht="17.149999999999999" customHeight="1" x14ac:dyDescent="0.35">
      <c r="A98" s="2"/>
    </row>
    <row r="99" spans="1:25" ht="17.149999999999999" customHeight="1" x14ac:dyDescent="0.35">
      <c r="A99" s="2"/>
    </row>
    <row r="100" spans="1:25" s="115" customFormat="1" ht="17.149999999999999" customHeight="1" x14ac:dyDescent="0.35">
      <c r="A100" s="949" t="s">
        <v>1081</v>
      </c>
      <c r="B100" s="1777" t="s">
        <v>9</v>
      </c>
      <c r="C100" s="1777"/>
      <c r="D100" s="1777"/>
      <c r="E100" s="226"/>
      <c r="F100" s="226"/>
      <c r="G100" s="226"/>
      <c r="H100" s="226"/>
      <c r="I100" s="226"/>
      <c r="J100" s="226"/>
      <c r="K100" s="226"/>
      <c r="L100" s="226"/>
      <c r="M100" s="226"/>
      <c r="N100" s="226"/>
      <c r="O100" s="226"/>
      <c r="P100" s="226"/>
      <c r="Q100" s="226"/>
      <c r="R100" s="226"/>
      <c r="S100" s="226"/>
      <c r="T100" s="226"/>
      <c r="U100" s="226"/>
      <c r="V100" s="226"/>
    </row>
    <row r="101" spans="1:25" s="294" customFormat="1" ht="17.149999999999999" customHeight="1" x14ac:dyDescent="0.35">
      <c r="A101" s="188"/>
      <c r="B101" s="986"/>
      <c r="C101" s="293"/>
      <c r="D101" s="293"/>
      <c r="E101" s="293"/>
      <c r="F101" s="293"/>
      <c r="G101" s="293"/>
      <c r="H101" s="293"/>
      <c r="I101" s="293"/>
      <c r="J101" s="293"/>
      <c r="K101" s="293"/>
      <c r="L101" s="293"/>
      <c r="M101" s="293"/>
      <c r="N101" s="293"/>
      <c r="O101" s="293"/>
      <c r="P101" s="293"/>
      <c r="Q101" s="293"/>
      <c r="R101" s="293"/>
      <c r="S101" s="293"/>
      <c r="T101" s="293"/>
      <c r="U101" s="293"/>
      <c r="V101" s="293"/>
    </row>
    <row r="102" spans="1:25" s="115" customFormat="1" ht="31" x14ac:dyDescent="0.35">
      <c r="A102" s="950" t="s">
        <v>78</v>
      </c>
      <c r="B102" s="1511" t="s">
        <v>1082</v>
      </c>
      <c r="C102" s="1511" t="s">
        <v>1083</v>
      </c>
      <c r="D102" s="1511" t="s">
        <v>1077</v>
      </c>
      <c r="E102" s="226"/>
      <c r="F102" s="226"/>
      <c r="G102" s="226"/>
      <c r="H102" s="226"/>
      <c r="I102" s="226"/>
      <c r="J102" s="226"/>
      <c r="K102" s="226"/>
      <c r="L102" s="226"/>
      <c r="M102" s="226"/>
      <c r="N102" s="226"/>
      <c r="O102" s="226"/>
      <c r="P102" s="226"/>
      <c r="Q102" s="226"/>
      <c r="R102" s="226"/>
      <c r="S102" s="226"/>
      <c r="T102" s="226"/>
      <c r="U102" s="226"/>
      <c r="V102" s="226"/>
    </row>
    <row r="103" spans="1:25" s="60" customFormat="1" ht="13" x14ac:dyDescent="0.35">
      <c r="A103" s="168"/>
      <c r="B103" s="356"/>
      <c r="C103" s="224"/>
      <c r="D103" s="225"/>
      <c r="E103" s="58"/>
      <c r="F103" s="58"/>
      <c r="G103" s="58"/>
      <c r="H103" s="58"/>
      <c r="I103" s="58"/>
      <c r="J103" s="58"/>
      <c r="K103" s="58"/>
      <c r="L103" s="58"/>
      <c r="M103" s="58"/>
      <c r="N103" s="58"/>
      <c r="O103" s="58"/>
      <c r="P103" s="58"/>
      <c r="Q103" s="58"/>
      <c r="R103" s="58"/>
      <c r="S103" s="58"/>
      <c r="T103" s="58"/>
      <c r="U103" s="58"/>
      <c r="V103" s="58"/>
    </row>
    <row r="104" spans="1:25" s="3" customFormat="1" ht="17.149999999999999" customHeight="1" x14ac:dyDescent="0.35">
      <c r="A104" s="143" t="s">
        <v>1084</v>
      </c>
      <c r="B104" s="1520">
        <f>'FS_Emptying volumes'!B137</f>
        <v>36225</v>
      </c>
      <c r="C104" s="1520">
        <f>ROUND((B104*B69)/25,0)*25</f>
        <v>3625</v>
      </c>
      <c r="D104" s="53">
        <f>B104-C104</f>
        <v>32600</v>
      </c>
      <c r="E104" s="4"/>
      <c r="F104" s="4"/>
      <c r="G104" s="4"/>
      <c r="H104" s="4"/>
      <c r="I104" s="4"/>
      <c r="J104" s="4"/>
      <c r="K104" s="4"/>
      <c r="L104" s="4"/>
      <c r="M104" s="4"/>
      <c r="N104" s="4"/>
      <c r="O104" s="4"/>
      <c r="P104" s="4"/>
      <c r="Q104" s="4"/>
      <c r="R104" s="4"/>
      <c r="S104" s="4"/>
      <c r="T104" s="4"/>
      <c r="U104" s="4"/>
      <c r="V104" s="4"/>
    </row>
    <row r="105" spans="1:25" s="3" customFormat="1" ht="17.149999999999999" customHeight="1" x14ac:dyDescent="0.35">
      <c r="A105" s="143" t="s">
        <v>1085</v>
      </c>
      <c r="B105" s="1520">
        <f>'FS_Emptying volumes'!B138</f>
        <v>0</v>
      </c>
      <c r="C105" s="1521">
        <f>ROUND((B105*B70)/25,0)*25</f>
        <v>0</v>
      </c>
      <c r="D105" s="53">
        <f>B105-C105</f>
        <v>0</v>
      </c>
      <c r="E105" s="4"/>
      <c r="F105" s="4"/>
      <c r="G105" s="4"/>
      <c r="H105" s="4"/>
      <c r="I105" s="4"/>
      <c r="J105" s="4"/>
      <c r="K105" s="4"/>
      <c r="L105" s="4"/>
      <c r="M105" s="4"/>
      <c r="N105" s="4"/>
      <c r="O105" s="4"/>
      <c r="P105" s="4"/>
      <c r="Q105" s="4"/>
      <c r="R105" s="4"/>
      <c r="S105" s="4"/>
      <c r="T105" s="4"/>
      <c r="U105" s="4"/>
      <c r="V105" s="4"/>
    </row>
    <row r="106" spans="1:25" s="3" customFormat="1" ht="17.149999999999999" customHeight="1" x14ac:dyDescent="0.35">
      <c r="A106" s="143" t="s">
        <v>1086</v>
      </c>
      <c r="B106" s="1520">
        <f>'FS_Emptying volumes'!B139</f>
        <v>0</v>
      </c>
      <c r="C106" s="1521"/>
      <c r="D106" s="53">
        <f>B106-C106</f>
        <v>0</v>
      </c>
      <c r="E106" s="4"/>
      <c r="F106" s="4"/>
      <c r="G106" s="4"/>
      <c r="H106" s="4"/>
      <c r="I106" s="4"/>
      <c r="J106" s="4"/>
      <c r="K106" s="4"/>
      <c r="L106" s="4"/>
      <c r="M106" s="4"/>
      <c r="N106" s="4"/>
      <c r="O106" s="4"/>
      <c r="P106" s="4"/>
      <c r="Q106" s="4"/>
      <c r="R106" s="4"/>
      <c r="S106" s="4"/>
      <c r="T106" s="4"/>
      <c r="U106" s="4"/>
      <c r="V106" s="4"/>
    </row>
    <row r="107" spans="1:25" ht="17.149999999999999" customHeight="1" x14ac:dyDescent="0.35">
      <c r="A107" s="949" t="s">
        <v>208</v>
      </c>
      <c r="B107" s="948">
        <f>SUM(B104:B106)</f>
        <v>36225</v>
      </c>
      <c r="C107" s="948">
        <f>SUM(C104:C106)</f>
        <v>3625</v>
      </c>
      <c r="D107" s="948">
        <f>SUM(D104:D106)</f>
        <v>32600</v>
      </c>
    </row>
    <row r="108" spans="1:25" ht="17.149999999999999" customHeight="1" x14ac:dyDescent="0.35">
      <c r="A108" s="2"/>
    </row>
    <row r="109" spans="1:25" ht="17.149999999999999" customHeight="1" x14ac:dyDescent="0.35">
      <c r="A109" s="2"/>
    </row>
    <row r="110" spans="1:25" ht="17.149999999999999" customHeight="1" x14ac:dyDescent="0.35">
      <c r="A110" s="120"/>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07"/>
      <c r="X110" s="107"/>
      <c r="Y110" s="107"/>
    </row>
    <row r="111" spans="1:25" ht="17.149999999999999" customHeight="1" x14ac:dyDescent="0.35">
      <c r="A111" s="949" t="s">
        <v>968</v>
      </c>
      <c r="B111" s="1504" t="s">
        <v>9</v>
      </c>
      <c r="C111" s="196"/>
      <c r="D111" s="196"/>
      <c r="E111" s="196"/>
      <c r="F111" s="196"/>
      <c r="G111" s="196"/>
      <c r="H111" s="196"/>
      <c r="I111" s="196"/>
      <c r="J111" s="196"/>
      <c r="K111" s="196"/>
      <c r="L111" s="196"/>
      <c r="M111" s="196"/>
      <c r="N111" s="196"/>
      <c r="O111" s="196"/>
      <c r="P111" s="196"/>
      <c r="Q111" s="196"/>
      <c r="R111" s="196"/>
      <c r="S111" s="196"/>
      <c r="T111" s="196"/>
      <c r="U111" s="196"/>
      <c r="V111" s="196"/>
      <c r="W111" s="107"/>
      <c r="X111" s="107"/>
      <c r="Y111" s="107"/>
    </row>
    <row r="112" spans="1:25" s="185" customFormat="1" ht="10.5" x14ac:dyDescent="0.35">
      <c r="A112" s="237"/>
      <c r="B112" s="222"/>
      <c r="C112" s="286"/>
      <c r="D112" s="286"/>
      <c r="E112" s="286"/>
      <c r="F112" s="286"/>
      <c r="G112" s="286"/>
      <c r="H112" s="286"/>
      <c r="I112" s="282"/>
      <c r="J112" s="283"/>
      <c r="K112" s="283"/>
      <c r="L112" s="283"/>
      <c r="M112" s="283"/>
      <c r="N112" s="283"/>
      <c r="O112" s="283"/>
      <c r="P112" s="283"/>
      <c r="Q112" s="283"/>
      <c r="R112" s="283"/>
      <c r="S112" s="283"/>
      <c r="T112" s="283"/>
      <c r="U112" s="283"/>
      <c r="V112" s="283"/>
      <c r="W112" s="285"/>
      <c r="X112" s="285"/>
      <c r="Y112" s="285"/>
    </row>
    <row r="113" spans="1:25" ht="17.149999999999999" customHeight="1" x14ac:dyDescent="0.35">
      <c r="A113" s="80"/>
      <c r="B113" s="1513" t="s">
        <v>841</v>
      </c>
      <c r="C113" s="85"/>
      <c r="D113" s="85"/>
      <c r="E113" s="198"/>
      <c r="F113" s="85"/>
      <c r="G113" s="85"/>
      <c r="H113" s="198"/>
      <c r="I113" s="198"/>
      <c r="J113" s="198"/>
      <c r="K113" s="198"/>
      <c r="L113" s="198"/>
      <c r="M113" s="198"/>
      <c r="N113" s="347"/>
      <c r="O113" s="198"/>
      <c r="P113" s="196"/>
      <c r="Q113" s="196"/>
      <c r="R113" s="196"/>
      <c r="S113" s="196"/>
      <c r="T113" s="196"/>
      <c r="U113" s="196"/>
      <c r="V113" s="196"/>
      <c r="W113" s="107"/>
      <c r="X113" s="107"/>
      <c r="Y113" s="107"/>
    </row>
    <row r="114" spans="1:25" s="185" customFormat="1" ht="10.5" x14ac:dyDescent="0.35">
      <c r="A114" s="237"/>
      <c r="B114" s="222"/>
      <c r="C114" s="286"/>
      <c r="D114" s="286"/>
      <c r="E114" s="286"/>
      <c r="F114" s="286"/>
      <c r="G114" s="286"/>
      <c r="H114" s="286"/>
      <c r="I114" s="282"/>
      <c r="J114" s="283"/>
      <c r="K114" s="283"/>
      <c r="L114" s="283"/>
      <c r="M114" s="283"/>
      <c r="N114" s="283"/>
      <c r="O114" s="283"/>
      <c r="P114" s="283"/>
      <c r="Q114" s="283"/>
      <c r="R114" s="283"/>
      <c r="S114" s="283"/>
      <c r="T114" s="283"/>
      <c r="U114" s="283"/>
      <c r="V114" s="283"/>
      <c r="W114" s="285"/>
      <c r="X114" s="285"/>
      <c r="Y114" s="285"/>
    </row>
    <row r="115" spans="1:25" ht="17.149999999999999" customHeight="1" x14ac:dyDescent="0.35">
      <c r="A115" s="206" t="s">
        <v>1036</v>
      </c>
      <c r="B115" s="207">
        <f>B116</f>
        <v>0</v>
      </c>
      <c r="C115" s="85"/>
      <c r="D115" s="85"/>
      <c r="E115" s="199"/>
      <c r="F115" s="36"/>
      <c r="G115" s="36"/>
      <c r="H115" s="199"/>
      <c r="I115" s="199"/>
      <c r="J115" s="199"/>
      <c r="K115" s="199"/>
      <c r="L115" s="66"/>
      <c r="M115" s="66"/>
      <c r="N115" s="44"/>
      <c r="O115" s="66"/>
      <c r="P115" s="196"/>
      <c r="Q115" s="196"/>
      <c r="R115" s="196"/>
      <c r="S115" s="196"/>
      <c r="T115" s="196"/>
      <c r="U115" s="196"/>
      <c r="V115" s="196"/>
      <c r="W115" s="107"/>
      <c r="X115" s="107"/>
      <c r="Y115" s="107"/>
    </row>
    <row r="116" spans="1:25" ht="17.149999999999999" customHeight="1" x14ac:dyDescent="0.35">
      <c r="A116" s="149" t="s">
        <v>1087</v>
      </c>
      <c r="B116" s="296">
        <f>K96</f>
        <v>0</v>
      </c>
      <c r="C116" s="107"/>
      <c r="D116" s="302"/>
      <c r="E116" s="196"/>
      <c r="F116" s="107"/>
      <c r="G116" s="107"/>
      <c r="H116" s="196"/>
      <c r="I116" s="196"/>
      <c r="J116" s="196"/>
      <c r="K116" s="196"/>
      <c r="L116" s="44"/>
      <c r="M116" s="44"/>
      <c r="N116" s="44"/>
      <c r="O116" s="44"/>
      <c r="P116" s="196"/>
      <c r="Q116" s="196"/>
      <c r="R116" s="196"/>
      <c r="S116" s="196"/>
      <c r="T116" s="196"/>
      <c r="U116" s="196"/>
      <c r="V116" s="196"/>
      <c r="W116" s="107"/>
      <c r="X116" s="107"/>
      <c r="Y116" s="107"/>
    </row>
    <row r="117" spans="1:25" ht="17.149999999999999" customHeight="1" x14ac:dyDescent="0.35">
      <c r="A117" s="289"/>
      <c r="B117" s="290"/>
      <c r="C117" s="107"/>
      <c r="D117" s="107"/>
      <c r="E117" s="196"/>
      <c r="F117" s="107"/>
      <c r="G117" s="107"/>
      <c r="H117" s="196"/>
      <c r="I117" s="196"/>
      <c r="J117" s="196"/>
      <c r="K117" s="196"/>
      <c r="L117" s="89"/>
      <c r="M117" s="89"/>
      <c r="N117" s="89"/>
      <c r="O117" s="89"/>
      <c r="P117" s="196"/>
      <c r="Q117" s="196"/>
      <c r="R117" s="196"/>
      <c r="S117" s="196"/>
      <c r="T117" s="196"/>
      <c r="U117" s="196"/>
      <c r="V117" s="196"/>
      <c r="W117" s="107"/>
      <c r="X117" s="107"/>
      <c r="Y117" s="107"/>
    </row>
    <row r="118" spans="1:25" ht="17.149999999999999" customHeight="1" x14ac:dyDescent="0.35">
      <c r="A118" s="206" t="s">
        <v>1038</v>
      </c>
      <c r="B118" s="207">
        <f>SUM(B119:B121)</f>
        <v>32600</v>
      </c>
      <c r="C118" s="196"/>
      <c r="D118" s="196"/>
      <c r="E118" s="196"/>
      <c r="F118" s="196"/>
      <c r="G118" s="196"/>
      <c r="H118" s="196"/>
      <c r="I118" s="196"/>
      <c r="J118" s="196"/>
      <c r="K118" s="196"/>
      <c r="L118" s="44"/>
      <c r="M118" s="44"/>
      <c r="N118" s="10"/>
      <c r="O118" s="10"/>
      <c r="P118" s="196"/>
      <c r="Q118" s="196"/>
      <c r="R118" s="196"/>
      <c r="S118" s="196"/>
      <c r="T118" s="196"/>
      <c r="U118" s="196"/>
      <c r="V118" s="196"/>
      <c r="W118" s="107"/>
      <c r="X118" s="107"/>
      <c r="Y118" s="107"/>
    </row>
    <row r="119" spans="1:25" ht="17.149999999999999" customHeight="1" x14ac:dyDescent="0.35">
      <c r="A119" s="149" t="s">
        <v>1088</v>
      </c>
      <c r="B119" s="297">
        <f>D104</f>
        <v>32600</v>
      </c>
      <c r="C119" s="196"/>
      <c r="D119" s="196"/>
      <c r="E119" s="196"/>
      <c r="F119" s="196"/>
      <c r="G119" s="196"/>
      <c r="H119" s="196"/>
      <c r="I119" s="196"/>
      <c r="J119" s="196"/>
      <c r="K119" s="196"/>
      <c r="L119" s="196"/>
      <c r="M119" s="196"/>
      <c r="N119" s="196"/>
      <c r="O119" s="196"/>
      <c r="P119" s="196"/>
      <c r="Q119" s="196"/>
      <c r="R119" s="196"/>
      <c r="S119" s="196"/>
      <c r="T119" s="196"/>
      <c r="U119" s="196"/>
      <c r="V119" s="196"/>
      <c r="W119" s="107"/>
      <c r="X119" s="107"/>
      <c r="Y119" s="107"/>
    </row>
    <row r="120" spans="1:25" ht="17.149999999999999" customHeight="1" x14ac:dyDescent="0.35">
      <c r="A120" s="149" t="s">
        <v>1089</v>
      </c>
      <c r="B120" s="297">
        <f>D105</f>
        <v>0</v>
      </c>
      <c r="C120" s="78"/>
      <c r="D120" s="196"/>
      <c r="E120" s="78"/>
      <c r="F120" s="78"/>
      <c r="G120" s="78"/>
      <c r="H120" s="78"/>
      <c r="I120" s="347"/>
      <c r="J120" s="196"/>
      <c r="K120" s="196"/>
      <c r="L120" s="66"/>
      <c r="M120" s="66"/>
      <c r="N120" s="44"/>
      <c r="O120" s="44"/>
      <c r="P120" s="196"/>
      <c r="Q120" s="196"/>
      <c r="R120" s="196"/>
      <c r="S120" s="196"/>
      <c r="T120" s="196"/>
      <c r="U120" s="196"/>
      <c r="V120" s="196"/>
      <c r="W120" s="107"/>
      <c r="X120" s="107"/>
      <c r="Y120" s="107"/>
    </row>
    <row r="121" spans="1:25" ht="17.149999999999999" customHeight="1" x14ac:dyDescent="0.35">
      <c r="A121" s="149" t="s">
        <v>1090</v>
      </c>
      <c r="B121" s="297">
        <f>D106</f>
        <v>0</v>
      </c>
      <c r="C121" s="85"/>
      <c r="D121" s="196"/>
      <c r="E121" s="198"/>
      <c r="F121" s="85"/>
      <c r="G121" s="85"/>
      <c r="H121" s="198"/>
      <c r="I121" s="198"/>
      <c r="J121" s="198"/>
      <c r="K121" s="198"/>
      <c r="L121" s="198"/>
      <c r="M121" s="198"/>
      <c r="N121" s="347"/>
      <c r="O121" s="198"/>
      <c r="P121" s="196"/>
      <c r="Q121" s="78"/>
      <c r="R121" s="78"/>
      <c r="S121" s="78"/>
      <c r="T121" s="347"/>
      <c r="U121" s="196"/>
      <c r="V121" s="196"/>
      <c r="W121" s="107"/>
      <c r="X121" s="107"/>
      <c r="Y121" s="107"/>
    </row>
    <row r="122" spans="1:25" ht="17.149999999999999" customHeight="1" x14ac:dyDescent="0.35">
      <c r="A122" s="145"/>
      <c r="B122" s="156"/>
      <c r="C122" s="85"/>
      <c r="D122" s="85"/>
      <c r="E122" s="199"/>
      <c r="F122" s="36"/>
      <c r="G122" s="36"/>
      <c r="H122" s="199"/>
      <c r="I122" s="199"/>
      <c r="J122" s="199"/>
      <c r="K122" s="199"/>
      <c r="L122" s="66"/>
      <c r="M122" s="66"/>
      <c r="N122" s="44"/>
      <c r="O122" s="66"/>
      <c r="P122" s="196"/>
      <c r="Q122" s="101"/>
      <c r="R122" s="101"/>
      <c r="S122" s="101"/>
      <c r="T122" s="101"/>
      <c r="U122" s="196"/>
      <c r="V122" s="196"/>
      <c r="W122" s="107"/>
      <c r="X122" s="107"/>
      <c r="Y122" s="107"/>
    </row>
    <row r="123" spans="1:25" ht="17.149999999999999" customHeight="1" x14ac:dyDescent="0.35">
      <c r="A123" s="208" t="s">
        <v>1042</v>
      </c>
      <c r="B123" s="209">
        <f>SUM(B124:B125)</f>
        <v>147900</v>
      </c>
      <c r="C123" s="107"/>
      <c r="D123" s="107"/>
      <c r="E123" s="196"/>
      <c r="F123" s="107"/>
      <c r="G123" s="107"/>
      <c r="H123" s="196"/>
      <c r="I123" s="196"/>
      <c r="J123" s="196"/>
      <c r="K123" s="196"/>
      <c r="L123" s="44"/>
      <c r="M123" s="44"/>
      <c r="N123" s="44"/>
      <c r="O123" s="44"/>
      <c r="P123" s="196"/>
      <c r="Q123" s="196"/>
      <c r="R123" s="196"/>
      <c r="S123" s="196"/>
      <c r="T123" s="196"/>
      <c r="U123" s="196"/>
      <c r="V123" s="196"/>
      <c r="W123" s="107"/>
      <c r="X123" s="107"/>
      <c r="Y123" s="107"/>
    </row>
    <row r="124" spans="1:25" ht="17.149999999999999" customHeight="1" x14ac:dyDescent="0.35">
      <c r="A124" s="298" t="s">
        <v>1091</v>
      </c>
      <c r="B124" s="297">
        <f>L96</f>
        <v>0</v>
      </c>
      <c r="C124" s="70"/>
      <c r="D124" s="70"/>
      <c r="E124" s="195"/>
      <c r="F124" s="70"/>
      <c r="G124" s="70"/>
      <c r="H124" s="195"/>
      <c r="I124" s="195"/>
      <c r="J124" s="195"/>
      <c r="K124" s="195"/>
      <c r="L124" s="89"/>
      <c r="M124" s="89"/>
      <c r="N124" s="89"/>
      <c r="O124" s="89"/>
      <c r="P124" s="196"/>
      <c r="Q124" s="196"/>
      <c r="R124" s="196"/>
      <c r="S124" s="196"/>
      <c r="T124" s="196"/>
      <c r="U124" s="196"/>
      <c r="V124" s="196"/>
      <c r="W124" s="107"/>
      <c r="X124" s="107"/>
      <c r="Y124" s="107"/>
    </row>
    <row r="125" spans="1:25" ht="17.149999999999999" customHeight="1" x14ac:dyDescent="0.35">
      <c r="A125" s="299" t="s">
        <v>1092</v>
      </c>
      <c r="B125" s="297">
        <f>M96</f>
        <v>147900</v>
      </c>
      <c r="C125" s="107"/>
      <c r="D125" s="107"/>
      <c r="E125" s="196"/>
      <c r="F125" s="107"/>
      <c r="G125" s="107"/>
      <c r="H125" s="196"/>
      <c r="I125" s="196"/>
      <c r="J125" s="196"/>
      <c r="K125" s="196"/>
      <c r="L125" s="44"/>
      <c r="M125" s="44"/>
      <c r="N125" s="44"/>
      <c r="O125" s="44"/>
      <c r="P125" s="196"/>
      <c r="Q125" s="196"/>
      <c r="R125" s="196"/>
      <c r="S125" s="196"/>
      <c r="T125" s="196"/>
      <c r="U125" s="196"/>
      <c r="V125" s="196"/>
      <c r="W125" s="107"/>
      <c r="X125" s="107"/>
      <c r="Y125" s="107"/>
    </row>
    <row r="126" spans="1:25" ht="17.149999999999999" customHeight="1" x14ac:dyDescent="0.35">
      <c r="A126" s="145"/>
      <c r="B126" s="156"/>
      <c r="C126" s="107"/>
      <c r="D126" s="107"/>
      <c r="E126" s="196"/>
      <c r="F126" s="107"/>
      <c r="G126" s="107"/>
      <c r="H126" s="196"/>
      <c r="I126" s="196"/>
      <c r="J126" s="196"/>
      <c r="K126" s="196"/>
      <c r="L126" s="44"/>
      <c r="M126" s="44"/>
      <c r="N126" s="44"/>
      <c r="O126" s="44"/>
      <c r="P126" s="196"/>
      <c r="Q126" s="196"/>
      <c r="R126" s="196"/>
      <c r="S126" s="196"/>
      <c r="T126" s="196"/>
      <c r="U126" s="196"/>
      <c r="V126" s="196"/>
      <c r="W126" s="107"/>
      <c r="X126" s="107"/>
      <c r="Y126" s="107"/>
    </row>
    <row r="127" spans="1:25" ht="17.149999999999999" customHeight="1" x14ac:dyDescent="0.35">
      <c r="A127" s="208" t="s">
        <v>1045</v>
      </c>
      <c r="B127" s="209">
        <f>SUM(B128:B129)</f>
        <v>3625</v>
      </c>
      <c r="C127" s="196"/>
      <c r="D127" s="196"/>
      <c r="E127" s="196"/>
      <c r="F127" s="196"/>
      <c r="G127" s="196"/>
      <c r="H127" s="196"/>
      <c r="I127" s="196"/>
      <c r="J127" s="196"/>
      <c r="K127" s="196"/>
      <c r="L127" s="44"/>
      <c r="M127" s="44"/>
      <c r="N127" s="10"/>
      <c r="O127" s="10"/>
      <c r="P127" s="196"/>
      <c r="Q127" s="196"/>
      <c r="R127" s="196"/>
      <c r="S127" s="196"/>
      <c r="T127" s="196"/>
      <c r="U127" s="196"/>
      <c r="V127" s="196"/>
      <c r="W127" s="107"/>
      <c r="X127" s="107"/>
      <c r="Y127" s="107"/>
    </row>
    <row r="128" spans="1:25" ht="17.149999999999999" customHeight="1" x14ac:dyDescent="0.35">
      <c r="A128" s="149" t="s">
        <v>1093</v>
      </c>
      <c r="B128" s="297">
        <f>C104</f>
        <v>3625</v>
      </c>
      <c r="C128" s="347"/>
      <c r="D128" s="196"/>
      <c r="E128" s="196"/>
      <c r="F128" s="196"/>
      <c r="G128" s="196"/>
      <c r="H128" s="196"/>
      <c r="I128" s="196"/>
      <c r="J128" s="196"/>
      <c r="K128" s="196"/>
      <c r="L128" s="44"/>
      <c r="M128" s="44"/>
      <c r="N128" s="10"/>
      <c r="O128" s="10"/>
      <c r="P128" s="196"/>
      <c r="Q128" s="196"/>
      <c r="R128" s="196"/>
      <c r="S128" s="196"/>
      <c r="T128" s="196"/>
      <c r="U128" s="196"/>
      <c r="V128" s="196"/>
      <c r="W128" s="107"/>
      <c r="X128" s="107"/>
      <c r="Y128" s="107"/>
    </row>
    <row r="129" spans="1:25" ht="17.149999999999999" customHeight="1" x14ac:dyDescent="0.35">
      <c r="A129" s="149" t="s">
        <v>1094</v>
      </c>
      <c r="B129" s="297">
        <f>C105</f>
        <v>0</v>
      </c>
      <c r="C129" s="196"/>
      <c r="D129" s="196"/>
      <c r="E129" s="125"/>
      <c r="F129" s="196"/>
      <c r="G129" s="196"/>
      <c r="H129" s="196"/>
      <c r="I129" s="196"/>
      <c r="J129" s="196"/>
      <c r="K129" s="196"/>
      <c r="L129" s="44"/>
      <c r="M129" s="44"/>
      <c r="N129" s="10"/>
      <c r="O129" s="10"/>
      <c r="P129" s="196"/>
      <c r="Q129" s="196"/>
      <c r="R129" s="196"/>
      <c r="S129" s="196"/>
      <c r="T129" s="196"/>
      <c r="U129" s="196"/>
      <c r="V129" s="196"/>
      <c r="W129" s="107"/>
      <c r="X129" s="107"/>
      <c r="Y129" s="107"/>
    </row>
    <row r="130" spans="1:25" ht="17.149999999999999" customHeight="1" x14ac:dyDescent="0.35">
      <c r="A130" s="107"/>
      <c r="B130" s="196"/>
      <c r="C130" s="196"/>
      <c r="D130" s="196"/>
      <c r="E130" s="196"/>
      <c r="F130" s="196"/>
      <c r="G130" s="196"/>
      <c r="H130" s="196"/>
      <c r="I130" s="196"/>
      <c r="J130" s="196"/>
      <c r="K130" s="196"/>
      <c r="L130" s="44"/>
      <c r="M130" s="44"/>
      <c r="N130" s="10"/>
      <c r="O130" s="10"/>
      <c r="P130" s="196"/>
      <c r="Q130" s="196"/>
      <c r="R130" s="196"/>
      <c r="S130" s="196"/>
      <c r="T130" s="196"/>
      <c r="U130" s="196"/>
      <c r="V130" s="196"/>
      <c r="W130" s="107"/>
      <c r="X130" s="107"/>
      <c r="Y130" s="107"/>
    </row>
    <row r="131" spans="1:25" ht="17.149999999999999" customHeight="1" x14ac:dyDescent="0.35">
      <c r="A131" s="212" t="s">
        <v>1095</v>
      </c>
      <c r="B131" s="28">
        <f>B115+B118+B123+B127</f>
        <v>184125</v>
      </c>
      <c r="C131" s="347"/>
      <c r="D131" s="196"/>
      <c r="E131" s="196"/>
      <c r="F131" s="196"/>
      <c r="G131" s="196"/>
      <c r="H131" s="196"/>
      <c r="I131" s="196"/>
      <c r="J131" s="196"/>
      <c r="K131" s="196"/>
      <c r="L131" s="196"/>
      <c r="M131" s="196"/>
      <c r="N131" s="196"/>
      <c r="O131" s="196"/>
      <c r="P131" s="196"/>
      <c r="Q131" s="196"/>
      <c r="R131" s="196"/>
      <c r="S131" s="196"/>
      <c r="T131" s="196"/>
      <c r="U131" s="196"/>
      <c r="V131" s="196"/>
      <c r="W131" s="107"/>
      <c r="X131" s="107"/>
      <c r="Y131" s="107"/>
    </row>
    <row r="132" spans="1:25" ht="17.149999999999999" customHeight="1" x14ac:dyDescent="0.35">
      <c r="A132" s="194"/>
      <c r="B132" s="205">
        <f>'FS_Emptying volumes'!B132+'FS_Emptying volumes'!B136</f>
        <v>184125</v>
      </c>
      <c r="C132" s="196"/>
      <c r="D132" s="196"/>
      <c r="E132" s="196"/>
      <c r="F132" s="196"/>
      <c r="G132" s="196"/>
      <c r="H132" s="196"/>
      <c r="I132" s="196"/>
      <c r="J132" s="196"/>
      <c r="K132" s="196"/>
      <c r="L132" s="196"/>
      <c r="M132" s="196"/>
      <c r="N132" s="196"/>
      <c r="O132" s="196"/>
      <c r="P132" s="196"/>
      <c r="Q132" s="196"/>
      <c r="R132" s="196"/>
      <c r="S132" s="196"/>
      <c r="T132" s="196"/>
      <c r="U132" s="196"/>
      <c r="V132" s="196"/>
      <c r="W132" s="107"/>
      <c r="X132" s="107"/>
      <c r="Y132" s="107"/>
    </row>
    <row r="133" spans="1:25" ht="17.149999999999999" customHeight="1" x14ac:dyDescent="0.35">
      <c r="A133" s="11"/>
      <c r="B133" s="1519" t="str">
        <f>IF(B131=B132,"OK","Not OK")</f>
        <v>OK</v>
      </c>
      <c r="C133" s="196"/>
      <c r="D133" s="196"/>
      <c r="E133" s="196"/>
      <c r="F133" s="196"/>
      <c r="G133" s="196"/>
      <c r="H133" s="196"/>
      <c r="I133" s="196"/>
      <c r="J133" s="196"/>
      <c r="K133" s="196"/>
      <c r="L133" s="196"/>
      <c r="M133" s="196"/>
      <c r="N133" s="196"/>
      <c r="O133" s="196"/>
      <c r="P133" s="196"/>
      <c r="Q133" s="196"/>
      <c r="R133" s="196"/>
      <c r="S133" s="196"/>
      <c r="T133" s="196"/>
      <c r="U133" s="196"/>
      <c r="V133" s="196"/>
      <c r="W133" s="107"/>
      <c r="X133" s="107"/>
      <c r="Y133" s="107"/>
    </row>
    <row r="134" spans="1:25" ht="17.149999999999999" customHeight="1" x14ac:dyDescent="0.35">
      <c r="A134" s="78"/>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07"/>
      <c r="X134" s="107"/>
      <c r="Y134" s="107"/>
    </row>
    <row r="135" spans="1:25" ht="17.149999999999999" customHeight="1" x14ac:dyDescent="0.35">
      <c r="A135" s="196"/>
      <c r="B135" s="199"/>
      <c r="C135" s="199"/>
      <c r="D135" s="199"/>
      <c r="E135" s="199"/>
      <c r="F135" s="199"/>
      <c r="G135" s="196"/>
      <c r="H135" s="196"/>
      <c r="I135" s="196"/>
      <c r="J135" s="196"/>
      <c r="K135" s="196"/>
      <c r="L135" s="196"/>
      <c r="M135" s="196"/>
      <c r="N135" s="196"/>
      <c r="O135" s="196"/>
      <c r="P135" s="196"/>
      <c r="Q135" s="196"/>
      <c r="R135" s="196"/>
      <c r="S135" s="196"/>
      <c r="T135" s="196"/>
      <c r="U135" s="196"/>
      <c r="V135" s="196"/>
      <c r="W135" s="107"/>
      <c r="X135" s="107"/>
      <c r="Y135" s="107"/>
    </row>
    <row r="136" spans="1:25" ht="17.149999999999999" customHeight="1" x14ac:dyDescent="0.35">
      <c r="A136" s="107"/>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07"/>
      <c r="X136" s="107"/>
      <c r="Y136" s="107"/>
    </row>
    <row r="137" spans="1:25" ht="17.149999999999999" customHeight="1" x14ac:dyDescent="0.35">
      <c r="A137" s="107"/>
      <c r="B137" s="196"/>
      <c r="C137" s="196"/>
      <c r="D137" s="196"/>
      <c r="E137" s="196"/>
      <c r="F137" s="196"/>
      <c r="G137" s="196"/>
      <c r="H137" s="196"/>
      <c r="I137" s="196"/>
      <c r="J137" s="196"/>
      <c r="K137" s="196"/>
      <c r="L137" s="196"/>
      <c r="M137" s="196"/>
      <c r="N137" s="196"/>
      <c r="O137" s="196"/>
      <c r="P137" s="196"/>
      <c r="Q137" s="196"/>
      <c r="R137" s="196"/>
      <c r="S137" s="196"/>
      <c r="T137" s="196"/>
      <c r="U137" s="196"/>
      <c r="V137" s="196"/>
      <c r="W137" s="107"/>
      <c r="X137" s="107"/>
      <c r="Y137" s="107"/>
    </row>
    <row r="138" spans="1:25" ht="17.149999999999999" customHeight="1" x14ac:dyDescent="0.35">
      <c r="A138" s="107"/>
      <c r="B138" s="196"/>
      <c r="C138" s="196"/>
      <c r="D138" s="196"/>
      <c r="E138" s="196"/>
      <c r="F138" s="196"/>
      <c r="G138" s="196"/>
      <c r="H138" s="196"/>
      <c r="I138" s="196"/>
      <c r="J138" s="196"/>
      <c r="K138" s="196"/>
      <c r="L138" s="196"/>
      <c r="M138" s="196"/>
      <c r="N138" s="196"/>
      <c r="O138" s="196"/>
      <c r="P138" s="196"/>
      <c r="Q138" s="196"/>
      <c r="R138" s="196"/>
      <c r="S138" s="44"/>
      <c r="T138" s="44"/>
      <c r="U138" s="196"/>
      <c r="V138" s="196"/>
      <c r="W138" s="107"/>
      <c r="X138" s="107"/>
      <c r="Y138" s="107"/>
    </row>
    <row r="139" spans="1:25" ht="17.149999999999999" customHeight="1" x14ac:dyDescent="0.35">
      <c r="A139" s="107"/>
      <c r="B139" s="196"/>
      <c r="C139" s="196"/>
      <c r="D139" s="196"/>
      <c r="E139" s="196"/>
      <c r="F139" s="196"/>
      <c r="G139" s="196"/>
      <c r="H139" s="196"/>
      <c r="I139" s="196"/>
      <c r="J139" s="196"/>
      <c r="K139" s="196"/>
      <c r="L139" s="196"/>
      <c r="M139" s="196"/>
      <c r="N139" s="196"/>
      <c r="O139" s="196"/>
      <c r="P139" s="196"/>
      <c r="Q139" s="196"/>
      <c r="R139" s="196"/>
      <c r="S139" s="44"/>
      <c r="T139" s="44"/>
      <c r="U139" s="196"/>
      <c r="V139" s="196"/>
      <c r="W139" s="107"/>
      <c r="X139" s="107"/>
      <c r="Y139" s="107"/>
    </row>
    <row r="140" spans="1:25" ht="17.149999999999999" customHeight="1" x14ac:dyDescent="0.35">
      <c r="A140" s="107"/>
      <c r="B140" s="196"/>
      <c r="C140" s="196"/>
      <c r="D140" s="196"/>
      <c r="E140" s="196"/>
      <c r="F140" s="196"/>
      <c r="G140" s="196"/>
      <c r="H140" s="196"/>
      <c r="I140" s="196"/>
      <c r="J140" s="196"/>
      <c r="K140" s="196"/>
      <c r="L140" s="196"/>
      <c r="M140" s="196"/>
      <c r="N140" s="196"/>
      <c r="O140" s="196"/>
      <c r="P140" s="196"/>
      <c r="Q140" s="196"/>
      <c r="R140" s="196"/>
      <c r="S140" s="44"/>
      <c r="T140" s="44"/>
      <c r="U140" s="196"/>
      <c r="V140" s="196"/>
      <c r="W140" s="107"/>
      <c r="X140" s="107"/>
      <c r="Y140" s="107"/>
    </row>
    <row r="141" spans="1:25" ht="17.149999999999999" customHeight="1" x14ac:dyDescent="0.35">
      <c r="A141" s="107"/>
      <c r="B141" s="196"/>
      <c r="C141" s="196"/>
      <c r="D141" s="196"/>
      <c r="E141" s="196"/>
      <c r="F141" s="196"/>
      <c r="G141" s="196"/>
      <c r="H141" s="196"/>
      <c r="I141" s="196"/>
      <c r="J141" s="196"/>
      <c r="K141" s="196"/>
      <c r="L141" s="196"/>
      <c r="M141" s="196"/>
      <c r="N141" s="196"/>
      <c r="O141" s="196"/>
      <c r="P141" s="196"/>
      <c r="Q141" s="196"/>
      <c r="R141" s="196"/>
      <c r="S141" s="44"/>
      <c r="T141" s="44"/>
      <c r="U141" s="196"/>
      <c r="V141" s="196"/>
      <c r="W141" s="107"/>
      <c r="X141" s="107"/>
      <c r="Y141" s="107"/>
    </row>
    <row r="142" spans="1:25" ht="17.149999999999999" customHeight="1" x14ac:dyDescent="0.35">
      <c r="A142" s="107"/>
      <c r="B142" s="196"/>
      <c r="C142" s="196"/>
      <c r="D142" s="196"/>
      <c r="E142" s="196"/>
      <c r="F142" s="196"/>
      <c r="G142" s="196"/>
      <c r="H142" s="196"/>
      <c r="I142" s="196"/>
      <c r="J142" s="196"/>
      <c r="K142" s="196"/>
      <c r="S142" s="4"/>
      <c r="T142" s="4"/>
    </row>
    <row r="143" spans="1:25" ht="17.149999999999999" customHeight="1" x14ac:dyDescent="0.35">
      <c r="A143" s="122"/>
      <c r="B143" s="44"/>
      <c r="C143" s="44"/>
      <c r="D143" s="44"/>
      <c r="E143" s="10"/>
      <c r="F143" s="44"/>
      <c r="G143" s="44"/>
      <c r="H143" s="44"/>
      <c r="I143" s="44"/>
      <c r="J143" s="4"/>
      <c r="K143" s="4"/>
      <c r="L143" s="4"/>
      <c r="M143" s="4"/>
      <c r="N143" s="4"/>
      <c r="S143" s="4"/>
      <c r="T143" s="4"/>
      <c r="U143" s="4"/>
      <c r="V143" s="4"/>
      <c r="W143" s="3"/>
      <c r="X143" s="3"/>
    </row>
    <row r="144" spans="1:25" ht="17.149999999999999" customHeight="1" x14ac:dyDescent="0.35">
      <c r="A144" s="122"/>
      <c r="B144" s="44"/>
      <c r="C144" s="44"/>
      <c r="D144" s="44"/>
      <c r="E144" s="10"/>
      <c r="F144" s="44"/>
      <c r="G144" s="44"/>
      <c r="H144" s="44"/>
      <c r="I144" s="44"/>
      <c r="J144" s="4"/>
      <c r="K144" s="4"/>
      <c r="L144" s="126"/>
      <c r="M144" s="126"/>
      <c r="N144" s="4"/>
      <c r="Q144" s="4"/>
      <c r="R144" s="4"/>
      <c r="S144" s="4"/>
      <c r="T144" s="4"/>
      <c r="U144" s="4"/>
      <c r="V144" s="4"/>
      <c r="W144" s="3"/>
      <c r="X144" s="3"/>
    </row>
    <row r="145" spans="1:25" ht="17.149999999999999" customHeight="1" x14ac:dyDescent="0.35">
      <c r="A145" s="122"/>
      <c r="B145" s="44"/>
      <c r="C145" s="44"/>
      <c r="D145" s="44"/>
      <c r="E145" s="10"/>
      <c r="F145" s="44"/>
      <c r="G145" s="44"/>
      <c r="H145" s="44"/>
      <c r="I145" s="44"/>
      <c r="J145" s="4"/>
      <c r="K145" s="4"/>
      <c r="L145" s="126"/>
      <c r="M145" s="126"/>
      <c r="N145" s="4"/>
      <c r="Q145" s="4"/>
      <c r="R145" s="4"/>
      <c r="S145" s="4"/>
      <c r="T145" s="4"/>
      <c r="U145" s="4"/>
      <c r="V145" s="4"/>
      <c r="W145" s="3"/>
      <c r="X145" s="3"/>
    </row>
    <row r="146" spans="1:25" ht="17.149999999999999" customHeight="1" x14ac:dyDescent="0.35">
      <c r="A146" s="122"/>
      <c r="B146" s="44"/>
      <c r="C146" s="44"/>
      <c r="D146" s="44"/>
      <c r="E146" s="10"/>
      <c r="F146" s="44"/>
      <c r="G146" s="44"/>
      <c r="H146" s="44"/>
      <c r="I146" s="44"/>
      <c r="J146" s="4"/>
      <c r="K146" s="4"/>
      <c r="L146" s="4"/>
      <c r="M146" s="4"/>
      <c r="N146" s="4"/>
      <c r="O146" s="4"/>
      <c r="P146" s="4"/>
      <c r="Q146" s="4"/>
      <c r="R146" s="4"/>
      <c r="S146" s="4"/>
      <c r="T146" s="4"/>
      <c r="U146" s="4"/>
      <c r="V146" s="4"/>
      <c r="W146" s="3"/>
      <c r="X146" s="3"/>
    </row>
    <row r="147" spans="1:25" ht="17.149999999999999" customHeight="1" x14ac:dyDescent="0.35">
      <c r="A147" s="122"/>
      <c r="B147" s="44"/>
      <c r="C147" s="44"/>
      <c r="D147" s="44"/>
      <c r="E147" s="10"/>
      <c r="F147" s="44"/>
      <c r="G147" s="44"/>
      <c r="H147" s="44"/>
      <c r="I147" s="44"/>
      <c r="J147" s="44"/>
      <c r="K147" s="44"/>
      <c r="L147" s="44"/>
      <c r="M147" s="44"/>
      <c r="N147" s="44"/>
      <c r="O147" s="44"/>
      <c r="P147" s="44"/>
      <c r="Q147" s="44"/>
      <c r="R147" s="44"/>
      <c r="S147" s="44"/>
      <c r="T147" s="44"/>
      <c r="U147" s="44"/>
      <c r="V147" s="44"/>
      <c r="W147" s="43"/>
      <c r="X147" s="43"/>
    </row>
    <row r="148" spans="1:25" ht="17.149999999999999" customHeight="1" x14ac:dyDescent="0.35">
      <c r="A148" s="122"/>
      <c r="B148" s="44"/>
      <c r="C148" s="44"/>
      <c r="D148" s="44"/>
      <c r="E148" s="44"/>
      <c r="F148" s="10"/>
      <c r="G148" s="44"/>
      <c r="H148" s="44"/>
      <c r="I148" s="44"/>
      <c r="J148" s="44"/>
      <c r="K148" s="44"/>
      <c r="L148" s="44"/>
      <c r="M148" s="44"/>
      <c r="N148" s="44"/>
      <c r="O148" s="44"/>
      <c r="P148" s="44"/>
      <c r="Q148" s="66"/>
      <c r="R148" s="295"/>
      <c r="S148" s="295"/>
      <c r="T148" s="295"/>
      <c r="U148" s="44"/>
      <c r="V148" s="44"/>
      <c r="W148" s="43"/>
      <c r="X148" s="43"/>
    </row>
    <row r="149" spans="1:25" ht="17.149999999999999" customHeight="1" x14ac:dyDescent="0.35">
      <c r="A149" s="43"/>
      <c r="B149" s="44"/>
      <c r="C149" s="44"/>
      <c r="D149" s="44"/>
      <c r="E149" s="44"/>
      <c r="F149" s="44"/>
      <c r="G149" s="44"/>
      <c r="H149" s="44"/>
      <c r="I149" s="44"/>
      <c r="J149" s="66"/>
      <c r="K149" s="66"/>
      <c r="L149" s="44"/>
      <c r="M149" s="44"/>
      <c r="N149" s="44"/>
      <c r="O149" s="44"/>
      <c r="P149" s="44"/>
      <c r="Q149" s="66"/>
      <c r="R149" s="197"/>
      <c r="S149" s="197"/>
      <c r="T149" s="197"/>
      <c r="U149" s="44"/>
      <c r="V149" s="44"/>
      <c r="W149" s="43"/>
      <c r="X149" s="43"/>
    </row>
    <row r="150" spans="1:25" ht="17.149999999999999" customHeight="1" x14ac:dyDescent="0.35">
      <c r="A150" s="121"/>
      <c r="B150" s="66"/>
      <c r="C150" s="66"/>
      <c r="D150" s="66"/>
      <c r="E150" s="66"/>
      <c r="F150" s="66"/>
      <c r="G150" s="66"/>
      <c r="H150" s="66"/>
      <c r="I150" s="66"/>
      <c r="J150" s="66"/>
      <c r="K150" s="66"/>
      <c r="L150" s="44"/>
      <c r="M150" s="44"/>
      <c r="N150" s="66"/>
      <c r="O150" s="66"/>
      <c r="P150" s="44"/>
      <c r="Q150" s="44"/>
      <c r="R150" s="44"/>
      <c r="S150" s="44"/>
      <c r="T150" s="44"/>
      <c r="U150" s="66"/>
      <c r="V150" s="66"/>
      <c r="W150" s="43"/>
      <c r="X150" s="43"/>
    </row>
    <row r="151" spans="1:25" ht="17.149999999999999" customHeight="1" x14ac:dyDescent="0.35">
      <c r="A151" s="121"/>
      <c r="B151" s="66"/>
      <c r="C151" s="66"/>
      <c r="D151" s="66"/>
      <c r="E151" s="66"/>
      <c r="F151" s="66"/>
      <c r="G151" s="66"/>
      <c r="H151" s="66"/>
      <c r="I151" s="66"/>
      <c r="J151" s="66"/>
      <c r="K151" s="66"/>
      <c r="L151" s="44"/>
      <c r="M151" s="44"/>
      <c r="N151" s="66"/>
      <c r="O151" s="66"/>
      <c r="P151" s="44"/>
      <c r="Q151" s="44"/>
      <c r="R151" s="44"/>
      <c r="S151" s="44"/>
      <c r="T151" s="44"/>
      <c r="U151" s="66"/>
      <c r="V151" s="66"/>
      <c r="W151" s="43"/>
      <c r="X151" s="43"/>
    </row>
    <row r="152" spans="1:25" ht="17.149999999999999" customHeight="1" x14ac:dyDescent="0.35">
      <c r="A152" s="43"/>
      <c r="B152" s="44"/>
      <c r="C152" s="44"/>
      <c r="D152" s="44"/>
      <c r="E152" s="44"/>
      <c r="F152" s="44"/>
      <c r="G152" s="44"/>
      <c r="H152" s="44"/>
      <c r="I152" s="44"/>
      <c r="J152" s="44"/>
      <c r="K152" s="44"/>
      <c r="L152" s="44"/>
      <c r="M152" s="44"/>
      <c r="N152" s="44"/>
      <c r="O152" s="44"/>
      <c r="P152" s="44"/>
      <c r="Q152" s="44"/>
      <c r="R152" s="44"/>
      <c r="S152" s="44"/>
      <c r="T152" s="44"/>
      <c r="U152" s="44"/>
      <c r="V152" s="44"/>
      <c r="W152" s="43"/>
      <c r="X152" s="43"/>
    </row>
    <row r="153" spans="1:25" ht="17.149999999999999" customHeight="1" x14ac:dyDescent="0.35">
      <c r="A153" s="43"/>
      <c r="B153" s="44"/>
      <c r="C153" s="44"/>
      <c r="D153" s="44"/>
      <c r="E153" s="44"/>
      <c r="F153" s="44"/>
      <c r="G153" s="44"/>
      <c r="H153" s="44"/>
      <c r="I153" s="44"/>
      <c r="J153" s="44"/>
      <c r="K153" s="44"/>
      <c r="L153" s="44"/>
      <c r="M153" s="44"/>
      <c r="N153" s="44"/>
      <c r="O153" s="44"/>
      <c r="P153" s="44"/>
      <c r="Q153" s="44"/>
      <c r="R153" s="44"/>
      <c r="S153" s="44"/>
      <c r="T153" s="44"/>
      <c r="U153" s="44"/>
      <c r="V153" s="44"/>
      <c r="W153" s="43"/>
      <c r="X153" s="43"/>
    </row>
    <row r="154" spans="1:25" ht="17.149999999999999" customHeight="1" x14ac:dyDescent="0.35">
      <c r="A154" s="43"/>
      <c r="B154" s="44"/>
      <c r="C154" s="44"/>
      <c r="D154" s="44"/>
      <c r="E154" s="44"/>
      <c r="F154" s="44"/>
      <c r="G154" s="44"/>
      <c r="H154" s="44"/>
      <c r="I154" s="44"/>
      <c r="J154" s="44"/>
      <c r="K154" s="44"/>
      <c r="L154" s="44"/>
      <c r="M154" s="44"/>
      <c r="N154" s="44"/>
      <c r="O154" s="44"/>
      <c r="P154" s="44"/>
      <c r="Q154" s="44"/>
      <c r="R154" s="44"/>
      <c r="S154" s="44"/>
      <c r="T154" s="44"/>
      <c r="U154" s="44"/>
      <c r="V154" s="44"/>
      <c r="W154" s="43"/>
      <c r="X154" s="43"/>
    </row>
    <row r="155" spans="1:25" ht="17.149999999999999" customHeight="1" x14ac:dyDescent="0.35">
      <c r="A155" s="43"/>
      <c r="B155" s="44"/>
      <c r="C155" s="44"/>
      <c r="D155" s="44"/>
      <c r="E155" s="44"/>
      <c r="F155" s="44"/>
      <c r="G155" s="44"/>
      <c r="H155" s="44"/>
      <c r="I155" s="44"/>
      <c r="J155" s="44"/>
      <c r="K155" s="44"/>
      <c r="L155" s="44"/>
      <c r="M155" s="44"/>
      <c r="N155" s="44"/>
      <c r="O155" s="44"/>
      <c r="P155" s="44"/>
      <c r="Q155" s="44"/>
      <c r="R155" s="44"/>
      <c r="S155" s="44"/>
      <c r="T155" s="44"/>
      <c r="U155" s="44"/>
      <c r="V155" s="44"/>
      <c r="W155" s="43"/>
      <c r="X155" s="43"/>
    </row>
    <row r="156" spans="1:25" ht="17.149999999999999" customHeight="1" x14ac:dyDescent="0.35">
      <c r="A156" s="43"/>
      <c r="B156" s="44"/>
      <c r="C156" s="44"/>
      <c r="D156" s="44"/>
      <c r="E156" s="44"/>
      <c r="F156" s="44"/>
      <c r="G156" s="44"/>
      <c r="H156" s="10"/>
      <c r="I156" s="10"/>
      <c r="J156" s="44"/>
      <c r="K156" s="44"/>
      <c r="L156" s="10"/>
      <c r="M156" s="10"/>
      <c r="N156" s="10"/>
      <c r="O156" s="44"/>
      <c r="P156" s="44"/>
      <c r="Q156" s="44"/>
      <c r="R156" s="44"/>
      <c r="S156" s="44"/>
      <c r="T156" s="44"/>
      <c r="U156" s="44"/>
      <c r="V156" s="44"/>
      <c r="W156" s="43"/>
      <c r="X156" s="43"/>
    </row>
    <row r="157" spans="1:25" ht="17.149999999999999" customHeight="1" x14ac:dyDescent="0.35">
      <c r="A157" s="43"/>
      <c r="B157" s="44"/>
      <c r="C157" s="44"/>
      <c r="D157" s="44"/>
      <c r="E157" s="44"/>
      <c r="F157" s="44"/>
      <c r="G157" s="44"/>
      <c r="H157" s="44"/>
      <c r="I157" s="44"/>
      <c r="J157" s="44"/>
      <c r="K157" s="44"/>
      <c r="L157" s="10"/>
      <c r="M157" s="10"/>
      <c r="N157" s="10"/>
      <c r="O157" s="103"/>
      <c r="P157" s="44"/>
      <c r="Q157" s="44"/>
      <c r="R157" s="44"/>
      <c r="S157" s="44"/>
      <c r="T157" s="44"/>
      <c r="U157" s="44"/>
      <c r="V157" s="44"/>
      <c r="W157" s="43"/>
      <c r="X157" s="43"/>
    </row>
    <row r="158" spans="1:25" ht="17.149999999999999" customHeight="1" x14ac:dyDescent="0.35">
      <c r="A158" s="43"/>
      <c r="B158" s="44"/>
      <c r="C158" s="44"/>
      <c r="D158" s="44"/>
      <c r="E158" s="44"/>
      <c r="F158" s="44"/>
      <c r="G158" s="44"/>
      <c r="H158" s="44"/>
      <c r="I158" s="44"/>
      <c r="J158" s="44"/>
      <c r="K158" s="44"/>
      <c r="L158" s="44"/>
      <c r="M158" s="44"/>
      <c r="N158" s="44"/>
      <c r="O158" s="44"/>
      <c r="P158" s="44"/>
      <c r="Q158" s="44"/>
      <c r="R158" s="44"/>
      <c r="S158" s="44"/>
      <c r="T158" s="44"/>
      <c r="U158" s="44"/>
      <c r="V158" s="44"/>
      <c r="W158" s="43"/>
      <c r="X158" s="43"/>
    </row>
    <row r="159" spans="1:25" ht="17.149999999999999" customHeight="1" x14ac:dyDescent="0.35">
      <c r="A159" s="89"/>
      <c r="B159" s="44"/>
      <c r="C159" s="44"/>
      <c r="D159" s="66"/>
      <c r="E159" s="197"/>
      <c r="F159" s="66"/>
      <c r="G159" s="66"/>
      <c r="H159" s="66"/>
      <c r="I159" s="66"/>
      <c r="J159" s="66"/>
      <c r="K159" s="66"/>
      <c r="L159" s="66"/>
      <c r="M159" s="66"/>
      <c r="N159" s="66"/>
      <c r="O159" s="44"/>
      <c r="P159" s="44"/>
      <c r="Q159" s="44"/>
      <c r="R159" s="44"/>
      <c r="S159" s="44"/>
      <c r="T159" s="44"/>
      <c r="U159" s="44"/>
      <c r="V159" s="44"/>
      <c r="W159" s="43"/>
      <c r="X159" s="43"/>
      <c r="Y159" s="3"/>
    </row>
    <row r="160" spans="1:25" ht="17.149999999999999" customHeight="1" x14ac:dyDescent="0.35">
      <c r="A160" s="89"/>
      <c r="B160" s="44"/>
      <c r="C160" s="44"/>
      <c r="D160" s="44"/>
      <c r="E160" s="197"/>
      <c r="F160" s="44"/>
      <c r="G160" s="44"/>
      <c r="H160" s="44"/>
      <c r="I160" s="44"/>
      <c r="J160" s="44"/>
      <c r="K160" s="44"/>
      <c r="L160" s="44"/>
      <c r="M160" s="44"/>
      <c r="N160" s="66"/>
      <c r="O160" s="44"/>
      <c r="P160" s="44"/>
      <c r="Q160" s="44"/>
      <c r="R160" s="44"/>
      <c r="S160" s="44"/>
      <c r="T160" s="44"/>
      <c r="U160" s="44"/>
      <c r="V160" s="44"/>
      <c r="W160" s="43"/>
      <c r="X160" s="43"/>
      <c r="Y160" s="3"/>
    </row>
    <row r="161" spans="1:25" x14ac:dyDescent="0.35">
      <c r="A161" s="89"/>
      <c r="B161" s="44"/>
      <c r="C161" s="44"/>
      <c r="D161" s="44"/>
      <c r="E161" s="197"/>
      <c r="F161" s="44"/>
      <c r="G161" s="44"/>
      <c r="H161" s="44"/>
      <c r="I161" s="44"/>
      <c r="J161" s="44"/>
      <c r="K161" s="44"/>
      <c r="L161" s="44"/>
      <c r="M161" s="44"/>
      <c r="N161" s="66"/>
      <c r="O161" s="44"/>
      <c r="P161" s="44"/>
      <c r="Q161" s="44"/>
      <c r="R161" s="44"/>
      <c r="S161" s="44"/>
      <c r="T161" s="44"/>
      <c r="U161" s="44"/>
      <c r="V161" s="44"/>
      <c r="W161" s="43"/>
      <c r="X161" s="43"/>
      <c r="Y161" s="3"/>
    </row>
    <row r="162" spans="1:25" ht="15" customHeight="1" x14ac:dyDescent="0.35">
      <c r="A162" s="43"/>
      <c r="B162" s="44"/>
      <c r="C162" s="44"/>
      <c r="D162" s="44"/>
      <c r="E162" s="44"/>
      <c r="F162" s="44"/>
      <c r="G162" s="44"/>
      <c r="H162" s="44"/>
      <c r="I162" s="44"/>
      <c r="J162" s="44"/>
      <c r="K162" s="44"/>
      <c r="L162" s="44"/>
      <c r="M162" s="44"/>
      <c r="N162" s="44"/>
      <c r="O162" s="44"/>
      <c r="P162" s="44"/>
      <c r="Q162" s="44"/>
      <c r="R162" s="44"/>
      <c r="S162" s="44"/>
      <c r="T162" s="44"/>
      <c r="U162" s="44"/>
      <c r="V162" s="44"/>
      <c r="W162" s="43"/>
      <c r="X162" s="43"/>
      <c r="Y162" s="3"/>
    </row>
    <row r="163" spans="1:25" ht="13.5" customHeight="1" x14ac:dyDescent="0.35">
      <c r="A163" s="43"/>
      <c r="B163" s="44"/>
      <c r="C163" s="44"/>
      <c r="D163" s="44"/>
      <c r="E163" s="44"/>
      <c r="F163" s="44"/>
      <c r="G163" s="44"/>
      <c r="H163" s="44"/>
      <c r="I163" s="44"/>
      <c r="J163" s="44"/>
      <c r="K163" s="44"/>
      <c r="L163" s="44"/>
      <c r="M163" s="44"/>
      <c r="N163" s="44"/>
      <c r="O163" s="44"/>
      <c r="P163" s="44"/>
      <c r="Q163" s="44"/>
      <c r="R163" s="44"/>
      <c r="S163" s="44"/>
      <c r="T163" s="44"/>
      <c r="U163" s="44"/>
      <c r="V163" s="44"/>
      <c r="W163" s="43"/>
      <c r="X163" s="43"/>
    </row>
    <row r="164" spans="1:25" x14ac:dyDescent="0.35">
      <c r="A164" s="43"/>
      <c r="B164" s="44"/>
      <c r="C164" s="44"/>
      <c r="D164" s="104"/>
      <c r="E164" s="44"/>
      <c r="F164" s="44"/>
      <c r="G164" s="44"/>
      <c r="H164" s="44"/>
      <c r="I164" s="44"/>
      <c r="J164" s="44"/>
      <c r="K164" s="44"/>
      <c r="L164" s="44"/>
      <c r="M164" s="44"/>
      <c r="N164" s="44"/>
      <c r="O164" s="44"/>
      <c r="P164" s="44"/>
      <c r="Q164" s="44"/>
      <c r="R164" s="44"/>
      <c r="S164" s="44"/>
      <c r="T164" s="44"/>
      <c r="U164" s="44"/>
      <c r="V164" s="44"/>
      <c r="W164" s="43"/>
      <c r="X164" s="43"/>
    </row>
    <row r="165" spans="1:25" x14ac:dyDescent="0.35">
      <c r="A165" s="43"/>
      <c r="B165" s="44"/>
      <c r="C165" s="44"/>
      <c r="D165" s="104"/>
      <c r="E165" s="44"/>
      <c r="F165" s="44"/>
      <c r="G165" s="44"/>
      <c r="H165" s="44"/>
      <c r="I165" s="44"/>
      <c r="J165" s="44"/>
      <c r="K165" s="44"/>
      <c r="L165" s="44"/>
      <c r="M165" s="44"/>
      <c r="N165" s="44"/>
      <c r="O165" s="44"/>
      <c r="P165" s="44"/>
      <c r="Q165" s="196"/>
      <c r="R165" s="196"/>
      <c r="S165" s="196"/>
      <c r="T165" s="196"/>
      <c r="U165" s="44"/>
      <c r="V165" s="44"/>
      <c r="W165" s="43"/>
      <c r="X165" s="43"/>
    </row>
    <row r="166" spans="1:25" x14ac:dyDescent="0.35">
      <c r="A166" s="3"/>
      <c r="B166" s="4"/>
      <c r="C166" s="4"/>
      <c r="D166" s="4"/>
      <c r="E166" s="4"/>
      <c r="F166" s="4"/>
      <c r="G166" s="4"/>
      <c r="H166" s="4"/>
      <c r="I166" s="4"/>
      <c r="J166" s="4"/>
      <c r="K166" s="4"/>
      <c r="L166" s="4"/>
      <c r="M166" s="4"/>
      <c r="N166" s="4"/>
      <c r="O166" s="4"/>
      <c r="P166" s="4"/>
      <c r="U166" s="4"/>
      <c r="V166" s="4"/>
      <c r="W166" s="3"/>
      <c r="X166" s="3"/>
    </row>
  </sheetData>
  <sheetProtection password="C8C1" sheet="1" objects="1" scenarios="1" selectLockedCells="1"/>
  <mergeCells count="80">
    <mergeCell ref="B30:Y30"/>
    <mergeCell ref="H32:I32"/>
    <mergeCell ref="J32:K32"/>
    <mergeCell ref="L32:M32"/>
    <mergeCell ref="H33:I33"/>
    <mergeCell ref="J33:K33"/>
    <mergeCell ref="L33:M33"/>
    <mergeCell ref="H34:I34"/>
    <mergeCell ref="J34:K34"/>
    <mergeCell ref="L34:M34"/>
    <mergeCell ref="H35:I35"/>
    <mergeCell ref="J35:K35"/>
    <mergeCell ref="L35:M35"/>
    <mergeCell ref="H36:I36"/>
    <mergeCell ref="J36:K36"/>
    <mergeCell ref="L36:M36"/>
    <mergeCell ref="H37:I37"/>
    <mergeCell ref="J37:K37"/>
    <mergeCell ref="L37:M37"/>
    <mergeCell ref="H38:I38"/>
    <mergeCell ref="J38:K38"/>
    <mergeCell ref="L38:M38"/>
    <mergeCell ref="H39:I39"/>
    <mergeCell ref="J39:K39"/>
    <mergeCell ref="L39:M39"/>
    <mergeCell ref="H40:I40"/>
    <mergeCell ref="J40:K40"/>
    <mergeCell ref="L40:M40"/>
    <mergeCell ref="H41:I41"/>
    <mergeCell ref="J41:K41"/>
    <mergeCell ref="L41:M41"/>
    <mergeCell ref="H42:I42"/>
    <mergeCell ref="J42:K42"/>
    <mergeCell ref="L42:M42"/>
    <mergeCell ref="H43:I43"/>
    <mergeCell ref="J43:K43"/>
    <mergeCell ref="L43:M43"/>
    <mergeCell ref="H44:I44"/>
    <mergeCell ref="J44:K44"/>
    <mergeCell ref="L44:M44"/>
    <mergeCell ref="H45:I45"/>
    <mergeCell ref="J45:K45"/>
    <mergeCell ref="L45:M45"/>
    <mergeCell ref="H46:I46"/>
    <mergeCell ref="J46:K46"/>
    <mergeCell ref="L46:M46"/>
    <mergeCell ref="H47:I47"/>
    <mergeCell ref="J47:K47"/>
    <mergeCell ref="L47:M47"/>
    <mergeCell ref="H48:I48"/>
    <mergeCell ref="J48:K48"/>
    <mergeCell ref="L48:M48"/>
    <mergeCell ref="H49:I49"/>
    <mergeCell ref="J49:K49"/>
    <mergeCell ref="L49:M49"/>
    <mergeCell ref="D57:G57"/>
    <mergeCell ref="H50:I50"/>
    <mergeCell ref="J50:K50"/>
    <mergeCell ref="L50:M50"/>
    <mergeCell ref="H51:I51"/>
    <mergeCell ref="J51:K51"/>
    <mergeCell ref="L51:M51"/>
    <mergeCell ref="H52:I52"/>
    <mergeCell ref="J52:K52"/>
    <mergeCell ref="L52:M52"/>
    <mergeCell ref="D55:G55"/>
    <mergeCell ref="D56:G56"/>
    <mergeCell ref="H53:I53"/>
    <mergeCell ref="J53:K53"/>
    <mergeCell ref="L53:M53"/>
    <mergeCell ref="B100:D100"/>
    <mergeCell ref="B73:E73"/>
    <mergeCell ref="F73:I73"/>
    <mergeCell ref="K73:M73"/>
    <mergeCell ref="A74:A75"/>
    <mergeCell ref="B74:D74"/>
    <mergeCell ref="E74:E75"/>
    <mergeCell ref="F74:H74"/>
    <mergeCell ref="I74:I75"/>
    <mergeCell ref="L74:M74"/>
  </mergeCells>
  <conditionalFormatting sqref="B133">
    <cfRule type="expression" dxfId="97" priority="7">
      <formula>B132&lt;B131</formula>
    </cfRule>
    <cfRule type="expression" dxfId="96" priority="8">
      <formula>B132&gt;B131</formula>
    </cfRule>
    <cfRule type="expression" dxfId="95" priority="9">
      <formula>B132=B131</formula>
    </cfRule>
  </conditionalFormatting>
  <conditionalFormatting sqref="D57">
    <cfRule type="expression" dxfId="94" priority="4">
      <formula>D56&lt;D55</formula>
    </cfRule>
    <cfRule type="expression" dxfId="93" priority="5">
      <formula>D56&gt;D55</formula>
    </cfRule>
    <cfRule type="expression" dxfId="92" priority="6">
      <formula>D56=D55</formula>
    </cfRule>
  </conditionalFormatting>
  <conditionalFormatting sqref="H10">
    <cfRule type="expression" dxfId="91" priority="1">
      <formula>H9&lt;0</formula>
    </cfRule>
    <cfRule type="expression" dxfId="90" priority="2">
      <formula>H9&gt;0</formula>
    </cfRule>
    <cfRule type="expression" dxfId="89" priority="3">
      <formula>H9=0</formula>
    </cfRule>
  </conditionalFormatting>
  <dataValidations count="5">
    <dataValidation type="list" allowBlank="1" showInputMessage="1" showErrorMessage="1" sqref="Q43">
      <formula1>"Public, Private"</formula1>
    </dataValidation>
    <dataValidation type="list" allowBlank="1" showInputMessage="1" showErrorMessage="1" sqref="L43:L44 T43:T44">
      <formula1>"Legal, Illegal, Partly legal partly illegal"</formula1>
    </dataValidation>
    <dataValidation type="list" allowBlank="1" showInputMessage="1" showErrorMessage="1" sqref="J43:J44 S43:S44">
      <formula1>"Final destination, Sub-station"</formula1>
    </dataValidation>
    <dataValidation type="list" allowBlank="1" showInputMessage="1" showErrorMessage="1" sqref="T123:T126">
      <formula1>"YES, NO, SO SO"</formula1>
    </dataValidation>
    <dataValidation type="list" allowBlank="1" showInputMessage="1" showErrorMessage="1" sqref="B18">
      <formula1>Transportoptions</formula1>
    </dataValidation>
  </dataValidations>
  <pageMargins left="0.7" right="0.7" top="0.75" bottom="0.75" header="0.3" footer="0.3"/>
  <pageSetup paperSize="9" orientation="portrait" horizontalDpi="4294967293" r:id="rId1"/>
  <ignoredErrors>
    <ignoredError sqref="U36:V50 U51" formula="1"/>
  </ignoredError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5"/>
  </sheetPr>
  <dimension ref="A1:AI125"/>
  <sheetViews>
    <sheetView zoomScale="90" zoomScaleNormal="90" workbookViewId="0">
      <selection activeCell="A3" sqref="A3"/>
    </sheetView>
  </sheetViews>
  <sheetFormatPr defaultColWidth="9.1796875" defaultRowHeight="14.5" x14ac:dyDescent="0.35"/>
  <cols>
    <col min="1" max="1" width="60.7265625" style="17" customWidth="1"/>
    <col min="2" max="27" width="16.7265625" style="17" customWidth="1"/>
    <col min="28" max="28" width="21.7265625" style="17" bestFit="1" customWidth="1"/>
    <col min="29" max="30" width="16.7265625" style="17" customWidth="1"/>
    <col min="31" max="16384" width="9.1796875" style="17"/>
  </cols>
  <sheetData>
    <row r="1" spans="1:21" s="63" customFormat="1" ht="18.5" x14ac:dyDescent="0.35">
      <c r="A1" s="13" t="str">
        <f>'User interface_RES'!AJ11</f>
        <v>Any city in , the world</v>
      </c>
    </row>
    <row r="2" spans="1:21" s="185" customFormat="1" ht="11.25" customHeight="1" x14ac:dyDescent="0.35"/>
    <row r="3" spans="1:21" ht="26" x14ac:dyDescent="0.35">
      <c r="A3" s="182" t="s">
        <v>1184</v>
      </c>
    </row>
    <row r="4" spans="1:21" s="3" customFormat="1" ht="17.149999999999999" customHeight="1" x14ac:dyDescent="0.35">
      <c r="B4" s="1320"/>
      <c r="C4" s="4"/>
      <c r="D4" s="4"/>
      <c r="E4" s="4"/>
      <c r="F4" s="4"/>
      <c r="G4" s="4"/>
      <c r="H4" s="4"/>
      <c r="I4" s="4"/>
      <c r="J4" s="4"/>
      <c r="K4" s="4"/>
      <c r="L4" s="4"/>
      <c r="M4" s="4"/>
      <c r="N4" s="4"/>
      <c r="O4" s="4"/>
      <c r="P4" s="4"/>
      <c r="Q4" s="4"/>
      <c r="R4" s="4"/>
      <c r="S4" s="4"/>
      <c r="T4" s="4"/>
      <c r="U4" s="4"/>
    </row>
    <row r="5" spans="1:21" s="3" customFormat="1" ht="17.149999999999999" customHeight="1" x14ac:dyDescent="0.35">
      <c r="B5" s="4"/>
      <c r="C5" s="4"/>
      <c r="D5" s="4"/>
      <c r="E5" s="4"/>
      <c r="F5" s="4"/>
      <c r="G5" s="4"/>
      <c r="H5" s="4"/>
      <c r="I5" s="4"/>
      <c r="J5" s="4"/>
      <c r="K5" s="4"/>
      <c r="L5" s="4"/>
      <c r="M5" s="4"/>
      <c r="N5" s="4"/>
      <c r="O5" s="4"/>
      <c r="P5" s="4"/>
      <c r="Q5" s="4"/>
      <c r="R5" s="4"/>
      <c r="S5" s="4"/>
      <c r="T5" s="4"/>
      <c r="U5" s="4"/>
    </row>
    <row r="6" spans="1:21" ht="18" customHeight="1" x14ac:dyDescent="0.3">
      <c r="A6" s="137"/>
      <c r="B6" s="1505" t="s">
        <v>9</v>
      </c>
      <c r="C6" s="140"/>
    </row>
    <row r="7" spans="1:21" s="185" customFormat="1" ht="10.5" x14ac:dyDescent="0.35">
      <c r="A7" s="237"/>
      <c r="B7" s="222"/>
    </row>
    <row r="8" spans="1:21" ht="18" customHeight="1" x14ac:dyDescent="0.35">
      <c r="A8" s="230" t="s">
        <v>1097</v>
      </c>
      <c r="B8" s="288">
        <f>B10+B14</f>
        <v>32600</v>
      </c>
      <c r="D8" s="231" t="s">
        <v>793</v>
      </c>
      <c r="H8" s="205">
        <f>'FS_Transport volumes'!B10+'FS_Transport volumes'!B13</f>
        <v>32600</v>
      </c>
    </row>
    <row r="9" spans="1:21" ht="18" customHeight="1" x14ac:dyDescent="0.35">
      <c r="A9" s="2"/>
      <c r="H9" s="53">
        <f>B8-H8</f>
        <v>0</v>
      </c>
    </row>
    <row r="10" spans="1:21" ht="18" customHeight="1" x14ac:dyDescent="0.35">
      <c r="A10" s="206" t="s">
        <v>1098</v>
      </c>
      <c r="B10" s="207">
        <f>SUM(B11:B12)</f>
        <v>11410</v>
      </c>
      <c r="H10" s="1519" t="str">
        <f>IF(H9=0,"OK","Not OK")</f>
        <v>OK</v>
      </c>
    </row>
    <row r="11" spans="1:21" ht="18" customHeight="1" x14ac:dyDescent="0.35">
      <c r="A11" s="300" t="s">
        <v>1099</v>
      </c>
      <c r="B11" s="301">
        <f>B116</f>
        <v>11410</v>
      </c>
    </row>
    <row r="12" spans="1:21" ht="18" customHeight="1" x14ac:dyDescent="0.35">
      <c r="A12" s="300" t="s">
        <v>1100</v>
      </c>
      <c r="B12" s="301">
        <f>B117</f>
        <v>0</v>
      </c>
    </row>
    <row r="13" spans="1:21" ht="18" customHeight="1" x14ac:dyDescent="0.35">
      <c r="A13" s="145"/>
      <c r="B13" s="156"/>
      <c r="E13" s="3"/>
      <c r="F13" s="3"/>
      <c r="G13" s="3"/>
      <c r="H13" s="116"/>
      <c r="I13" s="7"/>
      <c r="J13" s="54"/>
      <c r="K13" s="3"/>
    </row>
    <row r="14" spans="1:21" ht="18" customHeight="1" x14ac:dyDescent="0.35">
      <c r="A14" s="208" t="s">
        <v>1101</v>
      </c>
      <c r="B14" s="209">
        <f>SUM(B15:B16)</f>
        <v>21190</v>
      </c>
      <c r="E14" s="3"/>
      <c r="F14" s="3"/>
      <c r="G14" s="3"/>
      <c r="H14" s="47"/>
      <c r="I14" s="3"/>
      <c r="J14" s="54"/>
      <c r="K14" s="3"/>
    </row>
    <row r="15" spans="1:21" ht="18" customHeight="1" x14ac:dyDescent="0.35">
      <c r="A15" s="300" t="s">
        <v>1102</v>
      </c>
      <c r="B15" s="301">
        <f>B120</f>
        <v>21190</v>
      </c>
      <c r="E15" s="3"/>
      <c r="F15" s="3"/>
      <c r="G15" s="3"/>
      <c r="H15" s="47"/>
      <c r="I15" s="3"/>
      <c r="J15" s="54"/>
      <c r="K15" s="3"/>
    </row>
    <row r="16" spans="1:21" ht="18" customHeight="1" x14ac:dyDescent="0.35">
      <c r="A16" s="300" t="s">
        <v>1103</v>
      </c>
      <c r="B16" s="301">
        <f>B121</f>
        <v>0</v>
      </c>
      <c r="E16" s="3"/>
      <c r="F16" s="3"/>
      <c r="G16" s="3"/>
      <c r="H16" s="3"/>
      <c r="I16" s="3"/>
      <c r="J16" s="3"/>
      <c r="K16" s="3"/>
    </row>
    <row r="17" spans="1:35" s="3" customFormat="1" ht="17.149999999999999" customHeight="1" x14ac:dyDescent="0.35">
      <c r="A17" s="48"/>
      <c r="B17" s="48"/>
    </row>
    <row r="18" spans="1:35" s="3" customFormat="1" ht="17.149999999999999" customHeight="1" x14ac:dyDescent="0.35">
      <c r="A18" s="47"/>
      <c r="B18" s="47"/>
    </row>
    <row r="19" spans="1:35" s="3" customFormat="1" ht="17.149999999999999" customHeight="1" x14ac:dyDescent="0.35">
      <c r="A19" s="47"/>
      <c r="C19" s="54"/>
      <c r="D19" s="54"/>
    </row>
    <row r="20" spans="1:35" ht="16.5" customHeight="1" x14ac:dyDescent="0.35">
      <c r="A20" s="183" t="s">
        <v>977</v>
      </c>
      <c r="B20" s="3"/>
      <c r="C20" s="54"/>
      <c r="D20" s="54"/>
      <c r="E20" s="3"/>
      <c r="F20" s="3"/>
      <c r="G20" s="3"/>
      <c r="H20" s="3"/>
      <c r="I20" s="3"/>
      <c r="J20" s="3"/>
      <c r="K20" s="3"/>
    </row>
    <row r="21" spans="1:35" ht="17.149999999999999" customHeight="1" x14ac:dyDescent="0.35">
      <c r="A21" s="47"/>
      <c r="B21" s="3"/>
      <c r="C21" s="54"/>
      <c r="D21" s="54"/>
      <c r="E21" s="3"/>
      <c r="F21" s="3"/>
      <c r="G21" s="3"/>
      <c r="H21" s="3"/>
      <c r="I21" s="3"/>
      <c r="J21" s="3"/>
      <c r="K21" s="3"/>
    </row>
    <row r="22" spans="1:35" ht="17.149999999999999" customHeight="1" x14ac:dyDescent="0.35">
      <c r="A22" s="949" t="s">
        <v>1104</v>
      </c>
      <c r="B22" s="1506" t="s">
        <v>9</v>
      </c>
      <c r="C22" s="54"/>
      <c r="D22" s="54"/>
      <c r="E22" s="3"/>
      <c r="F22" s="3"/>
      <c r="G22" s="3"/>
      <c r="H22" s="3"/>
      <c r="I22" s="3"/>
      <c r="J22" s="3"/>
      <c r="K22" s="3"/>
    </row>
    <row r="23" spans="1:35" ht="17.149999999999999" customHeight="1" x14ac:dyDescent="0.35">
      <c r="A23" s="3"/>
      <c r="B23" s="3"/>
      <c r="C23" s="3"/>
      <c r="D23" s="3"/>
      <c r="E23" s="3"/>
      <c r="F23" s="3"/>
      <c r="I23" s="43"/>
      <c r="J23" s="3"/>
      <c r="K23" s="3"/>
      <c r="L23" s="3"/>
      <c r="W23" s="11"/>
      <c r="AB23" s="11"/>
    </row>
    <row r="24" spans="1:35" s="11" customFormat="1" ht="17.149999999999999" customHeight="1" x14ac:dyDescent="0.35">
      <c r="A24" s="1808" t="s">
        <v>513</v>
      </c>
      <c r="B24" s="1764" t="s">
        <v>1105</v>
      </c>
      <c r="C24" s="1836" t="s">
        <v>516</v>
      </c>
      <c r="D24" s="1837"/>
      <c r="E24" s="1808" t="s">
        <v>569</v>
      </c>
      <c r="F24" s="1808" t="s">
        <v>1106</v>
      </c>
      <c r="G24" s="1784" t="s">
        <v>518</v>
      </c>
      <c r="H24" s="1784"/>
      <c r="I24" s="1808" t="s">
        <v>519</v>
      </c>
      <c r="J24" s="1808" t="s">
        <v>1107</v>
      </c>
      <c r="K24" s="1808" t="s">
        <v>510</v>
      </c>
      <c r="L24" s="1808" t="s">
        <v>520</v>
      </c>
      <c r="M24" s="1808" t="s">
        <v>1108</v>
      </c>
      <c r="N24" s="1808" t="s">
        <v>512</v>
      </c>
      <c r="O24" s="198"/>
      <c r="P24" s="1808" t="s">
        <v>521</v>
      </c>
      <c r="Q24" s="1808"/>
      <c r="R24" s="1808"/>
      <c r="S24" s="1808"/>
      <c r="T24" s="1808"/>
      <c r="U24" s="1808"/>
      <c r="V24" s="198"/>
      <c r="W24" s="1784" t="s">
        <v>1109</v>
      </c>
      <c r="X24" s="1784"/>
      <c r="Y24" s="1784"/>
      <c r="Z24" s="1784"/>
      <c r="AB24" s="1797" t="s">
        <v>1110</v>
      </c>
      <c r="AC24" s="1805"/>
      <c r="AD24" s="1798"/>
    </row>
    <row r="25" spans="1:35" s="11" customFormat="1" ht="45" customHeight="1" x14ac:dyDescent="0.35">
      <c r="A25" s="1808"/>
      <c r="B25" s="1766"/>
      <c r="C25" s="1838"/>
      <c r="D25" s="1839"/>
      <c r="E25" s="1808"/>
      <c r="F25" s="1808"/>
      <c r="G25" s="1511" t="s">
        <v>523</v>
      </c>
      <c r="H25" s="1511" t="s">
        <v>524</v>
      </c>
      <c r="I25" s="1808"/>
      <c r="J25" s="1808"/>
      <c r="K25" s="1808"/>
      <c r="L25" s="1808"/>
      <c r="M25" s="1808"/>
      <c r="N25" s="1808"/>
      <c r="O25" s="198"/>
      <c r="P25" s="1511" t="s">
        <v>486</v>
      </c>
      <c r="Q25" s="1511" t="s">
        <v>525</v>
      </c>
      <c r="R25" s="1511" t="s">
        <v>526</v>
      </c>
      <c r="S25" s="1511" t="s">
        <v>559</v>
      </c>
      <c r="T25" s="1511" t="s">
        <v>528</v>
      </c>
      <c r="U25" s="1511" t="s">
        <v>1111</v>
      </c>
      <c r="V25" s="198"/>
      <c r="W25" s="950" t="s">
        <v>1112</v>
      </c>
      <c r="X25" s="1511" t="s">
        <v>740</v>
      </c>
      <c r="Y25" s="1511" t="s">
        <v>741</v>
      </c>
      <c r="Z25" s="1511" t="s">
        <v>729</v>
      </c>
      <c r="AB25" s="950" t="s">
        <v>1112</v>
      </c>
      <c r="AC25" s="1511" t="s">
        <v>1113</v>
      </c>
      <c r="AD25" s="1511" t="s">
        <v>1114</v>
      </c>
    </row>
    <row r="26" spans="1:35" s="315" customFormat="1" ht="13" x14ac:dyDescent="0.35">
      <c r="A26" s="310"/>
      <c r="B26" s="311"/>
      <c r="C26" s="312"/>
      <c r="D26" s="313"/>
      <c r="E26" s="310"/>
      <c r="F26" s="310"/>
      <c r="G26" s="310"/>
      <c r="H26" s="310"/>
      <c r="I26" s="310"/>
      <c r="J26" s="310"/>
      <c r="K26" s="310"/>
      <c r="L26" s="310"/>
      <c r="M26" s="310"/>
      <c r="N26" s="310"/>
      <c r="O26" s="318"/>
      <c r="P26" s="310"/>
      <c r="Q26" s="1510"/>
      <c r="R26" s="1510"/>
      <c r="S26" s="1510"/>
      <c r="T26" s="1510"/>
      <c r="U26" s="1510"/>
      <c r="V26" s="318"/>
      <c r="W26" s="320"/>
      <c r="X26" s="310"/>
      <c r="Y26" s="310"/>
      <c r="Z26" s="310"/>
      <c r="AB26" s="314"/>
      <c r="AC26" s="311"/>
      <c r="AD26" s="311"/>
    </row>
    <row r="27" spans="1:35" s="60" customFormat="1" ht="17.149999999999999" customHeight="1" x14ac:dyDescent="0.35">
      <c r="A27" s="953" t="str">
        <f>'Treatment Sludge_NO INPUTS'!B15</f>
        <v>Plant 1 [sewerage treatment works]</v>
      </c>
      <c r="B27" s="1522">
        <f>'Treatment Sludge_NO INPUTS'!C15</f>
        <v>0</v>
      </c>
      <c r="C27" s="1857">
        <f>'Treatment Sludge_NO INPUTS'!D15</f>
        <v>0</v>
      </c>
      <c r="D27" s="1858"/>
      <c r="E27" s="1522">
        <f>'Treatment Sludge_NO INPUTS'!F15</f>
        <v>0</v>
      </c>
      <c r="F27" s="1522">
        <f t="shared" ref="F27:F32" si="0">B27</f>
        <v>0</v>
      </c>
      <c r="G27" s="153">
        <f>'Treatment Sludge_NO INPUTS'!G15</f>
        <v>0</v>
      </c>
      <c r="H27" s="153">
        <f>'Treatment Sludge_NO INPUTS'!H15</f>
        <v>0</v>
      </c>
      <c r="I27" s="153">
        <f>'Treatment Sludge_NO INPUTS'!I15</f>
        <v>0</v>
      </c>
      <c r="J27" s="947">
        <f t="shared" ref="J27:J32" si="1">IF(I27=0,0,IF(I27="NO",G27,IF(I27="YES",0)))</f>
        <v>0</v>
      </c>
      <c r="K27" s="947">
        <f t="shared" ref="K27:K32" si="2">IF(I27=0,0,IF(I27="YES",G27,IF(I27="NO",0)))</f>
        <v>0</v>
      </c>
      <c r="L27" s="153">
        <f>'Treatment Sludge_NO INPUTS'!J15</f>
        <v>0</v>
      </c>
      <c r="M27" s="947">
        <f t="shared" ref="M27:M32" si="3">IF(L27=0,0,IF(L27="NO",H27,IF(L27="YES",0)))</f>
        <v>0</v>
      </c>
      <c r="N27" s="947">
        <f t="shared" ref="N27:N32" si="4">IF(L27=0,0,IF(L27="YES",H27,IF(L27="NO",0)))</f>
        <v>0</v>
      </c>
      <c r="O27" s="319"/>
      <c r="P27" s="1510">
        <f>'Treatment Sludge_NO INPUTS'!L15</f>
        <v>0</v>
      </c>
      <c r="Q27" s="1510">
        <f>'Treatment Sludge_NO INPUTS'!M15</f>
        <v>0</v>
      </c>
      <c r="R27" s="1510">
        <f>'Treatment Sludge_NO INPUTS'!N15</f>
        <v>0</v>
      </c>
      <c r="S27" s="1510">
        <f>'Treatment Sludge_NO INPUTS'!O15</f>
        <v>0</v>
      </c>
      <c r="T27" s="1510">
        <f>'Treatment Sludge_NO INPUTS'!P15</f>
        <v>0</v>
      </c>
      <c r="U27" s="1510">
        <f>'Treatment Sludge_NO INPUTS'!Q15</f>
        <v>0</v>
      </c>
      <c r="V27" s="319"/>
      <c r="W27" s="155" t="s">
        <v>730</v>
      </c>
      <c r="X27" s="1510">
        <f>Interface_Environment!C23</f>
        <v>0</v>
      </c>
      <c r="Y27" s="1510">
        <f>Interface_Environment!D23</f>
        <v>0</v>
      </c>
      <c r="Z27" s="1510">
        <f>Interface_Environment!E23</f>
        <v>0</v>
      </c>
      <c r="AB27" s="154" t="s">
        <v>1115</v>
      </c>
      <c r="AC27" s="1510" t="s">
        <v>1116</v>
      </c>
      <c r="AD27" s="1510" t="s">
        <v>1116</v>
      </c>
      <c r="AI27" s="955"/>
    </row>
    <row r="28" spans="1:35" s="60" customFormat="1" ht="17.149999999999999" customHeight="1" x14ac:dyDescent="0.35">
      <c r="A28" s="953" t="str">
        <f>'Treatment Sludge_NO INPUTS'!B16</f>
        <v>Plant 2 [sewerage treatment works]</v>
      </c>
      <c r="B28" s="1522">
        <f>'Treatment Sludge_NO INPUTS'!C16</f>
        <v>0</v>
      </c>
      <c r="C28" s="1857">
        <f>'Treatment Sludge_NO INPUTS'!D16</f>
        <v>0</v>
      </c>
      <c r="D28" s="1858"/>
      <c r="E28" s="1522">
        <f>'Treatment Sludge_NO INPUTS'!F16</f>
        <v>0</v>
      </c>
      <c r="F28" s="1522">
        <f t="shared" si="0"/>
        <v>0</v>
      </c>
      <c r="G28" s="153">
        <f>'Treatment Sludge_NO INPUTS'!G16</f>
        <v>0</v>
      </c>
      <c r="H28" s="153">
        <f>'Treatment Sludge_NO INPUTS'!H16</f>
        <v>0</v>
      </c>
      <c r="I28" s="153">
        <f>'Treatment Sludge_NO INPUTS'!I16</f>
        <v>0</v>
      </c>
      <c r="J28" s="947">
        <f t="shared" si="1"/>
        <v>0</v>
      </c>
      <c r="K28" s="947">
        <f t="shared" si="2"/>
        <v>0</v>
      </c>
      <c r="L28" s="153">
        <f>'Treatment Sludge_NO INPUTS'!J16</f>
        <v>0</v>
      </c>
      <c r="M28" s="947">
        <f t="shared" si="3"/>
        <v>0</v>
      </c>
      <c r="N28" s="947">
        <f t="shared" si="4"/>
        <v>0</v>
      </c>
      <c r="O28" s="319"/>
      <c r="P28" s="1510">
        <f>'Treatment Sludge_NO INPUTS'!L16</f>
        <v>0</v>
      </c>
      <c r="Q28" s="1510">
        <f>'Treatment Sludge_NO INPUTS'!M16</f>
        <v>0</v>
      </c>
      <c r="R28" s="1510">
        <f>'Treatment Sludge_NO INPUTS'!N16</f>
        <v>0</v>
      </c>
      <c r="S28" s="1510">
        <f>'Treatment Sludge_NO INPUTS'!O16</f>
        <v>0</v>
      </c>
      <c r="T28" s="1510">
        <f>'Treatment Sludge_NO INPUTS'!P16</f>
        <v>0</v>
      </c>
      <c r="U28" s="1510">
        <f>'Treatment Sludge_NO INPUTS'!Q16</f>
        <v>0</v>
      </c>
      <c r="V28" s="319"/>
      <c r="W28" s="155" t="s">
        <v>731</v>
      </c>
      <c r="X28" s="1510">
        <f>Interface_Environment!C24</f>
        <v>0</v>
      </c>
      <c r="Y28" s="1510">
        <f>Interface_Environment!D24</f>
        <v>0</v>
      </c>
      <c r="Z28" s="1510">
        <f>Interface_Environment!E24</f>
        <v>0</v>
      </c>
      <c r="AB28" s="155" t="s">
        <v>1117</v>
      </c>
      <c r="AC28" s="1510" t="s">
        <v>1118</v>
      </c>
      <c r="AD28" s="1510" t="s">
        <v>1119</v>
      </c>
      <c r="AI28" s="955"/>
    </row>
    <row r="29" spans="1:35" s="60" customFormat="1" ht="17.149999999999999" customHeight="1" x14ac:dyDescent="0.35">
      <c r="A29" s="953" t="str">
        <f>'Treatment Sludge_NO INPUTS'!B17</f>
        <v>Plant 3 [insert name]</v>
      </c>
      <c r="B29" s="1522">
        <f>'Treatment Sludge_NO INPUTS'!C17</f>
        <v>0</v>
      </c>
      <c r="C29" s="1857">
        <f>'Treatment Sludge_NO INPUTS'!D17</f>
        <v>0</v>
      </c>
      <c r="D29" s="1858"/>
      <c r="E29" s="1522">
        <f>'Treatment Sludge_NO INPUTS'!F17</f>
        <v>0</v>
      </c>
      <c r="F29" s="1522">
        <f t="shared" si="0"/>
        <v>0</v>
      </c>
      <c r="G29" s="153">
        <f>'Treatment Sludge_NO INPUTS'!G17</f>
        <v>0</v>
      </c>
      <c r="H29" s="153">
        <f>'Treatment Sludge_NO INPUTS'!H17</f>
        <v>0</v>
      </c>
      <c r="I29" s="153">
        <f>'Treatment Sludge_NO INPUTS'!I17</f>
        <v>0</v>
      </c>
      <c r="J29" s="947">
        <f t="shared" si="1"/>
        <v>0</v>
      </c>
      <c r="K29" s="947">
        <f t="shared" si="2"/>
        <v>0</v>
      </c>
      <c r="L29" s="153">
        <f>'Treatment Sludge_NO INPUTS'!J17</f>
        <v>0</v>
      </c>
      <c r="M29" s="947">
        <f t="shared" si="3"/>
        <v>0</v>
      </c>
      <c r="N29" s="947">
        <f t="shared" si="4"/>
        <v>0</v>
      </c>
      <c r="O29" s="319"/>
      <c r="P29" s="1510">
        <f>'Treatment Sludge_NO INPUTS'!L17</f>
        <v>0</v>
      </c>
      <c r="Q29" s="1510">
        <f>'Treatment Sludge_NO INPUTS'!M17</f>
        <v>0</v>
      </c>
      <c r="R29" s="1510">
        <f>'Treatment Sludge_NO INPUTS'!N17</f>
        <v>0</v>
      </c>
      <c r="S29" s="1510">
        <f>'Treatment Sludge_NO INPUTS'!O17</f>
        <v>0</v>
      </c>
      <c r="T29" s="1510">
        <f>'Treatment Sludge_NO INPUTS'!P17</f>
        <v>0</v>
      </c>
      <c r="U29" s="1510">
        <f>'Treatment Sludge_NO INPUTS'!Q17</f>
        <v>0</v>
      </c>
      <c r="V29" s="319"/>
      <c r="W29" s="155" t="s">
        <v>732</v>
      </c>
      <c r="X29" s="1510">
        <f>Interface_Environment!C25</f>
        <v>0</v>
      </c>
      <c r="Y29" s="1510">
        <f>Interface_Environment!D25</f>
        <v>0</v>
      </c>
      <c r="Z29" s="1510">
        <f>Interface_Environment!E25</f>
        <v>0</v>
      </c>
      <c r="AI29" s="955"/>
    </row>
    <row r="30" spans="1:35" s="60" customFormat="1" ht="17.149999999999999" customHeight="1" x14ac:dyDescent="0.35">
      <c r="A30" s="953" t="str">
        <f>'Treatment Sludge_NO INPUTS'!B18</f>
        <v>Plant 4 [insert name]</v>
      </c>
      <c r="B30" s="1522">
        <f>'Treatment Sludge_NO INPUTS'!C18</f>
        <v>0</v>
      </c>
      <c r="C30" s="1857">
        <f>'Treatment Sludge_NO INPUTS'!D18</f>
        <v>0</v>
      </c>
      <c r="D30" s="1858"/>
      <c r="E30" s="1522">
        <f>'Treatment Sludge_NO INPUTS'!F18</f>
        <v>0</v>
      </c>
      <c r="F30" s="1522">
        <f t="shared" si="0"/>
        <v>0</v>
      </c>
      <c r="G30" s="153">
        <f>'Treatment Sludge_NO INPUTS'!G18</f>
        <v>0</v>
      </c>
      <c r="H30" s="153">
        <f>'Treatment Sludge_NO INPUTS'!H18</f>
        <v>0</v>
      </c>
      <c r="I30" s="153">
        <f>'Treatment Sludge_NO INPUTS'!I18</f>
        <v>0</v>
      </c>
      <c r="J30" s="947">
        <f t="shared" si="1"/>
        <v>0</v>
      </c>
      <c r="K30" s="947">
        <f t="shared" si="2"/>
        <v>0</v>
      </c>
      <c r="L30" s="153">
        <f>'Treatment Sludge_NO INPUTS'!J18</f>
        <v>0</v>
      </c>
      <c r="M30" s="947">
        <f t="shared" si="3"/>
        <v>0</v>
      </c>
      <c r="N30" s="947">
        <f t="shared" si="4"/>
        <v>0</v>
      </c>
      <c r="O30" s="319"/>
      <c r="P30" s="1510">
        <f>'Treatment Sludge_NO INPUTS'!L18</f>
        <v>0</v>
      </c>
      <c r="Q30" s="1510">
        <f>'Treatment Sludge_NO INPUTS'!M18</f>
        <v>0</v>
      </c>
      <c r="R30" s="1510">
        <f>'Treatment Sludge_NO INPUTS'!N18</f>
        <v>0</v>
      </c>
      <c r="S30" s="1510">
        <f>'Treatment Sludge_NO INPUTS'!O18</f>
        <v>0</v>
      </c>
      <c r="T30" s="1510">
        <f>'Treatment Sludge_NO INPUTS'!P18</f>
        <v>0</v>
      </c>
      <c r="U30" s="1510">
        <f>'Treatment Sludge_NO INPUTS'!Q18</f>
        <v>0</v>
      </c>
      <c r="V30" s="319"/>
      <c r="W30" s="155" t="s">
        <v>733</v>
      </c>
      <c r="X30" s="1510">
        <f>Interface_Environment!C26</f>
        <v>0</v>
      </c>
      <c r="Y30" s="1510">
        <f>Interface_Environment!D26</f>
        <v>0</v>
      </c>
      <c r="Z30" s="1510">
        <f>Interface_Environment!E26</f>
        <v>0</v>
      </c>
      <c r="AI30" s="955"/>
    </row>
    <row r="31" spans="1:35" s="60" customFormat="1" ht="17.149999999999999" customHeight="1" x14ac:dyDescent="0.35">
      <c r="A31" s="953" t="str">
        <f>'Treatment Sludge_NO INPUTS'!B19</f>
        <v>Plant 5 [insert name]</v>
      </c>
      <c r="B31" s="1522">
        <f>'Treatment Sludge_NO INPUTS'!C19</f>
        <v>0</v>
      </c>
      <c r="C31" s="1857">
        <f>'Treatment Sludge_NO INPUTS'!D19</f>
        <v>0</v>
      </c>
      <c r="D31" s="1858"/>
      <c r="E31" s="1522">
        <f>'Treatment Sludge_NO INPUTS'!F19</f>
        <v>0</v>
      </c>
      <c r="F31" s="1522">
        <f t="shared" si="0"/>
        <v>0</v>
      </c>
      <c r="G31" s="153">
        <f>'Treatment Sludge_NO INPUTS'!G19</f>
        <v>0</v>
      </c>
      <c r="H31" s="153">
        <f>'Treatment Sludge_NO INPUTS'!H19</f>
        <v>0</v>
      </c>
      <c r="I31" s="153">
        <f>'Treatment Sludge_NO INPUTS'!I19</f>
        <v>0</v>
      </c>
      <c r="J31" s="947">
        <f t="shared" si="1"/>
        <v>0</v>
      </c>
      <c r="K31" s="947">
        <f t="shared" si="2"/>
        <v>0</v>
      </c>
      <c r="L31" s="153">
        <f>'Treatment Sludge_NO INPUTS'!J19</f>
        <v>0</v>
      </c>
      <c r="M31" s="947">
        <f t="shared" si="3"/>
        <v>0</v>
      </c>
      <c r="N31" s="947">
        <f t="shared" si="4"/>
        <v>0</v>
      </c>
      <c r="O31" s="319"/>
      <c r="P31" s="1510">
        <f>'Treatment Sludge_NO INPUTS'!L19</f>
        <v>0</v>
      </c>
      <c r="Q31" s="1510">
        <f>'Treatment Sludge_NO INPUTS'!M19</f>
        <v>0</v>
      </c>
      <c r="R31" s="1510">
        <f>'Treatment Sludge_NO INPUTS'!N19</f>
        <v>0</v>
      </c>
      <c r="S31" s="1510">
        <f>'Treatment Sludge_NO INPUTS'!O19</f>
        <v>0</v>
      </c>
      <c r="T31" s="1510">
        <f>'Treatment Sludge_NO INPUTS'!P19</f>
        <v>0</v>
      </c>
      <c r="U31" s="1510">
        <f>'Treatment Sludge_NO INPUTS'!Q19</f>
        <v>0</v>
      </c>
      <c r="V31" s="319"/>
      <c r="W31" s="155" t="s">
        <v>734</v>
      </c>
      <c r="X31" s="1510">
        <f>Interface_Environment!C27</f>
        <v>0</v>
      </c>
      <c r="Y31" s="1510">
        <f>Interface_Environment!D27</f>
        <v>0</v>
      </c>
      <c r="Z31" s="1510">
        <f>Interface_Environment!E27</f>
        <v>0</v>
      </c>
      <c r="AI31" s="955"/>
    </row>
    <row r="32" spans="1:35" s="60" customFormat="1" ht="17.149999999999999" customHeight="1" x14ac:dyDescent="0.35">
      <c r="A32" s="953" t="str">
        <f>'Treatment Sludge_NO INPUTS'!B20</f>
        <v>Plant 6 [insert name]</v>
      </c>
      <c r="B32" s="1522">
        <f>'Treatment Sludge_NO INPUTS'!C20</f>
        <v>0</v>
      </c>
      <c r="C32" s="1857">
        <f>'Treatment Sludge_NO INPUTS'!D20</f>
        <v>0</v>
      </c>
      <c r="D32" s="1858"/>
      <c r="E32" s="1522">
        <f>'Treatment Sludge_NO INPUTS'!F20</f>
        <v>0</v>
      </c>
      <c r="F32" s="1522">
        <f t="shared" si="0"/>
        <v>0</v>
      </c>
      <c r="G32" s="153">
        <f>'Treatment Sludge_NO INPUTS'!G20</f>
        <v>0</v>
      </c>
      <c r="H32" s="153">
        <f>'Treatment Sludge_NO INPUTS'!H20</f>
        <v>0</v>
      </c>
      <c r="I32" s="153">
        <f>'Treatment Sludge_NO INPUTS'!I20</f>
        <v>0</v>
      </c>
      <c r="J32" s="947">
        <f t="shared" si="1"/>
        <v>0</v>
      </c>
      <c r="K32" s="947">
        <f t="shared" si="2"/>
        <v>0</v>
      </c>
      <c r="L32" s="153">
        <f>'Treatment Sludge_NO INPUTS'!J20</f>
        <v>0</v>
      </c>
      <c r="M32" s="947">
        <f t="shared" si="3"/>
        <v>0</v>
      </c>
      <c r="N32" s="947">
        <f t="shared" si="4"/>
        <v>0</v>
      </c>
      <c r="O32" s="319"/>
      <c r="P32" s="1510">
        <f>'Treatment Sludge_NO INPUTS'!L20</f>
        <v>0</v>
      </c>
      <c r="Q32" s="1510">
        <f>'Treatment Sludge_NO INPUTS'!M20</f>
        <v>0</v>
      </c>
      <c r="R32" s="1510">
        <f>'Treatment Sludge_NO INPUTS'!N20</f>
        <v>0</v>
      </c>
      <c r="S32" s="1510">
        <f>'Treatment Sludge_NO INPUTS'!O20</f>
        <v>0</v>
      </c>
      <c r="T32" s="1510">
        <f>'Treatment Sludge_NO INPUTS'!P20</f>
        <v>0</v>
      </c>
      <c r="U32" s="1510">
        <f>'Treatment Sludge_NO INPUTS'!Q20</f>
        <v>0</v>
      </c>
      <c r="V32" s="319"/>
      <c r="W32" s="155" t="s">
        <v>735</v>
      </c>
      <c r="X32" s="1510">
        <f>Interface_Environment!C28</f>
        <v>0</v>
      </c>
      <c r="Y32" s="1510">
        <f>Interface_Environment!D28</f>
        <v>0</v>
      </c>
      <c r="Z32" s="1510">
        <f>Interface_Environment!E28</f>
        <v>0</v>
      </c>
      <c r="AI32" s="955"/>
    </row>
    <row r="33" spans="1:35" s="12" customFormat="1" ht="17.149999999999999" customHeight="1" x14ac:dyDescent="0.35">
      <c r="A33" s="950" t="s">
        <v>208</v>
      </c>
      <c r="B33" s="951">
        <f>SUM(B27:B32)</f>
        <v>0</v>
      </c>
      <c r="C33" s="1844"/>
      <c r="D33" s="1845"/>
      <c r="E33" s="951">
        <f>SUM(E27:E32)</f>
        <v>0</v>
      </c>
      <c r="F33" s="951">
        <f>SUM(F27:F32)</f>
        <v>0</v>
      </c>
      <c r="G33" s="951">
        <f>SUM(G27:G32)</f>
        <v>0</v>
      </c>
      <c r="H33" s="951">
        <f>SUM(H27:H32)</f>
        <v>0</v>
      </c>
      <c r="I33" s="952"/>
      <c r="J33" s="948">
        <f>SUM(J27:J32)</f>
        <v>0</v>
      </c>
      <c r="K33" s="948">
        <f>SUM(K27:K32)</f>
        <v>0</v>
      </c>
      <c r="L33" s="948"/>
      <c r="M33" s="948">
        <f>SUM(M27:M32)</f>
        <v>0</v>
      </c>
      <c r="N33" s="948">
        <f>SUM(N27:N32)</f>
        <v>0</v>
      </c>
      <c r="O33" s="32"/>
      <c r="P33" s="32"/>
      <c r="Q33" s="32"/>
      <c r="R33" s="32"/>
      <c r="S33" s="32"/>
      <c r="T33" s="32"/>
      <c r="U33" s="32"/>
      <c r="V33" s="32"/>
      <c r="W33" s="15"/>
      <c r="X33" s="937">
        <f>Interface_Environment!C29</f>
        <v>0</v>
      </c>
      <c r="Y33" s="937">
        <f>Interface_Environment!D29</f>
        <v>0</v>
      </c>
      <c r="Z33" s="937">
        <f>Interface_Environment!E29</f>
        <v>0</v>
      </c>
    </row>
    <row r="34" spans="1:35" ht="17.149999999999999" customHeight="1" x14ac:dyDescent="0.3">
      <c r="A34" s="3"/>
      <c r="B34" s="3"/>
      <c r="C34" s="6"/>
      <c r="D34" s="6"/>
      <c r="E34" s="52"/>
      <c r="F34" s="1520">
        <f>F33</f>
        <v>0</v>
      </c>
      <c r="G34" s="1846">
        <f>G33+H33</f>
        <v>0</v>
      </c>
      <c r="H34" s="1847"/>
      <c r="I34" s="43"/>
      <c r="J34" s="1848">
        <f>SUM(J33:K33)</f>
        <v>0</v>
      </c>
      <c r="K34" s="1848"/>
      <c r="L34" s="43"/>
      <c r="M34" s="1848">
        <f>SUM(M33:N33)</f>
        <v>0</v>
      </c>
      <c r="N34" s="1848"/>
      <c r="O34" s="107"/>
      <c r="P34" s="107"/>
      <c r="Q34" s="107"/>
      <c r="R34" s="107"/>
      <c r="S34" s="107"/>
      <c r="T34" s="107"/>
      <c r="U34" s="107"/>
      <c r="V34" s="107"/>
      <c r="W34" s="47" t="s">
        <v>1120</v>
      </c>
      <c r="X34" s="137"/>
      <c r="Y34" s="137"/>
      <c r="Z34" s="137"/>
    </row>
    <row r="35" spans="1:35" ht="17.149999999999999" customHeight="1" x14ac:dyDescent="0.3">
      <c r="A35" s="950" t="s">
        <v>553</v>
      </c>
      <c r="B35" s="1523">
        <f>'FS_Transport volumes'!B116</f>
        <v>0</v>
      </c>
      <c r="C35" s="6"/>
      <c r="D35" s="6"/>
      <c r="E35" s="52"/>
      <c r="F35" s="3"/>
      <c r="G35" s="1823" t="str">
        <f>IF(G34=F34,"OK","Not OK")</f>
        <v>OK</v>
      </c>
      <c r="H35" s="1823"/>
      <c r="I35" s="43"/>
      <c r="J35" s="1823" t="str">
        <f>IF(J34=G33,"OK","Not OK")</f>
        <v>OK</v>
      </c>
      <c r="K35" s="1823"/>
      <c r="L35" s="43"/>
      <c r="M35" s="1823" t="str">
        <f>IF(M34=H33,"OK","Not OK")</f>
        <v>OK</v>
      </c>
      <c r="N35" s="1823"/>
      <c r="O35" s="107"/>
      <c r="P35" s="107"/>
      <c r="Q35" s="107"/>
      <c r="R35" s="107"/>
      <c r="S35" s="107"/>
      <c r="T35" s="107"/>
      <c r="U35" s="107"/>
      <c r="V35" s="107"/>
      <c r="W35" s="47" t="s">
        <v>1121</v>
      </c>
      <c r="X35" s="137"/>
      <c r="Y35" s="137"/>
      <c r="Z35" s="137"/>
    </row>
    <row r="36" spans="1:35" ht="17.149999999999999" customHeight="1" x14ac:dyDescent="0.3">
      <c r="A36" s="143" t="s">
        <v>251</v>
      </c>
      <c r="B36" s="1520">
        <f>B35-B33</f>
        <v>0</v>
      </c>
      <c r="C36" s="6"/>
      <c r="D36" s="6"/>
      <c r="E36" s="52"/>
      <c r="F36" s="3"/>
      <c r="G36" s="3"/>
      <c r="H36" s="43"/>
      <c r="I36" s="43"/>
      <c r="J36" s="43"/>
      <c r="K36" s="43"/>
      <c r="L36" s="43"/>
      <c r="M36" s="43"/>
      <c r="N36" s="107"/>
      <c r="O36" s="107"/>
      <c r="P36" s="107"/>
      <c r="Q36" s="107"/>
      <c r="R36" s="107"/>
      <c r="S36" s="107"/>
      <c r="T36" s="107"/>
      <c r="U36" s="107"/>
      <c r="V36" s="107"/>
      <c r="W36" s="137"/>
      <c r="X36" s="137"/>
      <c r="Y36" s="137"/>
      <c r="Z36" s="137"/>
    </row>
    <row r="37" spans="1:35" ht="17.149999999999999" customHeight="1" x14ac:dyDescent="0.3">
      <c r="A37" s="3"/>
      <c r="B37" s="1519" t="str">
        <f>IF(B36=0,"OK","Not OK")</f>
        <v>OK</v>
      </c>
      <c r="C37" s="6"/>
      <c r="D37" s="6"/>
      <c r="E37" s="52"/>
      <c r="F37" s="3"/>
      <c r="G37" s="3"/>
      <c r="H37" s="43"/>
      <c r="I37" s="43"/>
      <c r="J37" s="43"/>
      <c r="K37" s="43"/>
      <c r="L37" s="43"/>
      <c r="M37" s="43"/>
      <c r="N37" s="107"/>
      <c r="O37" s="107"/>
      <c r="P37" s="107"/>
      <c r="Q37" s="107"/>
      <c r="R37" s="107"/>
      <c r="S37" s="107"/>
      <c r="T37" s="107"/>
      <c r="U37" s="107"/>
      <c r="V37" s="107"/>
      <c r="W37" s="137"/>
      <c r="X37" s="137"/>
      <c r="Y37" s="137"/>
      <c r="Z37" s="137"/>
    </row>
    <row r="38" spans="1:35" ht="17.149999999999999" customHeight="1" x14ac:dyDescent="0.3">
      <c r="A38" s="3"/>
      <c r="B38" s="3"/>
      <c r="C38" s="6"/>
      <c r="D38" s="6"/>
      <c r="E38" s="52"/>
      <c r="F38" s="3"/>
      <c r="G38" s="3"/>
      <c r="H38" s="43"/>
      <c r="I38" s="43"/>
      <c r="J38" s="43"/>
      <c r="K38" s="43"/>
      <c r="L38" s="43"/>
      <c r="M38" s="43"/>
      <c r="N38" s="107"/>
      <c r="O38" s="107"/>
      <c r="P38" s="107"/>
      <c r="Q38" s="107"/>
      <c r="R38" s="107"/>
      <c r="S38" s="107"/>
      <c r="T38" s="107"/>
      <c r="U38" s="107"/>
      <c r="V38" s="107"/>
      <c r="W38" s="137"/>
      <c r="X38" s="137"/>
      <c r="Y38" s="137"/>
      <c r="Z38" s="137"/>
    </row>
    <row r="39" spans="1:35" ht="17.149999999999999" customHeight="1" x14ac:dyDescent="0.35">
      <c r="A39" s="3"/>
      <c r="B39" s="3"/>
      <c r="C39" s="3"/>
      <c r="D39" s="3"/>
      <c r="E39" s="3"/>
      <c r="F39" s="3"/>
      <c r="G39" s="3"/>
      <c r="H39" s="3"/>
      <c r="I39" s="3"/>
      <c r="J39" s="107"/>
      <c r="K39" s="3"/>
    </row>
    <row r="40" spans="1:35" ht="17.149999999999999" customHeight="1" x14ac:dyDescent="0.3">
      <c r="A40" s="949" t="s">
        <v>1185</v>
      </c>
      <c r="B40" s="1506" t="s">
        <v>9</v>
      </c>
      <c r="C40" s="6"/>
      <c r="D40" s="6"/>
      <c r="E40" s="52"/>
      <c r="F40" s="3"/>
      <c r="G40" s="3"/>
      <c r="H40" s="43"/>
      <c r="I40" s="43"/>
      <c r="J40" s="43"/>
      <c r="K40" s="43"/>
      <c r="L40" s="43"/>
      <c r="M40" s="43"/>
      <c r="N40" s="107"/>
      <c r="O40" s="107"/>
      <c r="P40" s="107"/>
      <c r="Q40" s="107"/>
      <c r="R40" s="107"/>
      <c r="S40" s="107"/>
      <c r="T40" s="107"/>
      <c r="U40" s="107"/>
      <c r="V40" s="107"/>
      <c r="W40" s="137"/>
      <c r="X40" s="137"/>
      <c r="Y40" s="137"/>
      <c r="Z40" s="137"/>
    </row>
    <row r="41" spans="1:35" ht="17.149999999999999" customHeight="1" x14ac:dyDescent="0.3">
      <c r="A41" s="3"/>
      <c r="B41" s="3"/>
      <c r="C41" s="6"/>
      <c r="D41" s="6"/>
      <c r="E41" s="52"/>
      <c r="F41" s="3"/>
      <c r="G41" s="3"/>
      <c r="H41" s="43"/>
      <c r="I41" s="43"/>
      <c r="J41" s="43"/>
      <c r="K41" s="43"/>
      <c r="L41" s="43"/>
      <c r="M41" s="43"/>
      <c r="N41" s="107"/>
      <c r="O41" s="107"/>
      <c r="P41" s="107"/>
      <c r="Q41" s="107"/>
      <c r="R41" s="107"/>
      <c r="S41" s="107"/>
      <c r="T41" s="107"/>
      <c r="U41" s="107"/>
      <c r="V41" s="107"/>
      <c r="W41" s="137"/>
      <c r="X41" s="137"/>
      <c r="Y41" s="137"/>
      <c r="Z41" s="137"/>
    </row>
    <row r="42" spans="1:35" s="11" customFormat="1" ht="17.149999999999999" customHeight="1" x14ac:dyDescent="0.35">
      <c r="A42" s="1808" t="s">
        <v>513</v>
      </c>
      <c r="B42" s="1764" t="s">
        <v>1105</v>
      </c>
      <c r="C42" s="1836" t="s">
        <v>516</v>
      </c>
      <c r="D42" s="1837"/>
      <c r="E42" s="1808" t="s">
        <v>569</v>
      </c>
      <c r="F42" s="1808" t="s">
        <v>1106</v>
      </c>
      <c r="G42" s="1784" t="s">
        <v>518</v>
      </c>
      <c r="H42" s="1784"/>
      <c r="I42" s="1808" t="s">
        <v>519</v>
      </c>
      <c r="J42" s="1808" t="s">
        <v>1107</v>
      </c>
      <c r="K42" s="1808" t="s">
        <v>510</v>
      </c>
      <c r="L42" s="1808" t="s">
        <v>520</v>
      </c>
      <c r="M42" s="1808" t="s">
        <v>1108</v>
      </c>
      <c r="N42" s="1808" t="s">
        <v>512</v>
      </c>
      <c r="O42" s="198"/>
      <c r="P42" s="1808" t="s">
        <v>521</v>
      </c>
      <c r="Q42" s="1808"/>
      <c r="R42" s="1808"/>
      <c r="S42" s="1808"/>
      <c r="T42" s="1808"/>
      <c r="U42" s="1808"/>
      <c r="V42" s="198"/>
      <c r="W42"/>
      <c r="X42"/>
      <c r="Y42"/>
      <c r="Z42"/>
      <c r="AA42"/>
      <c r="AB42"/>
      <c r="AC42"/>
      <c r="AD42"/>
    </row>
    <row r="43" spans="1:35" s="11" customFormat="1" ht="45" customHeight="1" x14ac:dyDescent="0.35">
      <c r="A43" s="1808"/>
      <c r="B43" s="1766"/>
      <c r="C43" s="1838"/>
      <c r="D43" s="1839"/>
      <c r="E43" s="1808"/>
      <c r="F43" s="1808"/>
      <c r="G43" s="1511" t="s">
        <v>523</v>
      </c>
      <c r="H43" s="1511" t="s">
        <v>524</v>
      </c>
      <c r="I43" s="1808"/>
      <c r="J43" s="1808"/>
      <c r="K43" s="1808"/>
      <c r="L43" s="1808"/>
      <c r="M43" s="1808"/>
      <c r="N43" s="1808"/>
      <c r="O43" s="198"/>
      <c r="P43" s="1511" t="s">
        <v>486</v>
      </c>
      <c r="Q43" s="1511" t="s">
        <v>525</v>
      </c>
      <c r="R43" s="1511" t="s">
        <v>526</v>
      </c>
      <c r="S43" s="1511" t="s">
        <v>559</v>
      </c>
      <c r="T43" s="1511" t="s">
        <v>528</v>
      </c>
      <c r="U43" s="1511" t="s">
        <v>1111</v>
      </c>
      <c r="V43" s="198"/>
      <c r="W43"/>
      <c r="X43"/>
      <c r="Y43"/>
      <c r="Z43"/>
      <c r="AA43"/>
      <c r="AB43"/>
      <c r="AC43"/>
      <c r="AD43"/>
      <c r="AI43" s="11" t="s">
        <v>541</v>
      </c>
    </row>
    <row r="44" spans="1:35" s="315" customFormat="1" ht="13" x14ac:dyDescent="0.3">
      <c r="A44" s="310"/>
      <c r="B44" s="311"/>
      <c r="C44" s="312"/>
      <c r="D44" s="313"/>
      <c r="E44" s="310"/>
      <c r="F44" s="310"/>
      <c r="G44" s="310"/>
      <c r="H44" s="310"/>
      <c r="I44" s="310"/>
      <c r="J44" s="310"/>
      <c r="K44" s="310"/>
      <c r="L44" s="310"/>
      <c r="M44" s="310"/>
      <c r="N44" s="310"/>
      <c r="O44" s="318"/>
      <c r="P44" s="1510"/>
      <c r="Q44" s="1510"/>
      <c r="R44" s="1510"/>
      <c r="S44" s="1510"/>
      <c r="T44" s="1510"/>
      <c r="U44" s="1510"/>
      <c r="V44" s="102"/>
      <c r="W44" s="954"/>
      <c r="X44" s="954"/>
      <c r="Y44" s="954"/>
      <c r="Z44" s="954"/>
      <c r="AA44" s="954"/>
      <c r="AB44" s="954"/>
      <c r="AC44" s="954"/>
      <c r="AD44" s="954"/>
      <c r="AE44" s="954"/>
      <c r="AF44" s="954"/>
      <c r="AG44" s="954"/>
      <c r="AH44" s="954"/>
    </row>
    <row r="45" spans="1:35" s="60" customFormat="1" ht="17.149999999999999" customHeight="1" x14ac:dyDescent="0.3">
      <c r="A45" s="953" t="str">
        <f>'Treatment Sludge_NO INPUTS'!B32</f>
        <v>Plant 1</v>
      </c>
      <c r="B45" s="1522">
        <f>'Treatment Sludge_NO INPUTS'!C32</f>
        <v>1956</v>
      </c>
      <c r="C45" s="1857">
        <f>'Treatment Sludge_NO INPUTS'!D32</f>
        <v>0</v>
      </c>
      <c r="D45" s="1858"/>
      <c r="E45" s="1522">
        <f>'Treatment Sludge_NO INPUTS'!F32</f>
        <v>20</v>
      </c>
      <c r="F45" s="1522">
        <f>B45</f>
        <v>1956</v>
      </c>
      <c r="G45" s="153">
        <f>'Treatment Sludge_NO INPUTS'!G32</f>
        <v>1956</v>
      </c>
      <c r="H45" s="153">
        <f>'Treatment Sludge_NO INPUTS'!H32</f>
        <v>0</v>
      </c>
      <c r="I45" s="153" t="str">
        <f>'Treatment Sludge_NO INPUTS'!I32</f>
        <v>YES</v>
      </c>
      <c r="J45" s="947">
        <f>IF(I45=0,0,IF(I45="NO",G45,IF(I45="YES",0)))</f>
        <v>0</v>
      </c>
      <c r="K45" s="947">
        <f>IF(I45=0,0,IF(I45="YES",G45,IF(I45="NO",0)))</f>
        <v>1956</v>
      </c>
      <c r="L45" s="153">
        <f>'Treatment Sludge_NO INPUTS'!J32</f>
        <v>0</v>
      </c>
      <c r="M45" s="947">
        <f>IF(L45=0,0,IF(L45="NO",H45,IF(L45="YES",0)))</f>
        <v>0</v>
      </c>
      <c r="N45" s="947">
        <f>IF(L45=0,0,IF(L45="YES",H45,IF(L45="NO",0)))</f>
        <v>0</v>
      </c>
      <c r="O45" s="319"/>
      <c r="P45" s="1510">
        <f>Interface_Treatment!M32</f>
        <v>0</v>
      </c>
      <c r="Q45" s="1510">
        <f>Interface_Treatment!N32</f>
        <v>0</v>
      </c>
      <c r="R45" s="1510">
        <f>Interface_Treatment!O32</f>
        <v>0</v>
      </c>
      <c r="S45" s="1510">
        <f>Interface_Treatment!P32</f>
        <v>0</v>
      </c>
      <c r="T45" s="1510">
        <f>Interface_Treatment!Q32</f>
        <v>0</v>
      </c>
      <c r="U45" s="1510">
        <f>Interface_Treatment!R32</f>
        <v>0</v>
      </c>
      <c r="V45" s="319"/>
      <c r="W45" s="954"/>
      <c r="X45" s="954"/>
      <c r="Y45" s="954"/>
      <c r="Z45" s="954"/>
      <c r="AA45" s="954"/>
      <c r="AB45" s="954"/>
      <c r="AC45" s="954"/>
      <c r="AD45" s="954"/>
      <c r="AI45" s="955" t="s">
        <v>542</v>
      </c>
    </row>
    <row r="46" spans="1:35" s="60" customFormat="1" ht="17.149999999999999" customHeight="1" x14ac:dyDescent="0.3">
      <c r="A46" s="953" t="str">
        <f>'Treatment Sludge_NO INPUTS'!B33</f>
        <v>Plant 2</v>
      </c>
      <c r="B46" s="1522">
        <f>'Treatment Sludge_NO INPUTS'!C33</f>
        <v>9454</v>
      </c>
      <c r="C46" s="1857">
        <f>'Treatment Sludge_NO INPUTS'!D33</f>
        <v>0</v>
      </c>
      <c r="D46" s="1858"/>
      <c r="E46" s="1522">
        <f>'Treatment Sludge_NO INPUTS'!F33</f>
        <v>45</v>
      </c>
      <c r="F46" s="1522">
        <f t="shared" ref="F46:F54" si="5">B46</f>
        <v>9454</v>
      </c>
      <c r="G46" s="153">
        <f>'Treatment Sludge_NO INPUTS'!G33</f>
        <v>9454</v>
      </c>
      <c r="H46" s="153">
        <f>'Treatment Sludge_NO INPUTS'!H33</f>
        <v>0</v>
      </c>
      <c r="I46" s="153" t="str">
        <f>'Treatment Sludge_NO INPUTS'!I33</f>
        <v>YES</v>
      </c>
      <c r="J46" s="947">
        <f t="shared" ref="J46:J54" si="6">IF(I46=0,0,IF(I46="NO",G46,IF(I46="YES",0)))</f>
        <v>0</v>
      </c>
      <c r="K46" s="947">
        <f t="shared" ref="K46:K54" si="7">IF(I46=0,0,IF(I46="YES",G46,IF(I46="NO",0)))</f>
        <v>9454</v>
      </c>
      <c r="L46" s="153">
        <f>'Treatment Sludge_NO INPUTS'!J33</f>
        <v>0</v>
      </c>
      <c r="M46" s="947">
        <f t="shared" ref="M46:M54" si="8">IF(L46=0,0,IF(L46="NO",H46,IF(L46="YES",0)))</f>
        <v>0</v>
      </c>
      <c r="N46" s="947">
        <f t="shared" ref="N46:N54" si="9">IF(L46=0,0,IF(L46="YES",H46,IF(L46="NO",0)))</f>
        <v>0</v>
      </c>
      <c r="O46" s="319"/>
      <c r="P46" s="1510">
        <f>Interface_Treatment!M33</f>
        <v>0</v>
      </c>
      <c r="Q46" s="1510">
        <f>Interface_Treatment!N33</f>
        <v>0</v>
      </c>
      <c r="R46" s="1510">
        <f>Interface_Treatment!O33</f>
        <v>0</v>
      </c>
      <c r="S46" s="1510">
        <f>Interface_Treatment!P33</f>
        <v>0</v>
      </c>
      <c r="T46" s="1510">
        <f>Interface_Treatment!Q33</f>
        <v>0</v>
      </c>
      <c r="U46" s="1510">
        <f>Interface_Treatment!R33</f>
        <v>0</v>
      </c>
      <c r="V46" s="319"/>
      <c r="W46" s="954"/>
      <c r="X46" s="954"/>
      <c r="Y46" s="954"/>
      <c r="Z46" s="954"/>
      <c r="AA46" s="954"/>
      <c r="AB46" s="954"/>
      <c r="AC46" s="954"/>
      <c r="AD46" s="954"/>
      <c r="AI46" s="955" t="s">
        <v>542</v>
      </c>
    </row>
    <row r="47" spans="1:35" s="60" customFormat="1" ht="17.149999999999999" customHeight="1" x14ac:dyDescent="0.3">
      <c r="A47" s="953" t="str">
        <f>'Treatment Sludge_NO INPUTS'!B34</f>
        <v>Plant 3</v>
      </c>
      <c r="B47" s="1522">
        <f>'Treatment Sludge_NO INPUTS'!C34</f>
        <v>9780</v>
      </c>
      <c r="C47" s="1857" t="str">
        <f>'Treatment Sludge_NO INPUTS'!D34</f>
        <v>Anaerobic digestion</v>
      </c>
      <c r="D47" s="1858"/>
      <c r="E47" s="1522">
        <f>'Treatment Sludge_NO INPUTS'!F34</f>
        <v>45</v>
      </c>
      <c r="F47" s="1522">
        <f t="shared" si="5"/>
        <v>9780</v>
      </c>
      <c r="G47" s="153">
        <f>'Treatment Sludge_NO INPUTS'!G34</f>
        <v>9780</v>
      </c>
      <c r="H47" s="153">
        <f>'Treatment Sludge_NO INPUTS'!H34</f>
        <v>0</v>
      </c>
      <c r="I47" s="153" t="str">
        <f>'Treatment Sludge_NO INPUTS'!I34</f>
        <v>NO</v>
      </c>
      <c r="J47" s="947">
        <f t="shared" si="6"/>
        <v>9780</v>
      </c>
      <c r="K47" s="947">
        <f t="shared" si="7"/>
        <v>0</v>
      </c>
      <c r="L47" s="153">
        <f>'Treatment Sludge_NO INPUTS'!J34</f>
        <v>0</v>
      </c>
      <c r="M47" s="947">
        <f t="shared" si="8"/>
        <v>0</v>
      </c>
      <c r="N47" s="947">
        <f t="shared" si="9"/>
        <v>0</v>
      </c>
      <c r="O47" s="319"/>
      <c r="P47" s="1510">
        <f>Interface_Treatment!M34</f>
        <v>0</v>
      </c>
      <c r="Q47" s="1510">
        <f>Interface_Treatment!N34</f>
        <v>0</v>
      </c>
      <c r="R47" s="1510">
        <f>Interface_Treatment!O34</f>
        <v>0</v>
      </c>
      <c r="S47" s="1510">
        <f>Interface_Treatment!P34</f>
        <v>0</v>
      </c>
      <c r="T47" s="1510">
        <f>Interface_Treatment!Q34</f>
        <v>0</v>
      </c>
      <c r="U47" s="1510">
        <f>Interface_Treatment!R34</f>
        <v>0</v>
      </c>
      <c r="V47" s="319"/>
      <c r="W47" s="954"/>
      <c r="X47" s="954"/>
      <c r="Y47" s="954"/>
      <c r="Z47" s="954"/>
      <c r="AA47" s="954"/>
      <c r="AB47" s="954"/>
      <c r="AC47" s="954"/>
      <c r="AD47" s="954"/>
      <c r="AI47" s="955" t="s">
        <v>542</v>
      </c>
    </row>
    <row r="48" spans="1:35" s="60" customFormat="1" ht="17.149999999999999" customHeight="1" x14ac:dyDescent="0.3">
      <c r="A48" s="953" t="str">
        <f>'Treatment Sludge_NO INPUTS'!B35</f>
        <v>Plant 4</v>
      </c>
      <c r="B48" s="1522">
        <f>'Treatment Sludge_NO INPUTS'!C35</f>
        <v>11410</v>
      </c>
      <c r="C48" s="1857" t="str">
        <f>'Treatment Sludge_NO INPUTS'!D35</f>
        <v>Anaerobic digestion</v>
      </c>
      <c r="D48" s="1858"/>
      <c r="E48" s="1522">
        <f>'Treatment Sludge_NO INPUTS'!F35</f>
        <v>50</v>
      </c>
      <c r="F48" s="1522">
        <f t="shared" si="5"/>
        <v>11410</v>
      </c>
      <c r="G48" s="153">
        <f>'Treatment Sludge_NO INPUTS'!G35</f>
        <v>11410</v>
      </c>
      <c r="H48" s="153">
        <f>'Treatment Sludge_NO INPUTS'!H35</f>
        <v>0</v>
      </c>
      <c r="I48" s="153" t="str">
        <f>'Treatment Sludge_NO INPUTS'!I35</f>
        <v>NO</v>
      </c>
      <c r="J48" s="947">
        <f t="shared" si="6"/>
        <v>11410</v>
      </c>
      <c r="K48" s="947">
        <f t="shared" si="7"/>
        <v>0</v>
      </c>
      <c r="L48" s="153">
        <f>'Treatment Sludge_NO INPUTS'!J35</f>
        <v>0</v>
      </c>
      <c r="M48" s="947">
        <f t="shared" si="8"/>
        <v>0</v>
      </c>
      <c r="N48" s="947">
        <f t="shared" si="9"/>
        <v>0</v>
      </c>
      <c r="O48" s="319"/>
      <c r="P48" s="1510">
        <f>Interface_Treatment!M35</f>
        <v>0</v>
      </c>
      <c r="Q48" s="1510">
        <f>Interface_Treatment!N35</f>
        <v>0</v>
      </c>
      <c r="R48" s="1510">
        <f>Interface_Treatment!O35</f>
        <v>0</v>
      </c>
      <c r="S48" s="1510">
        <f>Interface_Treatment!P35</f>
        <v>0</v>
      </c>
      <c r="T48" s="1510">
        <f>Interface_Treatment!Q35</f>
        <v>0</v>
      </c>
      <c r="U48" s="1510">
        <f>Interface_Treatment!R35</f>
        <v>0</v>
      </c>
      <c r="V48" s="319"/>
      <c r="W48" s="954"/>
      <c r="X48" s="954"/>
      <c r="Y48" s="954"/>
      <c r="Z48" s="954"/>
      <c r="AA48" s="954"/>
      <c r="AB48" s="954"/>
      <c r="AC48" s="954"/>
      <c r="AD48" s="954"/>
      <c r="AI48" s="955" t="s">
        <v>542</v>
      </c>
    </row>
    <row r="49" spans="1:35" s="60" customFormat="1" ht="17.149999999999999" customHeight="1" x14ac:dyDescent="0.3">
      <c r="A49" s="953" t="str">
        <f>'Treatment Sludge_NO INPUTS'!B36</f>
        <v>Plant 5 [insert name]</v>
      </c>
      <c r="B49" s="1522">
        <f>'Treatment Sludge_NO INPUTS'!C36</f>
        <v>0</v>
      </c>
      <c r="C49" s="1857">
        <f>'Treatment Sludge_NO INPUTS'!D36</f>
        <v>0</v>
      </c>
      <c r="D49" s="1858"/>
      <c r="E49" s="1522">
        <f>'Treatment Sludge_NO INPUTS'!F36</f>
        <v>0</v>
      </c>
      <c r="F49" s="1522">
        <f t="shared" si="5"/>
        <v>0</v>
      </c>
      <c r="G49" s="153">
        <f>'Treatment Sludge_NO INPUTS'!G36</f>
        <v>0</v>
      </c>
      <c r="H49" s="153">
        <f>'Treatment Sludge_NO INPUTS'!H36</f>
        <v>0</v>
      </c>
      <c r="I49" s="153">
        <f>'Treatment Sludge_NO INPUTS'!I36</f>
        <v>0</v>
      </c>
      <c r="J49" s="947">
        <f t="shared" si="6"/>
        <v>0</v>
      </c>
      <c r="K49" s="947">
        <f t="shared" si="7"/>
        <v>0</v>
      </c>
      <c r="L49" s="153">
        <f>'Treatment Sludge_NO INPUTS'!J36</f>
        <v>0</v>
      </c>
      <c r="M49" s="947">
        <f t="shared" si="8"/>
        <v>0</v>
      </c>
      <c r="N49" s="947">
        <f t="shared" si="9"/>
        <v>0</v>
      </c>
      <c r="O49" s="319"/>
      <c r="P49" s="1510">
        <f>Interface_Treatment!M36</f>
        <v>0</v>
      </c>
      <c r="Q49" s="1510">
        <f>Interface_Treatment!N36</f>
        <v>0</v>
      </c>
      <c r="R49" s="1510">
        <f>Interface_Treatment!O36</f>
        <v>0</v>
      </c>
      <c r="S49" s="1510">
        <f>Interface_Treatment!P36</f>
        <v>0</v>
      </c>
      <c r="T49" s="1510">
        <f>Interface_Treatment!Q36</f>
        <v>0</v>
      </c>
      <c r="U49" s="1510">
        <f>Interface_Treatment!R36</f>
        <v>0</v>
      </c>
      <c r="V49" s="319"/>
      <c r="W49" s="954"/>
      <c r="X49" s="954"/>
      <c r="Y49" s="954"/>
      <c r="Z49" s="954"/>
      <c r="AA49" s="954"/>
      <c r="AB49" s="954"/>
      <c r="AC49" s="954"/>
      <c r="AD49" s="954"/>
      <c r="AI49" s="955" t="s">
        <v>542</v>
      </c>
    </row>
    <row r="50" spans="1:35" s="60" customFormat="1" ht="17.149999999999999" customHeight="1" x14ac:dyDescent="0.3">
      <c r="A50" s="953" t="str">
        <f>'Treatment Sludge_NO INPUTS'!B37</f>
        <v>Plant 6 [insert name]</v>
      </c>
      <c r="B50" s="1522">
        <f>'Treatment Sludge_NO INPUTS'!C37</f>
        <v>0</v>
      </c>
      <c r="C50" s="1857">
        <f>'Treatment Sludge_NO INPUTS'!D37</f>
        <v>0</v>
      </c>
      <c r="D50" s="1858"/>
      <c r="E50" s="1522">
        <f>'Treatment Sludge_NO INPUTS'!F37</f>
        <v>0</v>
      </c>
      <c r="F50" s="1522">
        <f t="shared" si="5"/>
        <v>0</v>
      </c>
      <c r="G50" s="153">
        <f>'Treatment Sludge_NO INPUTS'!G37</f>
        <v>0</v>
      </c>
      <c r="H50" s="153">
        <f>'Treatment Sludge_NO INPUTS'!H37</f>
        <v>0</v>
      </c>
      <c r="I50" s="153">
        <f>'Treatment Sludge_NO INPUTS'!I37</f>
        <v>0</v>
      </c>
      <c r="J50" s="947">
        <f t="shared" si="6"/>
        <v>0</v>
      </c>
      <c r="K50" s="947">
        <f t="shared" si="7"/>
        <v>0</v>
      </c>
      <c r="L50" s="153">
        <f>'Treatment Sludge_NO INPUTS'!J37</f>
        <v>0</v>
      </c>
      <c r="M50" s="947">
        <f t="shared" si="8"/>
        <v>0</v>
      </c>
      <c r="N50" s="947">
        <f t="shared" si="9"/>
        <v>0</v>
      </c>
      <c r="O50" s="319"/>
      <c r="P50" s="1510">
        <f>Interface_Treatment!M37</f>
        <v>0</v>
      </c>
      <c r="Q50" s="1510">
        <f>Interface_Treatment!N37</f>
        <v>0</v>
      </c>
      <c r="R50" s="1510">
        <f>Interface_Treatment!O37</f>
        <v>0</v>
      </c>
      <c r="S50" s="1510">
        <f>Interface_Treatment!P37</f>
        <v>0</v>
      </c>
      <c r="T50" s="1510">
        <f>Interface_Treatment!Q37</f>
        <v>0</v>
      </c>
      <c r="U50" s="1510">
        <f>Interface_Treatment!R37</f>
        <v>0</v>
      </c>
      <c r="V50" s="319"/>
      <c r="W50" s="954"/>
      <c r="X50" s="954"/>
      <c r="Y50" s="954"/>
      <c r="Z50" s="954"/>
      <c r="AA50" s="954"/>
      <c r="AB50" s="954"/>
      <c r="AC50" s="954"/>
      <c r="AD50" s="954"/>
      <c r="AI50" s="955" t="s">
        <v>542</v>
      </c>
    </row>
    <row r="51" spans="1:35" s="60" customFormat="1" ht="17.149999999999999" customHeight="1" x14ac:dyDescent="0.3">
      <c r="A51" s="953" t="str">
        <f>'Treatment Sludge_NO INPUTS'!B38</f>
        <v>Plant 7 [insert name]</v>
      </c>
      <c r="B51" s="1522">
        <f>'Treatment Sludge_NO INPUTS'!C38</f>
        <v>0</v>
      </c>
      <c r="C51" s="1857">
        <f>'Treatment Sludge_NO INPUTS'!D38</f>
        <v>0</v>
      </c>
      <c r="D51" s="1858"/>
      <c r="E51" s="1522">
        <f>'Treatment Sludge_NO INPUTS'!F38</f>
        <v>0</v>
      </c>
      <c r="F51" s="1522">
        <f t="shared" si="5"/>
        <v>0</v>
      </c>
      <c r="G51" s="153">
        <f>'Treatment Sludge_NO INPUTS'!G38</f>
        <v>0</v>
      </c>
      <c r="H51" s="153">
        <f>'Treatment Sludge_NO INPUTS'!H38</f>
        <v>0</v>
      </c>
      <c r="I51" s="153">
        <f>'Treatment Sludge_NO INPUTS'!I38</f>
        <v>0</v>
      </c>
      <c r="J51" s="947">
        <f t="shared" si="6"/>
        <v>0</v>
      </c>
      <c r="K51" s="947">
        <f t="shared" si="7"/>
        <v>0</v>
      </c>
      <c r="L51" s="153">
        <f>'Treatment Sludge_NO INPUTS'!J38</f>
        <v>0</v>
      </c>
      <c r="M51" s="947">
        <f t="shared" si="8"/>
        <v>0</v>
      </c>
      <c r="N51" s="947">
        <f t="shared" si="9"/>
        <v>0</v>
      </c>
      <c r="O51" s="319"/>
      <c r="P51" s="1510">
        <f>Interface_Treatment!M38</f>
        <v>0</v>
      </c>
      <c r="Q51" s="1510">
        <f>Interface_Treatment!N38</f>
        <v>0</v>
      </c>
      <c r="R51" s="1510">
        <f>Interface_Treatment!O38</f>
        <v>0</v>
      </c>
      <c r="S51" s="1510">
        <f>Interface_Treatment!P38</f>
        <v>0</v>
      </c>
      <c r="T51" s="1510">
        <f>Interface_Treatment!Q38</f>
        <v>0</v>
      </c>
      <c r="U51" s="1510">
        <f>Interface_Treatment!R38</f>
        <v>0</v>
      </c>
      <c r="V51" s="319"/>
      <c r="W51" s="954"/>
      <c r="X51" s="954"/>
      <c r="Y51" s="954"/>
      <c r="Z51" s="954"/>
      <c r="AA51" s="954"/>
      <c r="AB51" s="954"/>
      <c r="AC51" s="954"/>
      <c r="AD51" s="954"/>
      <c r="AI51" s="955" t="s">
        <v>542</v>
      </c>
    </row>
    <row r="52" spans="1:35" s="60" customFormat="1" ht="17.149999999999999" customHeight="1" x14ac:dyDescent="0.3">
      <c r="A52" s="953" t="str">
        <f>'Treatment Sludge_NO INPUTS'!B39</f>
        <v>Plant 8 [insert name]</v>
      </c>
      <c r="B52" s="1522">
        <f>'Treatment Sludge_NO INPUTS'!C39</f>
        <v>0</v>
      </c>
      <c r="C52" s="1857">
        <f>'Treatment Sludge_NO INPUTS'!D39</f>
        <v>0</v>
      </c>
      <c r="D52" s="1858"/>
      <c r="E52" s="1522">
        <f>'Treatment Sludge_NO INPUTS'!F39</f>
        <v>0</v>
      </c>
      <c r="F52" s="1522">
        <f t="shared" si="5"/>
        <v>0</v>
      </c>
      <c r="G52" s="153">
        <f>'Treatment Sludge_NO INPUTS'!G39</f>
        <v>0</v>
      </c>
      <c r="H52" s="153">
        <f>'Treatment Sludge_NO INPUTS'!H39</f>
        <v>0</v>
      </c>
      <c r="I52" s="153">
        <f>'Treatment Sludge_NO INPUTS'!I39</f>
        <v>0</v>
      </c>
      <c r="J52" s="947">
        <f t="shared" si="6"/>
        <v>0</v>
      </c>
      <c r="K52" s="947">
        <f t="shared" si="7"/>
        <v>0</v>
      </c>
      <c r="L52" s="153">
        <f>'Treatment Sludge_NO INPUTS'!J39</f>
        <v>0</v>
      </c>
      <c r="M52" s="947">
        <f t="shared" si="8"/>
        <v>0</v>
      </c>
      <c r="N52" s="947">
        <f t="shared" si="9"/>
        <v>0</v>
      </c>
      <c r="O52" s="319"/>
      <c r="P52" s="1510">
        <f>Interface_Treatment!M39</f>
        <v>0</v>
      </c>
      <c r="Q52" s="1510">
        <f>Interface_Treatment!N39</f>
        <v>0</v>
      </c>
      <c r="R52" s="1510">
        <f>Interface_Treatment!O39</f>
        <v>0</v>
      </c>
      <c r="S52" s="1510">
        <f>Interface_Treatment!P39</f>
        <v>0</v>
      </c>
      <c r="T52" s="1510">
        <f>Interface_Treatment!Q39</f>
        <v>0</v>
      </c>
      <c r="U52" s="1510">
        <f>Interface_Treatment!R39</f>
        <v>0</v>
      </c>
      <c r="V52" s="319"/>
      <c r="W52" s="954"/>
      <c r="X52" s="954"/>
      <c r="Y52" s="954"/>
      <c r="Z52" s="954"/>
      <c r="AA52" s="954"/>
      <c r="AB52" s="954"/>
      <c r="AC52" s="954"/>
      <c r="AD52" s="954"/>
      <c r="AI52" s="955" t="s">
        <v>542</v>
      </c>
    </row>
    <row r="53" spans="1:35" s="60" customFormat="1" ht="17.149999999999999" customHeight="1" x14ac:dyDescent="0.3">
      <c r="A53" s="953" t="str">
        <f>'Treatment Sludge_NO INPUTS'!B40</f>
        <v>Plant 9 [insert name]</v>
      </c>
      <c r="B53" s="1522">
        <f>'Treatment Sludge_NO INPUTS'!C40</f>
        <v>0</v>
      </c>
      <c r="C53" s="1857">
        <f>'Treatment Sludge_NO INPUTS'!D40</f>
        <v>0</v>
      </c>
      <c r="D53" s="1858"/>
      <c r="E53" s="1522">
        <f>'Treatment Sludge_NO INPUTS'!F40</f>
        <v>0</v>
      </c>
      <c r="F53" s="1522">
        <f t="shared" si="5"/>
        <v>0</v>
      </c>
      <c r="G53" s="153">
        <f>'Treatment Sludge_NO INPUTS'!G40</f>
        <v>0</v>
      </c>
      <c r="H53" s="153">
        <f>'Treatment Sludge_NO INPUTS'!H40</f>
        <v>0</v>
      </c>
      <c r="I53" s="153">
        <f>'Treatment Sludge_NO INPUTS'!I40</f>
        <v>0</v>
      </c>
      <c r="J53" s="947">
        <f t="shared" si="6"/>
        <v>0</v>
      </c>
      <c r="K53" s="947">
        <f t="shared" si="7"/>
        <v>0</v>
      </c>
      <c r="L53" s="153">
        <f>'Treatment Sludge_NO INPUTS'!J40</f>
        <v>0</v>
      </c>
      <c r="M53" s="947">
        <f t="shared" si="8"/>
        <v>0</v>
      </c>
      <c r="N53" s="947">
        <f t="shared" si="9"/>
        <v>0</v>
      </c>
      <c r="O53" s="319"/>
      <c r="P53" s="1510">
        <f>Interface_Treatment!M40</f>
        <v>0</v>
      </c>
      <c r="Q53" s="1510">
        <f>Interface_Treatment!N40</f>
        <v>0</v>
      </c>
      <c r="R53" s="1510">
        <f>Interface_Treatment!O40</f>
        <v>0</v>
      </c>
      <c r="S53" s="1510">
        <f>Interface_Treatment!P40</f>
        <v>0</v>
      </c>
      <c r="T53" s="1510">
        <f>Interface_Treatment!Q40</f>
        <v>0</v>
      </c>
      <c r="U53" s="1510">
        <f>Interface_Treatment!R40</f>
        <v>0</v>
      </c>
      <c r="V53" s="319"/>
      <c r="W53" s="954"/>
      <c r="X53" s="954"/>
      <c r="Y53" s="954"/>
      <c r="Z53" s="954"/>
      <c r="AA53" s="954"/>
      <c r="AB53" s="954"/>
      <c r="AC53" s="954"/>
      <c r="AD53" s="954"/>
      <c r="AI53" s="955" t="s">
        <v>542</v>
      </c>
    </row>
    <row r="54" spans="1:35" s="60" customFormat="1" ht="17.149999999999999" customHeight="1" x14ac:dyDescent="0.3">
      <c r="A54" s="953" t="str">
        <f>'Treatment Sludge_NO INPUTS'!B41</f>
        <v>Plant 10 [insert name]</v>
      </c>
      <c r="B54" s="1522">
        <f>'Treatment Sludge_NO INPUTS'!C41</f>
        <v>0</v>
      </c>
      <c r="C54" s="1857">
        <f>'Treatment Sludge_NO INPUTS'!D41</f>
        <v>0</v>
      </c>
      <c r="D54" s="1858"/>
      <c r="E54" s="1522">
        <f>'Treatment Sludge_NO INPUTS'!F41</f>
        <v>0</v>
      </c>
      <c r="F54" s="1522">
        <f t="shared" si="5"/>
        <v>0</v>
      </c>
      <c r="G54" s="153">
        <f>'Treatment Sludge_NO INPUTS'!G41</f>
        <v>0</v>
      </c>
      <c r="H54" s="153">
        <f>'Treatment Sludge_NO INPUTS'!H41</f>
        <v>0</v>
      </c>
      <c r="I54" s="153">
        <f>'Treatment Sludge_NO INPUTS'!I41</f>
        <v>0</v>
      </c>
      <c r="J54" s="947">
        <f t="shared" si="6"/>
        <v>0</v>
      </c>
      <c r="K54" s="947">
        <f t="shared" si="7"/>
        <v>0</v>
      </c>
      <c r="L54" s="153">
        <f>'Treatment Sludge_NO INPUTS'!J41</f>
        <v>0</v>
      </c>
      <c r="M54" s="947">
        <f t="shared" si="8"/>
        <v>0</v>
      </c>
      <c r="N54" s="947">
        <f t="shared" si="9"/>
        <v>0</v>
      </c>
      <c r="O54" s="319"/>
      <c r="P54" s="1510">
        <f>Interface_Treatment!M41</f>
        <v>0</v>
      </c>
      <c r="Q54" s="1510">
        <f>Interface_Treatment!N41</f>
        <v>0</v>
      </c>
      <c r="R54" s="1510">
        <f>Interface_Treatment!O41</f>
        <v>0</v>
      </c>
      <c r="S54" s="1510">
        <f>Interface_Treatment!P41</f>
        <v>0</v>
      </c>
      <c r="T54" s="1510">
        <f>Interface_Treatment!Q41</f>
        <v>0</v>
      </c>
      <c r="U54" s="1510">
        <f>Interface_Treatment!R41</f>
        <v>0</v>
      </c>
      <c r="V54" s="319"/>
      <c r="W54" s="954"/>
      <c r="X54" s="954"/>
      <c r="Y54" s="954"/>
      <c r="Z54" s="954"/>
      <c r="AA54" s="954"/>
      <c r="AB54" s="954"/>
      <c r="AC54" s="954"/>
      <c r="AD54" s="954"/>
      <c r="AI54" s="955" t="s">
        <v>542</v>
      </c>
    </row>
    <row r="55" spans="1:35" s="12" customFormat="1" ht="17.149999999999999" customHeight="1" x14ac:dyDescent="0.3">
      <c r="A55" s="950" t="s">
        <v>208</v>
      </c>
      <c r="B55" s="951">
        <f>SUM(B45:B54)</f>
        <v>32600</v>
      </c>
      <c r="C55" s="1844"/>
      <c r="D55" s="1845"/>
      <c r="E55" s="951">
        <f>SUM(E45:E54)</f>
        <v>160</v>
      </c>
      <c r="F55" s="951">
        <f>SUM(F45:F54)</f>
        <v>32600</v>
      </c>
      <c r="G55" s="951">
        <f>SUM(G45:G54)</f>
        <v>32600</v>
      </c>
      <c r="H55" s="951">
        <f>SUM(H45:H54)</f>
        <v>0</v>
      </c>
      <c r="I55" s="952"/>
      <c r="J55" s="948">
        <f>SUM(J45:J54)</f>
        <v>21190</v>
      </c>
      <c r="K55" s="948">
        <f>SUM(K45:K54)</f>
        <v>11410</v>
      </c>
      <c r="L55" s="948"/>
      <c r="M55" s="948">
        <f>SUM(M45:M54)</f>
        <v>0</v>
      </c>
      <c r="N55" s="948">
        <f>SUM(N45:N54)</f>
        <v>0</v>
      </c>
      <c r="O55" s="32"/>
      <c r="P55" s="32"/>
      <c r="Q55" s="10"/>
      <c r="R55" s="10"/>
      <c r="S55" s="10"/>
      <c r="T55" s="10"/>
      <c r="U55" s="10"/>
      <c r="V55" s="10"/>
      <c r="W55" s="137"/>
      <c r="X55" s="137"/>
      <c r="Y55" s="137"/>
      <c r="Z55" s="137"/>
      <c r="AA55" s="137"/>
      <c r="AB55" s="137"/>
      <c r="AC55" s="137"/>
      <c r="AD55" s="137"/>
      <c r="AE55" s="137"/>
      <c r="AF55" s="137"/>
      <c r="AG55" s="137"/>
      <c r="AH55" s="137"/>
    </row>
    <row r="56" spans="1:35" ht="17.149999999999999" customHeight="1" x14ac:dyDescent="0.3">
      <c r="A56" s="3"/>
      <c r="B56" s="3"/>
      <c r="C56" s="6"/>
      <c r="D56" s="6"/>
      <c r="E56" s="52"/>
      <c r="F56" s="1520">
        <f>F55</f>
        <v>32600</v>
      </c>
      <c r="G56" s="1846">
        <f>G55+H55</f>
        <v>32600</v>
      </c>
      <c r="H56" s="1847"/>
      <c r="I56" s="43"/>
      <c r="J56" s="1848">
        <f>SUM(J55:K55)</f>
        <v>32600</v>
      </c>
      <c r="K56" s="1848"/>
      <c r="L56" s="43"/>
      <c r="M56" s="1848">
        <f>SUM(M55:N55)</f>
        <v>0</v>
      </c>
      <c r="N56" s="1848"/>
      <c r="O56" s="107"/>
      <c r="P56" s="107"/>
      <c r="Q56" s="43"/>
      <c r="R56" s="43"/>
      <c r="S56" s="43"/>
      <c r="T56" s="43"/>
      <c r="U56" s="43"/>
      <c r="V56" s="43"/>
      <c r="W56" s="137"/>
      <c r="X56" s="137"/>
      <c r="Y56" s="137"/>
      <c r="Z56" s="137"/>
      <c r="AA56" s="137"/>
      <c r="AB56" s="137"/>
      <c r="AC56" s="137"/>
      <c r="AD56" s="137"/>
      <c r="AE56" s="137"/>
      <c r="AF56" s="137"/>
      <c r="AG56" s="137"/>
      <c r="AH56" s="137"/>
    </row>
    <row r="57" spans="1:35" ht="17.149999999999999" customHeight="1" x14ac:dyDescent="0.3">
      <c r="A57" s="950" t="s">
        <v>564</v>
      </c>
      <c r="B57" s="1523">
        <f>'FS_Transport volumes'!B119</f>
        <v>32600</v>
      </c>
      <c r="C57" s="6"/>
      <c r="D57" s="6"/>
      <c r="E57" s="52"/>
      <c r="F57" s="3"/>
      <c r="G57" s="1823" t="str">
        <f>IF(G56=F56,"OK","Not OK")</f>
        <v>OK</v>
      </c>
      <c r="H57" s="1823"/>
      <c r="I57" s="43"/>
      <c r="J57" s="1823" t="str">
        <f>IF(J56=G55,"OK","Not OK")</f>
        <v>OK</v>
      </c>
      <c r="K57" s="1823"/>
      <c r="L57" s="43"/>
      <c r="M57" s="1823" t="str">
        <f>IF(M56=H55,"OK","Not OK")</f>
        <v>OK</v>
      </c>
      <c r="N57" s="1823"/>
      <c r="O57" s="107"/>
      <c r="P57" s="107"/>
      <c r="Q57" s="43"/>
      <c r="R57" s="43"/>
      <c r="S57" s="43"/>
      <c r="T57" s="43"/>
      <c r="U57" s="43"/>
      <c r="V57" s="43"/>
      <c r="W57" s="137"/>
      <c r="X57" s="137"/>
      <c r="Y57" s="137"/>
      <c r="Z57" s="137"/>
      <c r="AA57" s="137"/>
      <c r="AB57" s="137"/>
      <c r="AC57" s="137"/>
      <c r="AD57" s="137"/>
      <c r="AE57" s="137"/>
      <c r="AF57" s="137"/>
      <c r="AG57" s="137"/>
      <c r="AH57" s="137"/>
    </row>
    <row r="58" spans="1:35" ht="17.149999999999999" customHeight="1" x14ac:dyDescent="0.3">
      <c r="A58" s="143" t="s">
        <v>251</v>
      </c>
      <c r="B58" s="1520">
        <f>B57-B55</f>
        <v>0</v>
      </c>
      <c r="C58" s="6"/>
      <c r="D58" s="6"/>
      <c r="E58" s="52"/>
      <c r="F58" s="3"/>
      <c r="G58" s="3"/>
      <c r="H58" s="43"/>
      <c r="I58" s="43"/>
      <c r="J58" s="43"/>
      <c r="K58" s="43"/>
      <c r="L58" s="43"/>
      <c r="M58" s="43"/>
      <c r="N58" s="107"/>
      <c r="O58" s="107"/>
      <c r="P58" s="107"/>
      <c r="Q58" s="107"/>
      <c r="R58" s="107"/>
      <c r="S58" s="107"/>
      <c r="T58" s="107"/>
      <c r="U58" s="107"/>
      <c r="V58" s="107"/>
      <c r="W58" s="137"/>
      <c r="X58" s="137"/>
      <c r="Y58" s="137"/>
      <c r="Z58" s="137"/>
      <c r="AA58" s="137"/>
      <c r="AB58" s="137"/>
      <c r="AC58" s="137"/>
      <c r="AD58" s="137"/>
      <c r="AE58" s="137"/>
      <c r="AF58" s="137"/>
      <c r="AG58" s="137"/>
      <c r="AH58" s="137"/>
    </row>
    <row r="59" spans="1:35" ht="17.149999999999999" customHeight="1" x14ac:dyDescent="0.3">
      <c r="A59" s="3"/>
      <c r="B59" s="1519" t="str">
        <f>IF(B58=0,"OK","Not OK")</f>
        <v>OK</v>
      </c>
      <c r="C59" s="6"/>
      <c r="D59" s="6"/>
      <c r="E59" s="52"/>
      <c r="F59" s="3"/>
      <c r="G59" s="3"/>
      <c r="H59" s="43"/>
      <c r="I59" s="43"/>
      <c r="J59" s="43"/>
      <c r="K59" s="43"/>
      <c r="L59" s="43"/>
      <c r="M59" s="43"/>
      <c r="N59" s="107"/>
      <c r="O59" s="107"/>
      <c r="P59" s="107"/>
      <c r="Q59" s="107"/>
      <c r="R59" s="107"/>
      <c r="S59" s="107"/>
      <c r="T59" s="107"/>
      <c r="U59" s="107"/>
      <c r="V59" s="107"/>
      <c r="W59" s="137"/>
      <c r="X59" s="137"/>
      <c r="Y59" s="137"/>
      <c r="Z59" s="137"/>
      <c r="AA59" s="137"/>
      <c r="AB59" s="137"/>
      <c r="AC59" s="137"/>
      <c r="AD59" s="137"/>
      <c r="AE59" s="137"/>
      <c r="AF59" s="137"/>
      <c r="AG59" s="137"/>
      <c r="AH59" s="137"/>
    </row>
    <row r="60" spans="1:35" ht="17.149999999999999" customHeight="1" x14ac:dyDescent="0.35">
      <c r="A60" s="3"/>
      <c r="B60" s="3"/>
      <c r="C60" s="3"/>
      <c r="D60" s="3"/>
      <c r="E60" s="3"/>
      <c r="F60" s="3"/>
      <c r="G60" s="3"/>
      <c r="H60" s="3"/>
      <c r="I60" s="3"/>
      <c r="J60" s="107"/>
      <c r="K60" s="3"/>
    </row>
    <row r="61" spans="1:35" ht="17.149999999999999" customHeight="1" x14ac:dyDescent="0.35">
      <c r="A61" s="3"/>
      <c r="B61" s="3"/>
      <c r="C61" s="3"/>
      <c r="D61" s="3"/>
      <c r="E61" s="3"/>
      <c r="F61" s="3"/>
      <c r="G61" s="3"/>
      <c r="H61" s="3"/>
      <c r="I61" s="3"/>
      <c r="J61" s="107"/>
      <c r="K61" s="3"/>
    </row>
    <row r="62" spans="1:35" ht="17.149999999999999" customHeight="1" x14ac:dyDescent="0.3">
      <c r="A62" s="949" t="s">
        <v>1186</v>
      </c>
      <c r="B62" s="1506" t="s">
        <v>9</v>
      </c>
      <c r="C62" s="6"/>
      <c r="D62" s="6"/>
      <c r="E62" s="52"/>
      <c r="F62" s="3"/>
      <c r="G62" s="3"/>
      <c r="H62" s="43"/>
      <c r="I62" s="43"/>
      <c r="J62" s="43"/>
      <c r="K62" s="43"/>
      <c r="L62" s="43"/>
      <c r="M62" s="43"/>
      <c r="N62" s="107"/>
      <c r="O62" s="107"/>
      <c r="P62" s="107"/>
      <c r="Q62" s="107"/>
      <c r="R62" s="107"/>
      <c r="S62" s="107"/>
      <c r="T62" s="107"/>
      <c r="U62" s="107"/>
      <c r="V62" s="107"/>
      <c r="W62" s="137"/>
      <c r="X62" s="137"/>
      <c r="Y62" s="137"/>
      <c r="Z62" s="137"/>
      <c r="AA62" s="137"/>
      <c r="AB62" s="137"/>
      <c r="AC62" s="137"/>
      <c r="AD62" s="137"/>
      <c r="AE62" s="137"/>
      <c r="AF62" s="137"/>
      <c r="AG62" s="137"/>
      <c r="AH62" s="137"/>
    </row>
    <row r="63" spans="1:35" ht="17.149999999999999" customHeight="1" x14ac:dyDescent="0.3">
      <c r="A63" s="3"/>
      <c r="B63" s="3"/>
      <c r="C63" s="6"/>
      <c r="D63" s="6"/>
      <c r="E63" s="52"/>
      <c r="F63" s="3"/>
      <c r="G63" s="3"/>
      <c r="H63" s="43"/>
      <c r="I63" s="43"/>
      <c r="J63" s="43"/>
      <c r="K63" s="43"/>
      <c r="L63" s="43"/>
      <c r="M63" s="43"/>
      <c r="N63" s="107"/>
      <c r="O63" s="107"/>
      <c r="P63" s="107"/>
      <c r="Q63" s="107"/>
      <c r="R63" s="107"/>
      <c r="S63" s="107"/>
      <c r="T63" s="107"/>
      <c r="U63" s="107"/>
      <c r="V63" s="107"/>
      <c r="W63" s="137"/>
      <c r="X63" s="137"/>
      <c r="Y63" s="137"/>
      <c r="Z63" s="137"/>
      <c r="AA63" s="137"/>
      <c r="AB63" s="137"/>
      <c r="AC63" s="137"/>
      <c r="AD63" s="137"/>
      <c r="AE63" s="137"/>
      <c r="AF63" s="137"/>
      <c r="AG63" s="137"/>
      <c r="AH63" s="137"/>
    </row>
    <row r="64" spans="1:35" s="11" customFormat="1" ht="17.149999999999999" customHeight="1" x14ac:dyDescent="0.3">
      <c r="A64" s="1808" t="s">
        <v>568</v>
      </c>
      <c r="B64" s="1764" t="s">
        <v>1105</v>
      </c>
      <c r="C64" s="1836" t="s">
        <v>516</v>
      </c>
      <c r="D64" s="1837"/>
      <c r="E64" s="1808" t="s">
        <v>569</v>
      </c>
      <c r="F64" s="1808" t="s">
        <v>1106</v>
      </c>
      <c r="G64" s="1784" t="s">
        <v>518</v>
      </c>
      <c r="H64" s="1784"/>
      <c r="I64" s="1808" t="s">
        <v>519</v>
      </c>
      <c r="J64" s="1808" t="s">
        <v>1107</v>
      </c>
      <c r="K64" s="1808" t="s">
        <v>510</v>
      </c>
      <c r="L64" s="1808" t="s">
        <v>520</v>
      </c>
      <c r="M64" s="1808" t="s">
        <v>1108</v>
      </c>
      <c r="N64" s="1808" t="s">
        <v>512</v>
      </c>
      <c r="O64" s="198"/>
      <c r="P64" s="198"/>
      <c r="Q64" s="198"/>
      <c r="R64" s="198"/>
      <c r="S64" s="198"/>
      <c r="T64" s="198"/>
      <c r="U64" s="198"/>
      <c r="V64" s="198"/>
      <c r="W64" s="137"/>
      <c r="X64" s="137"/>
      <c r="Y64" s="137"/>
      <c r="Z64" s="137"/>
      <c r="AA64" s="137"/>
      <c r="AB64" s="137"/>
      <c r="AC64" s="137"/>
      <c r="AD64" s="137"/>
      <c r="AE64" s="137"/>
      <c r="AF64" s="137"/>
      <c r="AG64" s="137"/>
      <c r="AH64" s="137"/>
    </row>
    <row r="65" spans="1:35" s="11" customFormat="1" ht="45" customHeight="1" x14ac:dyDescent="0.3">
      <c r="A65" s="1808"/>
      <c r="B65" s="1766"/>
      <c r="C65" s="1838"/>
      <c r="D65" s="1839"/>
      <c r="E65" s="1808"/>
      <c r="F65" s="1808"/>
      <c r="G65" s="1511" t="s">
        <v>523</v>
      </c>
      <c r="H65" s="1511" t="s">
        <v>524</v>
      </c>
      <c r="I65" s="1808"/>
      <c r="J65" s="1808"/>
      <c r="K65" s="1808"/>
      <c r="L65" s="1808"/>
      <c r="M65" s="1808"/>
      <c r="N65" s="1808"/>
      <c r="O65" s="198"/>
      <c r="P65" s="198"/>
      <c r="Q65" s="198"/>
      <c r="R65" s="198"/>
      <c r="S65" s="198"/>
      <c r="T65" s="198"/>
      <c r="U65" s="198"/>
      <c r="V65" s="198"/>
      <c r="W65" s="137"/>
      <c r="X65" s="137"/>
      <c r="Y65" s="137"/>
      <c r="Z65" s="137"/>
      <c r="AA65" s="137"/>
      <c r="AB65" s="137"/>
      <c r="AC65" s="137"/>
      <c r="AD65" s="137"/>
      <c r="AE65" s="137"/>
      <c r="AF65" s="137"/>
      <c r="AG65" s="137"/>
      <c r="AH65" s="137"/>
      <c r="AI65" s="11" t="s">
        <v>541</v>
      </c>
    </row>
    <row r="66" spans="1:35" s="315" customFormat="1" ht="13" x14ac:dyDescent="0.3">
      <c r="A66" s="310"/>
      <c r="B66" s="311"/>
      <c r="C66" s="312"/>
      <c r="D66" s="313"/>
      <c r="E66" s="310"/>
      <c r="F66" s="310"/>
      <c r="G66" s="310"/>
      <c r="H66" s="310"/>
      <c r="I66" s="310"/>
      <c r="J66" s="310"/>
      <c r="K66" s="310"/>
      <c r="L66" s="310"/>
      <c r="M66" s="310"/>
      <c r="N66" s="310"/>
      <c r="O66" s="318"/>
      <c r="P66" s="318"/>
      <c r="Q66" s="318"/>
      <c r="R66" s="318"/>
      <c r="S66" s="318"/>
      <c r="T66" s="318"/>
      <c r="U66" s="318"/>
      <c r="V66" s="318"/>
      <c r="W66" s="954"/>
      <c r="X66" s="954"/>
      <c r="Y66" s="954"/>
      <c r="Z66" s="954"/>
      <c r="AA66" s="954"/>
      <c r="AB66" s="954"/>
      <c r="AC66" s="954"/>
      <c r="AD66" s="954"/>
      <c r="AE66" s="954"/>
      <c r="AF66" s="954"/>
      <c r="AG66" s="954"/>
      <c r="AH66" s="954"/>
    </row>
    <row r="67" spans="1:35" s="60" customFormat="1" ht="17.149999999999999" customHeight="1" x14ac:dyDescent="0.3">
      <c r="A67" s="953" t="str">
        <f>'Treatment Sludge_NO INPUTS'!B53</f>
        <v>Location 1 [insert name]</v>
      </c>
      <c r="B67" s="1522">
        <f>'Treatment Sludge_NO INPUTS'!C53</f>
        <v>0</v>
      </c>
      <c r="C67" s="1857">
        <f>'Treatment Sludge_NO INPUTS'!D53</f>
        <v>0</v>
      </c>
      <c r="D67" s="1858"/>
      <c r="E67" s="1522">
        <f>'Treatment Sludge_NO INPUTS'!F53</f>
        <v>0</v>
      </c>
      <c r="F67" s="1522">
        <f t="shared" ref="F67:F72" si="10">B67</f>
        <v>0</v>
      </c>
      <c r="G67" s="153">
        <f>'Treatment Sludge_NO INPUTS'!G53</f>
        <v>0</v>
      </c>
      <c r="H67" s="153">
        <f>'Treatment Sludge_NO INPUTS'!H53</f>
        <v>0</v>
      </c>
      <c r="I67" s="153">
        <f>'Treatment Sludge_NO INPUTS'!I53</f>
        <v>0</v>
      </c>
      <c r="J67" s="947">
        <f t="shared" ref="J67:J72" si="11">IF(I67=0,0,IF(I67="NO",G67,IF(I67="YES",0)))</f>
        <v>0</v>
      </c>
      <c r="K67" s="947">
        <f t="shared" ref="K67:K72" si="12">IF(I67=0,0,IF(I67="YES",G67,IF(I67="NO",0)))</f>
        <v>0</v>
      </c>
      <c r="L67" s="153">
        <f>'Treatment Sludge_NO INPUTS'!J53</f>
        <v>0</v>
      </c>
      <c r="M67" s="947">
        <f t="shared" ref="M67:M72" si="13">IF(L67=0,0,IF(L67="NO",H67,IF(L67="YES",0)))</f>
        <v>0</v>
      </c>
      <c r="N67" s="947">
        <f t="shared" ref="N67:N72" si="14">IF(L67=0,0,IF(L67="YES",H67,IF(L67="NO",0)))</f>
        <v>0</v>
      </c>
      <c r="O67" s="319"/>
      <c r="P67" s="319"/>
      <c r="Q67" s="319"/>
      <c r="R67" s="319"/>
      <c r="S67" s="319"/>
      <c r="T67" s="319"/>
      <c r="U67" s="319"/>
      <c r="V67" s="319"/>
      <c r="W67" s="954"/>
      <c r="X67" s="954"/>
      <c r="Y67" s="954"/>
      <c r="Z67" s="954"/>
      <c r="AA67" s="954"/>
      <c r="AB67" s="954"/>
      <c r="AC67" s="954"/>
      <c r="AD67" s="954"/>
      <c r="AE67" s="954"/>
      <c r="AF67" s="954"/>
      <c r="AG67" s="954"/>
      <c r="AH67" s="954"/>
      <c r="AI67" s="955" t="s">
        <v>542</v>
      </c>
    </row>
    <row r="68" spans="1:35" s="60" customFormat="1" ht="17.149999999999999" customHeight="1" x14ac:dyDescent="0.3">
      <c r="A68" s="953" t="str">
        <f>'Treatment Sludge_NO INPUTS'!B54</f>
        <v>Location 2 [insert name]</v>
      </c>
      <c r="B68" s="1522">
        <f>'Treatment Sludge_NO INPUTS'!C54</f>
        <v>0</v>
      </c>
      <c r="C68" s="1857">
        <f>'Treatment Sludge_NO INPUTS'!D54</f>
        <v>0</v>
      </c>
      <c r="D68" s="1858"/>
      <c r="E68" s="1522">
        <f>'Treatment Sludge_NO INPUTS'!F54</f>
        <v>0</v>
      </c>
      <c r="F68" s="1522">
        <f t="shared" si="10"/>
        <v>0</v>
      </c>
      <c r="G68" s="153">
        <f>'Treatment Sludge_NO INPUTS'!G54</f>
        <v>0</v>
      </c>
      <c r="H68" s="153">
        <f>'Treatment Sludge_NO INPUTS'!H54</f>
        <v>0</v>
      </c>
      <c r="I68" s="153">
        <f>'Treatment Sludge_NO INPUTS'!I54</f>
        <v>0</v>
      </c>
      <c r="J68" s="947">
        <f t="shared" si="11"/>
        <v>0</v>
      </c>
      <c r="K68" s="947">
        <f t="shared" si="12"/>
        <v>0</v>
      </c>
      <c r="L68" s="153">
        <f>'Treatment Sludge_NO INPUTS'!J54</f>
        <v>0</v>
      </c>
      <c r="M68" s="947">
        <f t="shared" si="13"/>
        <v>0</v>
      </c>
      <c r="N68" s="947">
        <f t="shared" si="14"/>
        <v>0</v>
      </c>
      <c r="O68" s="319"/>
      <c r="P68" s="319"/>
      <c r="Q68" s="319"/>
      <c r="R68" s="319"/>
      <c r="S68" s="319"/>
      <c r="T68" s="319"/>
      <c r="U68" s="319"/>
      <c r="V68" s="319"/>
      <c r="W68" s="954"/>
      <c r="X68" s="954"/>
      <c r="Y68" s="954"/>
      <c r="Z68" s="954"/>
      <c r="AA68" s="954"/>
      <c r="AB68" s="954"/>
      <c r="AC68" s="954"/>
      <c r="AD68" s="954"/>
      <c r="AE68" s="954"/>
      <c r="AF68" s="954"/>
      <c r="AG68" s="954"/>
      <c r="AH68" s="954"/>
      <c r="AI68" s="955" t="s">
        <v>542</v>
      </c>
    </row>
    <row r="69" spans="1:35" s="60" customFormat="1" ht="17.149999999999999" customHeight="1" x14ac:dyDescent="0.3">
      <c r="A69" s="953" t="str">
        <f>'Treatment Sludge_NO INPUTS'!B55</f>
        <v>Location 3 [insert name]</v>
      </c>
      <c r="B69" s="1522">
        <f>'Treatment Sludge_NO INPUTS'!C55</f>
        <v>0</v>
      </c>
      <c r="C69" s="1857">
        <f>'Treatment Sludge_NO INPUTS'!D55</f>
        <v>0</v>
      </c>
      <c r="D69" s="1858"/>
      <c r="E69" s="1522">
        <f>'Treatment Sludge_NO INPUTS'!F55</f>
        <v>0</v>
      </c>
      <c r="F69" s="1522">
        <f t="shared" si="10"/>
        <v>0</v>
      </c>
      <c r="G69" s="153">
        <f>'Treatment Sludge_NO INPUTS'!G55</f>
        <v>0</v>
      </c>
      <c r="H69" s="153">
        <f>'Treatment Sludge_NO INPUTS'!H55</f>
        <v>0</v>
      </c>
      <c r="I69" s="153">
        <f>'Treatment Sludge_NO INPUTS'!I55</f>
        <v>0</v>
      </c>
      <c r="J69" s="947">
        <f t="shared" si="11"/>
        <v>0</v>
      </c>
      <c r="K69" s="947">
        <f t="shared" si="12"/>
        <v>0</v>
      </c>
      <c r="L69" s="153">
        <f>'Treatment Sludge_NO INPUTS'!J55</f>
        <v>0</v>
      </c>
      <c r="M69" s="947">
        <f t="shared" si="13"/>
        <v>0</v>
      </c>
      <c r="N69" s="947">
        <f t="shared" si="14"/>
        <v>0</v>
      </c>
      <c r="O69" s="319"/>
      <c r="P69" s="319"/>
      <c r="Q69" s="319"/>
      <c r="R69" s="319"/>
      <c r="S69" s="319"/>
      <c r="T69" s="319"/>
      <c r="U69" s="319"/>
      <c r="V69" s="319"/>
      <c r="W69" s="954"/>
      <c r="X69" s="954"/>
      <c r="Y69" s="954"/>
      <c r="Z69" s="954"/>
      <c r="AA69" s="954"/>
      <c r="AB69" s="954"/>
      <c r="AC69" s="954"/>
      <c r="AD69" s="954"/>
      <c r="AE69" s="954"/>
      <c r="AF69" s="954"/>
      <c r="AG69" s="954"/>
      <c r="AH69" s="954"/>
      <c r="AI69" s="955" t="s">
        <v>542</v>
      </c>
    </row>
    <row r="70" spans="1:35" s="60" customFormat="1" ht="17.149999999999999" customHeight="1" x14ac:dyDescent="0.3">
      <c r="A70" s="953" t="str">
        <f>'Treatment Sludge_NO INPUTS'!B56</f>
        <v>Location 4 [insert name]</v>
      </c>
      <c r="B70" s="1522">
        <f>'Treatment Sludge_NO INPUTS'!C56</f>
        <v>0</v>
      </c>
      <c r="C70" s="1857">
        <f>'Treatment Sludge_NO INPUTS'!D56</f>
        <v>0</v>
      </c>
      <c r="D70" s="1858"/>
      <c r="E70" s="1522">
        <f>'Treatment Sludge_NO INPUTS'!F56</f>
        <v>0</v>
      </c>
      <c r="F70" s="1522">
        <f t="shared" si="10"/>
        <v>0</v>
      </c>
      <c r="G70" s="153">
        <f>'Treatment Sludge_NO INPUTS'!G56</f>
        <v>0</v>
      </c>
      <c r="H70" s="153">
        <f>'Treatment Sludge_NO INPUTS'!H56</f>
        <v>0</v>
      </c>
      <c r="I70" s="153">
        <f>'Treatment Sludge_NO INPUTS'!I56</f>
        <v>0</v>
      </c>
      <c r="J70" s="947">
        <f t="shared" si="11"/>
        <v>0</v>
      </c>
      <c r="K70" s="947">
        <f t="shared" si="12"/>
        <v>0</v>
      </c>
      <c r="L70" s="153">
        <f>'Treatment Sludge_NO INPUTS'!J56</f>
        <v>0</v>
      </c>
      <c r="M70" s="947">
        <f t="shared" si="13"/>
        <v>0</v>
      </c>
      <c r="N70" s="947">
        <f t="shared" si="14"/>
        <v>0</v>
      </c>
      <c r="O70" s="319"/>
      <c r="P70" s="319"/>
      <c r="Q70" s="319"/>
      <c r="R70" s="319"/>
      <c r="S70" s="319"/>
      <c r="T70" s="319"/>
      <c r="U70" s="319"/>
      <c r="V70" s="319"/>
      <c r="W70" s="954"/>
      <c r="X70" s="954"/>
      <c r="Y70" s="954"/>
      <c r="Z70" s="954"/>
      <c r="AA70" s="954"/>
      <c r="AB70" s="954"/>
      <c r="AC70" s="954"/>
      <c r="AD70" s="954"/>
      <c r="AE70" s="954"/>
      <c r="AF70" s="954"/>
      <c r="AG70" s="954"/>
      <c r="AH70" s="954"/>
      <c r="AI70" s="955" t="s">
        <v>542</v>
      </c>
    </row>
    <row r="71" spans="1:35" s="60" customFormat="1" ht="17.149999999999999" customHeight="1" x14ac:dyDescent="0.3">
      <c r="A71" s="953" t="str">
        <f>'Treatment Sludge_NO INPUTS'!B57</f>
        <v>Location 5 [insert name]</v>
      </c>
      <c r="B71" s="1522">
        <f>'Treatment Sludge_NO INPUTS'!C57</f>
        <v>0</v>
      </c>
      <c r="C71" s="1857">
        <f>'Treatment Sludge_NO INPUTS'!D57</f>
        <v>0</v>
      </c>
      <c r="D71" s="1858"/>
      <c r="E71" s="1522">
        <f>'Treatment Sludge_NO INPUTS'!F57</f>
        <v>0</v>
      </c>
      <c r="F71" s="1522">
        <f t="shared" si="10"/>
        <v>0</v>
      </c>
      <c r="G71" s="153">
        <f>'Treatment Sludge_NO INPUTS'!G57</f>
        <v>0</v>
      </c>
      <c r="H71" s="153">
        <f>'Treatment Sludge_NO INPUTS'!H57</f>
        <v>0</v>
      </c>
      <c r="I71" s="153">
        <f>'Treatment Sludge_NO INPUTS'!I57</f>
        <v>0</v>
      </c>
      <c r="J71" s="947">
        <f t="shared" si="11"/>
        <v>0</v>
      </c>
      <c r="K71" s="947">
        <f t="shared" si="12"/>
        <v>0</v>
      </c>
      <c r="L71" s="153">
        <f>'Treatment Sludge_NO INPUTS'!J57</f>
        <v>0</v>
      </c>
      <c r="M71" s="947">
        <f t="shared" si="13"/>
        <v>0</v>
      </c>
      <c r="N71" s="947">
        <f t="shared" si="14"/>
        <v>0</v>
      </c>
      <c r="O71" s="319"/>
      <c r="P71" s="319"/>
      <c r="Q71" s="319"/>
      <c r="R71" s="319"/>
      <c r="S71" s="319"/>
      <c r="T71" s="319"/>
      <c r="U71" s="319"/>
      <c r="V71" s="319"/>
      <c r="W71" s="954"/>
      <c r="X71" s="954"/>
      <c r="Y71" s="954"/>
      <c r="Z71" s="954"/>
      <c r="AA71" s="954"/>
      <c r="AB71" s="954"/>
      <c r="AC71" s="954"/>
      <c r="AD71" s="954"/>
      <c r="AE71" s="954"/>
      <c r="AF71" s="954"/>
      <c r="AG71" s="954"/>
      <c r="AH71" s="954"/>
      <c r="AI71" s="955" t="s">
        <v>542</v>
      </c>
    </row>
    <row r="72" spans="1:35" s="60" customFormat="1" ht="17.149999999999999" customHeight="1" x14ac:dyDescent="0.3">
      <c r="A72" s="953" t="str">
        <f>'Treatment Sludge_NO INPUTS'!B58</f>
        <v>Location 6 [insert name]</v>
      </c>
      <c r="B72" s="1522">
        <f>'Treatment Sludge_NO INPUTS'!C58</f>
        <v>0</v>
      </c>
      <c r="C72" s="1857">
        <f>'Treatment Sludge_NO INPUTS'!D58</f>
        <v>0</v>
      </c>
      <c r="D72" s="1858"/>
      <c r="E72" s="1522">
        <f>'Treatment Sludge_NO INPUTS'!F58</f>
        <v>0</v>
      </c>
      <c r="F72" s="1522">
        <f t="shared" si="10"/>
        <v>0</v>
      </c>
      <c r="G72" s="153">
        <f>'Treatment Sludge_NO INPUTS'!G58</f>
        <v>0</v>
      </c>
      <c r="H72" s="153">
        <f>'Treatment Sludge_NO INPUTS'!H58</f>
        <v>0</v>
      </c>
      <c r="I72" s="153">
        <f>'Treatment Sludge_NO INPUTS'!I58</f>
        <v>0</v>
      </c>
      <c r="J72" s="947">
        <f t="shared" si="11"/>
        <v>0</v>
      </c>
      <c r="K72" s="947">
        <f t="shared" si="12"/>
        <v>0</v>
      </c>
      <c r="L72" s="153">
        <f>'Treatment Sludge_NO INPUTS'!J58</f>
        <v>0</v>
      </c>
      <c r="M72" s="947">
        <f t="shared" si="13"/>
        <v>0</v>
      </c>
      <c r="N72" s="947">
        <f t="shared" si="14"/>
        <v>0</v>
      </c>
      <c r="O72" s="319"/>
      <c r="P72" s="319"/>
      <c r="Q72" s="319"/>
      <c r="R72" s="319"/>
      <c r="S72" s="319"/>
      <c r="T72" s="319"/>
      <c r="U72" s="319"/>
      <c r="V72" s="319"/>
      <c r="W72" s="954"/>
      <c r="X72" s="954"/>
      <c r="Y72" s="954"/>
      <c r="Z72" s="954"/>
      <c r="AA72" s="954"/>
      <c r="AB72" s="954"/>
      <c r="AC72" s="954"/>
      <c r="AD72" s="954"/>
      <c r="AE72" s="954"/>
      <c r="AF72" s="954"/>
      <c r="AG72" s="954"/>
      <c r="AH72" s="954"/>
      <c r="AI72" s="955" t="s">
        <v>542</v>
      </c>
    </row>
    <row r="73" spans="1:35" s="12" customFormat="1" ht="17.149999999999999" customHeight="1" x14ac:dyDescent="0.3">
      <c r="A73" s="950" t="s">
        <v>208</v>
      </c>
      <c r="B73" s="951">
        <f>SUM(B67:B72)</f>
        <v>0</v>
      </c>
      <c r="C73" s="1844"/>
      <c r="D73" s="1845"/>
      <c r="E73" s="951">
        <f>SUM(E67:E72)</f>
        <v>0</v>
      </c>
      <c r="F73" s="951">
        <f>SUM(F67:F72)</f>
        <v>0</v>
      </c>
      <c r="G73" s="951">
        <f>SUM(G67:G72)</f>
        <v>0</v>
      </c>
      <c r="H73" s="951">
        <f>SUM(H67:H72)</f>
        <v>0</v>
      </c>
      <c r="I73" s="952"/>
      <c r="J73" s="948">
        <f>SUM(J67:J72)</f>
        <v>0</v>
      </c>
      <c r="K73" s="948">
        <f>SUM(K67:K72)</f>
        <v>0</v>
      </c>
      <c r="L73" s="948"/>
      <c r="M73" s="948">
        <f>SUM(M67:M72)</f>
        <v>0</v>
      </c>
      <c r="N73" s="948">
        <f>SUM(N67:N72)</f>
        <v>0</v>
      </c>
      <c r="O73" s="32"/>
      <c r="P73" s="32"/>
      <c r="Q73" s="32"/>
      <c r="R73" s="32"/>
      <c r="S73" s="32"/>
      <c r="T73" s="32"/>
      <c r="U73" s="32"/>
      <c r="V73" s="32"/>
      <c r="W73" s="137"/>
      <c r="X73" s="137"/>
      <c r="Y73" s="137"/>
      <c r="Z73" s="137"/>
      <c r="AA73" s="137"/>
      <c r="AB73" s="137"/>
      <c r="AC73" s="137"/>
      <c r="AD73" s="137"/>
      <c r="AE73" s="137"/>
      <c r="AF73" s="137"/>
      <c r="AG73" s="137"/>
      <c r="AH73" s="137"/>
    </row>
    <row r="74" spans="1:35" ht="17.149999999999999" customHeight="1" x14ac:dyDescent="0.3">
      <c r="A74" s="3"/>
      <c r="B74" s="3"/>
      <c r="C74" s="6"/>
      <c r="D74" s="6"/>
      <c r="E74" s="52"/>
      <c r="F74" s="1520">
        <f>F73</f>
        <v>0</v>
      </c>
      <c r="G74" s="1846">
        <f>G73+H73</f>
        <v>0</v>
      </c>
      <c r="H74" s="1847"/>
      <c r="I74" s="43"/>
      <c r="J74" s="1848">
        <f>SUM(J73:K73)</f>
        <v>0</v>
      </c>
      <c r="K74" s="1848"/>
      <c r="L74" s="43"/>
      <c r="M74" s="1848">
        <f>SUM(M73:N73)</f>
        <v>0</v>
      </c>
      <c r="N74" s="1848"/>
      <c r="O74" s="107"/>
      <c r="P74" s="107"/>
      <c r="Q74" s="107"/>
      <c r="R74" s="107"/>
      <c r="S74" s="107"/>
      <c r="T74" s="107"/>
      <c r="U74" s="107"/>
      <c r="V74" s="107"/>
      <c r="W74" s="137"/>
      <c r="X74" s="137"/>
      <c r="Y74" s="137"/>
      <c r="Z74" s="137"/>
      <c r="AA74" s="137"/>
      <c r="AB74" s="137"/>
      <c r="AC74" s="137"/>
      <c r="AD74" s="137"/>
      <c r="AE74" s="137"/>
      <c r="AF74" s="137"/>
      <c r="AG74" s="137"/>
      <c r="AH74" s="137"/>
    </row>
    <row r="75" spans="1:35" ht="17.149999999999999" customHeight="1" x14ac:dyDescent="0.3">
      <c r="A75" s="950" t="s">
        <v>591</v>
      </c>
      <c r="B75" s="1523">
        <f>'FS_Transport volumes'!B120</f>
        <v>0</v>
      </c>
      <c r="C75" s="6"/>
      <c r="D75" s="6"/>
      <c r="E75" s="52"/>
      <c r="F75" s="3"/>
      <c r="G75" s="1823" t="str">
        <f>IF(G74=F74,"OK","Not OK")</f>
        <v>OK</v>
      </c>
      <c r="H75" s="1823"/>
      <c r="I75" s="43"/>
      <c r="J75" s="1823" t="str">
        <f>IF(J74=G73,"OK","Not OK")</f>
        <v>OK</v>
      </c>
      <c r="K75" s="1823"/>
      <c r="L75" s="43"/>
      <c r="M75" s="1823" t="str">
        <f>IF(M74=H73,"OK","Not OK")</f>
        <v>OK</v>
      </c>
      <c r="N75" s="1823"/>
      <c r="O75" s="107"/>
      <c r="P75" s="107"/>
      <c r="Q75" s="107"/>
      <c r="R75" s="107"/>
      <c r="S75" s="107"/>
      <c r="T75" s="107"/>
      <c r="U75" s="107"/>
      <c r="V75" s="107"/>
      <c r="W75" s="137"/>
      <c r="X75" s="137"/>
      <c r="Y75" s="137"/>
      <c r="Z75" s="137"/>
      <c r="AA75" s="137"/>
      <c r="AB75" s="137"/>
      <c r="AC75" s="137"/>
      <c r="AD75" s="137"/>
      <c r="AE75" s="137"/>
      <c r="AF75" s="137"/>
      <c r="AG75" s="137"/>
      <c r="AH75" s="137"/>
    </row>
    <row r="76" spans="1:35" ht="17.149999999999999" customHeight="1" x14ac:dyDescent="0.3">
      <c r="A76" s="143" t="s">
        <v>251</v>
      </c>
      <c r="B76" s="1520">
        <f>B75-B73</f>
        <v>0</v>
      </c>
      <c r="C76" s="6"/>
      <c r="D76" s="6"/>
      <c r="E76" s="52"/>
      <c r="F76" s="3"/>
      <c r="G76" s="3"/>
      <c r="H76" s="43"/>
      <c r="I76" s="43"/>
      <c r="J76" s="43"/>
      <c r="K76" s="43"/>
      <c r="L76" s="43"/>
      <c r="M76" s="43"/>
      <c r="N76" s="107"/>
      <c r="O76" s="107"/>
      <c r="P76" s="107"/>
      <c r="Q76" s="107"/>
      <c r="R76" s="107"/>
      <c r="S76" s="107"/>
      <c r="T76" s="107"/>
      <c r="U76" s="107"/>
      <c r="V76" s="107"/>
      <c r="W76" s="137"/>
      <c r="X76" s="137"/>
      <c r="Y76" s="137"/>
      <c r="Z76" s="137"/>
      <c r="AA76" s="137"/>
      <c r="AB76" s="137"/>
      <c r="AC76" s="137"/>
      <c r="AD76" s="137"/>
      <c r="AE76" s="137"/>
      <c r="AF76" s="137"/>
      <c r="AG76" s="137"/>
      <c r="AH76" s="137"/>
    </row>
    <row r="77" spans="1:35" ht="17.149999999999999" customHeight="1" x14ac:dyDescent="0.3">
      <c r="A77" s="3"/>
      <c r="B77" s="1519" t="str">
        <f>IF(B76=0,"OK","Not OK")</f>
        <v>OK</v>
      </c>
      <c r="C77" s="6"/>
      <c r="D77" s="6"/>
      <c r="E77" s="52"/>
      <c r="F77" s="3"/>
      <c r="G77" s="3"/>
      <c r="H77" s="43"/>
      <c r="I77" s="43"/>
      <c r="J77" s="43"/>
      <c r="K77" s="43"/>
      <c r="L77" s="43"/>
      <c r="M77" s="43"/>
      <c r="N77" s="107"/>
      <c r="O77" s="107"/>
      <c r="P77" s="107"/>
      <c r="Q77" s="107"/>
      <c r="R77" s="107"/>
      <c r="S77" s="107"/>
      <c r="T77" s="107"/>
      <c r="U77" s="107"/>
      <c r="V77" s="107"/>
      <c r="W77" s="137"/>
      <c r="X77" s="137"/>
      <c r="Y77" s="137"/>
      <c r="Z77" s="137"/>
      <c r="AA77" s="137"/>
      <c r="AB77" s="137"/>
      <c r="AC77" s="137"/>
      <c r="AD77" s="137"/>
      <c r="AE77" s="137"/>
      <c r="AF77" s="137"/>
      <c r="AG77" s="137"/>
      <c r="AH77" s="137"/>
    </row>
    <row r="78" spans="1:35" ht="17.149999999999999" customHeight="1" x14ac:dyDescent="0.3">
      <c r="A78" s="3"/>
      <c r="B78" s="3"/>
      <c r="C78" s="6"/>
      <c r="D78" s="6"/>
      <c r="E78" s="52"/>
      <c r="F78" s="3"/>
      <c r="G78" s="3"/>
      <c r="H78" s="43"/>
      <c r="I78" s="43"/>
      <c r="J78" s="43"/>
      <c r="K78" s="43"/>
      <c r="L78" s="43"/>
      <c r="M78" s="43"/>
      <c r="N78" s="107"/>
      <c r="O78" s="107"/>
      <c r="P78" s="107"/>
      <c r="Q78" s="107"/>
      <c r="R78" s="107"/>
      <c r="S78" s="107"/>
      <c r="T78" s="107"/>
      <c r="U78" s="107"/>
      <c r="V78" s="107"/>
      <c r="W78" s="137"/>
      <c r="X78" s="137"/>
      <c r="Y78" s="137"/>
      <c r="Z78" s="137"/>
      <c r="AA78" s="137"/>
      <c r="AB78" s="137"/>
      <c r="AC78" s="137"/>
      <c r="AD78" s="137"/>
      <c r="AE78" s="137"/>
      <c r="AF78" s="137"/>
      <c r="AG78" s="137"/>
      <c r="AH78" s="137"/>
    </row>
    <row r="79" spans="1:35" ht="17.149999999999999" customHeight="1" x14ac:dyDescent="0.3">
      <c r="A79" s="3"/>
      <c r="B79" s="3"/>
      <c r="C79" s="6"/>
      <c r="D79" s="6"/>
      <c r="E79" s="52"/>
      <c r="F79" s="3"/>
      <c r="G79" s="3"/>
      <c r="H79" s="43"/>
      <c r="I79" s="43"/>
      <c r="J79" s="43"/>
      <c r="K79" s="43"/>
      <c r="L79" s="43"/>
      <c r="M79" s="43"/>
      <c r="N79" s="107"/>
      <c r="O79" s="107"/>
      <c r="P79" s="107"/>
      <c r="Q79" s="107"/>
      <c r="R79" s="107"/>
      <c r="S79" s="107"/>
      <c r="T79" s="107"/>
      <c r="U79" s="107"/>
      <c r="V79" s="107"/>
      <c r="W79" s="137"/>
      <c r="X79" s="137"/>
      <c r="Y79" s="137"/>
      <c r="Z79" s="137"/>
      <c r="AA79" s="137"/>
      <c r="AB79" s="137"/>
      <c r="AC79" s="137"/>
      <c r="AD79" s="137"/>
      <c r="AE79" s="137"/>
      <c r="AF79" s="137"/>
      <c r="AG79" s="137"/>
      <c r="AH79" s="137"/>
    </row>
    <row r="80" spans="1:35" ht="17.149999999999999" customHeight="1" x14ac:dyDescent="0.3">
      <c r="A80" s="949" t="s">
        <v>1187</v>
      </c>
      <c r="B80" s="1506" t="s">
        <v>9</v>
      </c>
      <c r="C80" s="6"/>
      <c r="D80" s="6"/>
      <c r="E80" s="52"/>
      <c r="F80" s="3"/>
      <c r="G80" s="3"/>
      <c r="H80" s="43"/>
      <c r="I80" s="43"/>
      <c r="J80" s="43"/>
      <c r="K80" s="43"/>
      <c r="L80" s="43"/>
      <c r="M80" s="43"/>
      <c r="N80" s="107"/>
      <c r="O80" s="107"/>
      <c r="P80" s="107"/>
      <c r="Q80" s="107"/>
      <c r="R80" s="107"/>
      <c r="S80" s="107"/>
      <c r="T80" s="107"/>
      <c r="U80" s="107"/>
      <c r="V80" s="107"/>
      <c r="W80" s="137"/>
      <c r="X80" s="137"/>
      <c r="Y80" s="137"/>
      <c r="Z80" s="137"/>
      <c r="AA80" s="137"/>
      <c r="AB80" s="137"/>
      <c r="AC80" s="137"/>
      <c r="AD80" s="137"/>
      <c r="AE80" s="137"/>
      <c r="AF80" s="137"/>
      <c r="AG80" s="137"/>
      <c r="AH80" s="137"/>
    </row>
    <row r="81" spans="1:35" ht="17.149999999999999" customHeight="1" x14ac:dyDescent="0.3">
      <c r="A81" s="3"/>
      <c r="B81" s="3"/>
      <c r="C81" s="6"/>
      <c r="D81" s="6"/>
      <c r="E81" s="52"/>
      <c r="F81" s="3"/>
      <c r="G81" s="3"/>
      <c r="H81" s="43"/>
      <c r="I81" s="43"/>
      <c r="J81" s="43"/>
      <c r="K81" s="43"/>
      <c r="L81" s="43"/>
      <c r="M81" s="43"/>
      <c r="N81" s="107"/>
      <c r="O81" s="107"/>
      <c r="P81" s="107"/>
      <c r="Q81" s="107"/>
      <c r="R81" s="107"/>
      <c r="S81" s="107"/>
      <c r="T81" s="107"/>
      <c r="U81" s="107"/>
      <c r="V81" s="107"/>
      <c r="W81" s="137"/>
      <c r="X81" s="137"/>
      <c r="Y81" s="137"/>
      <c r="Z81" s="137"/>
      <c r="AA81" s="137"/>
      <c r="AB81" s="137"/>
      <c r="AC81" s="137"/>
      <c r="AD81" s="137"/>
      <c r="AE81" s="137"/>
      <c r="AF81" s="137"/>
      <c r="AG81" s="137"/>
      <c r="AH81" s="137"/>
    </row>
    <row r="82" spans="1:35" s="11" customFormat="1" ht="17.149999999999999" customHeight="1" x14ac:dyDescent="0.3">
      <c r="A82" s="1808" t="s">
        <v>579</v>
      </c>
      <c r="B82" s="1764" t="s">
        <v>1105</v>
      </c>
      <c r="C82" s="1836" t="s">
        <v>516</v>
      </c>
      <c r="D82" s="1837"/>
      <c r="E82" s="1808" t="s">
        <v>580</v>
      </c>
      <c r="F82" s="1808" t="s">
        <v>1106</v>
      </c>
      <c r="G82" s="1784" t="s">
        <v>518</v>
      </c>
      <c r="H82" s="1784"/>
      <c r="I82" s="1808" t="s">
        <v>519</v>
      </c>
      <c r="J82" s="1808" t="s">
        <v>1107</v>
      </c>
      <c r="K82" s="1808" t="s">
        <v>510</v>
      </c>
      <c r="L82" s="1808" t="s">
        <v>520</v>
      </c>
      <c r="M82" s="1808" t="s">
        <v>1108</v>
      </c>
      <c r="N82" s="1808" t="s">
        <v>512</v>
      </c>
      <c r="O82" s="198"/>
      <c r="P82" s="198"/>
      <c r="Q82" s="198"/>
      <c r="R82" s="198"/>
      <c r="S82" s="198"/>
      <c r="T82" s="198"/>
      <c r="U82" s="198"/>
      <c r="V82" s="198"/>
      <c r="W82" s="137"/>
      <c r="X82" s="137"/>
      <c r="Y82" s="137"/>
      <c r="Z82" s="137"/>
      <c r="AA82" s="137"/>
      <c r="AB82" s="137"/>
      <c r="AC82" s="137"/>
      <c r="AD82" s="137"/>
      <c r="AE82" s="137"/>
      <c r="AF82" s="137"/>
      <c r="AG82" s="137"/>
      <c r="AH82" s="137"/>
    </row>
    <row r="83" spans="1:35" s="11" customFormat="1" ht="45" customHeight="1" x14ac:dyDescent="0.3">
      <c r="A83" s="1808"/>
      <c r="B83" s="1766"/>
      <c r="C83" s="1838"/>
      <c r="D83" s="1839"/>
      <c r="E83" s="1808"/>
      <c r="F83" s="1808"/>
      <c r="G83" s="1511" t="s">
        <v>523</v>
      </c>
      <c r="H83" s="1511" t="s">
        <v>524</v>
      </c>
      <c r="I83" s="1808"/>
      <c r="J83" s="1808"/>
      <c r="K83" s="1808"/>
      <c r="L83" s="1808"/>
      <c r="M83" s="1808"/>
      <c r="N83" s="1808"/>
      <c r="O83" s="198"/>
      <c r="P83" s="198"/>
      <c r="Q83" s="198"/>
      <c r="R83" s="198"/>
      <c r="S83" s="198"/>
      <c r="T83" s="198"/>
      <c r="U83" s="198"/>
      <c r="V83" s="198"/>
      <c r="W83" s="137"/>
      <c r="X83" s="137"/>
      <c r="Y83" s="137"/>
      <c r="Z83" s="137"/>
      <c r="AA83" s="137"/>
      <c r="AB83" s="137"/>
      <c r="AC83" s="137"/>
      <c r="AD83" s="137"/>
      <c r="AE83" s="137"/>
      <c r="AF83" s="137"/>
      <c r="AG83" s="137"/>
      <c r="AH83" s="137"/>
      <c r="AI83" s="11" t="s">
        <v>541</v>
      </c>
    </row>
    <row r="84" spans="1:35" s="315" customFormat="1" ht="13" x14ac:dyDescent="0.3">
      <c r="A84" s="310"/>
      <c r="B84" s="311"/>
      <c r="C84" s="312"/>
      <c r="D84" s="313"/>
      <c r="E84" s="310"/>
      <c r="F84" s="310"/>
      <c r="G84" s="310"/>
      <c r="H84" s="310"/>
      <c r="I84" s="310"/>
      <c r="J84" s="310"/>
      <c r="K84" s="310"/>
      <c r="L84" s="310"/>
      <c r="M84" s="310"/>
      <c r="N84" s="310"/>
      <c r="O84" s="318"/>
      <c r="P84" s="318"/>
      <c r="Q84" s="318"/>
      <c r="R84" s="318"/>
      <c r="S84" s="318"/>
      <c r="T84" s="318"/>
      <c r="U84" s="318"/>
      <c r="V84" s="318"/>
      <c r="W84" s="954"/>
      <c r="X84" s="954"/>
      <c r="Y84" s="954"/>
      <c r="Z84" s="954"/>
      <c r="AA84" s="954"/>
      <c r="AB84" s="954"/>
      <c r="AC84" s="954"/>
      <c r="AD84" s="954"/>
      <c r="AE84" s="954"/>
      <c r="AF84" s="954"/>
      <c r="AG84" s="954"/>
      <c r="AH84" s="954"/>
    </row>
    <row r="85" spans="1:35" s="60" customFormat="1" ht="17.149999999999999" customHeight="1" x14ac:dyDescent="0.3">
      <c r="A85" s="953" t="str">
        <f>'Treatment Sludge_NO INPUTS'!B70</f>
        <v>Low income residential areas (not treated)</v>
      </c>
      <c r="B85" s="1522">
        <f>'Treatment Sludge_NO INPUTS'!C70</f>
        <v>0</v>
      </c>
      <c r="C85" s="1857" t="str">
        <f>'Treatment Sludge_NO INPUTS'!D70</f>
        <v>Primary treatment in septic tank</v>
      </c>
      <c r="D85" s="1858"/>
      <c r="E85" s="1522">
        <f>'Treatment Sludge_NO INPUTS'!F70</f>
        <v>0</v>
      </c>
      <c r="F85" s="1522">
        <f t="shared" ref="F85:F90" si="15">B85</f>
        <v>0</v>
      </c>
      <c r="G85" s="153">
        <f>'Treatment Sludge_NO INPUTS'!G70</f>
        <v>0</v>
      </c>
      <c r="H85" s="153">
        <f>'Treatment Sludge_NO INPUTS'!H70</f>
        <v>0</v>
      </c>
      <c r="I85" s="153" t="str">
        <f>'Treatment Sludge_NO INPUTS'!I70</f>
        <v>NO</v>
      </c>
      <c r="J85" s="947">
        <f t="shared" ref="J85:J90" si="16">IF(I85=0,0,IF(I85="NO",G85,IF(I85="YES",0)))</f>
        <v>0</v>
      </c>
      <c r="K85" s="947">
        <f t="shared" ref="K85:K90" si="17">IF(I85=0,0,IF(I85="YES",G85,IF(I85="NO",0)))</f>
        <v>0</v>
      </c>
      <c r="L85" s="153">
        <f>'Treatment Sludge_NO INPUTS'!J70</f>
        <v>0</v>
      </c>
      <c r="M85" s="947">
        <f t="shared" ref="M85:M90" si="18">IF(L85=0,0,IF(L85="NO",H85,IF(L85="YES",0)))</f>
        <v>0</v>
      </c>
      <c r="N85" s="947">
        <f t="shared" ref="N85:N90" si="19">IF(L85=0,0,IF(L85="YES",H85,IF(L85="NO",0)))</f>
        <v>0</v>
      </c>
      <c r="O85" s="319"/>
      <c r="P85" s="319"/>
      <c r="Q85" s="319"/>
      <c r="R85" s="319"/>
      <c r="S85" s="319"/>
      <c r="T85" s="319"/>
      <c r="U85" s="319"/>
      <c r="V85" s="319"/>
      <c r="W85" s="954"/>
      <c r="X85" s="954"/>
      <c r="Y85" s="954"/>
      <c r="Z85" s="954"/>
      <c r="AA85" s="954"/>
      <c r="AB85" s="954"/>
      <c r="AC85" s="954"/>
      <c r="AD85" s="954"/>
      <c r="AE85" s="954"/>
      <c r="AF85" s="954"/>
      <c r="AG85" s="954"/>
      <c r="AH85" s="954"/>
      <c r="AI85" s="955" t="s">
        <v>542</v>
      </c>
    </row>
    <row r="86" spans="1:35" s="60" customFormat="1" ht="17.149999999999999" customHeight="1" x14ac:dyDescent="0.3">
      <c r="A86" s="953" t="str">
        <f>'Treatment Sludge_NO INPUTS'!B71</f>
        <v>High income residential areas (treated)</v>
      </c>
      <c r="B86" s="1522">
        <f>'Treatment Sludge_NO INPUTS'!C71</f>
        <v>0</v>
      </c>
      <c r="C86" s="1857" t="str">
        <f>'Treatment Sludge_NO INPUTS'!D71</f>
        <v>Primary treatment plus secondary treatment</v>
      </c>
      <c r="D86" s="1858"/>
      <c r="E86" s="1522">
        <f>'Treatment Sludge_NO INPUTS'!F71</f>
        <v>0</v>
      </c>
      <c r="F86" s="1522">
        <f t="shared" si="15"/>
        <v>0</v>
      </c>
      <c r="G86" s="153">
        <f>'Treatment Sludge_NO INPUTS'!G71</f>
        <v>0</v>
      </c>
      <c r="H86" s="153">
        <f>'Treatment Sludge_NO INPUTS'!H71</f>
        <v>0</v>
      </c>
      <c r="I86" s="153" t="str">
        <f>'Treatment Sludge_NO INPUTS'!I71</f>
        <v>YES</v>
      </c>
      <c r="J86" s="947">
        <f t="shared" si="16"/>
        <v>0</v>
      </c>
      <c r="K86" s="947">
        <f t="shared" si="17"/>
        <v>0</v>
      </c>
      <c r="L86" s="153">
        <f>'Treatment Sludge_NO INPUTS'!J71</f>
        <v>0</v>
      </c>
      <c r="M86" s="947">
        <f t="shared" si="18"/>
        <v>0</v>
      </c>
      <c r="N86" s="947">
        <f t="shared" si="19"/>
        <v>0</v>
      </c>
      <c r="O86" s="319"/>
      <c r="P86" s="319"/>
      <c r="Q86" s="319"/>
      <c r="R86" s="319"/>
      <c r="S86" s="319"/>
      <c r="T86" s="319"/>
      <c r="U86" s="319"/>
      <c r="V86" s="319"/>
      <c r="W86" s="954"/>
      <c r="X86" s="954"/>
      <c r="Y86" s="954"/>
      <c r="Z86" s="954"/>
      <c r="AA86" s="954"/>
      <c r="AB86" s="954"/>
      <c r="AC86" s="954"/>
      <c r="AD86" s="954"/>
      <c r="AE86" s="954"/>
      <c r="AF86" s="954"/>
      <c r="AG86" s="954"/>
      <c r="AH86" s="954"/>
      <c r="AI86" s="955" t="s">
        <v>542</v>
      </c>
    </row>
    <row r="87" spans="1:35" s="60" customFormat="1" ht="17.149999999999999" customHeight="1" x14ac:dyDescent="0.3">
      <c r="A87" s="953" t="str">
        <f>'Treatment Sludge_NO INPUTS'!B72</f>
        <v>Onsite septic tanks | [Insert location]</v>
      </c>
      <c r="B87" s="1522">
        <f>'Treatment Sludge_NO INPUTS'!C72</f>
        <v>0</v>
      </c>
      <c r="C87" s="1857">
        <f>'Treatment Sludge_NO INPUTS'!D72</f>
        <v>0</v>
      </c>
      <c r="D87" s="1858"/>
      <c r="E87" s="1522">
        <f>'Treatment Sludge_NO INPUTS'!F72</f>
        <v>0</v>
      </c>
      <c r="F87" s="1522">
        <f t="shared" si="15"/>
        <v>0</v>
      </c>
      <c r="G87" s="153">
        <f>'Treatment Sludge_NO INPUTS'!G72</f>
        <v>0</v>
      </c>
      <c r="H87" s="153">
        <f>'Treatment Sludge_NO INPUTS'!H72</f>
        <v>0</v>
      </c>
      <c r="I87" s="153">
        <f>'Treatment Sludge_NO INPUTS'!I72</f>
        <v>0</v>
      </c>
      <c r="J87" s="947">
        <f t="shared" si="16"/>
        <v>0</v>
      </c>
      <c r="K87" s="947">
        <f t="shared" si="17"/>
        <v>0</v>
      </c>
      <c r="L87" s="153">
        <f>'Treatment Sludge_NO INPUTS'!J72</f>
        <v>0</v>
      </c>
      <c r="M87" s="947">
        <f t="shared" si="18"/>
        <v>0</v>
      </c>
      <c r="N87" s="947">
        <f t="shared" si="19"/>
        <v>0</v>
      </c>
      <c r="O87" s="319"/>
      <c r="P87" s="319"/>
      <c r="Q87" s="319"/>
      <c r="R87" s="319"/>
      <c r="S87" s="319"/>
      <c r="T87" s="319"/>
      <c r="U87" s="319"/>
      <c r="V87" s="319"/>
      <c r="W87" s="954"/>
      <c r="X87" s="954"/>
      <c r="Y87" s="954"/>
      <c r="Z87" s="954"/>
      <c r="AA87" s="954"/>
      <c r="AB87" s="954"/>
      <c r="AC87" s="954"/>
      <c r="AD87" s="954"/>
      <c r="AE87" s="954"/>
      <c r="AF87" s="954"/>
      <c r="AG87" s="954"/>
      <c r="AH87" s="954"/>
      <c r="AI87" s="955" t="s">
        <v>542</v>
      </c>
    </row>
    <row r="88" spans="1:35" s="60" customFormat="1" ht="17.149999999999999" customHeight="1" x14ac:dyDescent="0.3">
      <c r="A88" s="953" t="str">
        <f>'Treatment Sludge_NO INPUTS'!B73</f>
        <v>Onsite septic tanks | [Insert location]</v>
      </c>
      <c r="B88" s="1522">
        <f>'Treatment Sludge_NO INPUTS'!C73</f>
        <v>0</v>
      </c>
      <c r="C88" s="1857">
        <f>'Treatment Sludge_NO INPUTS'!D73</f>
        <v>0</v>
      </c>
      <c r="D88" s="1858"/>
      <c r="E88" s="1522">
        <f>'Treatment Sludge_NO INPUTS'!F73</f>
        <v>0</v>
      </c>
      <c r="F88" s="1522">
        <f t="shared" si="15"/>
        <v>0</v>
      </c>
      <c r="G88" s="153">
        <f>'Treatment Sludge_NO INPUTS'!G73</f>
        <v>0</v>
      </c>
      <c r="H88" s="153">
        <f>'Treatment Sludge_NO INPUTS'!H73</f>
        <v>0</v>
      </c>
      <c r="I88" s="153">
        <f>'Treatment Sludge_NO INPUTS'!I73</f>
        <v>0</v>
      </c>
      <c r="J88" s="947">
        <f t="shared" si="16"/>
        <v>0</v>
      </c>
      <c r="K88" s="947">
        <f t="shared" si="17"/>
        <v>0</v>
      </c>
      <c r="L88" s="153">
        <f>'Treatment Sludge_NO INPUTS'!J73</f>
        <v>0</v>
      </c>
      <c r="M88" s="947">
        <f t="shared" si="18"/>
        <v>0</v>
      </c>
      <c r="N88" s="947">
        <f t="shared" si="19"/>
        <v>0</v>
      </c>
      <c r="O88" s="319"/>
      <c r="P88" s="319"/>
      <c r="Q88" s="319"/>
      <c r="R88" s="319"/>
      <c r="S88" s="319"/>
      <c r="T88" s="319"/>
      <c r="U88" s="319"/>
      <c r="V88" s="319"/>
      <c r="W88" s="954"/>
      <c r="X88" s="954"/>
      <c r="Y88" s="954"/>
      <c r="Z88" s="954"/>
      <c r="AA88" s="954"/>
      <c r="AB88" s="954"/>
      <c r="AC88" s="954"/>
      <c r="AD88" s="954"/>
      <c r="AE88" s="954"/>
      <c r="AF88" s="954"/>
      <c r="AG88" s="954"/>
      <c r="AH88" s="954"/>
      <c r="AI88" s="955" t="s">
        <v>542</v>
      </c>
    </row>
    <row r="89" spans="1:35" s="60" customFormat="1" ht="17.149999999999999" customHeight="1" x14ac:dyDescent="0.3">
      <c r="A89" s="953">
        <f>'Treatment Sludge_NO INPUTS'!B74</f>
        <v>0</v>
      </c>
      <c r="B89" s="1522">
        <f>'Treatment Sludge_NO INPUTS'!C74</f>
        <v>0</v>
      </c>
      <c r="C89" s="1857">
        <f>'Treatment Sludge_NO INPUTS'!D74</f>
        <v>0</v>
      </c>
      <c r="D89" s="1858"/>
      <c r="E89" s="1522">
        <f>'Treatment Sludge_NO INPUTS'!F74</f>
        <v>0</v>
      </c>
      <c r="F89" s="1522">
        <f t="shared" si="15"/>
        <v>0</v>
      </c>
      <c r="G89" s="153">
        <f>'Treatment Sludge_NO INPUTS'!G74</f>
        <v>0</v>
      </c>
      <c r="H89" s="153">
        <f>'Treatment Sludge_NO INPUTS'!H74</f>
        <v>0</v>
      </c>
      <c r="I89" s="153">
        <f>'Treatment Sludge_NO INPUTS'!I74</f>
        <v>0</v>
      </c>
      <c r="J89" s="947">
        <f t="shared" si="16"/>
        <v>0</v>
      </c>
      <c r="K89" s="947">
        <f t="shared" si="17"/>
        <v>0</v>
      </c>
      <c r="L89" s="153">
        <f>'Treatment Sludge_NO INPUTS'!J74</f>
        <v>0</v>
      </c>
      <c r="M89" s="947">
        <f t="shared" si="18"/>
        <v>0</v>
      </c>
      <c r="N89" s="947">
        <f t="shared" si="19"/>
        <v>0</v>
      </c>
      <c r="O89" s="319"/>
      <c r="P89" s="319"/>
      <c r="Q89" s="319"/>
      <c r="R89" s="319"/>
      <c r="S89" s="319"/>
      <c r="T89" s="319"/>
      <c r="U89" s="319"/>
      <c r="V89" s="319"/>
      <c r="W89" s="954"/>
      <c r="X89" s="954"/>
      <c r="Y89" s="954"/>
      <c r="Z89" s="954"/>
      <c r="AA89" s="954"/>
      <c r="AB89" s="954"/>
      <c r="AC89" s="954"/>
      <c r="AD89" s="954"/>
      <c r="AE89" s="954"/>
      <c r="AF89" s="954"/>
      <c r="AG89" s="954"/>
      <c r="AH89" s="954"/>
      <c r="AI89" s="955" t="s">
        <v>542</v>
      </c>
    </row>
    <row r="90" spans="1:35" s="60" customFormat="1" ht="17.149999999999999" customHeight="1" x14ac:dyDescent="0.3">
      <c r="A90" s="953">
        <f>'Treatment Sludge_NO INPUTS'!B75</f>
        <v>0</v>
      </c>
      <c r="B90" s="1522">
        <f>'Treatment Sludge_NO INPUTS'!C75</f>
        <v>0</v>
      </c>
      <c r="C90" s="1857">
        <f>'Treatment Sludge_NO INPUTS'!D75</f>
        <v>0</v>
      </c>
      <c r="D90" s="1858"/>
      <c r="E90" s="1522">
        <f>'Treatment Sludge_NO INPUTS'!F75</f>
        <v>0</v>
      </c>
      <c r="F90" s="1522">
        <f t="shared" si="15"/>
        <v>0</v>
      </c>
      <c r="G90" s="153">
        <f>'Treatment Sludge_NO INPUTS'!G75</f>
        <v>0</v>
      </c>
      <c r="H90" s="153">
        <f>'Treatment Sludge_NO INPUTS'!H75</f>
        <v>0</v>
      </c>
      <c r="I90" s="153">
        <f>'Treatment Sludge_NO INPUTS'!I75</f>
        <v>0</v>
      </c>
      <c r="J90" s="947">
        <f t="shared" si="16"/>
        <v>0</v>
      </c>
      <c r="K90" s="947">
        <f t="shared" si="17"/>
        <v>0</v>
      </c>
      <c r="L90" s="153">
        <f>'Treatment Sludge_NO INPUTS'!J75</f>
        <v>0</v>
      </c>
      <c r="M90" s="947">
        <f t="shared" si="18"/>
        <v>0</v>
      </c>
      <c r="N90" s="947">
        <f t="shared" si="19"/>
        <v>0</v>
      </c>
      <c r="O90" s="319"/>
      <c r="P90" s="319"/>
      <c r="Q90" s="319"/>
      <c r="R90" s="319"/>
      <c r="S90" s="319"/>
      <c r="T90" s="319"/>
      <c r="U90" s="319"/>
      <c r="V90" s="319"/>
      <c r="W90" s="954"/>
      <c r="X90" s="954"/>
      <c r="Y90" s="954"/>
      <c r="Z90" s="954"/>
      <c r="AA90" s="954"/>
      <c r="AB90" s="954"/>
      <c r="AC90" s="954"/>
      <c r="AD90" s="954"/>
      <c r="AE90" s="954"/>
      <c r="AF90" s="954"/>
      <c r="AG90" s="954"/>
      <c r="AH90" s="954"/>
      <c r="AI90" s="955" t="s">
        <v>542</v>
      </c>
    </row>
    <row r="91" spans="1:35" s="12" customFormat="1" ht="17.149999999999999" customHeight="1" x14ac:dyDescent="0.3">
      <c r="A91" s="950" t="s">
        <v>208</v>
      </c>
      <c r="B91" s="951">
        <f>SUM(B85:B90)</f>
        <v>0</v>
      </c>
      <c r="C91" s="1844"/>
      <c r="D91" s="1845"/>
      <c r="E91" s="951">
        <f>SUM(E85:E90)</f>
        <v>0</v>
      </c>
      <c r="F91" s="951">
        <f>SUM(F85:F90)</f>
        <v>0</v>
      </c>
      <c r="G91" s="951">
        <f>SUM(G85:G90)</f>
        <v>0</v>
      </c>
      <c r="H91" s="951">
        <f>SUM(H85:H90)</f>
        <v>0</v>
      </c>
      <c r="I91" s="952"/>
      <c r="J91" s="948">
        <f>SUM(J85:J90)</f>
        <v>0</v>
      </c>
      <c r="K91" s="948">
        <f>SUM(K85:K90)</f>
        <v>0</v>
      </c>
      <c r="L91" s="948"/>
      <c r="M91" s="948">
        <f>SUM(M85:M90)</f>
        <v>0</v>
      </c>
      <c r="N91" s="948">
        <f>SUM(N85:N90)</f>
        <v>0</v>
      </c>
      <c r="O91" s="32"/>
      <c r="P91" s="32"/>
      <c r="Q91" s="32"/>
      <c r="R91" s="32"/>
      <c r="S91" s="32"/>
      <c r="T91" s="32"/>
      <c r="U91" s="32"/>
      <c r="V91" s="32"/>
      <c r="W91" s="137"/>
      <c r="X91" s="137"/>
      <c r="Y91" s="137"/>
      <c r="Z91" s="137"/>
      <c r="AA91" s="137"/>
      <c r="AB91" s="137"/>
      <c r="AC91" s="137"/>
      <c r="AD91" s="137"/>
      <c r="AE91" s="137"/>
      <c r="AF91" s="137"/>
      <c r="AG91" s="137"/>
      <c r="AH91" s="137"/>
    </row>
    <row r="92" spans="1:35" ht="17.149999999999999" customHeight="1" x14ac:dyDescent="0.3">
      <c r="A92" s="3"/>
      <c r="B92" s="3"/>
      <c r="C92" s="6"/>
      <c r="D92" s="6"/>
      <c r="E92" s="52"/>
      <c r="F92" s="1520">
        <f>F91</f>
        <v>0</v>
      </c>
      <c r="G92" s="1846">
        <f>G91+H91</f>
        <v>0</v>
      </c>
      <c r="H92" s="1847"/>
      <c r="I92" s="43"/>
      <c r="J92" s="1848">
        <f>SUM(J91:K91)</f>
        <v>0</v>
      </c>
      <c r="K92" s="1848"/>
      <c r="L92" s="43"/>
      <c r="M92" s="1848">
        <f>SUM(M91:N91)</f>
        <v>0</v>
      </c>
      <c r="N92" s="1848"/>
      <c r="O92" s="107"/>
      <c r="P92" s="107"/>
      <c r="Q92" s="107"/>
      <c r="R92" s="107"/>
      <c r="S92" s="107"/>
      <c r="T92" s="107"/>
      <c r="U92" s="107"/>
      <c r="V92" s="107"/>
      <c r="W92" s="137"/>
      <c r="X92" s="137"/>
      <c r="Y92" s="137"/>
      <c r="Z92" s="137"/>
      <c r="AA92" s="137"/>
      <c r="AB92" s="137"/>
      <c r="AC92" s="137"/>
      <c r="AD92" s="137"/>
      <c r="AE92" s="137"/>
      <c r="AF92" s="137"/>
      <c r="AG92" s="137"/>
      <c r="AH92" s="137"/>
    </row>
    <row r="93" spans="1:35" ht="17.149999999999999" customHeight="1" x14ac:dyDescent="0.3">
      <c r="A93" s="950" t="s">
        <v>587</v>
      </c>
      <c r="B93" s="1523">
        <f>'FS_Transport volumes'!B121</f>
        <v>0</v>
      </c>
      <c r="C93" s="6"/>
      <c r="D93" s="6"/>
      <c r="E93" s="52"/>
      <c r="F93" s="3"/>
      <c r="G93" s="1823" t="str">
        <f>IF(G92=F92,"OK","Not OK")</f>
        <v>OK</v>
      </c>
      <c r="H93" s="1823"/>
      <c r="I93" s="43"/>
      <c r="J93" s="1823" t="str">
        <f>IF(J92=G91,"OK","Not OK")</f>
        <v>OK</v>
      </c>
      <c r="K93" s="1823"/>
      <c r="L93" s="43"/>
      <c r="M93" s="1823" t="str">
        <f>IF(M92=H91,"OK","Not OK")</f>
        <v>OK</v>
      </c>
      <c r="N93" s="1823"/>
      <c r="O93" s="107"/>
      <c r="P93" s="107"/>
      <c r="Q93" s="107"/>
      <c r="R93" s="107"/>
      <c r="S93" s="107"/>
      <c r="T93" s="107"/>
      <c r="U93" s="107"/>
      <c r="V93" s="107"/>
      <c r="W93" s="137"/>
      <c r="X93" s="137"/>
      <c r="Y93" s="137"/>
      <c r="Z93" s="137"/>
      <c r="AA93" s="137"/>
      <c r="AB93" s="137"/>
      <c r="AC93" s="137"/>
      <c r="AD93" s="137"/>
      <c r="AE93" s="137"/>
      <c r="AF93" s="137"/>
      <c r="AG93" s="137"/>
      <c r="AH93" s="137"/>
    </row>
    <row r="94" spans="1:35" ht="17.149999999999999" customHeight="1" x14ac:dyDescent="0.3">
      <c r="A94" s="143" t="s">
        <v>251</v>
      </c>
      <c r="B94" s="1520">
        <f>B93-B91</f>
        <v>0</v>
      </c>
      <c r="C94" s="6"/>
      <c r="D94" s="6"/>
      <c r="E94" s="52"/>
      <c r="F94" s="3"/>
      <c r="G94" s="3"/>
      <c r="H94" s="43"/>
      <c r="I94" s="43"/>
      <c r="J94" s="43"/>
      <c r="K94" s="43"/>
      <c r="L94" s="43"/>
      <c r="M94" s="43"/>
      <c r="N94" s="107"/>
      <c r="O94" s="107"/>
      <c r="P94" s="107"/>
      <c r="Q94" s="107"/>
      <c r="R94" s="107"/>
      <c r="S94" s="107"/>
      <c r="T94" s="107"/>
      <c r="U94" s="107"/>
      <c r="V94" s="107"/>
      <c r="W94" s="137"/>
      <c r="X94" s="137"/>
      <c r="Y94" s="137"/>
      <c r="Z94" s="137"/>
      <c r="AA94" s="137"/>
      <c r="AB94" s="137"/>
      <c r="AC94" s="137"/>
      <c r="AD94" s="137"/>
      <c r="AE94" s="137"/>
      <c r="AF94" s="137"/>
      <c r="AG94" s="137"/>
      <c r="AH94" s="137"/>
    </row>
    <row r="95" spans="1:35" ht="17.149999999999999" customHeight="1" x14ac:dyDescent="0.3">
      <c r="A95" s="3"/>
      <c r="B95" s="1519" t="str">
        <f>IF(B94=0,"OK","Not OK")</f>
        <v>OK</v>
      </c>
      <c r="C95" s="6"/>
      <c r="D95" s="6"/>
      <c r="E95" s="52"/>
      <c r="F95" s="3"/>
      <c r="G95" s="3"/>
      <c r="H95" s="43"/>
      <c r="I95" s="43"/>
      <c r="J95" s="43"/>
      <c r="K95" s="43"/>
      <c r="L95" s="43"/>
      <c r="M95" s="43"/>
      <c r="N95" s="107"/>
      <c r="O95" s="107"/>
      <c r="P95" s="107"/>
      <c r="Q95" s="107"/>
      <c r="R95" s="107"/>
      <c r="S95" s="107"/>
      <c r="T95" s="107"/>
      <c r="U95" s="107"/>
      <c r="V95" s="107"/>
      <c r="W95" s="137"/>
      <c r="X95" s="137"/>
      <c r="Y95" s="137"/>
      <c r="Z95" s="137"/>
      <c r="AA95" s="137"/>
      <c r="AB95" s="137"/>
      <c r="AC95" s="137"/>
      <c r="AD95" s="137"/>
      <c r="AE95" s="137"/>
      <c r="AF95" s="137"/>
      <c r="AG95" s="137"/>
      <c r="AH95" s="137"/>
    </row>
    <row r="96" spans="1:35" ht="17.149999999999999" customHeight="1" x14ac:dyDescent="0.3">
      <c r="A96" s="3"/>
      <c r="B96" s="3"/>
      <c r="C96" s="3"/>
      <c r="D96" s="3"/>
      <c r="E96" s="3"/>
      <c r="F96" s="3"/>
      <c r="G96" s="3"/>
      <c r="H96" s="3"/>
      <c r="I96" s="3"/>
      <c r="J96" s="3"/>
      <c r="K96" s="3"/>
      <c r="W96" s="137"/>
      <c r="X96" s="137"/>
      <c r="Y96" s="137"/>
      <c r="Z96" s="137"/>
      <c r="AA96" s="137"/>
      <c r="AB96" s="137"/>
      <c r="AC96" s="137"/>
      <c r="AD96" s="137"/>
      <c r="AE96" s="137"/>
      <c r="AF96" s="137"/>
      <c r="AG96" s="137"/>
      <c r="AH96" s="137"/>
    </row>
    <row r="97" spans="1:11" ht="17.149999999999999" customHeight="1" x14ac:dyDescent="0.35">
      <c r="A97" s="3"/>
      <c r="B97" s="3"/>
      <c r="C97" s="3"/>
      <c r="D97" s="3"/>
      <c r="E97" s="3"/>
      <c r="F97" s="3"/>
      <c r="G97" s="3"/>
      <c r="H97" s="3"/>
      <c r="I97" s="3"/>
      <c r="J97" s="107"/>
      <c r="K97" s="3"/>
    </row>
    <row r="98" spans="1:11" ht="17.149999999999999" customHeight="1" x14ac:dyDescent="0.35">
      <c r="A98" s="949" t="s">
        <v>1097</v>
      </c>
      <c r="B98" s="1504" t="s">
        <v>9</v>
      </c>
      <c r="C98" s="3"/>
      <c r="D98" s="3"/>
      <c r="E98" s="3"/>
      <c r="F98" s="3"/>
      <c r="G98" s="3"/>
      <c r="H98" s="3"/>
      <c r="I98" s="3"/>
      <c r="J98" s="107"/>
      <c r="K98" s="3"/>
    </row>
    <row r="99" spans="1:11" ht="17.149999999999999" customHeight="1" x14ac:dyDescent="0.35">
      <c r="A99" s="3"/>
      <c r="B99" s="3"/>
      <c r="C99" s="3"/>
      <c r="D99" s="3"/>
      <c r="E99" s="3"/>
      <c r="F99" s="3"/>
      <c r="G99" s="3"/>
      <c r="H99" s="3"/>
      <c r="I99" s="3"/>
      <c r="J99" s="107"/>
      <c r="K99" s="3"/>
    </row>
    <row r="100" spans="1:11" s="12" customFormat="1" ht="17.149999999999999" customHeight="1" x14ac:dyDescent="0.35">
      <c r="A100" s="1851" t="s">
        <v>1188</v>
      </c>
      <c r="B100" s="1797" t="s">
        <v>21</v>
      </c>
      <c r="C100" s="1798"/>
      <c r="D100" s="1797" t="s">
        <v>22</v>
      </c>
      <c r="E100" s="1798"/>
      <c r="G100" s="1797" t="s">
        <v>1072</v>
      </c>
      <c r="H100" s="1798"/>
      <c r="J100" s="93"/>
    </row>
    <row r="101" spans="1:11" s="12" customFormat="1" ht="17.149999999999999" customHeight="1" x14ac:dyDescent="0.35">
      <c r="A101" s="1852"/>
      <c r="B101" s="1503" t="s">
        <v>28</v>
      </c>
      <c r="C101" s="1503" t="s">
        <v>1126</v>
      </c>
      <c r="D101" s="1503" t="s">
        <v>28</v>
      </c>
      <c r="E101" s="1503" t="s">
        <v>1126</v>
      </c>
      <c r="G101" s="1503" t="s">
        <v>28</v>
      </c>
      <c r="H101" s="1503" t="s">
        <v>1126</v>
      </c>
      <c r="J101" s="93"/>
    </row>
    <row r="102" spans="1:11" s="3" customFormat="1" ht="13" x14ac:dyDescent="0.35">
      <c r="A102" s="143"/>
      <c r="B102" s="321"/>
      <c r="C102" s="292"/>
      <c r="D102" s="321"/>
      <c r="E102" s="292"/>
      <c r="G102" s="321"/>
      <c r="H102" s="292"/>
      <c r="J102" s="43"/>
    </row>
    <row r="103" spans="1:11" ht="17.149999999999999" customHeight="1" x14ac:dyDescent="0.35">
      <c r="A103" s="168" t="s">
        <v>1189</v>
      </c>
      <c r="B103" s="1518">
        <f>K33</f>
        <v>0</v>
      </c>
      <c r="C103" s="1518">
        <f>J33</f>
        <v>0</v>
      </c>
      <c r="D103" s="1518">
        <f>N33</f>
        <v>0</v>
      </c>
      <c r="E103" s="1518">
        <f>M33</f>
        <v>0</v>
      </c>
      <c r="F103" s="60"/>
      <c r="G103" s="1518">
        <f t="shared" ref="G103:H106" si="20">B103+D103</f>
        <v>0</v>
      </c>
      <c r="H103" s="1518">
        <f t="shared" si="20"/>
        <v>0</v>
      </c>
      <c r="I103" s="3"/>
      <c r="J103" s="107"/>
      <c r="K103" s="3"/>
    </row>
    <row r="104" spans="1:11" ht="17.149999999999999" customHeight="1" x14ac:dyDescent="0.35">
      <c r="A104" s="168" t="s">
        <v>1190</v>
      </c>
      <c r="B104" s="1518">
        <f>K55</f>
        <v>11410</v>
      </c>
      <c r="C104" s="1518">
        <f>J55</f>
        <v>21190</v>
      </c>
      <c r="D104" s="1518">
        <f>N55</f>
        <v>0</v>
      </c>
      <c r="E104" s="1518">
        <f>M55</f>
        <v>0</v>
      </c>
      <c r="F104" s="60"/>
      <c r="G104" s="1518">
        <f t="shared" si="20"/>
        <v>11410</v>
      </c>
      <c r="H104" s="1518">
        <f t="shared" si="20"/>
        <v>21190</v>
      </c>
      <c r="I104" s="3"/>
      <c r="J104" s="107"/>
      <c r="K104" s="3"/>
    </row>
    <row r="105" spans="1:11" ht="17.149999999999999" customHeight="1" x14ac:dyDescent="0.35">
      <c r="A105" s="168" t="s">
        <v>1191</v>
      </c>
      <c r="B105" s="1518">
        <f>K73</f>
        <v>0</v>
      </c>
      <c r="C105" s="1518">
        <f>J73</f>
        <v>0</v>
      </c>
      <c r="D105" s="1518">
        <f>N73</f>
        <v>0</v>
      </c>
      <c r="E105" s="1518">
        <f>M73</f>
        <v>0</v>
      </c>
      <c r="F105" s="60"/>
      <c r="G105" s="1518">
        <f t="shared" si="20"/>
        <v>0</v>
      </c>
      <c r="H105" s="1518">
        <f t="shared" si="20"/>
        <v>0</v>
      </c>
      <c r="I105" s="3"/>
      <c r="J105" s="107"/>
      <c r="K105" s="3"/>
    </row>
    <row r="106" spans="1:11" ht="17.149999999999999" customHeight="1" x14ac:dyDescent="0.35">
      <c r="A106" s="168" t="s">
        <v>1192</v>
      </c>
      <c r="B106" s="1518">
        <f>K91</f>
        <v>0</v>
      </c>
      <c r="C106" s="1518">
        <f>J91</f>
        <v>0</v>
      </c>
      <c r="D106" s="1518">
        <f>N91</f>
        <v>0</v>
      </c>
      <c r="E106" s="1518">
        <f>M91</f>
        <v>0</v>
      </c>
      <c r="F106" s="60"/>
      <c r="G106" s="1518">
        <f t="shared" si="20"/>
        <v>0</v>
      </c>
      <c r="H106" s="1518">
        <f t="shared" si="20"/>
        <v>0</v>
      </c>
      <c r="I106" s="3"/>
      <c r="J106" s="107"/>
      <c r="K106" s="3"/>
    </row>
    <row r="107" spans="1:11" s="12" customFormat="1" ht="17.149999999999999" customHeight="1" x14ac:dyDescent="0.35">
      <c r="A107" s="950" t="s">
        <v>208</v>
      </c>
      <c r="B107" s="948">
        <f>SUM(B103:B106)</f>
        <v>11410</v>
      </c>
      <c r="C107" s="948">
        <f>SUM(C103:C106)</f>
        <v>21190</v>
      </c>
      <c r="D107" s="948">
        <f>SUM(D103:D106)</f>
        <v>0</v>
      </c>
      <c r="E107" s="948">
        <f>SUM(E103:E106)</f>
        <v>0</v>
      </c>
      <c r="G107" s="948">
        <f>SUM(G103:G106)</f>
        <v>11410</v>
      </c>
      <c r="H107" s="948">
        <f>SUM(H103:H106)</f>
        <v>21190</v>
      </c>
      <c r="J107" s="93"/>
    </row>
    <row r="108" spans="1:11" ht="17.149999999999999" customHeight="1" x14ac:dyDescent="0.35">
      <c r="A108" s="3"/>
      <c r="B108" s="3"/>
      <c r="C108" s="3"/>
      <c r="D108" s="3"/>
      <c r="E108" s="3"/>
      <c r="F108" s="3"/>
      <c r="G108" s="3"/>
      <c r="H108" s="3"/>
      <c r="I108" s="3"/>
      <c r="J108" s="107"/>
      <c r="K108" s="3"/>
    </row>
    <row r="109" spans="1:11" ht="17.149999999999999" customHeight="1" x14ac:dyDescent="0.35">
      <c r="A109" s="3"/>
      <c r="B109" s="3"/>
      <c r="C109" s="3"/>
      <c r="D109" s="3"/>
      <c r="E109" s="3"/>
      <c r="F109" s="3"/>
      <c r="G109" s="3"/>
      <c r="H109" s="3"/>
      <c r="I109" s="3"/>
      <c r="J109" s="107"/>
      <c r="K109" s="3"/>
    </row>
    <row r="110" spans="1:11" ht="17.149999999999999" customHeight="1" x14ac:dyDescent="0.35">
      <c r="A110" s="3"/>
      <c r="B110" s="3"/>
      <c r="C110" s="3"/>
      <c r="D110" s="3"/>
      <c r="E110" s="3"/>
      <c r="F110" s="3"/>
      <c r="G110" s="3"/>
      <c r="H110" s="3"/>
      <c r="I110" s="3"/>
      <c r="J110" s="107"/>
      <c r="K110" s="3"/>
    </row>
    <row r="111" spans="1:11" ht="17.149999999999999" customHeight="1" x14ac:dyDescent="0.35">
      <c r="A111" s="949" t="s">
        <v>1097</v>
      </c>
      <c r="B111" s="1504" t="s">
        <v>9</v>
      </c>
    </row>
    <row r="112" spans="1:11" s="185" customFormat="1" ht="10.5" x14ac:dyDescent="0.35">
      <c r="A112" s="237"/>
      <c r="B112" s="222"/>
      <c r="C112" s="285"/>
      <c r="D112" s="285"/>
      <c r="E112" s="285"/>
      <c r="F112" s="285"/>
      <c r="G112" s="285"/>
      <c r="H112" s="285"/>
      <c r="I112" s="285"/>
      <c r="J112" s="285"/>
    </row>
    <row r="113" spans="1:10" ht="17.149999999999999" customHeight="1" x14ac:dyDescent="0.35">
      <c r="A113" s="80"/>
      <c r="B113" s="1513" t="s">
        <v>841</v>
      </c>
      <c r="C113" s="107"/>
      <c r="D113" s="107"/>
      <c r="E113" s="107"/>
      <c r="F113" s="107"/>
      <c r="G113" s="107"/>
      <c r="H113" s="107"/>
      <c r="I113" s="107"/>
      <c r="J113" s="107"/>
    </row>
    <row r="114" spans="1:10" s="185" customFormat="1" ht="10.5" x14ac:dyDescent="0.35">
      <c r="A114" s="237"/>
      <c r="B114" s="222"/>
      <c r="C114" s="285"/>
      <c r="D114" s="285"/>
      <c r="E114" s="285"/>
      <c r="F114" s="285"/>
      <c r="G114" s="285"/>
      <c r="H114" s="285"/>
      <c r="I114" s="285"/>
      <c r="J114" s="285"/>
    </row>
    <row r="115" spans="1:10" ht="17.149999999999999" customHeight="1" x14ac:dyDescent="0.35">
      <c r="A115" s="206" t="s">
        <v>1098</v>
      </c>
      <c r="B115" s="207">
        <f>SUM(B116:B117)</f>
        <v>11410</v>
      </c>
      <c r="C115" s="103"/>
      <c r="D115" s="103"/>
      <c r="E115" s="96"/>
      <c r="F115" s="44"/>
      <c r="G115" s="44"/>
      <c r="H115" s="104"/>
      <c r="I115" s="103"/>
      <c r="J115" s="107"/>
    </row>
    <row r="116" spans="1:10" ht="17.149999999999999" customHeight="1" x14ac:dyDescent="0.35">
      <c r="A116" s="149" t="s">
        <v>1129</v>
      </c>
      <c r="B116" s="297">
        <f>B107</f>
        <v>11410</v>
      </c>
      <c r="C116" s="103"/>
      <c r="D116" s="103"/>
      <c r="E116" s="96"/>
      <c r="F116" s="44"/>
      <c r="G116" s="44"/>
      <c r="H116" s="96"/>
      <c r="I116" s="103"/>
      <c r="J116" s="107"/>
    </row>
    <row r="117" spans="1:10" ht="17.149999999999999" customHeight="1" x14ac:dyDescent="0.35">
      <c r="A117" s="149" t="s">
        <v>1130</v>
      </c>
      <c r="B117" s="297">
        <f>D107</f>
        <v>0</v>
      </c>
      <c r="C117" s="103"/>
      <c r="D117" s="103"/>
      <c r="E117" s="96"/>
      <c r="F117" s="44"/>
      <c r="G117" s="44"/>
      <c r="H117" s="96"/>
      <c r="I117" s="44"/>
      <c r="J117" s="107"/>
    </row>
    <row r="118" spans="1:10" ht="17.149999999999999" customHeight="1" x14ac:dyDescent="0.35">
      <c r="A118" s="145"/>
      <c r="B118" s="156"/>
      <c r="C118" s="107"/>
      <c r="D118" s="107"/>
      <c r="E118" s="107"/>
      <c r="F118" s="107"/>
      <c r="G118" s="107"/>
      <c r="H118" s="107"/>
      <c r="I118" s="107"/>
      <c r="J118" s="107"/>
    </row>
    <row r="119" spans="1:10" ht="17.149999999999999" customHeight="1" x14ac:dyDescent="0.35">
      <c r="A119" s="208" t="s">
        <v>1101</v>
      </c>
      <c r="B119" s="209">
        <f>SUM(B120:B121)</f>
        <v>21190</v>
      </c>
      <c r="C119" s="107"/>
      <c r="D119" s="107"/>
      <c r="E119" s="107"/>
      <c r="F119" s="107"/>
      <c r="G119" s="107"/>
      <c r="H119" s="107"/>
      <c r="I119" s="107"/>
      <c r="J119" s="107"/>
    </row>
    <row r="120" spans="1:10" ht="17.149999999999999" customHeight="1" x14ac:dyDescent="0.35">
      <c r="A120" s="149" t="s">
        <v>1131</v>
      </c>
      <c r="B120" s="297">
        <f>C107</f>
        <v>21190</v>
      </c>
      <c r="C120" s="107"/>
      <c r="D120" s="107"/>
      <c r="E120" s="107"/>
      <c r="F120" s="107"/>
      <c r="G120" s="107"/>
      <c r="H120" s="107"/>
      <c r="I120" s="107"/>
      <c r="J120" s="107"/>
    </row>
    <row r="121" spans="1:10" ht="17.149999999999999" customHeight="1" x14ac:dyDescent="0.35">
      <c r="A121" s="149" t="s">
        <v>1132</v>
      </c>
      <c r="B121" s="297">
        <f>E107</f>
        <v>0</v>
      </c>
    </row>
    <row r="122" spans="1:10" ht="17.149999999999999" customHeight="1" x14ac:dyDescent="0.35">
      <c r="A122" s="107"/>
      <c r="B122" s="196"/>
    </row>
    <row r="123" spans="1:10" ht="17.149999999999999" customHeight="1" x14ac:dyDescent="0.35">
      <c r="A123" s="212" t="s">
        <v>1095</v>
      </c>
      <c r="B123" s="28">
        <f>B115+B119</f>
        <v>32600</v>
      </c>
      <c r="E123" s="19"/>
    </row>
    <row r="124" spans="1:10" ht="17.149999999999999" customHeight="1" x14ac:dyDescent="0.35">
      <c r="A124" s="194"/>
      <c r="B124" s="205">
        <f>'FS_Transport volumes'!B115+'FS_Transport volumes'!B118</f>
        <v>32600</v>
      </c>
    </row>
    <row r="125" spans="1:10" ht="17.149999999999999" customHeight="1" x14ac:dyDescent="0.35">
      <c r="A125" s="11"/>
      <c r="B125" s="1519" t="str">
        <f>IF(B123=B124,"OK","Not OK")</f>
        <v>OK</v>
      </c>
    </row>
  </sheetData>
  <sheetProtection password="C8C1" sheet="1" objects="1" scenarios="1" selectLockedCells="1"/>
  <mergeCells count="112">
    <mergeCell ref="G100:H100"/>
    <mergeCell ref="J56:K56"/>
    <mergeCell ref="M56:N56"/>
    <mergeCell ref="G57:H57"/>
    <mergeCell ref="J57:K57"/>
    <mergeCell ref="M57:N57"/>
    <mergeCell ref="G64:H64"/>
    <mergeCell ref="I64:I65"/>
    <mergeCell ref="J64:J65"/>
    <mergeCell ref="K64:K65"/>
    <mergeCell ref="L64:L65"/>
    <mergeCell ref="M64:M65"/>
    <mergeCell ref="N64:N65"/>
    <mergeCell ref="G75:H75"/>
    <mergeCell ref="J75:K75"/>
    <mergeCell ref="M75:N75"/>
    <mergeCell ref="G74:H74"/>
    <mergeCell ref="J74:K74"/>
    <mergeCell ref="C48:D48"/>
    <mergeCell ref="C49:D49"/>
    <mergeCell ref="C54:D54"/>
    <mergeCell ref="C55:D55"/>
    <mergeCell ref="G56:H56"/>
    <mergeCell ref="C50:D50"/>
    <mergeCell ref="C51:D51"/>
    <mergeCell ref="C52:D52"/>
    <mergeCell ref="C53:D53"/>
    <mergeCell ref="A24:A25"/>
    <mergeCell ref="B24:B25"/>
    <mergeCell ref="C24:D25"/>
    <mergeCell ref="E24:E25"/>
    <mergeCell ref="F24:F25"/>
    <mergeCell ref="L42:L43"/>
    <mergeCell ref="M42:M43"/>
    <mergeCell ref="N42:N43"/>
    <mergeCell ref="C45:D45"/>
    <mergeCell ref="C28:D28"/>
    <mergeCell ref="C29:D29"/>
    <mergeCell ref="C30:D30"/>
    <mergeCell ref="A42:A43"/>
    <mergeCell ref="B42:B43"/>
    <mergeCell ref="AB24:AD24"/>
    <mergeCell ref="C27:D27"/>
    <mergeCell ref="I24:I25"/>
    <mergeCell ref="J24:J25"/>
    <mergeCell ref="K24:K25"/>
    <mergeCell ref="L24:L25"/>
    <mergeCell ref="M24:M25"/>
    <mergeCell ref="G24:H24"/>
    <mergeCell ref="N24:N25"/>
    <mergeCell ref="W24:Z24"/>
    <mergeCell ref="P24:U24"/>
    <mergeCell ref="C46:D46"/>
    <mergeCell ref="C47:D47"/>
    <mergeCell ref="M34:N34"/>
    <mergeCell ref="G35:H35"/>
    <mergeCell ref="J35:K35"/>
    <mergeCell ref="M35:N35"/>
    <mergeCell ref="C31:D31"/>
    <mergeCell ref="C32:D32"/>
    <mergeCell ref="C33:D33"/>
    <mergeCell ref="G34:H34"/>
    <mergeCell ref="J34:K34"/>
    <mergeCell ref="C42:D43"/>
    <mergeCell ref="E42:E43"/>
    <mergeCell ref="F42:F43"/>
    <mergeCell ref="G42:H42"/>
    <mergeCell ref="I42:I43"/>
    <mergeCell ref="J42:J43"/>
    <mergeCell ref="K42:K43"/>
    <mergeCell ref="C69:D69"/>
    <mergeCell ref="C70:D70"/>
    <mergeCell ref="C71:D71"/>
    <mergeCell ref="A64:A65"/>
    <mergeCell ref="B64:B65"/>
    <mergeCell ref="C64:D65"/>
    <mergeCell ref="E64:E65"/>
    <mergeCell ref="F64:F65"/>
    <mergeCell ref="A100:A101"/>
    <mergeCell ref="B100:C100"/>
    <mergeCell ref="D100:E100"/>
    <mergeCell ref="A82:A83"/>
    <mergeCell ref="B82:B83"/>
    <mergeCell ref="C82:D83"/>
    <mergeCell ref="E82:E83"/>
    <mergeCell ref="F82:F83"/>
    <mergeCell ref="C72:D72"/>
    <mergeCell ref="C73:D73"/>
    <mergeCell ref="P42:U42"/>
    <mergeCell ref="J92:K92"/>
    <mergeCell ref="M92:N92"/>
    <mergeCell ref="G93:H93"/>
    <mergeCell ref="J93:K93"/>
    <mergeCell ref="M93:N93"/>
    <mergeCell ref="C88:D88"/>
    <mergeCell ref="C89:D89"/>
    <mergeCell ref="C90:D90"/>
    <mergeCell ref="C91:D91"/>
    <mergeCell ref="G92:H92"/>
    <mergeCell ref="M82:M83"/>
    <mergeCell ref="N82:N83"/>
    <mergeCell ref="C85:D85"/>
    <mergeCell ref="C86:D86"/>
    <mergeCell ref="C87:D87"/>
    <mergeCell ref="G82:H82"/>
    <mergeCell ref="I82:I83"/>
    <mergeCell ref="J82:J83"/>
    <mergeCell ref="K82:K83"/>
    <mergeCell ref="L82:L83"/>
    <mergeCell ref="M74:N74"/>
    <mergeCell ref="C67:D67"/>
    <mergeCell ref="C68:D68"/>
  </mergeCells>
  <conditionalFormatting sqref="B37">
    <cfRule type="expression" dxfId="88" priority="82">
      <formula>B36&lt;0</formula>
    </cfRule>
    <cfRule type="expression" dxfId="87" priority="83">
      <formula>B36&gt;0</formula>
    </cfRule>
    <cfRule type="expression" dxfId="86" priority="84">
      <formula>B36=0</formula>
    </cfRule>
  </conditionalFormatting>
  <conditionalFormatting sqref="G35:H35">
    <cfRule type="expression" dxfId="85" priority="79">
      <formula>G34&gt;F34</formula>
    </cfRule>
    <cfRule type="expression" dxfId="84" priority="80">
      <formula>G34&lt;F34</formula>
    </cfRule>
    <cfRule type="expression" dxfId="83" priority="81">
      <formula>G34=F34</formula>
    </cfRule>
  </conditionalFormatting>
  <conditionalFormatting sqref="J35">
    <cfRule type="expression" dxfId="82" priority="85">
      <formula>J34&lt;G33</formula>
    </cfRule>
    <cfRule type="expression" dxfId="81" priority="86">
      <formula>J34&gt;G33</formula>
    </cfRule>
    <cfRule type="expression" dxfId="80" priority="87">
      <formula>J34=G33</formula>
    </cfRule>
  </conditionalFormatting>
  <conditionalFormatting sqref="B125">
    <cfRule type="expression" dxfId="79" priority="37">
      <formula>B124&lt;B123</formula>
    </cfRule>
    <cfRule type="expression" dxfId="78" priority="38">
      <formula>B124&gt;B123</formula>
    </cfRule>
    <cfRule type="expression" dxfId="77" priority="39">
      <formula>B124=B123</formula>
    </cfRule>
  </conditionalFormatting>
  <conditionalFormatting sqref="M35">
    <cfRule type="expression" dxfId="76" priority="316">
      <formula>M34&lt;H33</formula>
    </cfRule>
    <cfRule type="expression" dxfId="75" priority="317">
      <formula>M34&gt;H33</formula>
    </cfRule>
    <cfRule type="expression" dxfId="74" priority="318">
      <formula>M34=H33</formula>
    </cfRule>
  </conditionalFormatting>
  <conditionalFormatting sqref="B59">
    <cfRule type="expression" dxfId="73" priority="28">
      <formula>B58&lt;0</formula>
    </cfRule>
    <cfRule type="expression" dxfId="72" priority="29">
      <formula>B58&gt;0</formula>
    </cfRule>
    <cfRule type="expression" dxfId="71" priority="30">
      <formula>B58=0</formula>
    </cfRule>
  </conditionalFormatting>
  <conditionalFormatting sqref="G57:H57">
    <cfRule type="expression" dxfId="70" priority="25">
      <formula>G56&gt;F56</formula>
    </cfRule>
    <cfRule type="expression" dxfId="69" priority="26">
      <formula>G56&lt;F56</formula>
    </cfRule>
    <cfRule type="expression" dxfId="68" priority="27">
      <formula>G56=F56</formula>
    </cfRule>
  </conditionalFormatting>
  <conditionalFormatting sqref="J57">
    <cfRule type="expression" dxfId="67" priority="31">
      <formula>J56&lt;G55</formula>
    </cfRule>
    <cfRule type="expression" dxfId="66" priority="32">
      <formula>J56&gt;G55</formula>
    </cfRule>
    <cfRule type="expression" dxfId="65" priority="33">
      <formula>J56=G55</formula>
    </cfRule>
  </conditionalFormatting>
  <conditionalFormatting sqref="M57">
    <cfRule type="expression" dxfId="64" priority="34">
      <formula>M56&lt;H55</formula>
    </cfRule>
    <cfRule type="expression" dxfId="63" priority="35">
      <formula>M56&gt;H55</formula>
    </cfRule>
    <cfRule type="expression" dxfId="62" priority="36">
      <formula>M56=H55</formula>
    </cfRule>
  </conditionalFormatting>
  <conditionalFormatting sqref="B77">
    <cfRule type="expression" dxfId="61" priority="16">
      <formula>B76&lt;0</formula>
    </cfRule>
    <cfRule type="expression" dxfId="60" priority="17">
      <formula>B76&gt;0</formula>
    </cfRule>
    <cfRule type="expression" dxfId="59" priority="18">
      <formula>B76=0</formula>
    </cfRule>
  </conditionalFormatting>
  <conditionalFormatting sqref="G75:H75">
    <cfRule type="expression" dxfId="58" priority="13">
      <formula>G74&gt;F74</formula>
    </cfRule>
    <cfRule type="expression" dxfId="57" priority="14">
      <formula>G74&lt;F74</formula>
    </cfRule>
    <cfRule type="expression" dxfId="56" priority="15">
      <formula>G74=F74</formula>
    </cfRule>
  </conditionalFormatting>
  <conditionalFormatting sqref="J75">
    <cfRule type="expression" dxfId="55" priority="19">
      <formula>J74&lt;G73</formula>
    </cfRule>
    <cfRule type="expression" dxfId="54" priority="20">
      <formula>J74&gt;G73</formula>
    </cfRule>
    <cfRule type="expression" dxfId="53" priority="21">
      <formula>J74=G73</formula>
    </cfRule>
  </conditionalFormatting>
  <conditionalFormatting sqref="B95">
    <cfRule type="expression" dxfId="52" priority="7">
      <formula>B94&lt;0</formula>
    </cfRule>
    <cfRule type="expression" dxfId="51" priority="8">
      <formula>B94&gt;0</formula>
    </cfRule>
    <cfRule type="expression" dxfId="50" priority="9">
      <formula>B94=0</formula>
    </cfRule>
  </conditionalFormatting>
  <conditionalFormatting sqref="G93:H93">
    <cfRule type="expression" dxfId="49" priority="4">
      <formula>G92&gt;F92</formula>
    </cfRule>
    <cfRule type="expression" dxfId="48" priority="5">
      <formula>G92&lt;F92</formula>
    </cfRule>
    <cfRule type="expression" dxfId="47" priority="6">
      <formula>G92=F92</formula>
    </cfRule>
  </conditionalFormatting>
  <conditionalFormatting sqref="J93">
    <cfRule type="expression" dxfId="46" priority="10">
      <formula>J92&lt;G91</formula>
    </cfRule>
    <cfRule type="expression" dxfId="45" priority="11">
      <formula>J92&gt;G91</formula>
    </cfRule>
    <cfRule type="expression" dxfId="44" priority="12">
      <formula>J92=G91</formula>
    </cfRule>
  </conditionalFormatting>
  <conditionalFormatting sqref="M75 M93">
    <cfRule type="expression" dxfId="43" priority="22">
      <formula>M74&lt;H73</formula>
    </cfRule>
    <cfRule type="expression" dxfId="42" priority="23">
      <formula>M74&gt;H73</formula>
    </cfRule>
    <cfRule type="expression" dxfId="41" priority="24">
      <formula>M74=H73</formula>
    </cfRule>
  </conditionalFormatting>
  <conditionalFormatting sqref="H10">
    <cfRule type="expression" dxfId="40" priority="1">
      <formula>H9&lt;0</formula>
    </cfRule>
    <cfRule type="expression" dxfId="39" priority="2">
      <formula>H9&gt;0</formula>
    </cfRule>
    <cfRule type="expression" dxfId="38" priority="3">
      <formula>H9=0</formula>
    </cfRule>
  </conditionalFormatting>
  <dataValidations count="1">
    <dataValidation type="list" allowBlank="1" showInputMessage="1" showErrorMessage="1" sqref="B14">
      <formula1>Transportoptions</formula1>
    </dataValidation>
  </dataValidations>
  <pageMargins left="0.7" right="0.7" top="0.75" bottom="0.75" header="0.3" footer="0.3"/>
  <pageSetup paperSize="9" orientation="portrait" horizontalDpi="4294967294"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theme="5"/>
  </sheetPr>
  <dimension ref="A1:AJ215"/>
  <sheetViews>
    <sheetView zoomScale="90" zoomScaleNormal="90" workbookViewId="0">
      <selection activeCell="A3" sqref="A3"/>
    </sheetView>
  </sheetViews>
  <sheetFormatPr defaultColWidth="9.1796875" defaultRowHeight="14.5" x14ac:dyDescent="0.35"/>
  <cols>
    <col min="1" max="1" width="60.7265625" style="17" customWidth="1"/>
    <col min="2" max="34" width="16.7265625" style="17" customWidth="1"/>
    <col min="35" max="16384" width="9.1796875" style="17"/>
  </cols>
  <sheetData>
    <row r="1" spans="1:26" s="63" customFormat="1" ht="18.5" x14ac:dyDescent="0.35">
      <c r="A1" s="13" t="str">
        <f>'User interface_RES'!AJ11</f>
        <v>Any city in , the world</v>
      </c>
    </row>
    <row r="2" spans="1:26" s="185" customFormat="1" ht="11.25" customHeight="1" x14ac:dyDescent="0.35">
      <c r="B2" s="237"/>
    </row>
    <row r="3" spans="1:26" ht="26" x14ac:dyDescent="0.35">
      <c r="A3" s="182" t="s">
        <v>1193</v>
      </c>
      <c r="B3" s="13"/>
    </row>
    <row r="4" spans="1:26" s="3" customFormat="1" ht="17.149999999999999" customHeight="1" x14ac:dyDescent="0.35">
      <c r="B4" s="1320"/>
      <c r="C4" s="4"/>
      <c r="D4" s="4"/>
      <c r="E4" s="4"/>
      <c r="F4" s="4"/>
      <c r="G4" s="4"/>
      <c r="H4" s="4"/>
      <c r="I4" s="4"/>
      <c r="J4" s="4"/>
      <c r="K4" s="4"/>
      <c r="L4" s="4"/>
      <c r="M4" s="4"/>
      <c r="N4" s="4"/>
      <c r="O4" s="4"/>
      <c r="P4" s="4"/>
      <c r="Q4" s="4"/>
      <c r="R4" s="4"/>
      <c r="S4" s="4"/>
      <c r="T4" s="4"/>
      <c r="U4" s="4"/>
      <c r="V4" s="4"/>
    </row>
    <row r="5" spans="1:26" s="3" customFormat="1" ht="17.149999999999999" customHeight="1" x14ac:dyDescent="0.35">
      <c r="B5" s="4"/>
      <c r="C5" s="4"/>
      <c r="D5" s="4"/>
      <c r="E5" s="4"/>
      <c r="F5" s="4"/>
      <c r="G5" s="4"/>
      <c r="H5" s="4"/>
      <c r="I5" s="4"/>
      <c r="J5" s="4"/>
      <c r="K5" s="4"/>
      <c r="L5" s="4"/>
      <c r="M5" s="4"/>
      <c r="N5" s="4"/>
      <c r="O5" s="4"/>
      <c r="P5" s="4"/>
      <c r="Q5" s="4"/>
      <c r="R5" s="4"/>
      <c r="S5" s="4"/>
      <c r="T5" s="4"/>
      <c r="U5" s="4"/>
      <c r="V5" s="4"/>
    </row>
    <row r="6" spans="1:26" ht="18" customHeight="1" x14ac:dyDescent="0.35">
      <c r="A6" s="137"/>
      <c r="B6" s="1505" t="s">
        <v>9</v>
      </c>
      <c r="C6" s="1313"/>
    </row>
    <row r="7" spans="1:26" s="185" customFormat="1" ht="10.5" x14ac:dyDescent="0.25">
      <c r="A7" s="237"/>
      <c r="B7" s="222"/>
      <c r="C7" s="287"/>
    </row>
    <row r="8" spans="1:26" ht="18" customHeight="1" x14ac:dyDescent="0.3">
      <c r="A8" s="230" t="s">
        <v>1134</v>
      </c>
      <c r="B8" s="288">
        <f>B10+B14</f>
        <v>32600</v>
      </c>
      <c r="C8" s="137"/>
      <c r="D8" s="231" t="s">
        <v>793</v>
      </c>
      <c r="O8" s="64"/>
      <c r="P8" s="3"/>
      <c r="Q8" s="3"/>
      <c r="R8" s="3"/>
      <c r="S8" s="3"/>
      <c r="T8" s="47"/>
      <c r="U8" s="54"/>
      <c r="V8" s="65"/>
      <c r="W8" s="64"/>
      <c r="X8" s="47"/>
      <c r="Y8" s="47"/>
      <c r="Z8" s="64"/>
    </row>
    <row r="9" spans="1:26" ht="18" customHeight="1" x14ac:dyDescent="0.3">
      <c r="A9" s="2"/>
      <c r="C9" s="137"/>
      <c r="D9" s="47"/>
      <c r="O9" s="64"/>
      <c r="P9" s="3"/>
      <c r="Q9" s="3"/>
      <c r="R9" s="3"/>
      <c r="S9" s="3"/>
      <c r="T9" s="47"/>
      <c r="U9" s="54"/>
      <c r="V9" s="65"/>
      <c r="W9" s="64"/>
      <c r="X9" s="47"/>
      <c r="Y9" s="47"/>
      <c r="Z9" s="64"/>
    </row>
    <row r="10" spans="1:26" ht="18" customHeight="1" x14ac:dyDescent="0.3">
      <c r="A10" s="206" t="s">
        <v>1135</v>
      </c>
      <c r="B10" s="207">
        <f>SUM(B11:B12)</f>
        <v>11410</v>
      </c>
      <c r="C10" s="137"/>
      <c r="D10" s="47"/>
      <c r="H10" s="205">
        <f>'FS_Treatment volumes'!B10</f>
        <v>11410</v>
      </c>
      <c r="O10" s="64"/>
      <c r="P10" s="3"/>
      <c r="Q10" s="3"/>
      <c r="R10" s="3"/>
      <c r="S10" s="3"/>
      <c r="T10" s="47"/>
      <c r="U10" s="54"/>
      <c r="V10" s="65"/>
      <c r="W10" s="64"/>
      <c r="X10" s="47"/>
      <c r="Y10" s="47"/>
      <c r="Z10" s="64"/>
    </row>
    <row r="11" spans="1:26" ht="18" customHeight="1" x14ac:dyDescent="0.3">
      <c r="A11" s="945" t="s">
        <v>1136</v>
      </c>
      <c r="B11" s="946">
        <f>B200</f>
        <v>11410</v>
      </c>
      <c r="C11" s="137"/>
      <c r="D11" s="47"/>
      <c r="H11" s="53">
        <f>B10-H10</f>
        <v>0</v>
      </c>
      <c r="O11" s="64"/>
      <c r="P11" s="3"/>
      <c r="Q11" s="3"/>
      <c r="R11" s="3"/>
      <c r="S11" s="3"/>
      <c r="T11" s="47"/>
      <c r="U11" s="54"/>
      <c r="V11" s="65"/>
      <c r="W11" s="64"/>
      <c r="X11" s="47"/>
      <c r="Y11" s="47"/>
      <c r="Z11" s="64"/>
    </row>
    <row r="12" spans="1:26" ht="18" customHeight="1" x14ac:dyDescent="0.3">
      <c r="A12" s="945" t="s">
        <v>1137</v>
      </c>
      <c r="B12" s="946">
        <f>B202</f>
        <v>0</v>
      </c>
      <c r="C12" s="137"/>
      <c r="D12" s="3"/>
      <c r="H12" s="1519" t="str">
        <f>IF(H11=0,"OK","Not OK")</f>
        <v>OK</v>
      </c>
      <c r="O12" s="3"/>
      <c r="P12" s="3"/>
      <c r="Q12" s="3"/>
      <c r="R12" s="3"/>
      <c r="S12" s="3"/>
      <c r="T12" s="3"/>
      <c r="U12" s="3"/>
      <c r="V12" s="3"/>
      <c r="W12" s="3"/>
      <c r="X12" s="3"/>
      <c r="Y12" s="3"/>
      <c r="Z12" s="3"/>
    </row>
    <row r="13" spans="1:26" ht="18" customHeight="1" x14ac:dyDescent="0.3">
      <c r="A13" s="306"/>
      <c r="B13" s="307"/>
      <c r="C13" s="137"/>
      <c r="D13" s="3"/>
      <c r="E13" s="56"/>
      <c r="F13" s="57"/>
      <c r="G13" s="57"/>
      <c r="H13" s="57"/>
      <c r="I13" s="57"/>
      <c r="J13" s="57"/>
      <c r="K13" s="57"/>
      <c r="L13" s="57"/>
      <c r="M13" s="57"/>
      <c r="N13" s="57"/>
      <c r="O13" s="3"/>
      <c r="P13" s="3"/>
      <c r="Q13" s="3"/>
      <c r="R13" s="3"/>
      <c r="S13" s="3"/>
      <c r="T13" s="3"/>
      <c r="U13" s="3"/>
      <c r="V13" s="3"/>
      <c r="W13" s="3"/>
      <c r="X13" s="3"/>
      <c r="Y13" s="3"/>
      <c r="Z13" s="3"/>
    </row>
    <row r="14" spans="1:26" ht="18" customHeight="1" x14ac:dyDescent="0.3">
      <c r="A14" s="208" t="s">
        <v>1138</v>
      </c>
      <c r="B14" s="209">
        <f>SUM(B15:B16)</f>
        <v>21190</v>
      </c>
      <c r="C14" s="137"/>
      <c r="D14" s="3"/>
      <c r="E14" s="56"/>
      <c r="F14" s="57"/>
      <c r="G14" s="57"/>
      <c r="H14" s="57"/>
      <c r="I14" s="57"/>
      <c r="J14" s="57"/>
      <c r="K14" s="57"/>
      <c r="L14" s="57"/>
      <c r="M14" s="57"/>
      <c r="N14" s="57"/>
      <c r="O14" s="3"/>
      <c r="P14" s="3"/>
      <c r="Q14" s="3"/>
      <c r="R14" s="3"/>
      <c r="S14" s="3"/>
      <c r="T14" s="3"/>
      <c r="U14" s="3"/>
      <c r="V14" s="3"/>
      <c r="W14" s="3"/>
      <c r="X14" s="3"/>
      <c r="Y14" s="3"/>
      <c r="Z14" s="3"/>
    </row>
    <row r="15" spans="1:26" ht="18" customHeight="1" x14ac:dyDescent="0.3">
      <c r="A15" s="945" t="s">
        <v>1139</v>
      </c>
      <c r="B15" s="946">
        <f>B204</f>
        <v>21190</v>
      </c>
      <c r="C15" s="137"/>
      <c r="D15" s="3"/>
      <c r="E15" s="3"/>
      <c r="F15" s="3"/>
      <c r="G15" s="3"/>
      <c r="H15" s="3"/>
      <c r="I15" s="84"/>
      <c r="J15" s="84"/>
      <c r="K15" s="84"/>
      <c r="L15" s="84"/>
      <c r="M15" s="84"/>
      <c r="N15" s="84"/>
      <c r="O15" s="3"/>
      <c r="P15" s="3"/>
      <c r="Q15" s="3"/>
      <c r="R15" s="3"/>
      <c r="S15" s="3"/>
      <c r="T15" s="3"/>
      <c r="U15" s="3"/>
      <c r="V15" s="3"/>
      <c r="W15" s="3"/>
      <c r="X15" s="3"/>
      <c r="Y15" s="3"/>
      <c r="Z15" s="3"/>
    </row>
    <row r="16" spans="1:26" ht="18" customHeight="1" x14ac:dyDescent="0.35">
      <c r="A16" s="945" t="s">
        <v>1140</v>
      </c>
      <c r="B16" s="946">
        <f>B206</f>
        <v>0</v>
      </c>
      <c r="C16" s="3"/>
      <c r="D16" s="3"/>
      <c r="E16" s="3"/>
      <c r="F16" s="3"/>
      <c r="G16" s="3"/>
      <c r="H16" s="3"/>
      <c r="I16" s="84"/>
      <c r="J16" s="84"/>
      <c r="K16" s="84"/>
      <c r="L16" s="84"/>
      <c r="M16" s="84"/>
      <c r="N16" s="84"/>
      <c r="O16" s="3"/>
      <c r="P16" s="3"/>
      <c r="Q16" s="3"/>
      <c r="R16" s="3"/>
      <c r="S16" s="3"/>
      <c r="T16" s="3"/>
      <c r="U16" s="3"/>
      <c r="V16" s="3"/>
      <c r="W16" s="3"/>
      <c r="X16" s="3"/>
      <c r="Y16" s="3"/>
      <c r="Z16" s="3"/>
    </row>
    <row r="17" spans="1:36" s="60" customFormat="1" ht="17.149999999999999" customHeight="1" x14ac:dyDescent="0.35">
      <c r="A17" s="338"/>
      <c r="B17" s="339"/>
      <c r="I17" s="340"/>
      <c r="J17" s="340"/>
      <c r="K17" s="340"/>
      <c r="L17" s="340"/>
      <c r="M17" s="340"/>
      <c r="N17" s="340"/>
    </row>
    <row r="18" spans="1:36" s="60" customFormat="1" ht="17.149999999999999" customHeight="1" x14ac:dyDescent="0.35">
      <c r="A18" s="338"/>
      <c r="B18" s="339"/>
      <c r="I18" s="340"/>
      <c r="J18" s="340"/>
      <c r="K18" s="340"/>
      <c r="L18" s="340"/>
      <c r="M18" s="340"/>
      <c r="N18" s="340"/>
    </row>
    <row r="19" spans="1:36" s="60" customFormat="1" ht="17.149999999999999" customHeight="1" x14ac:dyDescent="0.35">
      <c r="A19" s="338"/>
      <c r="B19" s="339"/>
      <c r="I19" s="340"/>
      <c r="J19" s="340"/>
      <c r="K19" s="340"/>
      <c r="L19" s="340"/>
      <c r="M19" s="340"/>
      <c r="N19" s="340"/>
    </row>
    <row r="20" spans="1:36" ht="17.149999999999999" customHeight="1" x14ac:dyDescent="0.35">
      <c r="A20" s="183" t="s">
        <v>977</v>
      </c>
      <c r="B20" s="117"/>
      <c r="C20" s="3"/>
      <c r="D20" s="3"/>
      <c r="E20" s="3"/>
      <c r="F20" s="3"/>
      <c r="G20" s="3"/>
      <c r="H20" s="3"/>
      <c r="I20" s="84"/>
      <c r="J20" s="84"/>
      <c r="K20" s="84"/>
      <c r="L20" s="84"/>
      <c r="M20" s="84"/>
      <c r="N20" s="84"/>
      <c r="O20" s="3"/>
      <c r="P20" s="3"/>
      <c r="Q20" s="3"/>
      <c r="R20" s="3"/>
      <c r="S20" s="3"/>
      <c r="T20" s="3"/>
      <c r="U20" s="3"/>
      <c r="V20" s="3"/>
      <c r="W20" s="3"/>
      <c r="X20" s="3"/>
      <c r="Y20" s="3"/>
      <c r="Z20" s="3"/>
    </row>
    <row r="21" spans="1:36" ht="17.149999999999999" customHeight="1" x14ac:dyDescent="0.35">
      <c r="A21" s="47"/>
      <c r="B21" s="117"/>
      <c r="C21" s="3"/>
      <c r="D21" s="3"/>
      <c r="E21" s="3"/>
      <c r="F21" s="3"/>
      <c r="G21" s="3"/>
      <c r="H21" s="3"/>
      <c r="I21" s="84"/>
      <c r="J21" s="84"/>
      <c r="K21" s="84"/>
      <c r="L21" s="84"/>
      <c r="M21" s="84"/>
      <c r="N21" s="84"/>
      <c r="O21" s="3"/>
      <c r="P21" s="3"/>
      <c r="Q21" s="3"/>
      <c r="R21" s="3"/>
      <c r="S21" s="3"/>
      <c r="T21" s="3"/>
      <c r="U21" s="3"/>
      <c r="V21" s="3"/>
      <c r="W21" s="3"/>
      <c r="X21" s="3"/>
      <c r="Y21" s="3"/>
      <c r="Z21" s="3"/>
    </row>
    <row r="22" spans="1:36" ht="17.149999999999999" customHeight="1" x14ac:dyDescent="0.35">
      <c r="A22" s="324" t="s">
        <v>1141</v>
      </c>
      <c r="B22" s="323"/>
      <c r="C22" s="3"/>
      <c r="D22" s="3"/>
      <c r="E22" s="3"/>
      <c r="F22" s="3"/>
      <c r="G22" s="3"/>
      <c r="H22" s="3"/>
      <c r="I22" s="84"/>
      <c r="J22" s="84"/>
      <c r="K22" s="84"/>
      <c r="L22" s="84"/>
      <c r="M22" s="84"/>
      <c r="N22" s="84"/>
      <c r="O22" s="3"/>
      <c r="P22" s="3"/>
      <c r="Q22" s="3"/>
      <c r="R22" s="3"/>
      <c r="S22" s="3"/>
      <c r="T22" s="3"/>
      <c r="U22" s="3"/>
      <c r="V22" s="3"/>
      <c r="W22" s="3"/>
      <c r="X22" s="3"/>
      <c r="Y22" s="3"/>
      <c r="Z22" s="3"/>
    </row>
    <row r="23" spans="1:36" ht="17.149999999999999" customHeight="1" x14ac:dyDescent="0.35">
      <c r="A23" s="3"/>
      <c r="B23" s="117"/>
      <c r="C23" s="3"/>
      <c r="D23" s="3"/>
      <c r="E23" s="3"/>
      <c r="F23" s="3"/>
      <c r="G23" s="3"/>
      <c r="H23" s="3"/>
      <c r="I23" s="84"/>
      <c r="J23" s="84"/>
      <c r="K23" s="84"/>
      <c r="L23" s="84"/>
      <c r="M23" s="84"/>
      <c r="N23" s="84"/>
      <c r="O23" s="3"/>
      <c r="P23" s="3"/>
      <c r="Q23" s="3"/>
      <c r="R23" s="3"/>
      <c r="S23" s="3"/>
      <c r="T23" s="3"/>
      <c r="U23" s="3"/>
      <c r="V23" s="3"/>
      <c r="W23" s="3"/>
      <c r="X23" s="3"/>
      <c r="Y23" s="3"/>
      <c r="Z23" s="3"/>
      <c r="AA23" s="3"/>
      <c r="AB23" s="3"/>
    </row>
    <row r="24" spans="1:36" ht="17.149999999999999" customHeight="1" x14ac:dyDescent="0.35">
      <c r="A24" s="949" t="s">
        <v>1142</v>
      </c>
      <c r="B24" s="1777" t="s">
        <v>9</v>
      </c>
      <c r="C24" s="1777"/>
      <c r="D24" s="3"/>
      <c r="E24" s="3"/>
      <c r="F24" s="3"/>
      <c r="G24" s="3"/>
      <c r="H24" s="3"/>
      <c r="I24" s="84"/>
      <c r="J24" s="84"/>
      <c r="K24" s="84"/>
      <c r="L24" s="84"/>
      <c r="M24" s="84"/>
      <c r="N24" s="84"/>
      <c r="O24" s="3"/>
      <c r="P24" s="3"/>
      <c r="Q24" s="3"/>
      <c r="R24" s="3"/>
      <c r="S24" s="3"/>
      <c r="T24" s="3"/>
      <c r="U24" s="3"/>
      <c r="V24" s="3"/>
      <c r="W24" s="3"/>
      <c r="X24" s="3"/>
      <c r="Y24" s="3"/>
      <c r="Z24" s="3"/>
      <c r="AA24" s="3"/>
      <c r="AB24" s="3"/>
    </row>
    <row r="25" spans="1:36" ht="17.149999999999999" customHeight="1" x14ac:dyDescent="0.35">
      <c r="A25" s="3"/>
      <c r="B25" s="117"/>
      <c r="C25" s="3"/>
      <c r="D25" s="1797" t="s">
        <v>509</v>
      </c>
      <c r="E25" s="1805"/>
      <c r="F25" s="1805"/>
      <c r="G25" s="1805"/>
      <c r="H25" s="1805"/>
      <c r="I25" s="1805"/>
      <c r="J25" s="1805"/>
      <c r="K25" s="1805"/>
      <c r="L25" s="1805"/>
      <c r="M25" s="1805"/>
      <c r="N25" s="1798"/>
      <c r="O25" s="3"/>
      <c r="P25" s="1784" t="s">
        <v>510</v>
      </c>
      <c r="Q25" s="1784"/>
      <c r="R25" s="1784"/>
      <c r="S25" s="1784"/>
      <c r="T25" s="1784"/>
      <c r="U25" s="1784"/>
      <c r="V25" s="1784"/>
      <c r="W25" s="1784"/>
      <c r="X25" s="1784"/>
      <c r="Y25" s="1784"/>
      <c r="Z25" s="1784"/>
      <c r="AA25" s="3"/>
      <c r="AB25" s="1784" t="s">
        <v>1107</v>
      </c>
      <c r="AC25" s="1784"/>
      <c r="AD25" s="1784"/>
      <c r="AE25" s="1784"/>
      <c r="AF25" s="1784"/>
      <c r="AG25" s="329"/>
      <c r="AH25" s="78"/>
      <c r="AI25" s="78"/>
      <c r="AJ25" s="78"/>
    </row>
    <row r="26" spans="1:36" s="11" customFormat="1" ht="17.149999999999999" customHeight="1" x14ac:dyDescent="0.35">
      <c r="A26" s="1808" t="s">
        <v>513</v>
      </c>
      <c r="B26" s="1764" t="s">
        <v>1143</v>
      </c>
      <c r="C26" s="1764" t="s">
        <v>1144</v>
      </c>
      <c r="D26" s="1784" t="s">
        <v>522</v>
      </c>
      <c r="E26" s="1784"/>
      <c r="F26" s="1784"/>
      <c r="G26" s="1784"/>
      <c r="H26" s="1784"/>
      <c r="I26" s="1784"/>
      <c r="J26" s="1784" t="s">
        <v>1145</v>
      </c>
      <c r="K26" s="1784"/>
      <c r="L26" s="1784"/>
      <c r="M26" s="1784"/>
      <c r="N26" s="1784"/>
      <c r="P26" s="1784" t="s">
        <v>522</v>
      </c>
      <c r="Q26" s="1784"/>
      <c r="R26" s="1784"/>
      <c r="S26" s="1784"/>
      <c r="T26" s="1784"/>
      <c r="U26" s="1784"/>
      <c r="V26" s="1784" t="s">
        <v>1145</v>
      </c>
      <c r="W26" s="1784"/>
      <c r="X26" s="1784"/>
      <c r="Y26" s="1784"/>
      <c r="Z26" s="1784"/>
      <c r="AA26" s="3"/>
      <c r="AB26" s="1784" t="s">
        <v>1145</v>
      </c>
      <c r="AC26" s="1784"/>
      <c r="AD26" s="1784"/>
      <c r="AE26" s="1784"/>
      <c r="AF26" s="1784"/>
    </row>
    <row r="27" spans="1:36" s="11" customFormat="1" ht="17.149999999999999" customHeight="1" x14ac:dyDescent="0.35">
      <c r="A27" s="1808"/>
      <c r="B27" s="1766"/>
      <c r="C27" s="1766"/>
      <c r="D27" s="1511" t="s">
        <v>531</v>
      </c>
      <c r="E27" s="1511" t="s">
        <v>532</v>
      </c>
      <c r="F27" s="1511" t="s">
        <v>533</v>
      </c>
      <c r="G27" s="1511" t="s">
        <v>333</v>
      </c>
      <c r="H27" s="1511" t="s">
        <v>208</v>
      </c>
      <c r="I27" s="1511" t="s">
        <v>535</v>
      </c>
      <c r="J27" s="1511" t="s">
        <v>531</v>
      </c>
      <c r="K27" s="1511" t="s">
        <v>532</v>
      </c>
      <c r="L27" s="1511" t="s">
        <v>533</v>
      </c>
      <c r="M27" s="1511" t="s">
        <v>333</v>
      </c>
      <c r="N27" s="1511" t="s">
        <v>208</v>
      </c>
      <c r="O27" s="198"/>
      <c r="P27" s="1511" t="s">
        <v>531</v>
      </c>
      <c r="Q27" s="1511" t="s">
        <v>532</v>
      </c>
      <c r="R27" s="1511" t="s">
        <v>533</v>
      </c>
      <c r="S27" s="1511" t="s">
        <v>537</v>
      </c>
      <c r="T27" s="1511" t="s">
        <v>208</v>
      </c>
      <c r="U27" s="1511" t="s">
        <v>535</v>
      </c>
      <c r="V27" s="1511" t="s">
        <v>531</v>
      </c>
      <c r="W27" s="1511" t="s">
        <v>532</v>
      </c>
      <c r="X27" s="1511" t="s">
        <v>533</v>
      </c>
      <c r="Y27" s="1511" t="s">
        <v>333</v>
      </c>
      <c r="Z27" s="1511" t="s">
        <v>208</v>
      </c>
      <c r="AA27" s="3"/>
      <c r="AB27" s="1511" t="s">
        <v>531</v>
      </c>
      <c r="AC27" s="1511" t="s">
        <v>532</v>
      </c>
      <c r="AD27" s="1511" t="s">
        <v>533</v>
      </c>
      <c r="AE27" s="1511" t="s">
        <v>333</v>
      </c>
      <c r="AF27" s="1511" t="s">
        <v>208</v>
      </c>
    </row>
    <row r="28" spans="1:36" s="60" customFormat="1" ht="13" x14ac:dyDescent="0.35">
      <c r="A28" s="356"/>
      <c r="B28" s="1522"/>
      <c r="C28" s="1522"/>
      <c r="D28" s="153"/>
      <c r="E28" s="153"/>
      <c r="F28" s="153"/>
      <c r="G28" s="153"/>
      <c r="H28" s="153"/>
      <c r="I28" s="1522"/>
      <c r="J28" s="153"/>
      <c r="K28" s="153"/>
      <c r="L28" s="153"/>
      <c r="M28" s="153"/>
      <c r="N28" s="153"/>
      <c r="O28" s="327"/>
      <c r="P28" s="153"/>
      <c r="Q28" s="153"/>
      <c r="R28" s="153"/>
      <c r="S28" s="153"/>
      <c r="T28" s="153"/>
      <c r="U28" s="1522"/>
      <c r="V28" s="326"/>
      <c r="W28" s="326"/>
      <c r="X28" s="326"/>
      <c r="Y28" s="326"/>
      <c r="Z28" s="326"/>
      <c r="AA28" s="3"/>
      <c r="AB28" s="328"/>
      <c r="AC28" s="328"/>
      <c r="AD28" s="328"/>
      <c r="AE28" s="328"/>
      <c r="AF28" s="328"/>
    </row>
    <row r="29" spans="1:36" s="955" customFormat="1" ht="17.149999999999999" customHeight="1" x14ac:dyDescent="0.35">
      <c r="A29" s="953" t="str">
        <f>'FS_Treatment volumes'!A27</f>
        <v>Plant 1 [sewerage treatment works]</v>
      </c>
      <c r="B29" s="1522">
        <f>'FS_Treatment volumes'!G27</f>
        <v>0</v>
      </c>
      <c r="C29" s="1522">
        <f>'FS_Treatment volumes'!K27</f>
        <v>0</v>
      </c>
      <c r="D29" s="956">
        <f>Interface_Treatment!U15</f>
        <v>0</v>
      </c>
      <c r="E29" s="956">
        <f>Interface_Treatment!V15</f>
        <v>0</v>
      </c>
      <c r="F29" s="956">
        <f>Interface_Treatment!W15</f>
        <v>0</v>
      </c>
      <c r="G29" s="956">
        <f>Interface_Treatment!X15</f>
        <v>0</v>
      </c>
      <c r="H29" s="1468">
        <f t="shared" ref="H29:H34" si="0">SUM(D29:G29)</f>
        <v>0</v>
      </c>
      <c r="I29" s="957" t="str">
        <f t="shared" ref="I29:I34" si="1">IF(AND(B29=0,H29=0),"OK",IF(AND(B29&gt;0,H29=1),"OK","Not OK"))</f>
        <v>OK</v>
      </c>
      <c r="J29" s="1522">
        <f t="shared" ref="J29:J34" si="2">D29*$B29</f>
        <v>0</v>
      </c>
      <c r="K29" s="1522">
        <f t="shared" ref="K29:M34" si="3">E29*$B29</f>
        <v>0</v>
      </c>
      <c r="L29" s="1522">
        <f t="shared" si="3"/>
        <v>0</v>
      </c>
      <c r="M29" s="1522">
        <f t="shared" si="3"/>
        <v>0</v>
      </c>
      <c r="N29" s="1518">
        <f t="shared" ref="N29:N34" si="4">SUM(J29:M29)</f>
        <v>0</v>
      </c>
      <c r="O29" s="958"/>
      <c r="P29" s="956">
        <f>Interface_Treatment!AC15</f>
        <v>0</v>
      </c>
      <c r="Q29" s="956">
        <f>Interface_Treatment!AD15</f>
        <v>0</v>
      </c>
      <c r="R29" s="956">
        <f>Interface_Treatment!AE15</f>
        <v>0</v>
      </c>
      <c r="S29" s="956">
        <f>Interface_Treatment!AF15</f>
        <v>0</v>
      </c>
      <c r="T29" s="1468">
        <f t="shared" ref="T29:T34" si="5">SUM(P29:S29)</f>
        <v>0</v>
      </c>
      <c r="U29" s="957" t="str">
        <f t="shared" ref="U29:U34" si="6">IF(AND(C29=0,T29=0),"OK",IF(AND(C29&gt;0,T29=1),"OK","Not OK"))</f>
        <v>OK</v>
      </c>
      <c r="V29" s="1522">
        <f t="shared" ref="V29:Y34" si="7">P29*$C29</f>
        <v>0</v>
      </c>
      <c r="W29" s="1522">
        <f t="shared" si="7"/>
        <v>0</v>
      </c>
      <c r="X29" s="1522">
        <f t="shared" si="7"/>
        <v>0</v>
      </c>
      <c r="Y29" s="1522">
        <f t="shared" si="7"/>
        <v>0</v>
      </c>
      <c r="Z29" s="1522">
        <f t="shared" ref="Z29:Z34" si="8">SUM(V29:Y29)</f>
        <v>0</v>
      </c>
      <c r="AA29" s="10"/>
      <c r="AB29" s="1522">
        <f t="shared" ref="AB29:AD34" si="9">J29-V29</f>
        <v>0</v>
      </c>
      <c r="AC29" s="1522">
        <f t="shared" si="9"/>
        <v>0</v>
      </c>
      <c r="AD29" s="1522">
        <f t="shared" si="9"/>
        <v>0</v>
      </c>
      <c r="AE29" s="1522">
        <f t="shared" ref="AE29:AE34" si="10">M29</f>
        <v>0</v>
      </c>
      <c r="AF29" s="1518">
        <f t="shared" ref="AF29:AF34" si="11">SUM(AB29:AE29)</f>
        <v>0</v>
      </c>
    </row>
    <row r="30" spans="1:36" s="955" customFormat="1" ht="17.149999999999999" customHeight="1" x14ac:dyDescent="0.35">
      <c r="A30" s="953" t="str">
        <f>'FS_Treatment volumes'!A28</f>
        <v>Plant 2 [sewerage treatment works]</v>
      </c>
      <c r="B30" s="1522">
        <f>'FS_Treatment volumes'!G28</f>
        <v>0</v>
      </c>
      <c r="C30" s="1522">
        <f>'FS_Treatment volumes'!K28</f>
        <v>0</v>
      </c>
      <c r="D30" s="956">
        <f>Interface_Treatment!U16</f>
        <v>0</v>
      </c>
      <c r="E30" s="956">
        <f>Interface_Treatment!V16</f>
        <v>0</v>
      </c>
      <c r="F30" s="956">
        <f>Interface_Treatment!W16</f>
        <v>0</v>
      </c>
      <c r="G30" s="956">
        <f>Interface_Treatment!X16</f>
        <v>0</v>
      </c>
      <c r="H30" s="1468">
        <f t="shared" si="0"/>
        <v>0</v>
      </c>
      <c r="I30" s="957" t="str">
        <f t="shared" si="1"/>
        <v>OK</v>
      </c>
      <c r="J30" s="1522">
        <f t="shared" si="2"/>
        <v>0</v>
      </c>
      <c r="K30" s="1522">
        <f t="shared" si="3"/>
        <v>0</v>
      </c>
      <c r="L30" s="1522">
        <f t="shared" si="3"/>
        <v>0</v>
      </c>
      <c r="M30" s="1522">
        <f t="shared" si="3"/>
        <v>0</v>
      </c>
      <c r="N30" s="1518">
        <f t="shared" si="4"/>
        <v>0</v>
      </c>
      <c r="O30" s="958"/>
      <c r="P30" s="956">
        <f>Interface_Treatment!AC16</f>
        <v>0</v>
      </c>
      <c r="Q30" s="956">
        <f>Interface_Treatment!AD16</f>
        <v>0</v>
      </c>
      <c r="R30" s="956">
        <f>Interface_Treatment!AE16</f>
        <v>0</v>
      </c>
      <c r="S30" s="956">
        <f>Interface_Treatment!AF16</f>
        <v>0</v>
      </c>
      <c r="T30" s="1468">
        <f t="shared" si="5"/>
        <v>0</v>
      </c>
      <c r="U30" s="957" t="str">
        <f t="shared" si="6"/>
        <v>OK</v>
      </c>
      <c r="V30" s="1522">
        <f t="shared" si="7"/>
        <v>0</v>
      </c>
      <c r="W30" s="1522">
        <f t="shared" si="7"/>
        <v>0</v>
      </c>
      <c r="X30" s="1522">
        <f t="shared" si="7"/>
        <v>0</v>
      </c>
      <c r="Y30" s="1522">
        <f t="shared" si="7"/>
        <v>0</v>
      </c>
      <c r="Z30" s="1522">
        <f t="shared" si="8"/>
        <v>0</v>
      </c>
      <c r="AA30" s="10"/>
      <c r="AB30" s="1522">
        <f t="shared" si="9"/>
        <v>0</v>
      </c>
      <c r="AC30" s="1522">
        <f t="shared" si="9"/>
        <v>0</v>
      </c>
      <c r="AD30" s="1522">
        <f t="shared" si="9"/>
        <v>0</v>
      </c>
      <c r="AE30" s="1522">
        <f t="shared" si="10"/>
        <v>0</v>
      </c>
      <c r="AF30" s="1518">
        <f t="shared" si="11"/>
        <v>0</v>
      </c>
    </row>
    <row r="31" spans="1:36" s="955" customFormat="1" ht="17.149999999999999" customHeight="1" x14ac:dyDescent="0.35">
      <c r="A31" s="953" t="str">
        <f>'FS_Treatment volumes'!A29</f>
        <v>Plant 3 [insert name]</v>
      </c>
      <c r="B31" s="1522">
        <f>'FS_Treatment volumes'!G29</f>
        <v>0</v>
      </c>
      <c r="C31" s="1522">
        <f>'FS_Treatment volumes'!K29</f>
        <v>0</v>
      </c>
      <c r="D31" s="956">
        <f>Interface_Treatment!U17</f>
        <v>0</v>
      </c>
      <c r="E31" s="956">
        <f>Interface_Treatment!V17</f>
        <v>0</v>
      </c>
      <c r="F31" s="956">
        <f>Interface_Treatment!W17</f>
        <v>0</v>
      </c>
      <c r="G31" s="956">
        <f>Interface_Treatment!X17</f>
        <v>0</v>
      </c>
      <c r="H31" s="1468">
        <f t="shared" si="0"/>
        <v>0</v>
      </c>
      <c r="I31" s="957" t="str">
        <f t="shared" si="1"/>
        <v>OK</v>
      </c>
      <c r="J31" s="1522">
        <f t="shared" si="2"/>
        <v>0</v>
      </c>
      <c r="K31" s="1522">
        <f t="shared" si="3"/>
        <v>0</v>
      </c>
      <c r="L31" s="1522">
        <f t="shared" si="3"/>
        <v>0</v>
      </c>
      <c r="M31" s="1522">
        <f t="shared" si="3"/>
        <v>0</v>
      </c>
      <c r="N31" s="1518">
        <f t="shared" si="4"/>
        <v>0</v>
      </c>
      <c r="O31" s="958"/>
      <c r="P31" s="956">
        <f>Interface_Treatment!AC17</f>
        <v>0</v>
      </c>
      <c r="Q31" s="956">
        <f>Interface_Treatment!AD17</f>
        <v>0</v>
      </c>
      <c r="R31" s="956">
        <f>Interface_Treatment!AE17</f>
        <v>0</v>
      </c>
      <c r="S31" s="956">
        <f>Interface_Treatment!AF17</f>
        <v>0</v>
      </c>
      <c r="T31" s="1468">
        <f t="shared" si="5"/>
        <v>0</v>
      </c>
      <c r="U31" s="957" t="str">
        <f t="shared" si="6"/>
        <v>OK</v>
      </c>
      <c r="V31" s="1522">
        <f t="shared" si="7"/>
        <v>0</v>
      </c>
      <c r="W31" s="1522">
        <f t="shared" si="7"/>
        <v>0</v>
      </c>
      <c r="X31" s="1522">
        <f t="shared" si="7"/>
        <v>0</v>
      </c>
      <c r="Y31" s="1522">
        <f t="shared" si="7"/>
        <v>0</v>
      </c>
      <c r="Z31" s="1522">
        <f t="shared" si="8"/>
        <v>0</v>
      </c>
      <c r="AA31" s="10"/>
      <c r="AB31" s="1522">
        <f t="shared" si="9"/>
        <v>0</v>
      </c>
      <c r="AC31" s="1522">
        <f t="shared" si="9"/>
        <v>0</v>
      </c>
      <c r="AD31" s="1522">
        <f t="shared" si="9"/>
        <v>0</v>
      </c>
      <c r="AE31" s="1522">
        <f t="shared" si="10"/>
        <v>0</v>
      </c>
      <c r="AF31" s="1518">
        <f t="shared" si="11"/>
        <v>0</v>
      </c>
    </row>
    <row r="32" spans="1:36" s="955" customFormat="1" ht="17.149999999999999" customHeight="1" x14ac:dyDescent="0.35">
      <c r="A32" s="953" t="str">
        <f>'FS_Treatment volumes'!A30</f>
        <v>Plant 4 [insert name]</v>
      </c>
      <c r="B32" s="1522">
        <f>'FS_Treatment volumes'!G30</f>
        <v>0</v>
      </c>
      <c r="C32" s="1522">
        <f>'FS_Treatment volumes'!K30</f>
        <v>0</v>
      </c>
      <c r="D32" s="956">
        <f>Interface_Treatment!U18</f>
        <v>0</v>
      </c>
      <c r="E32" s="956">
        <f>Interface_Treatment!V18</f>
        <v>0</v>
      </c>
      <c r="F32" s="956">
        <f>Interface_Treatment!W18</f>
        <v>0</v>
      </c>
      <c r="G32" s="956">
        <f>Interface_Treatment!X18</f>
        <v>0</v>
      </c>
      <c r="H32" s="1468">
        <f t="shared" si="0"/>
        <v>0</v>
      </c>
      <c r="I32" s="957" t="str">
        <f t="shared" si="1"/>
        <v>OK</v>
      </c>
      <c r="J32" s="1522">
        <f t="shared" si="2"/>
        <v>0</v>
      </c>
      <c r="K32" s="1522">
        <f t="shared" si="3"/>
        <v>0</v>
      </c>
      <c r="L32" s="1522">
        <f t="shared" si="3"/>
        <v>0</v>
      </c>
      <c r="M32" s="1522">
        <f t="shared" si="3"/>
        <v>0</v>
      </c>
      <c r="N32" s="1518">
        <f t="shared" si="4"/>
        <v>0</v>
      </c>
      <c r="P32" s="956">
        <f>Interface_Treatment!AC18</f>
        <v>0</v>
      </c>
      <c r="Q32" s="956">
        <f>Interface_Treatment!AD18</f>
        <v>0</v>
      </c>
      <c r="R32" s="956">
        <f>Interface_Treatment!AE18</f>
        <v>0</v>
      </c>
      <c r="S32" s="956">
        <f>Interface_Treatment!AF18</f>
        <v>0</v>
      </c>
      <c r="T32" s="1468">
        <f t="shared" si="5"/>
        <v>0</v>
      </c>
      <c r="U32" s="957" t="str">
        <f t="shared" si="6"/>
        <v>OK</v>
      </c>
      <c r="V32" s="1522">
        <f t="shared" si="7"/>
        <v>0</v>
      </c>
      <c r="W32" s="1522">
        <f t="shared" si="7"/>
        <v>0</v>
      </c>
      <c r="X32" s="1522">
        <f t="shared" si="7"/>
        <v>0</v>
      </c>
      <c r="Y32" s="1522">
        <f t="shared" si="7"/>
        <v>0</v>
      </c>
      <c r="Z32" s="1522">
        <f t="shared" si="8"/>
        <v>0</v>
      </c>
      <c r="AA32" s="10"/>
      <c r="AB32" s="1522">
        <f t="shared" si="9"/>
        <v>0</v>
      </c>
      <c r="AC32" s="1522">
        <f t="shared" si="9"/>
        <v>0</v>
      </c>
      <c r="AD32" s="1522">
        <f t="shared" si="9"/>
        <v>0</v>
      </c>
      <c r="AE32" s="1522">
        <f t="shared" si="10"/>
        <v>0</v>
      </c>
      <c r="AF32" s="1518">
        <f t="shared" si="11"/>
        <v>0</v>
      </c>
    </row>
    <row r="33" spans="1:36" s="955" customFormat="1" ht="17.149999999999999" customHeight="1" x14ac:dyDescent="0.35">
      <c r="A33" s="953" t="str">
        <f>'FS_Treatment volumes'!A31</f>
        <v>Plant 5 [insert name]</v>
      </c>
      <c r="B33" s="1522">
        <f>'FS_Treatment volumes'!G31</f>
        <v>0</v>
      </c>
      <c r="C33" s="1522">
        <f>'FS_Treatment volumes'!K31</f>
        <v>0</v>
      </c>
      <c r="D33" s="956">
        <f>Interface_Treatment!U19</f>
        <v>0</v>
      </c>
      <c r="E33" s="956">
        <f>Interface_Treatment!V19</f>
        <v>0</v>
      </c>
      <c r="F33" s="956">
        <f>Interface_Treatment!W19</f>
        <v>0</v>
      </c>
      <c r="G33" s="956">
        <f>Interface_Treatment!X19</f>
        <v>0</v>
      </c>
      <c r="H33" s="1468">
        <f t="shared" si="0"/>
        <v>0</v>
      </c>
      <c r="I33" s="957" t="str">
        <f t="shared" si="1"/>
        <v>OK</v>
      </c>
      <c r="J33" s="1522">
        <f t="shared" si="2"/>
        <v>0</v>
      </c>
      <c r="K33" s="1522">
        <f t="shared" si="3"/>
        <v>0</v>
      </c>
      <c r="L33" s="1522">
        <f t="shared" si="3"/>
        <v>0</v>
      </c>
      <c r="M33" s="1522">
        <f t="shared" si="3"/>
        <v>0</v>
      </c>
      <c r="N33" s="1518">
        <f t="shared" si="4"/>
        <v>0</v>
      </c>
      <c r="P33" s="956">
        <f>Interface_Treatment!AC19</f>
        <v>0</v>
      </c>
      <c r="Q33" s="956">
        <f>Interface_Treatment!AD19</f>
        <v>0</v>
      </c>
      <c r="R33" s="956">
        <f>Interface_Treatment!AE19</f>
        <v>0</v>
      </c>
      <c r="S33" s="956">
        <f>Interface_Treatment!AF19</f>
        <v>0</v>
      </c>
      <c r="T33" s="1468">
        <f t="shared" si="5"/>
        <v>0</v>
      </c>
      <c r="U33" s="957" t="str">
        <f t="shared" si="6"/>
        <v>OK</v>
      </c>
      <c r="V33" s="1522">
        <f t="shared" si="7"/>
        <v>0</v>
      </c>
      <c r="W33" s="1522">
        <f t="shared" si="7"/>
        <v>0</v>
      </c>
      <c r="X33" s="1522">
        <f t="shared" si="7"/>
        <v>0</v>
      </c>
      <c r="Y33" s="1522">
        <f t="shared" si="7"/>
        <v>0</v>
      </c>
      <c r="Z33" s="1522">
        <f t="shared" si="8"/>
        <v>0</v>
      </c>
      <c r="AA33" s="10"/>
      <c r="AB33" s="1522">
        <f t="shared" si="9"/>
        <v>0</v>
      </c>
      <c r="AC33" s="1522">
        <f t="shared" si="9"/>
        <v>0</v>
      </c>
      <c r="AD33" s="1522">
        <f t="shared" si="9"/>
        <v>0</v>
      </c>
      <c r="AE33" s="1522">
        <f t="shared" si="10"/>
        <v>0</v>
      </c>
      <c r="AF33" s="1518">
        <f t="shared" si="11"/>
        <v>0</v>
      </c>
    </row>
    <row r="34" spans="1:36" s="955" customFormat="1" ht="17.149999999999999" customHeight="1" x14ac:dyDescent="0.35">
      <c r="A34" s="953" t="str">
        <f>'FS_Treatment volumes'!A32</f>
        <v>Plant 6 [insert name]</v>
      </c>
      <c r="B34" s="1522">
        <f>'FS_Treatment volumes'!G32</f>
        <v>0</v>
      </c>
      <c r="C34" s="1522">
        <f>'FS_Treatment volumes'!K32</f>
        <v>0</v>
      </c>
      <c r="D34" s="956">
        <f>Interface_Treatment!U20</f>
        <v>0</v>
      </c>
      <c r="E34" s="956">
        <f>Interface_Treatment!V20</f>
        <v>0</v>
      </c>
      <c r="F34" s="956">
        <f>Interface_Treatment!W20</f>
        <v>0</v>
      </c>
      <c r="G34" s="956">
        <f>Interface_Treatment!X20</f>
        <v>0</v>
      </c>
      <c r="H34" s="1468">
        <f t="shared" si="0"/>
        <v>0</v>
      </c>
      <c r="I34" s="957" t="str">
        <f t="shared" si="1"/>
        <v>OK</v>
      </c>
      <c r="J34" s="1522">
        <f t="shared" si="2"/>
        <v>0</v>
      </c>
      <c r="K34" s="1522">
        <f t="shared" si="3"/>
        <v>0</v>
      </c>
      <c r="L34" s="1522">
        <f t="shared" si="3"/>
        <v>0</v>
      </c>
      <c r="M34" s="1522">
        <f t="shared" si="3"/>
        <v>0</v>
      </c>
      <c r="N34" s="1518">
        <f t="shared" si="4"/>
        <v>0</v>
      </c>
      <c r="O34" s="103"/>
      <c r="P34" s="956">
        <f>Interface_Treatment!AC20</f>
        <v>0</v>
      </c>
      <c r="Q34" s="956">
        <f>Interface_Treatment!AD20</f>
        <v>0</v>
      </c>
      <c r="R34" s="956">
        <f>Interface_Treatment!AE20</f>
        <v>0</v>
      </c>
      <c r="S34" s="956">
        <f>Interface_Treatment!AF20</f>
        <v>0</v>
      </c>
      <c r="T34" s="1468">
        <f t="shared" si="5"/>
        <v>0</v>
      </c>
      <c r="U34" s="957" t="str">
        <f t="shared" si="6"/>
        <v>OK</v>
      </c>
      <c r="V34" s="1522">
        <f t="shared" si="7"/>
        <v>0</v>
      </c>
      <c r="W34" s="1522">
        <f t="shared" si="7"/>
        <v>0</v>
      </c>
      <c r="X34" s="1522">
        <f t="shared" si="7"/>
        <v>0</v>
      </c>
      <c r="Y34" s="1522">
        <f t="shared" si="7"/>
        <v>0</v>
      </c>
      <c r="Z34" s="1522">
        <f t="shared" si="8"/>
        <v>0</v>
      </c>
      <c r="AA34" s="10"/>
      <c r="AB34" s="1522">
        <f t="shared" si="9"/>
        <v>0</v>
      </c>
      <c r="AC34" s="1522">
        <f t="shared" si="9"/>
        <v>0</v>
      </c>
      <c r="AD34" s="1522">
        <f t="shared" si="9"/>
        <v>0</v>
      </c>
      <c r="AE34" s="1522">
        <f t="shared" si="10"/>
        <v>0</v>
      </c>
      <c r="AF34" s="1518">
        <f t="shared" si="11"/>
        <v>0</v>
      </c>
    </row>
    <row r="35" spans="1:36" s="12" customFormat="1" ht="17.149999999999999" customHeight="1" x14ac:dyDescent="0.35">
      <c r="A35" s="950" t="s">
        <v>208</v>
      </c>
      <c r="B35" s="948">
        <f>SUM(B29:B34)</f>
        <v>0</v>
      </c>
      <c r="C35" s="948">
        <f>SUM(C29:C34)</f>
        <v>0</v>
      </c>
      <c r="D35" s="952"/>
      <c r="E35" s="952"/>
      <c r="F35" s="952"/>
      <c r="G35" s="952"/>
      <c r="H35" s="952"/>
      <c r="I35" s="952"/>
      <c r="J35" s="948">
        <f>SUM(J29:J34)</f>
        <v>0</v>
      </c>
      <c r="K35" s="948">
        <f>SUM(K29:K34)</f>
        <v>0</v>
      </c>
      <c r="L35" s="948">
        <f>SUM(L29:L34)</f>
        <v>0</v>
      </c>
      <c r="M35" s="948">
        <f>SUM(M29:M34)</f>
        <v>0</v>
      </c>
      <c r="N35" s="948">
        <f>SUM(N29:N34)</f>
        <v>0</v>
      </c>
      <c r="O35" s="213"/>
      <c r="P35" s="952"/>
      <c r="Q35" s="952"/>
      <c r="R35" s="952"/>
      <c r="S35" s="952"/>
      <c r="T35" s="952"/>
      <c r="U35" s="952"/>
      <c r="V35" s="948">
        <f>SUM(V29:V34)</f>
        <v>0</v>
      </c>
      <c r="W35" s="948">
        <f>SUM(W29:W34)</f>
        <v>0</v>
      </c>
      <c r="X35" s="948">
        <f>SUM(X29:X34)</f>
        <v>0</v>
      </c>
      <c r="Y35" s="948">
        <f>SUM(Y29:Y34)</f>
        <v>0</v>
      </c>
      <c r="Z35" s="948">
        <f>SUM(Z29:Z34)</f>
        <v>0</v>
      </c>
      <c r="AA35" s="32"/>
      <c r="AB35" s="948">
        <f>SUM(AB29:AB34)</f>
        <v>0</v>
      </c>
      <c r="AC35" s="948">
        <f>SUM(AC29:AC34)</f>
        <v>0</v>
      </c>
      <c r="AD35" s="948">
        <f>SUM(AD29:AD34)</f>
        <v>0</v>
      </c>
      <c r="AE35" s="948">
        <f>SUM(AE29:AE34)</f>
        <v>0</v>
      </c>
      <c r="AF35" s="948">
        <f>SUM(AF29:AF34)</f>
        <v>0</v>
      </c>
    </row>
    <row r="36" spans="1:36" s="136" customFormat="1" ht="17.149999999999999" customHeight="1" x14ac:dyDescent="0.35">
      <c r="A36" s="78"/>
      <c r="B36" s="32"/>
      <c r="C36" s="32"/>
      <c r="D36" s="412"/>
      <c r="E36" s="412"/>
      <c r="F36" s="412"/>
      <c r="G36" s="412"/>
      <c r="H36" s="412"/>
      <c r="I36" s="412"/>
      <c r="J36" s="1468">
        <f>IF($N$35=0,0,J35/$N$35)</f>
        <v>0</v>
      </c>
      <c r="K36" s="1468">
        <f>IF($N$35=0,0,K35/$N$35)</f>
        <v>0</v>
      </c>
      <c r="L36" s="1468">
        <f>IF($N$35=0,0,L35/$N$35)</f>
        <v>0</v>
      </c>
      <c r="M36" s="1468">
        <f>IF($N$35=0,0,M35/$N$35)</f>
        <v>0</v>
      </c>
      <c r="N36" s="1468">
        <f>IF($N$35=0,0,N35/$N$35)</f>
        <v>0</v>
      </c>
      <c r="O36" s="412"/>
      <c r="P36" s="412"/>
      <c r="Q36" s="412"/>
      <c r="R36" s="412"/>
      <c r="S36" s="412"/>
      <c r="T36" s="412"/>
      <c r="U36" s="412"/>
      <c r="V36" s="32"/>
      <c r="W36" s="32"/>
      <c r="X36" s="32"/>
      <c r="Y36" s="32"/>
      <c r="Z36" s="32"/>
      <c r="AA36" s="32"/>
      <c r="AB36" s="32"/>
      <c r="AC36" s="32"/>
      <c r="AD36" s="32"/>
      <c r="AE36" s="32"/>
      <c r="AF36" s="32"/>
    </row>
    <row r="37" spans="1:36" ht="17.149999999999999" customHeight="1" x14ac:dyDescent="0.35">
      <c r="A37" s="3"/>
      <c r="B37" s="67"/>
      <c r="C37" s="67"/>
      <c r="D37" s="67"/>
      <c r="E37" s="67"/>
      <c r="F37" s="67"/>
      <c r="G37" s="67"/>
      <c r="H37" s="67"/>
      <c r="I37" s="67"/>
      <c r="J37" s="67"/>
      <c r="K37" s="67"/>
      <c r="L37" s="67"/>
      <c r="M37" s="67"/>
      <c r="N37" s="67"/>
      <c r="O37" s="67"/>
      <c r="P37" s="3" t="s">
        <v>1146</v>
      </c>
      <c r="Q37" s="3"/>
      <c r="R37" s="3"/>
      <c r="S37" s="3"/>
      <c r="T37" s="3"/>
      <c r="U37" s="3"/>
      <c r="V37" s="3"/>
      <c r="W37" s="3"/>
      <c r="X37" s="3"/>
      <c r="Y37" s="3"/>
      <c r="Z37" s="60"/>
      <c r="AA37" s="60"/>
    </row>
    <row r="38" spans="1:36" ht="17.149999999999999" customHeight="1" x14ac:dyDescent="0.35">
      <c r="A38" s="3"/>
      <c r="B38" s="67"/>
      <c r="C38" s="67"/>
      <c r="D38" s="67"/>
      <c r="E38" s="67"/>
      <c r="F38" s="67"/>
      <c r="G38" s="67"/>
      <c r="H38" s="67"/>
      <c r="I38" s="67"/>
      <c r="J38" s="67"/>
      <c r="K38" s="67"/>
      <c r="L38" s="67"/>
      <c r="M38" s="67"/>
      <c r="N38" s="67"/>
      <c r="O38" s="67"/>
      <c r="Q38" s="3"/>
      <c r="R38" s="3"/>
      <c r="S38" s="3"/>
      <c r="T38" s="3"/>
      <c r="U38" s="3"/>
      <c r="V38" s="3"/>
      <c r="W38" s="3"/>
      <c r="X38" s="3"/>
      <c r="Y38" s="3"/>
      <c r="Z38" s="3"/>
    </row>
    <row r="39" spans="1:36" ht="17.149999999999999" customHeight="1" x14ac:dyDescent="0.35">
      <c r="A39" s="949" t="s">
        <v>1194</v>
      </c>
      <c r="B39" s="1777" t="s">
        <v>9</v>
      </c>
      <c r="C39" s="1777"/>
      <c r="D39" s="3"/>
      <c r="E39" s="3"/>
      <c r="F39" s="3"/>
      <c r="G39" s="3"/>
      <c r="H39" s="3"/>
      <c r="I39" s="84"/>
      <c r="J39" s="84"/>
      <c r="K39" s="84"/>
      <c r="L39" s="84"/>
      <c r="M39" s="84"/>
      <c r="N39" s="84"/>
      <c r="O39" s="3"/>
      <c r="P39" s="3"/>
      <c r="Q39" s="3"/>
      <c r="R39" s="3"/>
      <c r="S39" s="3"/>
      <c r="T39" s="3"/>
      <c r="U39" s="3"/>
      <c r="V39" s="3"/>
      <c r="W39" s="3"/>
      <c r="X39" s="3"/>
      <c r="Y39" s="3"/>
      <c r="Z39" s="3"/>
      <c r="AA39" s="3"/>
      <c r="AB39" s="3"/>
    </row>
    <row r="40" spans="1:36" ht="17.149999999999999" customHeight="1" x14ac:dyDescent="0.35">
      <c r="A40" s="3"/>
      <c r="B40" s="117"/>
      <c r="C40" s="3"/>
      <c r="D40" s="1797" t="s">
        <v>509</v>
      </c>
      <c r="E40" s="1805"/>
      <c r="F40" s="1805"/>
      <c r="G40" s="1805"/>
      <c r="H40" s="1805"/>
      <c r="I40" s="1805"/>
      <c r="J40" s="1805"/>
      <c r="K40" s="1805"/>
      <c r="L40" s="1805"/>
      <c r="M40" s="1805"/>
      <c r="N40" s="1798"/>
      <c r="O40" s="3"/>
      <c r="P40" s="1784" t="s">
        <v>510</v>
      </c>
      <c r="Q40" s="1784"/>
      <c r="R40" s="1784"/>
      <c r="S40" s="1784"/>
      <c r="T40" s="1784"/>
      <c r="U40" s="1784"/>
      <c r="V40" s="1784"/>
      <c r="W40" s="1784"/>
      <c r="X40" s="1784"/>
      <c r="Y40" s="1784"/>
      <c r="Z40" s="1784"/>
      <c r="AA40" s="3"/>
      <c r="AB40" s="1784" t="s">
        <v>1107</v>
      </c>
      <c r="AC40" s="1784"/>
      <c r="AD40" s="1784"/>
      <c r="AE40" s="1784"/>
      <c r="AF40" s="1784"/>
      <c r="AG40" s="329"/>
      <c r="AH40" s="78"/>
      <c r="AI40" s="78"/>
      <c r="AJ40" s="78"/>
    </row>
    <row r="41" spans="1:36" s="11" customFormat="1" ht="17.149999999999999" customHeight="1" x14ac:dyDescent="0.35">
      <c r="A41" s="1808" t="s">
        <v>513</v>
      </c>
      <c r="B41" s="1764" t="s">
        <v>1143</v>
      </c>
      <c r="C41" s="1764" t="s">
        <v>1144</v>
      </c>
      <c r="D41" s="1784" t="s">
        <v>522</v>
      </c>
      <c r="E41" s="1784"/>
      <c r="F41" s="1784"/>
      <c r="G41" s="1784"/>
      <c r="H41" s="1784"/>
      <c r="I41" s="1784"/>
      <c r="J41" s="1784" t="s">
        <v>1145</v>
      </c>
      <c r="K41" s="1784"/>
      <c r="L41" s="1784"/>
      <c r="M41" s="1784"/>
      <c r="N41" s="1784"/>
      <c r="P41" s="1784" t="s">
        <v>522</v>
      </c>
      <c r="Q41" s="1784"/>
      <c r="R41" s="1784"/>
      <c r="S41" s="1784"/>
      <c r="T41" s="1784"/>
      <c r="U41" s="1784"/>
      <c r="V41" s="1784" t="s">
        <v>1145</v>
      </c>
      <c r="W41" s="1784"/>
      <c r="X41" s="1784"/>
      <c r="Y41" s="1784"/>
      <c r="Z41" s="1784"/>
      <c r="AA41" s="3"/>
      <c r="AB41" s="1784" t="s">
        <v>1145</v>
      </c>
      <c r="AC41" s="1784"/>
      <c r="AD41" s="1784"/>
      <c r="AE41" s="1784"/>
      <c r="AF41" s="1784"/>
    </row>
    <row r="42" spans="1:36" s="11" customFormat="1" ht="17.149999999999999" customHeight="1" x14ac:dyDescent="0.35">
      <c r="A42" s="1808"/>
      <c r="B42" s="1766"/>
      <c r="C42" s="1766"/>
      <c r="D42" s="1511" t="s">
        <v>531</v>
      </c>
      <c r="E42" s="1511" t="s">
        <v>532</v>
      </c>
      <c r="F42" s="1511" t="s">
        <v>533</v>
      </c>
      <c r="G42" s="1511" t="s">
        <v>333</v>
      </c>
      <c r="H42" s="1511" t="s">
        <v>208</v>
      </c>
      <c r="I42" s="1511" t="s">
        <v>535</v>
      </c>
      <c r="J42" s="1511" t="s">
        <v>531</v>
      </c>
      <c r="K42" s="1511" t="s">
        <v>532</v>
      </c>
      <c r="L42" s="1511" t="s">
        <v>533</v>
      </c>
      <c r="M42" s="1511" t="s">
        <v>333</v>
      </c>
      <c r="N42" s="1511" t="s">
        <v>208</v>
      </c>
      <c r="O42" s="198"/>
      <c r="P42" s="1511" t="s">
        <v>531</v>
      </c>
      <c r="Q42" s="1511" t="s">
        <v>532</v>
      </c>
      <c r="R42" s="1511" t="s">
        <v>533</v>
      </c>
      <c r="S42" s="1511" t="s">
        <v>537</v>
      </c>
      <c r="T42" s="1511" t="s">
        <v>208</v>
      </c>
      <c r="U42" s="1511" t="s">
        <v>535</v>
      </c>
      <c r="V42" s="1511" t="s">
        <v>531</v>
      </c>
      <c r="W42" s="1511" t="s">
        <v>532</v>
      </c>
      <c r="X42" s="1511" t="s">
        <v>533</v>
      </c>
      <c r="Y42" s="1511" t="s">
        <v>333</v>
      </c>
      <c r="Z42" s="1511" t="s">
        <v>208</v>
      </c>
      <c r="AA42" s="3"/>
      <c r="AB42" s="1511" t="s">
        <v>531</v>
      </c>
      <c r="AC42" s="1511" t="s">
        <v>532</v>
      </c>
      <c r="AD42" s="1511" t="s">
        <v>533</v>
      </c>
      <c r="AE42" s="1511" t="s">
        <v>333</v>
      </c>
      <c r="AF42" s="1511" t="s">
        <v>208</v>
      </c>
    </row>
    <row r="43" spans="1:36" s="60" customFormat="1" ht="13" x14ac:dyDescent="0.35">
      <c r="A43" s="356"/>
      <c r="B43" s="1522"/>
      <c r="C43" s="1522"/>
      <c r="D43" s="153"/>
      <c r="E43" s="153"/>
      <c r="F43" s="153"/>
      <c r="G43" s="153"/>
      <c r="H43" s="153"/>
      <c r="I43" s="1522"/>
      <c r="J43" s="153"/>
      <c r="K43" s="153"/>
      <c r="L43" s="153"/>
      <c r="M43" s="153"/>
      <c r="N43" s="153"/>
      <c r="O43" s="327"/>
      <c r="P43" s="153"/>
      <c r="Q43" s="153"/>
      <c r="R43" s="153"/>
      <c r="S43" s="153"/>
      <c r="T43" s="153"/>
      <c r="U43" s="1522"/>
      <c r="V43" s="326"/>
      <c r="W43" s="326"/>
      <c r="X43" s="326"/>
      <c r="Y43" s="326"/>
      <c r="Z43" s="326"/>
      <c r="AA43" s="165"/>
      <c r="AB43" s="328"/>
      <c r="AC43" s="328"/>
      <c r="AD43" s="328"/>
      <c r="AE43" s="328"/>
      <c r="AF43" s="328"/>
    </row>
    <row r="44" spans="1:36" s="955" customFormat="1" ht="17.149999999999999" customHeight="1" x14ac:dyDescent="0.35">
      <c r="A44" s="953" t="str">
        <f>'Treatment volumes'!A45</f>
        <v>Plant 1</v>
      </c>
      <c r="B44" s="1522">
        <f>'FS_Treatment volumes'!G45</f>
        <v>1956</v>
      </c>
      <c r="C44" s="1522">
        <f>'FS_Treatment volumes'!K45</f>
        <v>1956</v>
      </c>
      <c r="D44" s="956">
        <f>'Treatment Sludge_NO INPUTS'!T32</f>
        <v>1</v>
      </c>
      <c r="E44" s="956">
        <f>'Treatment Sludge_NO INPUTS'!U32</f>
        <v>0</v>
      </c>
      <c r="F44" s="956">
        <f>'Treatment Sludge_NO INPUTS'!V32</f>
        <v>0</v>
      </c>
      <c r="G44" s="956">
        <f>'Treatment Sludge_NO INPUTS'!W32</f>
        <v>0</v>
      </c>
      <c r="H44" s="1468">
        <f>SUM(D44:G44)</f>
        <v>1</v>
      </c>
      <c r="I44" s="957" t="str">
        <f>IF(AND(B44=0,H44=0),"OK",IF(AND(B44&gt;0,H44=1),"OK","Not OK"))</f>
        <v>OK</v>
      </c>
      <c r="J44" s="1522">
        <f>D44*$B44</f>
        <v>1956</v>
      </c>
      <c r="K44" s="1522">
        <f t="shared" ref="K44:M53" si="12">E44*$B44</f>
        <v>0</v>
      </c>
      <c r="L44" s="1522">
        <f t="shared" si="12"/>
        <v>0</v>
      </c>
      <c r="M44" s="1522">
        <f t="shared" si="12"/>
        <v>0</v>
      </c>
      <c r="N44" s="1518">
        <f>SUM(J44:M44)</f>
        <v>1956</v>
      </c>
      <c r="O44" s="958"/>
      <c r="P44" s="956">
        <f>'Treatment Sludge_NO INPUTS'!AB32</f>
        <v>1</v>
      </c>
      <c r="Q44" s="956">
        <f>'Treatment Sludge_NO INPUTS'!AC32</f>
        <v>0</v>
      </c>
      <c r="R44" s="956">
        <f>'Treatment Sludge_NO INPUTS'!AD32</f>
        <v>0</v>
      </c>
      <c r="S44" s="956">
        <f>'Treatment Sludge_NO INPUTS'!AE32</f>
        <v>0</v>
      </c>
      <c r="T44" s="1468">
        <f>SUM(P44:S44)</f>
        <v>1</v>
      </c>
      <c r="U44" s="957" t="str">
        <f t="shared" ref="U44:U53" si="13">IF(AND(C44=0,S44=0),"OK",IF(AND(C44&gt;0,S44=1),"OK","Not OK"))</f>
        <v>Not OK</v>
      </c>
      <c r="V44" s="1522">
        <f t="shared" ref="V44:Y53" si="14">P44*$C44</f>
        <v>1956</v>
      </c>
      <c r="W44" s="1522">
        <f t="shared" si="14"/>
        <v>0</v>
      </c>
      <c r="X44" s="1522">
        <f t="shared" si="14"/>
        <v>0</v>
      </c>
      <c r="Y44" s="1522">
        <f t="shared" si="14"/>
        <v>0</v>
      </c>
      <c r="Z44" s="1522">
        <f>SUM(V44:Y44)</f>
        <v>1956</v>
      </c>
      <c r="AA44" s="10"/>
      <c r="AB44" s="1522">
        <f t="shared" ref="AB44:AE53" si="15">J44-V44</f>
        <v>0</v>
      </c>
      <c r="AC44" s="1522">
        <f t="shared" si="15"/>
        <v>0</v>
      </c>
      <c r="AD44" s="1522">
        <f t="shared" si="15"/>
        <v>0</v>
      </c>
      <c r="AE44" s="1522">
        <f t="shared" si="15"/>
        <v>0</v>
      </c>
      <c r="AF44" s="1518">
        <f>SUM(AB44:AE44)</f>
        <v>0</v>
      </c>
    </row>
    <row r="45" spans="1:36" s="955" customFormat="1" ht="17.149999999999999" customHeight="1" x14ac:dyDescent="0.35">
      <c r="A45" s="953" t="str">
        <f>'Treatment volumes'!A46</f>
        <v>Plant 2</v>
      </c>
      <c r="B45" s="1522">
        <f>'FS_Treatment volumes'!G46</f>
        <v>9454</v>
      </c>
      <c r="C45" s="1522">
        <f>'FS_Treatment volumes'!K46</f>
        <v>9454</v>
      </c>
      <c r="D45" s="956">
        <f>'Treatment Sludge_NO INPUTS'!T33</f>
        <v>1</v>
      </c>
      <c r="E45" s="956">
        <f>'Treatment Sludge_NO INPUTS'!U33</f>
        <v>0</v>
      </c>
      <c r="F45" s="956">
        <f>'Treatment Sludge_NO INPUTS'!V33</f>
        <v>0</v>
      </c>
      <c r="G45" s="956">
        <f>'Treatment Sludge_NO INPUTS'!W33</f>
        <v>0</v>
      </c>
      <c r="H45" s="1468">
        <f t="shared" ref="H45:H53" si="16">SUM(D45:G45)</f>
        <v>1</v>
      </c>
      <c r="I45" s="957" t="str">
        <f t="shared" ref="I45:I53" si="17">IF(AND(B45=0,H45=0),"OK",IF(AND(B45&gt;0,H45=1),"OK","Not OK"))</f>
        <v>OK</v>
      </c>
      <c r="J45" s="1522">
        <f t="shared" ref="J45:J53" si="18">D45*$B45</f>
        <v>9454</v>
      </c>
      <c r="K45" s="1522">
        <f t="shared" si="12"/>
        <v>0</v>
      </c>
      <c r="L45" s="1522">
        <f t="shared" si="12"/>
        <v>0</v>
      </c>
      <c r="M45" s="1522">
        <f t="shared" si="12"/>
        <v>0</v>
      </c>
      <c r="N45" s="1518">
        <f t="shared" ref="N45:N53" si="19">SUM(J45:M45)</f>
        <v>9454</v>
      </c>
      <c r="O45" s="958"/>
      <c r="P45" s="956">
        <f>'Treatment Sludge_NO INPUTS'!AB33</f>
        <v>1</v>
      </c>
      <c r="Q45" s="956">
        <f>'Treatment Sludge_NO INPUTS'!AC33</f>
        <v>0</v>
      </c>
      <c r="R45" s="956">
        <f>'Treatment Sludge_NO INPUTS'!AD33</f>
        <v>0</v>
      </c>
      <c r="S45" s="956">
        <f>'Treatment Sludge_NO INPUTS'!AE33</f>
        <v>0</v>
      </c>
      <c r="T45" s="1468">
        <f t="shared" ref="T45:T53" si="20">SUM(P45:S45)</f>
        <v>1</v>
      </c>
      <c r="U45" s="957" t="str">
        <f t="shared" si="13"/>
        <v>Not OK</v>
      </c>
      <c r="V45" s="1522">
        <f t="shared" si="14"/>
        <v>9454</v>
      </c>
      <c r="W45" s="1522">
        <f t="shared" si="14"/>
        <v>0</v>
      </c>
      <c r="X45" s="1522">
        <f t="shared" si="14"/>
        <v>0</v>
      </c>
      <c r="Y45" s="1522">
        <f t="shared" si="14"/>
        <v>0</v>
      </c>
      <c r="Z45" s="1522">
        <f t="shared" ref="Z45:Z53" si="21">SUM(V45:Y45)</f>
        <v>9454</v>
      </c>
      <c r="AA45" s="10"/>
      <c r="AB45" s="1522">
        <f t="shared" si="15"/>
        <v>0</v>
      </c>
      <c r="AC45" s="1522">
        <f t="shared" si="15"/>
        <v>0</v>
      </c>
      <c r="AD45" s="1522">
        <f t="shared" si="15"/>
        <v>0</v>
      </c>
      <c r="AE45" s="1522">
        <f t="shared" si="15"/>
        <v>0</v>
      </c>
      <c r="AF45" s="1518">
        <f t="shared" ref="AF45:AF53" si="22">SUM(AB45:AE45)</f>
        <v>0</v>
      </c>
    </row>
    <row r="46" spans="1:36" s="955" customFormat="1" ht="17.149999999999999" customHeight="1" x14ac:dyDescent="0.35">
      <c r="A46" s="953" t="str">
        <f>'Treatment volumes'!A47</f>
        <v>Plant 3</v>
      </c>
      <c r="B46" s="1522">
        <f>'FS_Treatment volumes'!G47</f>
        <v>9780</v>
      </c>
      <c r="C46" s="1522">
        <f>'FS_Treatment volumes'!K47</f>
        <v>0</v>
      </c>
      <c r="D46" s="956">
        <f>'Treatment Sludge_NO INPUTS'!T34</f>
        <v>1</v>
      </c>
      <c r="E46" s="956">
        <f>'Treatment Sludge_NO INPUTS'!U34</f>
        <v>0</v>
      </c>
      <c r="F46" s="956">
        <f>'Treatment Sludge_NO INPUTS'!V34</f>
        <v>0</v>
      </c>
      <c r="G46" s="956">
        <f>'Treatment Sludge_NO INPUTS'!W34</f>
        <v>0</v>
      </c>
      <c r="H46" s="1468">
        <f t="shared" si="16"/>
        <v>1</v>
      </c>
      <c r="I46" s="957" t="str">
        <f t="shared" si="17"/>
        <v>OK</v>
      </c>
      <c r="J46" s="1522">
        <f t="shared" si="18"/>
        <v>9780</v>
      </c>
      <c r="K46" s="1522">
        <f t="shared" si="12"/>
        <v>0</v>
      </c>
      <c r="L46" s="1522">
        <f t="shared" si="12"/>
        <v>0</v>
      </c>
      <c r="M46" s="1522">
        <f t="shared" si="12"/>
        <v>0</v>
      </c>
      <c r="N46" s="1518">
        <f t="shared" si="19"/>
        <v>9780</v>
      </c>
      <c r="O46" s="958"/>
      <c r="P46" s="956">
        <f>'Treatment Sludge_NO INPUTS'!AB34</f>
        <v>0</v>
      </c>
      <c r="Q46" s="956">
        <f>'Treatment Sludge_NO INPUTS'!AC34</f>
        <v>0</v>
      </c>
      <c r="R46" s="956">
        <f>'Treatment Sludge_NO INPUTS'!AD34</f>
        <v>0</v>
      </c>
      <c r="S46" s="956">
        <f>'Treatment Sludge_NO INPUTS'!AE34</f>
        <v>0</v>
      </c>
      <c r="T46" s="1468">
        <f t="shared" si="20"/>
        <v>0</v>
      </c>
      <c r="U46" s="957" t="str">
        <f t="shared" si="13"/>
        <v>OK</v>
      </c>
      <c r="V46" s="1522">
        <f t="shared" si="14"/>
        <v>0</v>
      </c>
      <c r="W46" s="1522">
        <f t="shared" si="14"/>
        <v>0</v>
      </c>
      <c r="X46" s="1522">
        <f t="shared" si="14"/>
        <v>0</v>
      </c>
      <c r="Y46" s="1522">
        <f t="shared" si="14"/>
        <v>0</v>
      </c>
      <c r="Z46" s="1522">
        <f t="shared" si="21"/>
        <v>0</v>
      </c>
      <c r="AA46" s="10"/>
      <c r="AB46" s="1522">
        <f t="shared" si="15"/>
        <v>9780</v>
      </c>
      <c r="AC46" s="1522">
        <f t="shared" si="15"/>
        <v>0</v>
      </c>
      <c r="AD46" s="1522">
        <f t="shared" si="15"/>
        <v>0</v>
      </c>
      <c r="AE46" s="1522">
        <f t="shared" si="15"/>
        <v>0</v>
      </c>
      <c r="AF46" s="1518">
        <f t="shared" si="22"/>
        <v>9780</v>
      </c>
    </row>
    <row r="47" spans="1:36" s="955" customFormat="1" ht="17.149999999999999" customHeight="1" x14ac:dyDescent="0.35">
      <c r="A47" s="953" t="str">
        <f>'Treatment volumes'!A48</f>
        <v>Plant 4</v>
      </c>
      <c r="B47" s="1522">
        <f>'FS_Treatment volumes'!G48</f>
        <v>11410</v>
      </c>
      <c r="C47" s="1522">
        <f>'FS_Treatment volumes'!K48</f>
        <v>0</v>
      </c>
      <c r="D47" s="956">
        <f>'Treatment Sludge_NO INPUTS'!T35</f>
        <v>1</v>
      </c>
      <c r="E47" s="956">
        <f>'Treatment Sludge_NO INPUTS'!U35</f>
        <v>0</v>
      </c>
      <c r="F47" s="956">
        <f>'Treatment Sludge_NO INPUTS'!V35</f>
        <v>0</v>
      </c>
      <c r="G47" s="956">
        <f>'Treatment Sludge_NO INPUTS'!W35</f>
        <v>0</v>
      </c>
      <c r="H47" s="1468">
        <f t="shared" si="16"/>
        <v>1</v>
      </c>
      <c r="I47" s="957" t="str">
        <f t="shared" si="17"/>
        <v>OK</v>
      </c>
      <c r="J47" s="1522">
        <f t="shared" si="18"/>
        <v>11410</v>
      </c>
      <c r="K47" s="1522">
        <f t="shared" si="12"/>
        <v>0</v>
      </c>
      <c r="L47" s="1522">
        <f t="shared" si="12"/>
        <v>0</v>
      </c>
      <c r="M47" s="1522">
        <f t="shared" si="12"/>
        <v>0</v>
      </c>
      <c r="N47" s="1518">
        <f t="shared" si="19"/>
        <v>11410</v>
      </c>
      <c r="P47" s="956">
        <f>'Treatment Sludge_NO INPUTS'!AB35</f>
        <v>0</v>
      </c>
      <c r="Q47" s="956">
        <f>'Treatment Sludge_NO INPUTS'!AC35</f>
        <v>0</v>
      </c>
      <c r="R47" s="956">
        <f>'Treatment Sludge_NO INPUTS'!AD35</f>
        <v>0</v>
      </c>
      <c r="S47" s="956">
        <f>'Treatment Sludge_NO INPUTS'!AE35</f>
        <v>0</v>
      </c>
      <c r="T47" s="1468">
        <f t="shared" si="20"/>
        <v>0</v>
      </c>
      <c r="U47" s="957" t="str">
        <f t="shared" si="13"/>
        <v>OK</v>
      </c>
      <c r="V47" s="1522">
        <f t="shared" si="14"/>
        <v>0</v>
      </c>
      <c r="W47" s="1522">
        <f t="shared" si="14"/>
        <v>0</v>
      </c>
      <c r="X47" s="1522">
        <f t="shared" si="14"/>
        <v>0</v>
      </c>
      <c r="Y47" s="1522">
        <f t="shared" si="14"/>
        <v>0</v>
      </c>
      <c r="Z47" s="1522">
        <f t="shared" si="21"/>
        <v>0</v>
      </c>
      <c r="AA47" s="10"/>
      <c r="AB47" s="1522">
        <f t="shared" si="15"/>
        <v>11410</v>
      </c>
      <c r="AC47" s="1522">
        <f t="shared" si="15"/>
        <v>0</v>
      </c>
      <c r="AD47" s="1522">
        <f t="shared" si="15"/>
        <v>0</v>
      </c>
      <c r="AE47" s="1522">
        <f t="shared" si="15"/>
        <v>0</v>
      </c>
      <c r="AF47" s="1518">
        <f t="shared" si="22"/>
        <v>11410</v>
      </c>
    </row>
    <row r="48" spans="1:36" s="955" customFormat="1" ht="17.149999999999999" customHeight="1" x14ac:dyDescent="0.35">
      <c r="A48" s="953" t="str">
        <f>'Treatment volumes'!A49</f>
        <v>Plant 5 [insert name]</v>
      </c>
      <c r="B48" s="1522">
        <f>'FS_Treatment volumes'!G49</f>
        <v>0</v>
      </c>
      <c r="C48" s="1522">
        <f>'FS_Treatment volumes'!K49</f>
        <v>0</v>
      </c>
      <c r="D48" s="956">
        <f>'Treatment Sludge_NO INPUTS'!T36</f>
        <v>0</v>
      </c>
      <c r="E48" s="956">
        <f>'Treatment Sludge_NO INPUTS'!U36</f>
        <v>0</v>
      </c>
      <c r="F48" s="956">
        <f>'Treatment Sludge_NO INPUTS'!V36</f>
        <v>0</v>
      </c>
      <c r="G48" s="956">
        <f>'Treatment Sludge_NO INPUTS'!W36</f>
        <v>0</v>
      </c>
      <c r="H48" s="1468">
        <f t="shared" si="16"/>
        <v>0</v>
      </c>
      <c r="I48" s="957" t="str">
        <f t="shared" si="17"/>
        <v>OK</v>
      </c>
      <c r="J48" s="1522">
        <f t="shared" si="18"/>
        <v>0</v>
      </c>
      <c r="K48" s="1522">
        <f t="shared" si="12"/>
        <v>0</v>
      </c>
      <c r="L48" s="1522">
        <f t="shared" si="12"/>
        <v>0</v>
      </c>
      <c r="M48" s="1522">
        <f t="shared" si="12"/>
        <v>0</v>
      </c>
      <c r="N48" s="1518">
        <f t="shared" si="19"/>
        <v>0</v>
      </c>
      <c r="P48" s="956">
        <f>'Treatment Sludge_NO INPUTS'!AB36</f>
        <v>0</v>
      </c>
      <c r="Q48" s="956">
        <f>'Treatment Sludge_NO INPUTS'!AC36</f>
        <v>0</v>
      </c>
      <c r="R48" s="956">
        <f>'Treatment Sludge_NO INPUTS'!AD36</f>
        <v>0</v>
      </c>
      <c r="S48" s="956">
        <f>'Treatment Sludge_NO INPUTS'!AE36</f>
        <v>0</v>
      </c>
      <c r="T48" s="1468">
        <f t="shared" si="20"/>
        <v>0</v>
      </c>
      <c r="U48" s="957" t="str">
        <f t="shared" si="13"/>
        <v>OK</v>
      </c>
      <c r="V48" s="1522">
        <f t="shared" si="14"/>
        <v>0</v>
      </c>
      <c r="W48" s="1522">
        <f t="shared" si="14"/>
        <v>0</v>
      </c>
      <c r="X48" s="1522">
        <f t="shared" si="14"/>
        <v>0</v>
      </c>
      <c r="Y48" s="1522">
        <f t="shared" si="14"/>
        <v>0</v>
      </c>
      <c r="Z48" s="1522">
        <f t="shared" si="21"/>
        <v>0</v>
      </c>
      <c r="AA48" s="10"/>
      <c r="AB48" s="1522">
        <f t="shared" si="15"/>
        <v>0</v>
      </c>
      <c r="AC48" s="1522">
        <f t="shared" si="15"/>
        <v>0</v>
      </c>
      <c r="AD48" s="1522">
        <f t="shared" si="15"/>
        <v>0</v>
      </c>
      <c r="AE48" s="1522">
        <f t="shared" si="15"/>
        <v>0</v>
      </c>
      <c r="AF48" s="1518">
        <f t="shared" si="22"/>
        <v>0</v>
      </c>
    </row>
    <row r="49" spans="1:36" s="955" customFormat="1" ht="17.149999999999999" customHeight="1" x14ac:dyDescent="0.35">
      <c r="A49" s="953" t="str">
        <f>'Treatment volumes'!A50</f>
        <v>Plant 6 [insert name]</v>
      </c>
      <c r="B49" s="1522">
        <f>'FS_Treatment volumes'!G50</f>
        <v>0</v>
      </c>
      <c r="C49" s="1522">
        <f>'FS_Treatment volumes'!K50</f>
        <v>0</v>
      </c>
      <c r="D49" s="956">
        <f>'Treatment Sludge_NO INPUTS'!T37</f>
        <v>0</v>
      </c>
      <c r="E49" s="956">
        <f>'Treatment Sludge_NO INPUTS'!U37</f>
        <v>0</v>
      </c>
      <c r="F49" s="956">
        <f>'Treatment Sludge_NO INPUTS'!V37</f>
        <v>0</v>
      </c>
      <c r="G49" s="956">
        <f>'Treatment Sludge_NO INPUTS'!W37</f>
        <v>0</v>
      </c>
      <c r="H49" s="1468">
        <f t="shared" si="16"/>
        <v>0</v>
      </c>
      <c r="I49" s="957" t="str">
        <f t="shared" si="17"/>
        <v>OK</v>
      </c>
      <c r="J49" s="1522">
        <f t="shared" si="18"/>
        <v>0</v>
      </c>
      <c r="K49" s="1522">
        <f t="shared" si="12"/>
        <v>0</v>
      </c>
      <c r="L49" s="1522">
        <f t="shared" si="12"/>
        <v>0</v>
      </c>
      <c r="M49" s="1522">
        <f t="shared" si="12"/>
        <v>0</v>
      </c>
      <c r="N49" s="1518">
        <f t="shared" si="19"/>
        <v>0</v>
      </c>
      <c r="P49" s="956">
        <f>'Treatment Sludge_NO INPUTS'!AB37</f>
        <v>0</v>
      </c>
      <c r="Q49" s="956">
        <f>'Treatment Sludge_NO INPUTS'!AC37</f>
        <v>0</v>
      </c>
      <c r="R49" s="956">
        <f>'Treatment Sludge_NO INPUTS'!AD37</f>
        <v>0</v>
      </c>
      <c r="S49" s="956">
        <f>'Treatment Sludge_NO INPUTS'!AE37</f>
        <v>0</v>
      </c>
      <c r="T49" s="1468">
        <f t="shared" si="20"/>
        <v>0</v>
      </c>
      <c r="U49" s="957" t="str">
        <f t="shared" si="13"/>
        <v>OK</v>
      </c>
      <c r="V49" s="1522">
        <f t="shared" si="14"/>
        <v>0</v>
      </c>
      <c r="W49" s="1522">
        <f t="shared" si="14"/>
        <v>0</v>
      </c>
      <c r="X49" s="1522">
        <f t="shared" si="14"/>
        <v>0</v>
      </c>
      <c r="Y49" s="1522">
        <f t="shared" si="14"/>
        <v>0</v>
      </c>
      <c r="Z49" s="1522">
        <f t="shared" si="21"/>
        <v>0</v>
      </c>
      <c r="AA49" s="10"/>
      <c r="AB49" s="1522">
        <f t="shared" si="15"/>
        <v>0</v>
      </c>
      <c r="AC49" s="1522">
        <f t="shared" si="15"/>
        <v>0</v>
      </c>
      <c r="AD49" s="1522">
        <f t="shared" si="15"/>
        <v>0</v>
      </c>
      <c r="AE49" s="1522">
        <f t="shared" si="15"/>
        <v>0</v>
      </c>
      <c r="AF49" s="1518">
        <f t="shared" si="22"/>
        <v>0</v>
      </c>
    </row>
    <row r="50" spans="1:36" s="955" customFormat="1" ht="17.149999999999999" customHeight="1" x14ac:dyDescent="0.35">
      <c r="A50" s="953" t="str">
        <f>'Treatment volumes'!A51</f>
        <v>Plant 7 [insert name]</v>
      </c>
      <c r="B50" s="1522">
        <f>'FS_Treatment volumes'!G51</f>
        <v>0</v>
      </c>
      <c r="C50" s="1522">
        <f>'FS_Treatment volumes'!K51</f>
        <v>0</v>
      </c>
      <c r="D50" s="956">
        <f>'Treatment Sludge_NO INPUTS'!T38</f>
        <v>0</v>
      </c>
      <c r="E50" s="956">
        <f>'Treatment Sludge_NO INPUTS'!U38</f>
        <v>0</v>
      </c>
      <c r="F50" s="956">
        <f>'Treatment Sludge_NO INPUTS'!V38</f>
        <v>0</v>
      </c>
      <c r="G50" s="956">
        <f>'Treatment Sludge_NO INPUTS'!W38</f>
        <v>0</v>
      </c>
      <c r="H50" s="1468">
        <f t="shared" si="16"/>
        <v>0</v>
      </c>
      <c r="I50" s="957" t="str">
        <f t="shared" si="17"/>
        <v>OK</v>
      </c>
      <c r="J50" s="1522">
        <f t="shared" si="18"/>
        <v>0</v>
      </c>
      <c r="K50" s="1522">
        <f t="shared" si="12"/>
        <v>0</v>
      </c>
      <c r="L50" s="1522">
        <f t="shared" si="12"/>
        <v>0</v>
      </c>
      <c r="M50" s="1522">
        <f t="shared" si="12"/>
        <v>0</v>
      </c>
      <c r="N50" s="1518">
        <f t="shared" si="19"/>
        <v>0</v>
      </c>
      <c r="P50" s="956">
        <f>'Treatment Sludge_NO INPUTS'!AB38</f>
        <v>0</v>
      </c>
      <c r="Q50" s="956">
        <f>'Treatment Sludge_NO INPUTS'!AC38</f>
        <v>0</v>
      </c>
      <c r="R50" s="956">
        <f>'Treatment Sludge_NO INPUTS'!AD38</f>
        <v>0</v>
      </c>
      <c r="S50" s="956">
        <f>'Treatment Sludge_NO INPUTS'!AE38</f>
        <v>0</v>
      </c>
      <c r="T50" s="1468">
        <f t="shared" si="20"/>
        <v>0</v>
      </c>
      <c r="U50" s="957" t="str">
        <f t="shared" si="13"/>
        <v>OK</v>
      </c>
      <c r="V50" s="1522">
        <f t="shared" si="14"/>
        <v>0</v>
      </c>
      <c r="W50" s="1522">
        <f t="shared" si="14"/>
        <v>0</v>
      </c>
      <c r="X50" s="1522">
        <f t="shared" si="14"/>
        <v>0</v>
      </c>
      <c r="Y50" s="1522">
        <f t="shared" si="14"/>
        <v>0</v>
      </c>
      <c r="Z50" s="1522">
        <f t="shared" si="21"/>
        <v>0</v>
      </c>
      <c r="AA50" s="10"/>
      <c r="AB50" s="1522">
        <f t="shared" si="15"/>
        <v>0</v>
      </c>
      <c r="AC50" s="1522">
        <f t="shared" si="15"/>
        <v>0</v>
      </c>
      <c r="AD50" s="1522">
        <f t="shared" si="15"/>
        <v>0</v>
      </c>
      <c r="AE50" s="1522">
        <f t="shared" si="15"/>
        <v>0</v>
      </c>
      <c r="AF50" s="1518">
        <f t="shared" si="22"/>
        <v>0</v>
      </c>
    </row>
    <row r="51" spans="1:36" s="955" customFormat="1" ht="17.149999999999999" customHeight="1" x14ac:dyDescent="0.35">
      <c r="A51" s="953" t="str">
        <f>'Treatment volumes'!A52</f>
        <v>Plant 8 [insert name]</v>
      </c>
      <c r="B51" s="1522">
        <f>'FS_Treatment volumes'!G52</f>
        <v>0</v>
      </c>
      <c r="C51" s="1522">
        <f>'FS_Treatment volumes'!K52</f>
        <v>0</v>
      </c>
      <c r="D51" s="956">
        <f>'Treatment Sludge_NO INPUTS'!T39</f>
        <v>0</v>
      </c>
      <c r="E51" s="956">
        <f>'Treatment Sludge_NO INPUTS'!U39</f>
        <v>0</v>
      </c>
      <c r="F51" s="956">
        <f>'Treatment Sludge_NO INPUTS'!V39</f>
        <v>0</v>
      </c>
      <c r="G51" s="956">
        <f>'Treatment Sludge_NO INPUTS'!W39</f>
        <v>0</v>
      </c>
      <c r="H51" s="1468">
        <f t="shared" si="16"/>
        <v>0</v>
      </c>
      <c r="I51" s="957" t="str">
        <f t="shared" si="17"/>
        <v>OK</v>
      </c>
      <c r="J51" s="1522">
        <f t="shared" si="18"/>
        <v>0</v>
      </c>
      <c r="K51" s="1522">
        <f t="shared" si="12"/>
        <v>0</v>
      </c>
      <c r="L51" s="1522">
        <f t="shared" si="12"/>
        <v>0</v>
      </c>
      <c r="M51" s="1522">
        <f t="shared" si="12"/>
        <v>0</v>
      </c>
      <c r="N51" s="1518">
        <f t="shared" si="19"/>
        <v>0</v>
      </c>
      <c r="P51" s="956">
        <f>'Treatment Sludge_NO INPUTS'!AB39</f>
        <v>0</v>
      </c>
      <c r="Q51" s="956">
        <f>'Treatment Sludge_NO INPUTS'!AC39</f>
        <v>0</v>
      </c>
      <c r="R51" s="956">
        <f>'Treatment Sludge_NO INPUTS'!AD39</f>
        <v>0</v>
      </c>
      <c r="S51" s="956">
        <f>'Treatment Sludge_NO INPUTS'!AE39</f>
        <v>0</v>
      </c>
      <c r="T51" s="1468">
        <f t="shared" si="20"/>
        <v>0</v>
      </c>
      <c r="U51" s="957" t="str">
        <f t="shared" si="13"/>
        <v>OK</v>
      </c>
      <c r="V51" s="1522">
        <f t="shared" si="14"/>
        <v>0</v>
      </c>
      <c r="W51" s="1522">
        <f t="shared" si="14"/>
        <v>0</v>
      </c>
      <c r="X51" s="1522">
        <f t="shared" si="14"/>
        <v>0</v>
      </c>
      <c r="Y51" s="1522">
        <f t="shared" si="14"/>
        <v>0</v>
      </c>
      <c r="Z51" s="1522">
        <f t="shared" si="21"/>
        <v>0</v>
      </c>
      <c r="AA51" s="10"/>
      <c r="AB51" s="1522">
        <f t="shared" si="15"/>
        <v>0</v>
      </c>
      <c r="AC51" s="1522">
        <f t="shared" si="15"/>
        <v>0</v>
      </c>
      <c r="AD51" s="1522">
        <f t="shared" si="15"/>
        <v>0</v>
      </c>
      <c r="AE51" s="1522">
        <f t="shared" si="15"/>
        <v>0</v>
      </c>
      <c r="AF51" s="1518">
        <f t="shared" si="22"/>
        <v>0</v>
      </c>
    </row>
    <row r="52" spans="1:36" s="955" customFormat="1" ht="17.149999999999999" customHeight="1" x14ac:dyDescent="0.35">
      <c r="A52" s="953" t="str">
        <f>'Treatment volumes'!A53</f>
        <v>Plant 9 [insert name]</v>
      </c>
      <c r="B52" s="1522">
        <f>'FS_Treatment volumes'!G53</f>
        <v>0</v>
      </c>
      <c r="C52" s="1522">
        <f>'FS_Treatment volumes'!K53</f>
        <v>0</v>
      </c>
      <c r="D52" s="956">
        <f>'Treatment Sludge_NO INPUTS'!T40</f>
        <v>0</v>
      </c>
      <c r="E52" s="956">
        <f>'Treatment Sludge_NO INPUTS'!U40</f>
        <v>0</v>
      </c>
      <c r="F52" s="956">
        <f>'Treatment Sludge_NO INPUTS'!V40</f>
        <v>0</v>
      </c>
      <c r="G52" s="956">
        <f>'Treatment Sludge_NO INPUTS'!W40</f>
        <v>0</v>
      </c>
      <c r="H52" s="1468">
        <f t="shared" si="16"/>
        <v>0</v>
      </c>
      <c r="I52" s="957" t="str">
        <f t="shared" si="17"/>
        <v>OK</v>
      </c>
      <c r="J52" s="1522">
        <f t="shared" si="18"/>
        <v>0</v>
      </c>
      <c r="K52" s="1522">
        <f t="shared" si="12"/>
        <v>0</v>
      </c>
      <c r="L52" s="1522">
        <f t="shared" si="12"/>
        <v>0</v>
      </c>
      <c r="M52" s="1522">
        <f t="shared" si="12"/>
        <v>0</v>
      </c>
      <c r="N52" s="1518">
        <f t="shared" si="19"/>
        <v>0</v>
      </c>
      <c r="P52" s="956">
        <f>'Treatment Sludge_NO INPUTS'!AB40</f>
        <v>0</v>
      </c>
      <c r="Q52" s="956">
        <f>'Treatment Sludge_NO INPUTS'!AC40</f>
        <v>0</v>
      </c>
      <c r="R52" s="956">
        <f>'Treatment Sludge_NO INPUTS'!AD40</f>
        <v>0</v>
      </c>
      <c r="S52" s="956">
        <f>'Treatment Sludge_NO INPUTS'!AE40</f>
        <v>0</v>
      </c>
      <c r="T52" s="1468">
        <f t="shared" si="20"/>
        <v>0</v>
      </c>
      <c r="U52" s="957" t="str">
        <f t="shared" si="13"/>
        <v>OK</v>
      </c>
      <c r="V52" s="1522">
        <f t="shared" si="14"/>
        <v>0</v>
      </c>
      <c r="W52" s="1522">
        <f t="shared" si="14"/>
        <v>0</v>
      </c>
      <c r="X52" s="1522">
        <f t="shared" si="14"/>
        <v>0</v>
      </c>
      <c r="Y52" s="1522">
        <f t="shared" si="14"/>
        <v>0</v>
      </c>
      <c r="Z52" s="1522">
        <f t="shared" si="21"/>
        <v>0</v>
      </c>
      <c r="AA52" s="10"/>
      <c r="AB52" s="1522">
        <f t="shared" si="15"/>
        <v>0</v>
      </c>
      <c r="AC52" s="1522">
        <f t="shared" si="15"/>
        <v>0</v>
      </c>
      <c r="AD52" s="1522">
        <f t="shared" si="15"/>
        <v>0</v>
      </c>
      <c r="AE52" s="1522">
        <f t="shared" si="15"/>
        <v>0</v>
      </c>
      <c r="AF52" s="1518">
        <f t="shared" si="22"/>
        <v>0</v>
      </c>
    </row>
    <row r="53" spans="1:36" s="955" customFormat="1" ht="17.149999999999999" customHeight="1" x14ac:dyDescent="0.35">
      <c r="A53" s="953" t="str">
        <f>'Treatment volumes'!A54</f>
        <v>Plant 10 [insert name]</v>
      </c>
      <c r="B53" s="1522">
        <f>'FS_Treatment volumes'!G54</f>
        <v>0</v>
      </c>
      <c r="C53" s="1522">
        <f>'FS_Treatment volumes'!K54</f>
        <v>0</v>
      </c>
      <c r="D53" s="956">
        <f>'Treatment Sludge_NO INPUTS'!T41</f>
        <v>0</v>
      </c>
      <c r="E53" s="956">
        <f>'Treatment Sludge_NO INPUTS'!U41</f>
        <v>0</v>
      </c>
      <c r="F53" s="956">
        <f>'Treatment Sludge_NO INPUTS'!V41</f>
        <v>0</v>
      </c>
      <c r="G53" s="956">
        <f>'Treatment Sludge_NO INPUTS'!W41</f>
        <v>0</v>
      </c>
      <c r="H53" s="1468">
        <f t="shared" si="16"/>
        <v>0</v>
      </c>
      <c r="I53" s="957" t="str">
        <f t="shared" si="17"/>
        <v>OK</v>
      </c>
      <c r="J53" s="1522">
        <f t="shared" si="18"/>
        <v>0</v>
      </c>
      <c r="K53" s="1522">
        <f t="shared" si="12"/>
        <v>0</v>
      </c>
      <c r="L53" s="1522">
        <f t="shared" si="12"/>
        <v>0</v>
      </c>
      <c r="M53" s="1522">
        <f t="shared" si="12"/>
        <v>0</v>
      </c>
      <c r="N53" s="1518">
        <f t="shared" si="19"/>
        <v>0</v>
      </c>
      <c r="O53" s="103"/>
      <c r="P53" s="956">
        <f>'Treatment Sludge_NO INPUTS'!AB41</f>
        <v>0</v>
      </c>
      <c r="Q53" s="956">
        <f>'Treatment Sludge_NO INPUTS'!AC41</f>
        <v>0</v>
      </c>
      <c r="R53" s="956">
        <f>'Treatment Sludge_NO INPUTS'!AD41</f>
        <v>0</v>
      </c>
      <c r="S53" s="956">
        <f>'Treatment Sludge_NO INPUTS'!AE41</f>
        <v>0</v>
      </c>
      <c r="T53" s="1468">
        <f t="shared" si="20"/>
        <v>0</v>
      </c>
      <c r="U53" s="957" t="str">
        <f t="shared" si="13"/>
        <v>OK</v>
      </c>
      <c r="V53" s="1522">
        <f t="shared" si="14"/>
        <v>0</v>
      </c>
      <c r="W53" s="1522">
        <f t="shared" si="14"/>
        <v>0</v>
      </c>
      <c r="X53" s="1522">
        <f t="shared" si="14"/>
        <v>0</v>
      </c>
      <c r="Y53" s="1522">
        <f t="shared" si="14"/>
        <v>0</v>
      </c>
      <c r="Z53" s="1522">
        <f t="shared" si="21"/>
        <v>0</v>
      </c>
      <c r="AA53" s="10"/>
      <c r="AB53" s="1522">
        <f t="shared" si="15"/>
        <v>0</v>
      </c>
      <c r="AC53" s="1522">
        <f t="shared" si="15"/>
        <v>0</v>
      </c>
      <c r="AD53" s="1522">
        <f t="shared" si="15"/>
        <v>0</v>
      </c>
      <c r="AE53" s="1522">
        <f t="shared" si="15"/>
        <v>0</v>
      </c>
      <c r="AF53" s="1518">
        <f t="shared" si="22"/>
        <v>0</v>
      </c>
    </row>
    <row r="54" spans="1:36" s="12" customFormat="1" ht="17.149999999999999" customHeight="1" x14ac:dyDescent="0.35">
      <c r="A54" s="950" t="s">
        <v>208</v>
      </c>
      <c r="B54" s="948">
        <f>SUM(B44:B53)</f>
        <v>32600</v>
      </c>
      <c r="C54" s="948">
        <f>SUM(C44:C53)</f>
        <v>11410</v>
      </c>
      <c r="D54" s="952"/>
      <c r="E54" s="952"/>
      <c r="F54" s="952"/>
      <c r="G54" s="952"/>
      <c r="H54" s="952"/>
      <c r="I54" s="952"/>
      <c r="J54" s="948">
        <f>SUM(J44:J53)</f>
        <v>32600</v>
      </c>
      <c r="K54" s="948">
        <f>SUM(K44:K53)</f>
        <v>0</v>
      </c>
      <c r="L54" s="948">
        <f>SUM(L44:L53)</f>
        <v>0</v>
      </c>
      <c r="M54" s="948">
        <f>SUM(M44:M53)</f>
        <v>0</v>
      </c>
      <c r="N54" s="948">
        <f>SUM(N44:N53)</f>
        <v>32600</v>
      </c>
      <c r="O54" s="213"/>
      <c r="P54" s="952"/>
      <c r="Q54" s="952"/>
      <c r="R54" s="952"/>
      <c r="S54" s="952"/>
      <c r="T54" s="952"/>
      <c r="U54" s="952"/>
      <c r="V54" s="948">
        <f>SUM(V44:V53)</f>
        <v>11410</v>
      </c>
      <c r="W54" s="948">
        <f>SUM(W44:W53)</f>
        <v>0</v>
      </c>
      <c r="X54" s="948">
        <f>SUM(X44:X53)</f>
        <v>0</v>
      </c>
      <c r="Y54" s="948">
        <f>SUM(Y44:Y53)</f>
        <v>0</v>
      </c>
      <c r="Z54" s="948">
        <f>SUM(Z44:Z53)</f>
        <v>11410</v>
      </c>
      <c r="AA54" s="32"/>
      <c r="AB54" s="948">
        <f>SUM(AB44:AB53)</f>
        <v>21190</v>
      </c>
      <c r="AC54" s="948">
        <f>SUM(AC44:AC53)</f>
        <v>0</v>
      </c>
      <c r="AD54" s="948">
        <f>SUM(AD44:AD53)</f>
        <v>0</v>
      </c>
      <c r="AE54" s="948">
        <f>SUM(AE44:AE53)</f>
        <v>0</v>
      </c>
      <c r="AF54" s="948">
        <f>SUM(AF44:AF53)</f>
        <v>21190</v>
      </c>
    </row>
    <row r="55" spans="1:36" ht="17.149999999999999" customHeight="1" x14ac:dyDescent="0.35">
      <c r="A55" s="3"/>
      <c r="B55" s="67"/>
      <c r="C55" s="67"/>
      <c r="D55" s="67"/>
      <c r="E55" s="67"/>
      <c r="F55" s="67"/>
      <c r="G55" s="67"/>
      <c r="H55" s="67"/>
      <c r="I55" s="67"/>
      <c r="J55" s="1468">
        <f>IF($N$54=0,0,J54/$N$54)</f>
        <v>1</v>
      </c>
      <c r="K55" s="1468">
        <f>IF($N$54=0,0,K54/$N$54)</f>
        <v>0</v>
      </c>
      <c r="L55" s="1468">
        <f>IF($N$54=0,0,L54/$N$54)</f>
        <v>0</v>
      </c>
      <c r="M55" s="1468">
        <f>IF($N$54=0,0,M54/$N$54)</f>
        <v>0</v>
      </c>
      <c r="N55" s="1468">
        <f>IF($N$54=0,0,N54/$N$54)</f>
        <v>1</v>
      </c>
      <c r="O55" s="67"/>
      <c r="Q55" s="3"/>
      <c r="R55" s="3"/>
      <c r="S55" s="3"/>
      <c r="T55" s="3"/>
      <c r="U55" s="3"/>
      <c r="V55" s="3"/>
      <c r="W55" s="3"/>
      <c r="X55" s="3"/>
      <c r="Y55" s="3"/>
      <c r="Z55" s="60"/>
      <c r="AA55" s="60"/>
    </row>
    <row r="56" spans="1:36" ht="17.149999999999999" customHeight="1" x14ac:dyDescent="0.35">
      <c r="A56" s="3"/>
      <c r="B56" s="67"/>
      <c r="C56" s="67"/>
      <c r="D56" s="67"/>
      <c r="E56" s="67"/>
      <c r="F56" s="67"/>
      <c r="G56" s="67"/>
      <c r="H56" s="67"/>
      <c r="I56" s="67"/>
      <c r="J56" s="67"/>
      <c r="K56" s="67"/>
      <c r="L56" s="67"/>
      <c r="M56" s="67"/>
      <c r="N56" s="67"/>
      <c r="O56" s="67"/>
      <c r="Q56" s="3"/>
      <c r="R56" s="3"/>
      <c r="S56" s="3"/>
      <c r="T56" s="3"/>
      <c r="U56" s="3"/>
      <c r="V56" s="3"/>
      <c r="W56" s="3"/>
      <c r="X56" s="3"/>
      <c r="Y56" s="3"/>
      <c r="Z56" s="60"/>
      <c r="AA56" s="60"/>
    </row>
    <row r="57" spans="1:36" ht="17.149999999999999" customHeight="1" x14ac:dyDescent="0.35">
      <c r="A57" s="3"/>
      <c r="B57" s="67"/>
      <c r="C57" s="67"/>
      <c r="D57" s="67"/>
      <c r="E57" s="67"/>
      <c r="F57" s="67"/>
      <c r="G57" s="67"/>
      <c r="H57" s="67"/>
      <c r="I57" s="67"/>
      <c r="J57" s="67"/>
      <c r="K57" s="67"/>
      <c r="L57" s="67"/>
      <c r="M57" s="67"/>
      <c r="N57" s="67"/>
      <c r="O57" s="67"/>
      <c r="Q57" s="3"/>
      <c r="R57" s="3"/>
      <c r="S57" s="3"/>
      <c r="T57" s="3"/>
      <c r="U57" s="3"/>
      <c r="V57" s="3"/>
      <c r="W57" s="3"/>
      <c r="X57" s="3"/>
      <c r="Y57" s="3"/>
      <c r="Z57" s="60"/>
      <c r="AA57" s="60"/>
    </row>
    <row r="58" spans="1:36" ht="17.149999999999999" customHeight="1" x14ac:dyDescent="0.35">
      <c r="A58" s="949" t="s">
        <v>1195</v>
      </c>
      <c r="B58" s="1777" t="s">
        <v>9</v>
      </c>
      <c r="C58" s="1777"/>
      <c r="D58" s="3"/>
      <c r="E58" s="3"/>
      <c r="F58" s="3"/>
      <c r="G58" s="3"/>
      <c r="H58" s="3"/>
      <c r="I58" s="84"/>
      <c r="J58" s="84"/>
      <c r="K58" s="84"/>
      <c r="L58" s="84"/>
      <c r="M58" s="84"/>
      <c r="N58" s="84"/>
      <c r="O58" s="3"/>
      <c r="P58" s="3"/>
      <c r="Q58" s="3"/>
      <c r="R58" s="3"/>
      <c r="S58" s="3"/>
      <c r="T58" s="3"/>
      <c r="U58" s="3"/>
      <c r="V58" s="3"/>
      <c r="W58" s="3"/>
      <c r="X58" s="3"/>
      <c r="Y58" s="3"/>
      <c r="Z58" s="3"/>
      <c r="AA58" s="3"/>
      <c r="AB58" s="3"/>
    </row>
    <row r="59" spans="1:36" ht="17.149999999999999" customHeight="1" x14ac:dyDescent="0.35">
      <c r="A59" s="3"/>
      <c r="B59" s="117"/>
      <c r="C59" s="3"/>
      <c r="D59" s="1797" t="s">
        <v>509</v>
      </c>
      <c r="E59" s="1805"/>
      <c r="F59" s="1805"/>
      <c r="G59" s="1805"/>
      <c r="H59" s="1805"/>
      <c r="I59" s="1805"/>
      <c r="J59" s="1805"/>
      <c r="K59" s="1805"/>
      <c r="L59" s="1805"/>
      <c r="M59" s="1805"/>
      <c r="N59" s="1798"/>
      <c r="O59" s="3"/>
      <c r="P59" s="1784" t="s">
        <v>510</v>
      </c>
      <c r="Q59" s="1784"/>
      <c r="R59" s="1784"/>
      <c r="S59" s="1784"/>
      <c r="T59" s="1784"/>
      <c r="U59" s="1784"/>
      <c r="V59" s="1784"/>
      <c r="W59" s="1784"/>
      <c r="X59" s="1784"/>
      <c r="Y59" s="1784"/>
      <c r="Z59" s="1784"/>
      <c r="AA59" s="3"/>
      <c r="AB59" s="1784" t="s">
        <v>1107</v>
      </c>
      <c r="AC59" s="1784"/>
      <c r="AD59" s="1784"/>
      <c r="AE59" s="1784"/>
      <c r="AF59" s="1784"/>
      <c r="AG59" s="329"/>
      <c r="AH59" s="78"/>
      <c r="AI59" s="78"/>
      <c r="AJ59" s="78"/>
    </row>
    <row r="60" spans="1:36" s="11" customFormat="1" ht="17.149999999999999" customHeight="1" x14ac:dyDescent="0.35">
      <c r="A60" s="1808" t="s">
        <v>1149</v>
      </c>
      <c r="B60" s="1764" t="s">
        <v>1143</v>
      </c>
      <c r="C60" s="1764" t="s">
        <v>1144</v>
      </c>
      <c r="D60" s="1784" t="s">
        <v>522</v>
      </c>
      <c r="E60" s="1784"/>
      <c r="F60" s="1784"/>
      <c r="G60" s="1784"/>
      <c r="H60" s="1784"/>
      <c r="I60" s="1784"/>
      <c r="J60" s="1784" t="s">
        <v>1145</v>
      </c>
      <c r="K60" s="1784"/>
      <c r="L60" s="1784"/>
      <c r="M60" s="1784"/>
      <c r="N60" s="1784"/>
      <c r="P60" s="1784" t="s">
        <v>522</v>
      </c>
      <c r="Q60" s="1784"/>
      <c r="R60" s="1784"/>
      <c r="S60" s="1784"/>
      <c r="T60" s="1784"/>
      <c r="U60" s="1784"/>
      <c r="V60" s="1784" t="s">
        <v>1145</v>
      </c>
      <c r="W60" s="1784"/>
      <c r="X60" s="1784"/>
      <c r="Y60" s="1784"/>
      <c r="Z60" s="1784"/>
      <c r="AA60" s="3"/>
      <c r="AB60" s="1784" t="s">
        <v>1145</v>
      </c>
      <c r="AC60" s="1784"/>
      <c r="AD60" s="1784"/>
      <c r="AE60" s="1784"/>
      <c r="AF60" s="1784"/>
    </row>
    <row r="61" spans="1:36" s="11" customFormat="1" ht="17.149999999999999" customHeight="1" x14ac:dyDescent="0.35">
      <c r="A61" s="1808"/>
      <c r="B61" s="1766"/>
      <c r="C61" s="1766"/>
      <c r="D61" s="1511" t="s">
        <v>531</v>
      </c>
      <c r="E61" s="1511" t="s">
        <v>532</v>
      </c>
      <c r="F61" s="1511" t="s">
        <v>533</v>
      </c>
      <c r="G61" s="1511" t="s">
        <v>333</v>
      </c>
      <c r="H61" s="1511" t="s">
        <v>208</v>
      </c>
      <c r="I61" s="1511" t="s">
        <v>535</v>
      </c>
      <c r="J61" s="1511" t="s">
        <v>531</v>
      </c>
      <c r="K61" s="1511" t="s">
        <v>532</v>
      </c>
      <c r="L61" s="1511" t="s">
        <v>533</v>
      </c>
      <c r="M61" s="1511" t="s">
        <v>333</v>
      </c>
      <c r="N61" s="1511" t="s">
        <v>208</v>
      </c>
      <c r="O61" s="198"/>
      <c r="P61" s="1511" t="s">
        <v>531</v>
      </c>
      <c r="Q61" s="1511" t="s">
        <v>532</v>
      </c>
      <c r="R61" s="1511" t="s">
        <v>533</v>
      </c>
      <c r="S61" s="1511" t="s">
        <v>537</v>
      </c>
      <c r="T61" s="1511" t="s">
        <v>208</v>
      </c>
      <c r="U61" s="1511" t="s">
        <v>535</v>
      </c>
      <c r="V61" s="1511" t="s">
        <v>531</v>
      </c>
      <c r="W61" s="1511" t="s">
        <v>532</v>
      </c>
      <c r="X61" s="1511" t="s">
        <v>533</v>
      </c>
      <c r="Y61" s="1511" t="s">
        <v>333</v>
      </c>
      <c r="Z61" s="1511" t="s">
        <v>208</v>
      </c>
      <c r="AA61" s="3"/>
      <c r="AB61" s="1511" t="s">
        <v>531</v>
      </c>
      <c r="AC61" s="1511" t="s">
        <v>532</v>
      </c>
      <c r="AD61" s="1511" t="s">
        <v>533</v>
      </c>
      <c r="AE61" s="1511" t="s">
        <v>333</v>
      </c>
      <c r="AF61" s="1511" t="s">
        <v>208</v>
      </c>
    </row>
    <row r="62" spans="1:36" s="60" customFormat="1" ht="13" x14ac:dyDescent="0.35">
      <c r="A62" s="356"/>
      <c r="B62" s="1522"/>
      <c r="C62" s="1522"/>
      <c r="D62" s="153"/>
      <c r="E62" s="153"/>
      <c r="F62" s="153"/>
      <c r="G62" s="153"/>
      <c r="H62" s="153"/>
      <c r="I62" s="1522"/>
      <c r="J62" s="153"/>
      <c r="K62" s="153"/>
      <c r="L62" s="153"/>
      <c r="M62" s="153"/>
      <c r="N62" s="153"/>
      <c r="O62" s="327"/>
      <c r="P62" s="153"/>
      <c r="Q62" s="153"/>
      <c r="R62" s="153"/>
      <c r="S62" s="153"/>
      <c r="T62" s="153"/>
      <c r="U62" s="1522"/>
      <c r="V62" s="326"/>
      <c r="W62" s="326"/>
      <c r="X62" s="326"/>
      <c r="Y62" s="326"/>
      <c r="Z62" s="326"/>
      <c r="AA62" s="165"/>
      <c r="AB62" s="328"/>
      <c r="AC62" s="328"/>
      <c r="AD62" s="328"/>
      <c r="AE62" s="328"/>
      <c r="AF62" s="328"/>
    </row>
    <row r="63" spans="1:36" s="955" customFormat="1" ht="17.149999999999999" customHeight="1" x14ac:dyDescent="0.35">
      <c r="A63" s="953" t="str">
        <f>'Treatment volumes'!A67</f>
        <v>Location 1 [insert name]</v>
      </c>
      <c r="B63" s="1522">
        <f>'FS_Treatment volumes'!G67</f>
        <v>0</v>
      </c>
      <c r="C63" s="1522">
        <f>'FS_Treatment volumes'!K67</f>
        <v>0</v>
      </c>
      <c r="D63" s="956">
        <f>'Treatment Sludge_NO INPUTS'!T53</f>
        <v>0</v>
      </c>
      <c r="E63" s="956">
        <f>'Treatment Sludge_NO INPUTS'!U53</f>
        <v>0</v>
      </c>
      <c r="F63" s="956">
        <f>'Treatment Sludge_NO INPUTS'!V53</f>
        <v>0</v>
      </c>
      <c r="G63" s="956">
        <f>'Treatment Sludge_NO INPUTS'!W53</f>
        <v>0</v>
      </c>
      <c r="H63" s="1468">
        <f t="shared" ref="H63:H68" si="23">SUM(D63:G63)</f>
        <v>0</v>
      </c>
      <c r="I63" s="957" t="str">
        <f t="shared" ref="I63:I68" si="24">IF(AND(B63=0,H63=0),"OK",IF(AND(B63&gt;0,H63=1),"OK","Not OK"))</f>
        <v>OK</v>
      </c>
      <c r="J63" s="1522">
        <f t="shared" ref="J63:J68" si="25">D63*$B63</f>
        <v>0</v>
      </c>
      <c r="K63" s="1522">
        <f t="shared" ref="K63:M68" si="26">E63*$B63</f>
        <v>0</v>
      </c>
      <c r="L63" s="1522">
        <f t="shared" si="26"/>
        <v>0</v>
      </c>
      <c r="M63" s="1522">
        <f t="shared" si="26"/>
        <v>0</v>
      </c>
      <c r="N63" s="1518">
        <f t="shared" ref="N63:N68" si="27">SUM(J63:M63)</f>
        <v>0</v>
      </c>
      <c r="O63" s="958"/>
      <c r="P63" s="956">
        <f>'Treatment Sludge_NO INPUTS'!AB53</f>
        <v>0</v>
      </c>
      <c r="Q63" s="956">
        <f>'Treatment Sludge_NO INPUTS'!AC53</f>
        <v>0</v>
      </c>
      <c r="R63" s="956">
        <f>'Treatment Sludge_NO INPUTS'!AD53</f>
        <v>0</v>
      </c>
      <c r="S63" s="956">
        <f>'Treatment Sludge_NO INPUTS'!AE53</f>
        <v>0</v>
      </c>
      <c r="T63" s="1468">
        <f t="shared" ref="T63:T68" si="28">SUM(P63:S63)</f>
        <v>0</v>
      </c>
      <c r="U63" s="957" t="str">
        <f t="shared" ref="U63:U68" si="29">IF(AND(C63=0,S63=0),"OK",IF(AND(C63&gt;0,S63=1),"OK","Not OK"))</f>
        <v>OK</v>
      </c>
      <c r="V63" s="1522">
        <f t="shared" ref="V63:Y68" si="30">P63*$C63</f>
        <v>0</v>
      </c>
      <c r="W63" s="1522">
        <f t="shared" si="30"/>
        <v>0</v>
      </c>
      <c r="X63" s="1522">
        <f t="shared" si="30"/>
        <v>0</v>
      </c>
      <c r="Y63" s="1522">
        <f t="shared" si="30"/>
        <v>0</v>
      </c>
      <c r="Z63" s="1518">
        <f t="shared" ref="Z63:Z68" si="31">SUM(V63:Y63)</f>
        <v>0</v>
      </c>
      <c r="AA63" s="10"/>
      <c r="AB63" s="1522">
        <f t="shared" ref="AB63:AE68" si="32">J63-V63</f>
        <v>0</v>
      </c>
      <c r="AC63" s="1522">
        <f t="shared" si="32"/>
        <v>0</v>
      </c>
      <c r="AD63" s="1522">
        <f t="shared" si="32"/>
        <v>0</v>
      </c>
      <c r="AE63" s="1522">
        <f t="shared" si="32"/>
        <v>0</v>
      </c>
      <c r="AF63" s="1518">
        <f t="shared" ref="AF63:AF68" si="33">SUM(AB63:AE63)</f>
        <v>0</v>
      </c>
    </row>
    <row r="64" spans="1:36" s="955" customFormat="1" ht="17.149999999999999" customHeight="1" x14ac:dyDescent="0.35">
      <c r="A64" s="953" t="str">
        <f>'Treatment volumes'!A68</f>
        <v>Location 2 [insert name]</v>
      </c>
      <c r="B64" s="1522">
        <f>'FS_Treatment volumes'!G68</f>
        <v>0</v>
      </c>
      <c r="C64" s="1522">
        <f>'FS_Treatment volumes'!K68</f>
        <v>0</v>
      </c>
      <c r="D64" s="956">
        <f>'Treatment Sludge_NO INPUTS'!T54</f>
        <v>0</v>
      </c>
      <c r="E64" s="956">
        <f>'Treatment Sludge_NO INPUTS'!U54</f>
        <v>0</v>
      </c>
      <c r="F64" s="956">
        <f>'Treatment Sludge_NO INPUTS'!V54</f>
        <v>0</v>
      </c>
      <c r="G64" s="956">
        <f>'Treatment Sludge_NO INPUTS'!W54</f>
        <v>0</v>
      </c>
      <c r="H64" s="1468">
        <f t="shared" si="23"/>
        <v>0</v>
      </c>
      <c r="I64" s="957" t="str">
        <f t="shared" si="24"/>
        <v>OK</v>
      </c>
      <c r="J64" s="1522">
        <f t="shared" si="25"/>
        <v>0</v>
      </c>
      <c r="K64" s="1522">
        <f t="shared" si="26"/>
        <v>0</v>
      </c>
      <c r="L64" s="1522">
        <f t="shared" si="26"/>
        <v>0</v>
      </c>
      <c r="M64" s="1522">
        <f t="shared" si="26"/>
        <v>0</v>
      </c>
      <c r="N64" s="1518">
        <f t="shared" si="27"/>
        <v>0</v>
      </c>
      <c r="O64" s="958"/>
      <c r="P64" s="956">
        <f>'Treatment Sludge_NO INPUTS'!AB54</f>
        <v>0</v>
      </c>
      <c r="Q64" s="956">
        <f>'Treatment Sludge_NO INPUTS'!AC54</f>
        <v>0</v>
      </c>
      <c r="R64" s="956">
        <f>'Treatment Sludge_NO INPUTS'!AD54</f>
        <v>0</v>
      </c>
      <c r="S64" s="956">
        <f>'Treatment Sludge_NO INPUTS'!AE54</f>
        <v>0</v>
      </c>
      <c r="T64" s="1468">
        <f t="shared" si="28"/>
        <v>0</v>
      </c>
      <c r="U64" s="957" t="str">
        <f t="shared" si="29"/>
        <v>OK</v>
      </c>
      <c r="V64" s="1522">
        <f t="shared" si="30"/>
        <v>0</v>
      </c>
      <c r="W64" s="1522">
        <f t="shared" si="30"/>
        <v>0</v>
      </c>
      <c r="X64" s="1522">
        <f t="shared" si="30"/>
        <v>0</v>
      </c>
      <c r="Y64" s="1522">
        <f t="shared" si="30"/>
        <v>0</v>
      </c>
      <c r="Z64" s="1518">
        <f t="shared" si="31"/>
        <v>0</v>
      </c>
      <c r="AA64" s="10"/>
      <c r="AB64" s="1522">
        <f t="shared" si="32"/>
        <v>0</v>
      </c>
      <c r="AC64" s="1522">
        <f t="shared" si="32"/>
        <v>0</v>
      </c>
      <c r="AD64" s="1522">
        <f t="shared" si="32"/>
        <v>0</v>
      </c>
      <c r="AE64" s="1522">
        <f t="shared" si="32"/>
        <v>0</v>
      </c>
      <c r="AF64" s="1518">
        <f t="shared" si="33"/>
        <v>0</v>
      </c>
    </row>
    <row r="65" spans="1:36" s="955" customFormat="1" ht="17.149999999999999" customHeight="1" x14ac:dyDescent="0.35">
      <c r="A65" s="953" t="str">
        <f>'Treatment volumes'!A69</f>
        <v>Location 3 [insert name]</v>
      </c>
      <c r="B65" s="1522">
        <f>'FS_Treatment volumes'!G69</f>
        <v>0</v>
      </c>
      <c r="C65" s="1522">
        <f>'FS_Treatment volumes'!K69</f>
        <v>0</v>
      </c>
      <c r="D65" s="956">
        <f>'Treatment Sludge_NO INPUTS'!T55</f>
        <v>0</v>
      </c>
      <c r="E65" s="956">
        <f>'Treatment Sludge_NO INPUTS'!U55</f>
        <v>0</v>
      </c>
      <c r="F65" s="956">
        <f>'Treatment Sludge_NO INPUTS'!V55</f>
        <v>0</v>
      </c>
      <c r="G65" s="956">
        <f>'Treatment Sludge_NO INPUTS'!W55</f>
        <v>0</v>
      </c>
      <c r="H65" s="1468">
        <f t="shared" si="23"/>
        <v>0</v>
      </c>
      <c r="I65" s="957" t="str">
        <f t="shared" si="24"/>
        <v>OK</v>
      </c>
      <c r="J65" s="1522">
        <f t="shared" si="25"/>
        <v>0</v>
      </c>
      <c r="K65" s="1522">
        <f t="shared" si="26"/>
        <v>0</v>
      </c>
      <c r="L65" s="1522">
        <f t="shared" si="26"/>
        <v>0</v>
      </c>
      <c r="M65" s="1522">
        <f t="shared" si="26"/>
        <v>0</v>
      </c>
      <c r="N65" s="1518">
        <f t="shared" si="27"/>
        <v>0</v>
      </c>
      <c r="O65" s="958"/>
      <c r="P65" s="956">
        <f>'Treatment Sludge_NO INPUTS'!AB55</f>
        <v>0</v>
      </c>
      <c r="Q65" s="956">
        <f>'Treatment Sludge_NO INPUTS'!AC55</f>
        <v>0</v>
      </c>
      <c r="R65" s="956">
        <f>'Treatment Sludge_NO INPUTS'!AD55</f>
        <v>0</v>
      </c>
      <c r="S65" s="956">
        <f>'Treatment Sludge_NO INPUTS'!AE55</f>
        <v>0</v>
      </c>
      <c r="T65" s="1468">
        <f t="shared" si="28"/>
        <v>0</v>
      </c>
      <c r="U65" s="957" t="str">
        <f t="shared" si="29"/>
        <v>OK</v>
      </c>
      <c r="V65" s="1522">
        <f t="shared" si="30"/>
        <v>0</v>
      </c>
      <c r="W65" s="1522">
        <f t="shared" si="30"/>
        <v>0</v>
      </c>
      <c r="X65" s="1522">
        <f t="shared" si="30"/>
        <v>0</v>
      </c>
      <c r="Y65" s="1522">
        <f t="shared" si="30"/>
        <v>0</v>
      </c>
      <c r="Z65" s="1518">
        <f t="shared" si="31"/>
        <v>0</v>
      </c>
      <c r="AA65" s="10"/>
      <c r="AB65" s="1522">
        <f t="shared" si="32"/>
        <v>0</v>
      </c>
      <c r="AC65" s="1522">
        <f t="shared" si="32"/>
        <v>0</v>
      </c>
      <c r="AD65" s="1522">
        <f t="shared" si="32"/>
        <v>0</v>
      </c>
      <c r="AE65" s="1522">
        <f t="shared" si="32"/>
        <v>0</v>
      </c>
      <c r="AF65" s="1518">
        <f t="shared" si="33"/>
        <v>0</v>
      </c>
    </row>
    <row r="66" spans="1:36" s="955" customFormat="1" ht="17.149999999999999" customHeight="1" x14ac:dyDescent="0.35">
      <c r="A66" s="953" t="str">
        <f>'Treatment volumes'!A70</f>
        <v>Location 4 [insert name]</v>
      </c>
      <c r="B66" s="1522">
        <f>'FS_Treatment volumes'!G70</f>
        <v>0</v>
      </c>
      <c r="C66" s="1522">
        <f>'FS_Treatment volumes'!K70</f>
        <v>0</v>
      </c>
      <c r="D66" s="956">
        <f>'Treatment Sludge_NO INPUTS'!T56</f>
        <v>0</v>
      </c>
      <c r="E66" s="956">
        <f>'Treatment Sludge_NO INPUTS'!U56</f>
        <v>0</v>
      </c>
      <c r="F66" s="956">
        <f>'Treatment Sludge_NO INPUTS'!V56</f>
        <v>0</v>
      </c>
      <c r="G66" s="956">
        <f>'Treatment Sludge_NO INPUTS'!W56</f>
        <v>0</v>
      </c>
      <c r="H66" s="1468">
        <f t="shared" si="23"/>
        <v>0</v>
      </c>
      <c r="I66" s="957" t="str">
        <f t="shared" si="24"/>
        <v>OK</v>
      </c>
      <c r="J66" s="1522">
        <f t="shared" si="25"/>
        <v>0</v>
      </c>
      <c r="K66" s="1522">
        <f t="shared" si="26"/>
        <v>0</v>
      </c>
      <c r="L66" s="1522">
        <f t="shared" si="26"/>
        <v>0</v>
      </c>
      <c r="M66" s="1522">
        <f t="shared" si="26"/>
        <v>0</v>
      </c>
      <c r="N66" s="1518">
        <f t="shared" si="27"/>
        <v>0</v>
      </c>
      <c r="P66" s="956">
        <f>'Treatment Sludge_NO INPUTS'!AB56</f>
        <v>0</v>
      </c>
      <c r="Q66" s="956">
        <f>'Treatment Sludge_NO INPUTS'!AC56</f>
        <v>0</v>
      </c>
      <c r="R66" s="956">
        <f>'Treatment Sludge_NO INPUTS'!AD56</f>
        <v>0</v>
      </c>
      <c r="S66" s="956">
        <f>'Treatment Sludge_NO INPUTS'!AE56</f>
        <v>0</v>
      </c>
      <c r="T66" s="1468">
        <f t="shared" si="28"/>
        <v>0</v>
      </c>
      <c r="U66" s="957" t="str">
        <f t="shared" si="29"/>
        <v>OK</v>
      </c>
      <c r="V66" s="1522">
        <f t="shared" si="30"/>
        <v>0</v>
      </c>
      <c r="W66" s="1522">
        <f t="shared" si="30"/>
        <v>0</v>
      </c>
      <c r="X66" s="1522">
        <f t="shared" si="30"/>
        <v>0</v>
      </c>
      <c r="Y66" s="1522">
        <f t="shared" si="30"/>
        <v>0</v>
      </c>
      <c r="Z66" s="1518">
        <f t="shared" si="31"/>
        <v>0</v>
      </c>
      <c r="AA66" s="10"/>
      <c r="AB66" s="1522">
        <f t="shared" si="32"/>
        <v>0</v>
      </c>
      <c r="AC66" s="1522">
        <f t="shared" si="32"/>
        <v>0</v>
      </c>
      <c r="AD66" s="1522">
        <f t="shared" si="32"/>
        <v>0</v>
      </c>
      <c r="AE66" s="1522">
        <f t="shared" si="32"/>
        <v>0</v>
      </c>
      <c r="AF66" s="1518">
        <f t="shared" si="33"/>
        <v>0</v>
      </c>
    </row>
    <row r="67" spans="1:36" s="955" customFormat="1" ht="17.149999999999999" customHeight="1" x14ac:dyDescent="0.35">
      <c r="A67" s="953" t="str">
        <f>'Treatment volumes'!A71</f>
        <v>Location 5 [insert name]</v>
      </c>
      <c r="B67" s="1522">
        <f>'FS_Treatment volumes'!G71</f>
        <v>0</v>
      </c>
      <c r="C67" s="1522">
        <f>'FS_Treatment volumes'!K71</f>
        <v>0</v>
      </c>
      <c r="D67" s="956">
        <f>'Treatment Sludge_NO INPUTS'!T57</f>
        <v>0</v>
      </c>
      <c r="E67" s="956">
        <f>'Treatment Sludge_NO INPUTS'!U57</f>
        <v>0</v>
      </c>
      <c r="F67" s="956">
        <f>'Treatment Sludge_NO INPUTS'!V57</f>
        <v>0</v>
      </c>
      <c r="G67" s="956">
        <f>'Treatment Sludge_NO INPUTS'!W57</f>
        <v>0</v>
      </c>
      <c r="H67" s="1468">
        <f t="shared" si="23"/>
        <v>0</v>
      </c>
      <c r="I67" s="957" t="str">
        <f t="shared" si="24"/>
        <v>OK</v>
      </c>
      <c r="J67" s="1522">
        <f t="shared" si="25"/>
        <v>0</v>
      </c>
      <c r="K67" s="1522">
        <f t="shared" si="26"/>
        <v>0</v>
      </c>
      <c r="L67" s="1522">
        <f t="shared" si="26"/>
        <v>0</v>
      </c>
      <c r="M67" s="1522">
        <f t="shared" si="26"/>
        <v>0</v>
      </c>
      <c r="N67" s="1518">
        <f t="shared" si="27"/>
        <v>0</v>
      </c>
      <c r="P67" s="956">
        <f>'Treatment Sludge_NO INPUTS'!AB57</f>
        <v>0</v>
      </c>
      <c r="Q67" s="956">
        <f>'Treatment Sludge_NO INPUTS'!AC57</f>
        <v>0</v>
      </c>
      <c r="R67" s="956">
        <f>'Treatment Sludge_NO INPUTS'!AD57</f>
        <v>0</v>
      </c>
      <c r="S67" s="956">
        <f>'Treatment Sludge_NO INPUTS'!AE57</f>
        <v>0</v>
      </c>
      <c r="T67" s="1468">
        <f t="shared" si="28"/>
        <v>0</v>
      </c>
      <c r="U67" s="957" t="str">
        <f t="shared" si="29"/>
        <v>OK</v>
      </c>
      <c r="V67" s="1522">
        <f t="shared" si="30"/>
        <v>0</v>
      </c>
      <c r="W67" s="1522">
        <f t="shared" si="30"/>
        <v>0</v>
      </c>
      <c r="X67" s="1522">
        <f t="shared" si="30"/>
        <v>0</v>
      </c>
      <c r="Y67" s="1522">
        <f t="shared" si="30"/>
        <v>0</v>
      </c>
      <c r="Z67" s="1518">
        <f t="shared" si="31"/>
        <v>0</v>
      </c>
      <c r="AA67" s="10"/>
      <c r="AB67" s="1522">
        <f t="shared" si="32"/>
        <v>0</v>
      </c>
      <c r="AC67" s="1522">
        <f t="shared" si="32"/>
        <v>0</v>
      </c>
      <c r="AD67" s="1522">
        <f t="shared" si="32"/>
        <v>0</v>
      </c>
      <c r="AE67" s="1522">
        <f t="shared" si="32"/>
        <v>0</v>
      </c>
      <c r="AF67" s="1518">
        <f t="shared" si="33"/>
        <v>0</v>
      </c>
    </row>
    <row r="68" spans="1:36" s="955" customFormat="1" ht="17.149999999999999" customHeight="1" x14ac:dyDescent="0.35">
      <c r="A68" s="953" t="str">
        <f>'Treatment volumes'!A72</f>
        <v>Location 6 [insert name]</v>
      </c>
      <c r="B68" s="1522">
        <f>'FS_Treatment volumes'!G72</f>
        <v>0</v>
      </c>
      <c r="C68" s="1522">
        <f>'FS_Treatment volumes'!K72</f>
        <v>0</v>
      </c>
      <c r="D68" s="956">
        <f>'Treatment Sludge_NO INPUTS'!T58</f>
        <v>0</v>
      </c>
      <c r="E68" s="956">
        <f>'Treatment Sludge_NO INPUTS'!U58</f>
        <v>0</v>
      </c>
      <c r="F68" s="956">
        <f>'Treatment Sludge_NO INPUTS'!V58</f>
        <v>0</v>
      </c>
      <c r="G68" s="956">
        <f>'Treatment Sludge_NO INPUTS'!W58</f>
        <v>0</v>
      </c>
      <c r="H68" s="1468">
        <f t="shared" si="23"/>
        <v>0</v>
      </c>
      <c r="I68" s="957" t="str">
        <f t="shared" si="24"/>
        <v>OK</v>
      </c>
      <c r="J68" s="1522">
        <f t="shared" si="25"/>
        <v>0</v>
      </c>
      <c r="K68" s="1522">
        <f t="shared" si="26"/>
        <v>0</v>
      </c>
      <c r="L68" s="1522">
        <f t="shared" si="26"/>
        <v>0</v>
      </c>
      <c r="M68" s="1522">
        <f t="shared" si="26"/>
        <v>0</v>
      </c>
      <c r="N68" s="1518">
        <f t="shared" si="27"/>
        <v>0</v>
      </c>
      <c r="O68" s="103"/>
      <c r="P68" s="956">
        <f>'Treatment Sludge_NO INPUTS'!AB58</f>
        <v>0</v>
      </c>
      <c r="Q68" s="956">
        <f>'Treatment Sludge_NO INPUTS'!AC58</f>
        <v>0</v>
      </c>
      <c r="R68" s="956">
        <f>'Treatment Sludge_NO INPUTS'!AD58</f>
        <v>0</v>
      </c>
      <c r="S68" s="956">
        <f>'Treatment Sludge_NO INPUTS'!AE58</f>
        <v>0</v>
      </c>
      <c r="T68" s="1468">
        <f t="shared" si="28"/>
        <v>0</v>
      </c>
      <c r="U68" s="957" t="str">
        <f t="shared" si="29"/>
        <v>OK</v>
      </c>
      <c r="V68" s="1522">
        <f t="shared" si="30"/>
        <v>0</v>
      </c>
      <c r="W68" s="1522">
        <f t="shared" si="30"/>
        <v>0</v>
      </c>
      <c r="X68" s="1522">
        <f t="shared" si="30"/>
        <v>0</v>
      </c>
      <c r="Y68" s="1522">
        <f t="shared" si="30"/>
        <v>0</v>
      </c>
      <c r="Z68" s="1518">
        <f t="shared" si="31"/>
        <v>0</v>
      </c>
      <c r="AA68" s="10"/>
      <c r="AB68" s="1522">
        <f t="shared" si="32"/>
        <v>0</v>
      </c>
      <c r="AC68" s="1522">
        <f t="shared" si="32"/>
        <v>0</v>
      </c>
      <c r="AD68" s="1522">
        <f t="shared" si="32"/>
        <v>0</v>
      </c>
      <c r="AE68" s="1522">
        <f t="shared" si="32"/>
        <v>0</v>
      </c>
      <c r="AF68" s="1518">
        <f t="shared" si="33"/>
        <v>0</v>
      </c>
    </row>
    <row r="69" spans="1:36" s="12" customFormat="1" ht="17.149999999999999" customHeight="1" x14ac:dyDescent="0.35">
      <c r="A69" s="950" t="s">
        <v>208</v>
      </c>
      <c r="B69" s="948">
        <f>SUM(B63:B68)</f>
        <v>0</v>
      </c>
      <c r="C69" s="948">
        <f>SUM(C63:C68)</f>
        <v>0</v>
      </c>
      <c r="D69" s="952"/>
      <c r="E69" s="952"/>
      <c r="F69" s="952"/>
      <c r="G69" s="952"/>
      <c r="H69" s="952"/>
      <c r="I69" s="952"/>
      <c r="J69" s="948">
        <f>SUM(J63:J68)</f>
        <v>0</v>
      </c>
      <c r="K69" s="948">
        <f>SUM(K63:K68)</f>
        <v>0</v>
      </c>
      <c r="L69" s="948">
        <f>SUM(L63:L68)</f>
        <v>0</v>
      </c>
      <c r="M69" s="948">
        <f>SUM(M63:M68)</f>
        <v>0</v>
      </c>
      <c r="N69" s="948">
        <f>SUM(N63:N68)</f>
        <v>0</v>
      </c>
      <c r="O69" s="213"/>
      <c r="P69" s="952"/>
      <c r="Q69" s="952"/>
      <c r="R69" s="952"/>
      <c r="S69" s="952"/>
      <c r="T69" s="952"/>
      <c r="U69" s="952"/>
      <c r="V69" s="948">
        <f>SUM(V63:V68)</f>
        <v>0</v>
      </c>
      <c r="W69" s="948">
        <f>SUM(W63:W68)</f>
        <v>0</v>
      </c>
      <c r="X69" s="948">
        <f>SUM(X63:X68)</f>
        <v>0</v>
      </c>
      <c r="Y69" s="948">
        <f>SUM(Y63:Y68)</f>
        <v>0</v>
      </c>
      <c r="Z69" s="948">
        <f>SUM(Z63:Z68)</f>
        <v>0</v>
      </c>
      <c r="AA69" s="32"/>
      <c r="AB69" s="948">
        <f>SUM(AB63:AB68)</f>
        <v>0</v>
      </c>
      <c r="AC69" s="948">
        <f>SUM(AC63:AC68)</f>
        <v>0</v>
      </c>
      <c r="AD69" s="948">
        <f>SUM(AD63:AD68)</f>
        <v>0</v>
      </c>
      <c r="AE69" s="948">
        <f>SUM(AE63:AE68)</f>
        <v>0</v>
      </c>
      <c r="AF69" s="948">
        <f>SUM(AF63:AF68)</f>
        <v>0</v>
      </c>
    </row>
    <row r="70" spans="1:36" ht="17.149999999999999" customHeight="1" x14ac:dyDescent="0.35">
      <c r="A70" s="3"/>
      <c r="B70" s="67"/>
      <c r="C70" s="67"/>
      <c r="D70" s="67"/>
      <c r="E70" s="67"/>
      <c r="F70" s="67"/>
      <c r="G70" s="67"/>
      <c r="H70" s="67"/>
      <c r="I70" s="67"/>
      <c r="J70" s="1468">
        <f>IF($N$69=0,0,J69/$N$69)</f>
        <v>0</v>
      </c>
      <c r="K70" s="1468">
        <f>IF($N$69=0,0,K69/$N$69)</f>
        <v>0</v>
      </c>
      <c r="L70" s="1468">
        <f>IF($N$69=0,0,L69/$N$69)</f>
        <v>0</v>
      </c>
      <c r="M70" s="1468">
        <f>IF($N$69=0,0,M69/$N$69)</f>
        <v>0</v>
      </c>
      <c r="N70" s="1468">
        <f>IF($N$69=0,0,N69/$N$69)</f>
        <v>0</v>
      </c>
      <c r="O70" s="67"/>
      <c r="Q70" s="3"/>
      <c r="R70" s="3"/>
      <c r="S70" s="3"/>
      <c r="T70" s="3"/>
      <c r="U70" s="3"/>
      <c r="V70" s="3"/>
      <c r="W70" s="3"/>
      <c r="X70" s="3"/>
      <c r="Y70" s="3"/>
      <c r="Z70" s="60"/>
      <c r="AA70" s="60"/>
    </row>
    <row r="71" spans="1:36" ht="17.149999999999999" customHeight="1" x14ac:dyDescent="0.35">
      <c r="A71" s="3"/>
      <c r="B71" s="67"/>
      <c r="C71" s="67"/>
      <c r="D71" s="67"/>
      <c r="E71" s="67"/>
      <c r="F71" s="67"/>
      <c r="G71" s="67"/>
      <c r="H71" s="67"/>
      <c r="I71" s="67"/>
      <c r="J71" s="413"/>
      <c r="K71" s="413"/>
      <c r="L71" s="413"/>
      <c r="M71" s="413"/>
      <c r="N71" s="413"/>
      <c r="O71" s="67"/>
      <c r="Q71" s="3"/>
      <c r="R71" s="3"/>
      <c r="S71" s="3"/>
      <c r="T71" s="3"/>
      <c r="U71" s="3"/>
      <c r="V71" s="3"/>
      <c r="W71" s="3"/>
      <c r="X71" s="3"/>
      <c r="Y71" s="3"/>
      <c r="Z71" s="60"/>
      <c r="AA71" s="60"/>
    </row>
    <row r="72" spans="1:36" ht="17.149999999999999" customHeight="1" x14ac:dyDescent="0.35">
      <c r="A72" s="3"/>
      <c r="B72" s="67"/>
      <c r="C72" s="67"/>
      <c r="D72" s="67"/>
      <c r="E72" s="67"/>
      <c r="F72" s="67"/>
      <c r="G72" s="67"/>
      <c r="H72" s="67"/>
      <c r="I72" s="67"/>
      <c r="J72" s="67"/>
      <c r="K72" s="67"/>
      <c r="L72" s="67"/>
      <c r="M72" s="67"/>
      <c r="N72" s="67"/>
      <c r="O72" s="67"/>
      <c r="Q72" s="3"/>
      <c r="R72" s="3"/>
      <c r="S72" s="3"/>
      <c r="T72" s="3"/>
      <c r="U72" s="3"/>
      <c r="V72" s="3"/>
      <c r="W72" s="3"/>
      <c r="X72" s="3"/>
      <c r="Y72" s="3"/>
      <c r="Z72" s="60"/>
      <c r="AA72" s="60"/>
    </row>
    <row r="73" spans="1:36" ht="17.149999999999999" customHeight="1" x14ac:dyDescent="0.35">
      <c r="A73" s="949" t="s">
        <v>1196</v>
      </c>
      <c r="B73" s="1777" t="s">
        <v>9</v>
      </c>
      <c r="C73" s="1777"/>
      <c r="D73" s="3"/>
      <c r="E73" s="3"/>
      <c r="F73" s="3"/>
      <c r="G73" s="3"/>
      <c r="H73" s="3"/>
      <c r="I73" s="84"/>
      <c r="J73" s="84"/>
      <c r="K73" s="84"/>
      <c r="L73" s="84"/>
      <c r="M73" s="84"/>
      <c r="N73" s="84"/>
      <c r="O73" s="3"/>
      <c r="P73" s="3"/>
      <c r="Q73" s="3"/>
      <c r="R73" s="3"/>
      <c r="S73" s="3"/>
      <c r="T73" s="3"/>
      <c r="U73" s="3"/>
      <c r="V73" s="3"/>
      <c r="W73" s="3"/>
      <c r="X73" s="3"/>
      <c r="Y73" s="3"/>
      <c r="Z73" s="3"/>
      <c r="AA73" s="3"/>
      <c r="AB73" s="3"/>
    </row>
    <row r="74" spans="1:36" ht="17.149999999999999" customHeight="1" x14ac:dyDescent="0.35">
      <c r="A74" s="3"/>
      <c r="B74" s="117"/>
      <c r="C74" s="3"/>
      <c r="D74" s="1797" t="s">
        <v>509</v>
      </c>
      <c r="E74" s="1805"/>
      <c r="F74" s="1805"/>
      <c r="G74" s="1805"/>
      <c r="H74" s="1805"/>
      <c r="I74" s="1805"/>
      <c r="J74" s="1805"/>
      <c r="K74" s="1805"/>
      <c r="L74" s="1805"/>
      <c r="M74" s="1805"/>
      <c r="N74" s="1798"/>
      <c r="O74" s="3"/>
      <c r="P74" s="1784" t="s">
        <v>510</v>
      </c>
      <c r="Q74" s="1784"/>
      <c r="R74" s="1784"/>
      <c r="S74" s="1784"/>
      <c r="T74" s="1784"/>
      <c r="U74" s="1784"/>
      <c r="V74" s="1784"/>
      <c r="W74" s="1784"/>
      <c r="X74" s="1784"/>
      <c r="Y74" s="1784"/>
      <c r="Z74" s="1784"/>
      <c r="AA74" s="3"/>
      <c r="AB74" s="1784" t="s">
        <v>1107</v>
      </c>
      <c r="AC74" s="1784"/>
      <c r="AD74" s="1784"/>
      <c r="AE74" s="1784"/>
      <c r="AF74" s="1784"/>
      <c r="AG74" s="329"/>
      <c r="AH74" s="78"/>
      <c r="AI74" s="78"/>
      <c r="AJ74" s="78"/>
    </row>
    <row r="75" spans="1:36" s="11" customFormat="1" ht="17.149999999999999" customHeight="1" x14ac:dyDescent="0.35">
      <c r="A75" s="1808" t="s">
        <v>579</v>
      </c>
      <c r="B75" s="1764" t="s">
        <v>1143</v>
      </c>
      <c r="C75" s="1764" t="s">
        <v>1144</v>
      </c>
      <c r="D75" s="1784" t="s">
        <v>522</v>
      </c>
      <c r="E75" s="1784"/>
      <c r="F75" s="1784"/>
      <c r="G75" s="1784"/>
      <c r="H75" s="1784"/>
      <c r="I75" s="1784"/>
      <c r="J75" s="1784" t="s">
        <v>1145</v>
      </c>
      <c r="K75" s="1784"/>
      <c r="L75" s="1784"/>
      <c r="M75" s="1784"/>
      <c r="N75" s="1784"/>
      <c r="P75" s="1784" t="s">
        <v>522</v>
      </c>
      <c r="Q75" s="1784"/>
      <c r="R75" s="1784"/>
      <c r="S75" s="1784"/>
      <c r="T75" s="1784"/>
      <c r="U75" s="1784"/>
      <c r="V75" s="1784" t="s">
        <v>1145</v>
      </c>
      <c r="W75" s="1784"/>
      <c r="X75" s="1784"/>
      <c r="Y75" s="1784"/>
      <c r="Z75" s="1784"/>
      <c r="AA75" s="3"/>
      <c r="AB75" s="1784" t="s">
        <v>1145</v>
      </c>
      <c r="AC75" s="1784"/>
      <c r="AD75" s="1784"/>
      <c r="AE75" s="1784"/>
      <c r="AF75" s="1784"/>
    </row>
    <row r="76" spans="1:36" s="11" customFormat="1" ht="17.149999999999999" customHeight="1" x14ac:dyDescent="0.35">
      <c r="A76" s="1808"/>
      <c r="B76" s="1766"/>
      <c r="C76" s="1766"/>
      <c r="D76" s="1511" t="s">
        <v>531</v>
      </c>
      <c r="E76" s="1511" t="s">
        <v>532</v>
      </c>
      <c r="F76" s="1511" t="s">
        <v>533</v>
      </c>
      <c r="G76" s="1511" t="s">
        <v>333</v>
      </c>
      <c r="H76" s="1511" t="s">
        <v>208</v>
      </c>
      <c r="I76" s="1511" t="s">
        <v>535</v>
      </c>
      <c r="J76" s="1511" t="s">
        <v>531</v>
      </c>
      <c r="K76" s="1511" t="s">
        <v>532</v>
      </c>
      <c r="L76" s="1511" t="s">
        <v>533</v>
      </c>
      <c r="M76" s="1511" t="s">
        <v>333</v>
      </c>
      <c r="N76" s="1511" t="s">
        <v>208</v>
      </c>
      <c r="O76" s="198"/>
      <c r="P76" s="1511" t="s">
        <v>531</v>
      </c>
      <c r="Q76" s="1511" t="s">
        <v>532</v>
      </c>
      <c r="R76" s="1511" t="s">
        <v>533</v>
      </c>
      <c r="S76" s="1511" t="s">
        <v>537</v>
      </c>
      <c r="T76" s="1511" t="s">
        <v>208</v>
      </c>
      <c r="U76" s="1511" t="s">
        <v>535</v>
      </c>
      <c r="V76" s="1511" t="s">
        <v>531</v>
      </c>
      <c r="W76" s="1511" t="s">
        <v>532</v>
      </c>
      <c r="X76" s="1511" t="s">
        <v>533</v>
      </c>
      <c r="Y76" s="1511" t="s">
        <v>333</v>
      </c>
      <c r="Z76" s="1511" t="s">
        <v>208</v>
      </c>
      <c r="AA76" s="3"/>
      <c r="AB76" s="1511" t="s">
        <v>531</v>
      </c>
      <c r="AC76" s="1511" t="s">
        <v>532</v>
      </c>
      <c r="AD76" s="1511" t="s">
        <v>533</v>
      </c>
      <c r="AE76" s="1511" t="s">
        <v>333</v>
      </c>
      <c r="AF76" s="1511" t="s">
        <v>208</v>
      </c>
    </row>
    <row r="77" spans="1:36" s="60" customFormat="1" ht="13" x14ac:dyDescent="0.35">
      <c r="A77" s="356"/>
      <c r="B77" s="1522"/>
      <c r="C77" s="1522"/>
      <c r="D77" s="153"/>
      <c r="E77" s="153"/>
      <c r="F77" s="153"/>
      <c r="G77" s="153"/>
      <c r="H77" s="153"/>
      <c r="I77" s="1522"/>
      <c r="J77" s="153"/>
      <c r="K77" s="153"/>
      <c r="L77" s="153"/>
      <c r="M77" s="153"/>
      <c r="N77" s="153"/>
      <c r="O77" s="327"/>
      <c r="P77" s="153"/>
      <c r="Q77" s="153"/>
      <c r="R77" s="153"/>
      <c r="S77" s="153"/>
      <c r="T77" s="153"/>
      <c r="U77" s="1522"/>
      <c r="V77" s="326"/>
      <c r="W77" s="326"/>
      <c r="X77" s="326"/>
      <c r="Y77" s="326"/>
      <c r="Z77" s="326"/>
      <c r="AA77" s="165"/>
      <c r="AB77" s="328"/>
      <c r="AC77" s="328"/>
      <c r="AD77" s="328"/>
      <c r="AE77" s="328"/>
      <c r="AF77" s="328"/>
    </row>
    <row r="78" spans="1:36" s="955" customFormat="1" ht="17.149999999999999" customHeight="1" x14ac:dyDescent="0.35">
      <c r="A78" s="953" t="str">
        <f>'FS_Treatment volumes'!A85</f>
        <v>Low income residential areas (not treated)</v>
      </c>
      <c r="B78" s="1522">
        <f>'FS_Treatment volumes'!G85</f>
        <v>0</v>
      </c>
      <c r="C78" s="1522">
        <f>'FS_Treatment volumes'!K85</f>
        <v>0</v>
      </c>
      <c r="D78" s="956">
        <f>'Treatment Sludge_NO INPUTS'!T70</f>
        <v>0</v>
      </c>
      <c r="E78" s="956">
        <f>'Treatment Sludge_NO INPUTS'!U70</f>
        <v>0</v>
      </c>
      <c r="F78" s="956">
        <f>'Treatment Sludge_NO INPUTS'!V70</f>
        <v>0</v>
      </c>
      <c r="G78" s="956">
        <f>'Treatment Sludge_NO INPUTS'!W70</f>
        <v>1</v>
      </c>
      <c r="H78" s="1468">
        <f t="shared" ref="H78:H83" si="34">SUM(D78:G78)</f>
        <v>1</v>
      </c>
      <c r="I78" s="957" t="str">
        <f t="shared" ref="I78:I83" si="35">IF(AND(B78=0,H78=0),"OK",IF(AND(B78&gt;0,H78=1),"OK","Not OK"))</f>
        <v>Not OK</v>
      </c>
      <c r="J78" s="1522">
        <f t="shared" ref="J78:J83" si="36">D78*$B78</f>
        <v>0</v>
      </c>
      <c r="K78" s="1522">
        <f t="shared" ref="K78:M83" si="37">E78*$B78</f>
        <v>0</v>
      </c>
      <c r="L78" s="1522">
        <f t="shared" si="37"/>
        <v>0</v>
      </c>
      <c r="M78" s="1522">
        <f t="shared" si="37"/>
        <v>0</v>
      </c>
      <c r="N78" s="1518">
        <f t="shared" ref="N78:N83" si="38">SUM(J78:M78)</f>
        <v>0</v>
      </c>
      <c r="O78" s="958"/>
      <c r="P78" s="956">
        <f>'Treatment Sludge_NO INPUTS'!AB70</f>
        <v>0</v>
      </c>
      <c r="Q78" s="956">
        <f>'Treatment Sludge_NO INPUTS'!AC70</f>
        <v>0</v>
      </c>
      <c r="R78" s="956">
        <f>'Treatment Sludge_NO INPUTS'!AD70</f>
        <v>0</v>
      </c>
      <c r="S78" s="956">
        <f>'Treatment Sludge_NO INPUTS'!AE70</f>
        <v>0</v>
      </c>
      <c r="T78" s="1468">
        <f t="shared" ref="T78:T83" si="39">SUM(P78:S78)</f>
        <v>0</v>
      </c>
      <c r="U78" s="957" t="str">
        <f t="shared" ref="U78:U83" si="40">IF(AND(C78=0,S78=0),"OK",IF(AND(C78&gt;0,S78=1),"OK","Not OK"))</f>
        <v>OK</v>
      </c>
      <c r="V78" s="1522">
        <f t="shared" ref="V78:Y83" si="41">P78*$C78</f>
        <v>0</v>
      </c>
      <c r="W78" s="1522">
        <f t="shared" si="41"/>
        <v>0</v>
      </c>
      <c r="X78" s="1522">
        <f t="shared" si="41"/>
        <v>0</v>
      </c>
      <c r="Y78" s="1522">
        <f t="shared" si="41"/>
        <v>0</v>
      </c>
      <c r="Z78" s="1518">
        <f t="shared" ref="Z78:Z83" si="42">SUM(V78:Y78)</f>
        <v>0</v>
      </c>
      <c r="AA78" s="10"/>
      <c r="AB78" s="1522">
        <f t="shared" ref="AB78:AE83" si="43">J78-V78</f>
        <v>0</v>
      </c>
      <c r="AC78" s="1522">
        <f t="shared" si="43"/>
        <v>0</v>
      </c>
      <c r="AD78" s="1522">
        <f t="shared" si="43"/>
        <v>0</v>
      </c>
      <c r="AE78" s="1522">
        <f t="shared" si="43"/>
        <v>0</v>
      </c>
      <c r="AF78" s="1518">
        <f t="shared" ref="AF78:AF83" si="44">SUM(AB78:AE78)</f>
        <v>0</v>
      </c>
    </row>
    <row r="79" spans="1:36" s="955" customFormat="1" ht="17.149999999999999" customHeight="1" x14ac:dyDescent="0.35">
      <c r="A79" s="953" t="str">
        <f>'FS_Treatment volumes'!A86</f>
        <v>High income residential areas (treated)</v>
      </c>
      <c r="B79" s="1522">
        <f>'FS_Treatment volumes'!G86</f>
        <v>0</v>
      </c>
      <c r="C79" s="1522">
        <f>'FS_Treatment volumes'!K86</f>
        <v>0</v>
      </c>
      <c r="D79" s="956">
        <f>'Treatment Sludge_NO INPUTS'!T71</f>
        <v>0</v>
      </c>
      <c r="E79" s="956">
        <f>'Treatment Sludge_NO INPUTS'!U71</f>
        <v>0</v>
      </c>
      <c r="F79" s="956">
        <f>'Treatment Sludge_NO INPUTS'!V71</f>
        <v>0</v>
      </c>
      <c r="G79" s="956">
        <f>'Treatment Sludge_NO INPUTS'!W71</f>
        <v>1</v>
      </c>
      <c r="H79" s="1468">
        <f t="shared" si="34"/>
        <v>1</v>
      </c>
      <c r="I79" s="957" t="str">
        <f t="shared" si="35"/>
        <v>Not OK</v>
      </c>
      <c r="J79" s="1522">
        <f t="shared" si="36"/>
        <v>0</v>
      </c>
      <c r="K79" s="1522">
        <f t="shared" si="37"/>
        <v>0</v>
      </c>
      <c r="L79" s="1522">
        <f t="shared" si="37"/>
        <v>0</v>
      </c>
      <c r="M79" s="1522">
        <f t="shared" si="37"/>
        <v>0</v>
      </c>
      <c r="N79" s="1518">
        <f t="shared" si="38"/>
        <v>0</v>
      </c>
      <c r="O79" s="958"/>
      <c r="P79" s="956">
        <f>'Treatment Sludge_NO INPUTS'!AB71</f>
        <v>0</v>
      </c>
      <c r="Q79" s="956">
        <f>'Treatment Sludge_NO INPUTS'!AC71</f>
        <v>0</v>
      </c>
      <c r="R79" s="956">
        <f>'Treatment Sludge_NO INPUTS'!AD71</f>
        <v>0</v>
      </c>
      <c r="S79" s="956">
        <f>'Treatment Sludge_NO INPUTS'!AE71</f>
        <v>0</v>
      </c>
      <c r="T79" s="1468">
        <f t="shared" si="39"/>
        <v>0</v>
      </c>
      <c r="U79" s="957" t="str">
        <f t="shared" si="40"/>
        <v>OK</v>
      </c>
      <c r="V79" s="1522">
        <f t="shared" si="41"/>
        <v>0</v>
      </c>
      <c r="W79" s="1522">
        <f t="shared" si="41"/>
        <v>0</v>
      </c>
      <c r="X79" s="1522">
        <f t="shared" si="41"/>
        <v>0</v>
      </c>
      <c r="Y79" s="1522">
        <f t="shared" si="41"/>
        <v>0</v>
      </c>
      <c r="Z79" s="1518">
        <f t="shared" si="42"/>
        <v>0</v>
      </c>
      <c r="AA79" s="10"/>
      <c r="AB79" s="1522">
        <f t="shared" si="43"/>
        <v>0</v>
      </c>
      <c r="AC79" s="1522">
        <f t="shared" si="43"/>
        <v>0</v>
      </c>
      <c r="AD79" s="1522">
        <f t="shared" si="43"/>
        <v>0</v>
      </c>
      <c r="AE79" s="1522">
        <f t="shared" si="43"/>
        <v>0</v>
      </c>
      <c r="AF79" s="1518">
        <f t="shared" si="44"/>
        <v>0</v>
      </c>
    </row>
    <row r="80" spans="1:36" s="955" customFormat="1" ht="17.149999999999999" customHeight="1" x14ac:dyDescent="0.35">
      <c r="A80" s="953" t="str">
        <f>'FS_Treatment volumes'!A87</f>
        <v>Onsite septic tanks | [Insert location]</v>
      </c>
      <c r="B80" s="1522">
        <f>'FS_Treatment volumes'!G87</f>
        <v>0</v>
      </c>
      <c r="C80" s="1522">
        <f>'FS_Treatment volumes'!K87</f>
        <v>0</v>
      </c>
      <c r="D80" s="956">
        <f>'Treatment Sludge_NO INPUTS'!T72</f>
        <v>0</v>
      </c>
      <c r="E80" s="956">
        <f>'Treatment Sludge_NO INPUTS'!U72</f>
        <v>0</v>
      </c>
      <c r="F80" s="956">
        <f>'Treatment Sludge_NO INPUTS'!V72</f>
        <v>0</v>
      </c>
      <c r="G80" s="956">
        <f>'Treatment Sludge_NO INPUTS'!W72</f>
        <v>0</v>
      </c>
      <c r="H80" s="1468">
        <f t="shared" si="34"/>
        <v>0</v>
      </c>
      <c r="I80" s="957" t="str">
        <f t="shared" si="35"/>
        <v>OK</v>
      </c>
      <c r="J80" s="1522">
        <f t="shared" si="36"/>
        <v>0</v>
      </c>
      <c r="K80" s="1522">
        <f t="shared" si="37"/>
        <v>0</v>
      </c>
      <c r="L80" s="1522">
        <f t="shared" si="37"/>
        <v>0</v>
      </c>
      <c r="M80" s="1522">
        <f t="shared" si="37"/>
        <v>0</v>
      </c>
      <c r="N80" s="1518">
        <f t="shared" si="38"/>
        <v>0</v>
      </c>
      <c r="O80" s="958"/>
      <c r="P80" s="956">
        <f>'Treatment Sludge_NO INPUTS'!AB72</f>
        <v>0</v>
      </c>
      <c r="Q80" s="956">
        <f>'Treatment Sludge_NO INPUTS'!AC72</f>
        <v>0</v>
      </c>
      <c r="R80" s="956">
        <f>'Treatment Sludge_NO INPUTS'!AD72</f>
        <v>0</v>
      </c>
      <c r="S80" s="956">
        <f>'Treatment Sludge_NO INPUTS'!AE72</f>
        <v>0</v>
      </c>
      <c r="T80" s="1468">
        <f t="shared" si="39"/>
        <v>0</v>
      </c>
      <c r="U80" s="957" t="str">
        <f t="shared" si="40"/>
        <v>OK</v>
      </c>
      <c r="V80" s="1522">
        <f t="shared" si="41"/>
        <v>0</v>
      </c>
      <c r="W80" s="1522">
        <f t="shared" si="41"/>
        <v>0</v>
      </c>
      <c r="X80" s="1522">
        <f t="shared" si="41"/>
        <v>0</v>
      </c>
      <c r="Y80" s="1522">
        <f t="shared" si="41"/>
        <v>0</v>
      </c>
      <c r="Z80" s="1518">
        <f t="shared" si="42"/>
        <v>0</v>
      </c>
      <c r="AA80" s="10"/>
      <c r="AB80" s="1522">
        <f t="shared" si="43"/>
        <v>0</v>
      </c>
      <c r="AC80" s="1522">
        <f t="shared" si="43"/>
        <v>0</v>
      </c>
      <c r="AD80" s="1522">
        <f t="shared" si="43"/>
        <v>0</v>
      </c>
      <c r="AE80" s="1522">
        <f t="shared" si="43"/>
        <v>0</v>
      </c>
      <c r="AF80" s="1518">
        <f t="shared" si="44"/>
        <v>0</v>
      </c>
    </row>
    <row r="81" spans="1:36" s="955" customFormat="1" ht="17.149999999999999" customHeight="1" x14ac:dyDescent="0.35">
      <c r="A81" s="953" t="str">
        <f>'FS_Treatment volumes'!A88</f>
        <v>Onsite septic tanks | [Insert location]</v>
      </c>
      <c r="B81" s="1522">
        <f>'FS_Treatment volumes'!G88</f>
        <v>0</v>
      </c>
      <c r="C81" s="1522">
        <f>'FS_Treatment volumes'!K88</f>
        <v>0</v>
      </c>
      <c r="D81" s="956">
        <f>'Treatment Sludge_NO INPUTS'!T73</f>
        <v>0</v>
      </c>
      <c r="E81" s="956">
        <f>'Treatment Sludge_NO INPUTS'!U73</f>
        <v>0</v>
      </c>
      <c r="F81" s="956">
        <f>'Treatment Sludge_NO INPUTS'!V73</f>
        <v>0</v>
      </c>
      <c r="G81" s="956">
        <f>'Treatment Sludge_NO INPUTS'!W73</f>
        <v>0</v>
      </c>
      <c r="H81" s="1468">
        <f t="shared" si="34"/>
        <v>0</v>
      </c>
      <c r="I81" s="957" t="str">
        <f t="shared" si="35"/>
        <v>OK</v>
      </c>
      <c r="J81" s="1522">
        <f t="shared" si="36"/>
        <v>0</v>
      </c>
      <c r="K81" s="1522">
        <f t="shared" si="37"/>
        <v>0</v>
      </c>
      <c r="L81" s="1522">
        <f t="shared" si="37"/>
        <v>0</v>
      </c>
      <c r="M81" s="1522">
        <f t="shared" si="37"/>
        <v>0</v>
      </c>
      <c r="N81" s="1518">
        <f t="shared" si="38"/>
        <v>0</v>
      </c>
      <c r="P81" s="956">
        <f>'Treatment Sludge_NO INPUTS'!AB73</f>
        <v>0</v>
      </c>
      <c r="Q81" s="956">
        <f>'Treatment Sludge_NO INPUTS'!AC73</f>
        <v>0</v>
      </c>
      <c r="R81" s="956">
        <f>'Treatment Sludge_NO INPUTS'!AD73</f>
        <v>0</v>
      </c>
      <c r="S81" s="956">
        <f>'Treatment Sludge_NO INPUTS'!AE73</f>
        <v>0</v>
      </c>
      <c r="T81" s="1468">
        <f t="shared" si="39"/>
        <v>0</v>
      </c>
      <c r="U81" s="957" t="str">
        <f t="shared" si="40"/>
        <v>OK</v>
      </c>
      <c r="V81" s="1522">
        <f t="shared" si="41"/>
        <v>0</v>
      </c>
      <c r="W81" s="1522">
        <f t="shared" si="41"/>
        <v>0</v>
      </c>
      <c r="X81" s="1522">
        <f t="shared" si="41"/>
        <v>0</v>
      </c>
      <c r="Y81" s="1522">
        <f t="shared" si="41"/>
        <v>0</v>
      </c>
      <c r="Z81" s="1518">
        <f t="shared" si="42"/>
        <v>0</v>
      </c>
      <c r="AA81" s="10"/>
      <c r="AB81" s="1522">
        <f t="shared" si="43"/>
        <v>0</v>
      </c>
      <c r="AC81" s="1522">
        <f t="shared" si="43"/>
        <v>0</v>
      </c>
      <c r="AD81" s="1522">
        <f t="shared" si="43"/>
        <v>0</v>
      </c>
      <c r="AE81" s="1522">
        <f t="shared" si="43"/>
        <v>0</v>
      </c>
      <c r="AF81" s="1518">
        <f t="shared" si="44"/>
        <v>0</v>
      </c>
    </row>
    <row r="82" spans="1:36" s="955" customFormat="1" ht="17.149999999999999" customHeight="1" x14ac:dyDescent="0.35">
      <c r="A82" s="953">
        <f>'FS_Treatment volumes'!A89</f>
        <v>0</v>
      </c>
      <c r="B82" s="1522">
        <f>'FS_Treatment volumes'!G89</f>
        <v>0</v>
      </c>
      <c r="C82" s="1522">
        <f>'FS_Treatment volumes'!K89</f>
        <v>0</v>
      </c>
      <c r="D82" s="956">
        <f>'Treatment Sludge_NO INPUTS'!T74</f>
        <v>0</v>
      </c>
      <c r="E82" s="956">
        <f>'Treatment Sludge_NO INPUTS'!U74</f>
        <v>0</v>
      </c>
      <c r="F82" s="956">
        <f>'Treatment Sludge_NO INPUTS'!V74</f>
        <v>0</v>
      </c>
      <c r="G82" s="956">
        <f>'Treatment Sludge_NO INPUTS'!W74</f>
        <v>0</v>
      </c>
      <c r="H82" s="1468">
        <f t="shared" si="34"/>
        <v>0</v>
      </c>
      <c r="I82" s="957" t="str">
        <f t="shared" si="35"/>
        <v>OK</v>
      </c>
      <c r="J82" s="1522">
        <f t="shared" si="36"/>
        <v>0</v>
      </c>
      <c r="K82" s="1522">
        <f t="shared" si="37"/>
        <v>0</v>
      </c>
      <c r="L82" s="1522">
        <f t="shared" si="37"/>
        <v>0</v>
      </c>
      <c r="M82" s="1522">
        <f t="shared" si="37"/>
        <v>0</v>
      </c>
      <c r="N82" s="1518">
        <f t="shared" si="38"/>
        <v>0</v>
      </c>
      <c r="P82" s="956">
        <f>'Treatment Sludge_NO INPUTS'!AB74</f>
        <v>0</v>
      </c>
      <c r="Q82" s="956">
        <f>'Treatment Sludge_NO INPUTS'!AC74</f>
        <v>0</v>
      </c>
      <c r="R82" s="956">
        <f>'Treatment Sludge_NO INPUTS'!AD74</f>
        <v>0</v>
      </c>
      <c r="S82" s="956">
        <f>'Treatment Sludge_NO INPUTS'!AE74</f>
        <v>0</v>
      </c>
      <c r="T82" s="1468">
        <f t="shared" si="39"/>
        <v>0</v>
      </c>
      <c r="U82" s="957" t="str">
        <f t="shared" si="40"/>
        <v>OK</v>
      </c>
      <c r="V82" s="1522">
        <f t="shared" si="41"/>
        <v>0</v>
      </c>
      <c r="W82" s="1522">
        <f t="shared" si="41"/>
        <v>0</v>
      </c>
      <c r="X82" s="1522">
        <f t="shared" si="41"/>
        <v>0</v>
      </c>
      <c r="Y82" s="1522">
        <f t="shared" si="41"/>
        <v>0</v>
      </c>
      <c r="Z82" s="1518">
        <f t="shared" si="42"/>
        <v>0</v>
      </c>
      <c r="AA82" s="10"/>
      <c r="AB82" s="1522">
        <f t="shared" si="43"/>
        <v>0</v>
      </c>
      <c r="AC82" s="1522">
        <f t="shared" si="43"/>
        <v>0</v>
      </c>
      <c r="AD82" s="1522">
        <f t="shared" si="43"/>
        <v>0</v>
      </c>
      <c r="AE82" s="1522">
        <f t="shared" si="43"/>
        <v>0</v>
      </c>
      <c r="AF82" s="1518">
        <f t="shared" si="44"/>
        <v>0</v>
      </c>
    </row>
    <row r="83" spans="1:36" s="955" customFormat="1" ht="17.149999999999999" customHeight="1" x14ac:dyDescent="0.35">
      <c r="A83" s="953">
        <f>'FS_Treatment volumes'!A90</f>
        <v>0</v>
      </c>
      <c r="B83" s="1522">
        <f>'FS_Treatment volumes'!G90</f>
        <v>0</v>
      </c>
      <c r="C83" s="1522">
        <f>'FS_Treatment volumes'!K90</f>
        <v>0</v>
      </c>
      <c r="D83" s="956">
        <f>'Treatment Sludge_NO INPUTS'!T75</f>
        <v>0</v>
      </c>
      <c r="E83" s="956">
        <f>'Treatment Sludge_NO INPUTS'!U75</f>
        <v>0</v>
      </c>
      <c r="F83" s="956">
        <f>'Treatment Sludge_NO INPUTS'!V75</f>
        <v>0</v>
      </c>
      <c r="G83" s="956">
        <f>'Treatment Sludge_NO INPUTS'!W75</f>
        <v>0</v>
      </c>
      <c r="H83" s="1468">
        <f t="shared" si="34"/>
        <v>0</v>
      </c>
      <c r="I83" s="957" t="str">
        <f t="shared" si="35"/>
        <v>OK</v>
      </c>
      <c r="J83" s="1522">
        <f t="shared" si="36"/>
        <v>0</v>
      </c>
      <c r="K83" s="1522">
        <f t="shared" si="37"/>
        <v>0</v>
      </c>
      <c r="L83" s="1522">
        <f t="shared" si="37"/>
        <v>0</v>
      </c>
      <c r="M83" s="1522">
        <f t="shared" si="37"/>
        <v>0</v>
      </c>
      <c r="N83" s="1518">
        <f t="shared" si="38"/>
        <v>0</v>
      </c>
      <c r="O83" s="103"/>
      <c r="P83" s="956">
        <f>'Treatment Sludge_NO INPUTS'!AB75</f>
        <v>0</v>
      </c>
      <c r="Q83" s="956">
        <f>'Treatment Sludge_NO INPUTS'!AC75</f>
        <v>0</v>
      </c>
      <c r="R83" s="956">
        <f>'Treatment Sludge_NO INPUTS'!AD75</f>
        <v>0</v>
      </c>
      <c r="S83" s="956">
        <f>'Treatment Sludge_NO INPUTS'!AE75</f>
        <v>0</v>
      </c>
      <c r="T83" s="1468">
        <f t="shared" si="39"/>
        <v>0</v>
      </c>
      <c r="U83" s="957" t="str">
        <f t="shared" si="40"/>
        <v>OK</v>
      </c>
      <c r="V83" s="1522">
        <f t="shared" si="41"/>
        <v>0</v>
      </c>
      <c r="W83" s="1522">
        <f t="shared" si="41"/>
        <v>0</v>
      </c>
      <c r="X83" s="1522">
        <f t="shared" si="41"/>
        <v>0</v>
      </c>
      <c r="Y83" s="1522">
        <f t="shared" si="41"/>
        <v>0</v>
      </c>
      <c r="Z83" s="1518">
        <f t="shared" si="42"/>
        <v>0</v>
      </c>
      <c r="AA83" s="10"/>
      <c r="AB83" s="1522">
        <f t="shared" si="43"/>
        <v>0</v>
      </c>
      <c r="AC83" s="1522">
        <f t="shared" si="43"/>
        <v>0</v>
      </c>
      <c r="AD83" s="1522">
        <f t="shared" si="43"/>
        <v>0</v>
      </c>
      <c r="AE83" s="1522">
        <f t="shared" si="43"/>
        <v>0</v>
      </c>
      <c r="AF83" s="1518">
        <f t="shared" si="44"/>
        <v>0</v>
      </c>
    </row>
    <row r="84" spans="1:36" s="12" customFormat="1" ht="17.149999999999999" customHeight="1" x14ac:dyDescent="0.35">
      <c r="A84" s="950" t="s">
        <v>208</v>
      </c>
      <c r="B84" s="948">
        <f>SUM(B78:B83)</f>
        <v>0</v>
      </c>
      <c r="C84" s="948">
        <f>SUM(C78:C83)</f>
        <v>0</v>
      </c>
      <c r="D84" s="952"/>
      <c r="E84" s="952"/>
      <c r="F84" s="952"/>
      <c r="G84" s="952"/>
      <c r="H84" s="952"/>
      <c r="I84" s="952"/>
      <c r="J84" s="948">
        <f>SUM(J78:J83)</f>
        <v>0</v>
      </c>
      <c r="K84" s="948">
        <f>SUM(K78:K83)</f>
        <v>0</v>
      </c>
      <c r="L84" s="948">
        <f>SUM(L78:L83)</f>
        <v>0</v>
      </c>
      <c r="M84" s="948">
        <f>SUM(M78:M83)</f>
        <v>0</v>
      </c>
      <c r="N84" s="948">
        <f>SUM(N78:N83)</f>
        <v>0</v>
      </c>
      <c r="O84" s="213"/>
      <c r="P84" s="952"/>
      <c r="Q84" s="952"/>
      <c r="R84" s="952"/>
      <c r="S84" s="952"/>
      <c r="T84" s="952"/>
      <c r="U84" s="952"/>
      <c r="V84" s="948">
        <f>SUM(V78:V83)</f>
        <v>0</v>
      </c>
      <c r="W84" s="948">
        <f>SUM(W78:W83)</f>
        <v>0</v>
      </c>
      <c r="X84" s="948">
        <f>SUM(X78:X83)</f>
        <v>0</v>
      </c>
      <c r="Y84" s="948">
        <f>SUM(Y78:Y83)</f>
        <v>0</v>
      </c>
      <c r="Z84" s="948">
        <f>SUM(Z78:Z83)</f>
        <v>0</v>
      </c>
      <c r="AA84" s="32"/>
      <c r="AB84" s="948">
        <f>SUM(AB78:AB83)</f>
        <v>0</v>
      </c>
      <c r="AC84" s="948">
        <f>SUM(AC78:AC83)</f>
        <v>0</v>
      </c>
      <c r="AD84" s="948">
        <f>SUM(AD78:AD83)</f>
        <v>0</v>
      </c>
      <c r="AE84" s="948">
        <f>SUM(AE78:AE83)</f>
        <v>0</v>
      </c>
      <c r="AF84" s="948">
        <f>SUM(AF78:AF83)</f>
        <v>0</v>
      </c>
    </row>
    <row r="85" spans="1:36" ht="17.149999999999999" customHeight="1" x14ac:dyDescent="0.35">
      <c r="A85" s="3"/>
      <c r="B85" s="67"/>
      <c r="C85" s="67"/>
      <c r="D85" s="67"/>
      <c r="E85" s="67"/>
      <c r="F85" s="67"/>
      <c r="G85" s="67"/>
      <c r="H85" s="67"/>
      <c r="I85" s="67"/>
      <c r="J85" s="1468">
        <f>IF($N$84=0,0,J84/$N$84)</f>
        <v>0</v>
      </c>
      <c r="K85" s="1468">
        <f>IF($N$84=0,0,K84/$N$84)</f>
        <v>0</v>
      </c>
      <c r="L85" s="1468">
        <f>IF($N$84=0,0,L84/$N$84)</f>
        <v>0</v>
      </c>
      <c r="M85" s="1468">
        <f>IF($N$84=0,0,M84/$N$84)</f>
        <v>0</v>
      </c>
      <c r="N85" s="1468">
        <f>IF($N$84=0,0,N84/$N$84)</f>
        <v>0</v>
      </c>
      <c r="O85" s="67"/>
      <c r="Q85" s="3"/>
      <c r="R85" s="3"/>
      <c r="S85" s="3"/>
      <c r="T85" s="3"/>
      <c r="U85" s="3"/>
      <c r="V85" s="3"/>
      <c r="W85" s="3"/>
      <c r="X85" s="3"/>
      <c r="Y85" s="3"/>
      <c r="Z85" s="3"/>
    </row>
    <row r="86" spans="1:36" ht="17.149999999999999" customHeight="1" x14ac:dyDescent="0.35">
      <c r="A86" s="3"/>
      <c r="B86" s="67"/>
      <c r="C86" s="67"/>
      <c r="D86" s="67"/>
      <c r="E86" s="67"/>
      <c r="F86" s="67"/>
      <c r="G86" s="67"/>
      <c r="H86" s="67"/>
      <c r="I86" s="67"/>
      <c r="J86" s="67"/>
      <c r="K86" s="67"/>
      <c r="L86" s="67"/>
      <c r="M86" s="67"/>
      <c r="N86" s="67"/>
      <c r="O86" s="67"/>
      <c r="Q86" s="3"/>
      <c r="R86" s="3"/>
      <c r="S86" s="3"/>
      <c r="T86" s="3"/>
      <c r="U86" s="3"/>
      <c r="V86" s="3"/>
      <c r="W86" s="3"/>
      <c r="X86" s="3"/>
      <c r="Y86" s="3"/>
      <c r="Z86" s="3"/>
    </row>
    <row r="87" spans="1:36" ht="17.149999999999999" customHeight="1" x14ac:dyDescent="0.35">
      <c r="A87" s="324" t="s">
        <v>1151</v>
      </c>
      <c r="B87" s="47"/>
      <c r="D87" s="3"/>
      <c r="E87" s="3"/>
      <c r="F87" s="3"/>
      <c r="G87" s="3"/>
      <c r="H87" s="3"/>
      <c r="I87" s="3"/>
      <c r="J87" s="3"/>
      <c r="K87" s="3"/>
      <c r="L87" s="3"/>
      <c r="M87" s="3"/>
      <c r="N87" s="3"/>
      <c r="O87" s="3"/>
      <c r="P87" s="3"/>
      <c r="Q87" s="3"/>
      <c r="R87" s="3"/>
      <c r="S87" s="3"/>
      <c r="T87" s="3"/>
      <c r="U87" s="3"/>
      <c r="V87" s="3"/>
      <c r="W87" s="3"/>
      <c r="X87" s="3"/>
      <c r="Y87" s="3"/>
      <c r="Z87" s="3"/>
    </row>
    <row r="88" spans="1:36" ht="17.149999999999999" customHeight="1" x14ac:dyDescent="0.35">
      <c r="A88" s="3"/>
      <c r="B88" s="3"/>
      <c r="C88" s="68"/>
      <c r="D88" s="3"/>
      <c r="E88" s="3"/>
      <c r="F88" s="3"/>
      <c r="G88" s="3"/>
      <c r="H88" s="3"/>
      <c r="I88" s="3"/>
      <c r="J88" s="3"/>
      <c r="K88" s="3"/>
      <c r="L88" s="3"/>
      <c r="M88" s="3"/>
      <c r="N88" s="3"/>
      <c r="O88" s="3"/>
      <c r="P88" s="3"/>
      <c r="Q88" s="3"/>
      <c r="R88" s="3"/>
      <c r="S88" s="3"/>
      <c r="T88" s="3"/>
      <c r="U88" s="3"/>
      <c r="V88" s="3"/>
      <c r="W88" s="3"/>
      <c r="X88" s="3"/>
      <c r="Y88" s="3"/>
      <c r="Z88" s="3"/>
    </row>
    <row r="89" spans="1:36" ht="17.149999999999999" customHeight="1" x14ac:dyDescent="0.35">
      <c r="A89" s="949" t="s">
        <v>1152</v>
      </c>
      <c r="B89" s="1777" t="s">
        <v>9</v>
      </c>
      <c r="C89" s="1777"/>
      <c r="D89" s="3"/>
      <c r="E89" s="3"/>
      <c r="F89" s="3"/>
      <c r="G89" s="3"/>
      <c r="H89" s="3"/>
      <c r="I89" s="84"/>
      <c r="J89" s="84"/>
      <c r="K89" s="84"/>
      <c r="L89" s="84"/>
      <c r="M89" s="84"/>
      <c r="N89" s="84"/>
      <c r="O89" s="3"/>
      <c r="P89" s="3"/>
      <c r="Q89" s="3"/>
      <c r="R89" s="3"/>
      <c r="S89" s="3"/>
      <c r="T89" s="3"/>
      <c r="U89" s="3"/>
      <c r="V89" s="3"/>
      <c r="W89" s="3"/>
      <c r="X89" s="3"/>
      <c r="Y89" s="3"/>
      <c r="Z89" s="3"/>
      <c r="AA89" s="3"/>
      <c r="AB89" s="3"/>
    </row>
    <row r="90" spans="1:36" ht="17.149999999999999" customHeight="1" x14ac:dyDescent="0.35">
      <c r="A90" s="3"/>
      <c r="B90" s="117"/>
      <c r="C90" s="3"/>
      <c r="D90" s="1797" t="s">
        <v>511</v>
      </c>
      <c r="E90" s="1805"/>
      <c r="F90" s="1805"/>
      <c r="G90" s="1805"/>
      <c r="H90" s="1805"/>
      <c r="I90" s="1805"/>
      <c r="J90" s="1805"/>
      <c r="K90" s="1805"/>
      <c r="L90" s="1805"/>
      <c r="M90" s="1805"/>
      <c r="N90" s="1798"/>
      <c r="O90" s="3"/>
      <c r="P90" s="1784" t="s">
        <v>512</v>
      </c>
      <c r="Q90" s="1784"/>
      <c r="R90" s="1784"/>
      <c r="S90" s="1784"/>
      <c r="T90" s="1784"/>
      <c r="U90" s="1784"/>
      <c r="V90" s="1784"/>
      <c r="W90" s="1784"/>
      <c r="X90" s="1784"/>
      <c r="Y90" s="1784"/>
      <c r="Z90" s="1784"/>
      <c r="AA90" s="3"/>
      <c r="AB90" s="1784" t="s">
        <v>1108</v>
      </c>
      <c r="AC90" s="1784"/>
      <c r="AD90" s="1784"/>
      <c r="AE90" s="1784"/>
      <c r="AF90" s="1784"/>
      <c r="AG90" s="329"/>
      <c r="AH90" s="78"/>
      <c r="AI90" s="78"/>
      <c r="AJ90" s="78"/>
    </row>
    <row r="91" spans="1:36" s="11" customFormat="1" ht="17.149999999999999" customHeight="1" x14ac:dyDescent="0.35">
      <c r="A91" s="1808" t="s">
        <v>513</v>
      </c>
      <c r="B91" s="1764" t="s">
        <v>1153</v>
      </c>
      <c r="C91" s="1764" t="s">
        <v>1144</v>
      </c>
      <c r="D91" s="1784" t="s">
        <v>522</v>
      </c>
      <c r="E91" s="1784"/>
      <c r="F91" s="1784"/>
      <c r="G91" s="1784"/>
      <c r="H91" s="1784"/>
      <c r="I91" s="1784"/>
      <c r="J91" s="1784" t="s">
        <v>1145</v>
      </c>
      <c r="K91" s="1784"/>
      <c r="L91" s="1784"/>
      <c r="M91" s="1784"/>
      <c r="N91" s="1784"/>
      <c r="P91" s="1784" t="s">
        <v>522</v>
      </c>
      <c r="Q91" s="1784"/>
      <c r="R91" s="1784"/>
      <c r="S91" s="1784"/>
      <c r="T91" s="1784"/>
      <c r="U91" s="1784"/>
      <c r="V91" s="1784" t="s">
        <v>1145</v>
      </c>
      <c r="W91" s="1784"/>
      <c r="X91" s="1784"/>
      <c r="Y91" s="1784"/>
      <c r="Z91" s="1784"/>
      <c r="AA91" s="3"/>
      <c r="AB91" s="1784" t="s">
        <v>1145</v>
      </c>
      <c r="AC91" s="1784"/>
      <c r="AD91" s="1784"/>
      <c r="AE91" s="1784"/>
      <c r="AF91" s="1784"/>
    </row>
    <row r="92" spans="1:36" s="11" customFormat="1" ht="17.149999999999999" customHeight="1" x14ac:dyDescent="0.35">
      <c r="A92" s="1808"/>
      <c r="B92" s="1766"/>
      <c r="C92" s="1766"/>
      <c r="D92" s="1511" t="s">
        <v>538</v>
      </c>
      <c r="E92" s="1511" t="s">
        <v>539</v>
      </c>
      <c r="F92" s="1511" t="s">
        <v>540</v>
      </c>
      <c r="G92" s="1511" t="s">
        <v>333</v>
      </c>
      <c r="H92" s="1511" t="s">
        <v>208</v>
      </c>
      <c r="I92" s="1511" t="s">
        <v>535</v>
      </c>
      <c r="J92" s="1511" t="s">
        <v>538</v>
      </c>
      <c r="K92" s="1511" t="s">
        <v>539</v>
      </c>
      <c r="L92" s="1511" t="s">
        <v>540</v>
      </c>
      <c r="M92" s="1511" t="s">
        <v>333</v>
      </c>
      <c r="N92" s="1511" t="s">
        <v>208</v>
      </c>
      <c r="O92" s="198"/>
      <c r="P92" s="1511" t="s">
        <v>538</v>
      </c>
      <c r="Q92" s="1511" t="s">
        <v>539</v>
      </c>
      <c r="R92" s="1511" t="s">
        <v>540</v>
      </c>
      <c r="S92" s="1511" t="s">
        <v>537</v>
      </c>
      <c r="T92" s="1511" t="s">
        <v>208</v>
      </c>
      <c r="U92" s="1511" t="s">
        <v>535</v>
      </c>
      <c r="V92" s="1511" t="s">
        <v>538</v>
      </c>
      <c r="W92" s="1511" t="s">
        <v>539</v>
      </c>
      <c r="X92" s="1511" t="s">
        <v>540</v>
      </c>
      <c r="Y92" s="1511" t="s">
        <v>333</v>
      </c>
      <c r="Z92" s="1511" t="s">
        <v>208</v>
      </c>
      <c r="AA92" s="3"/>
      <c r="AB92" s="1511" t="s">
        <v>538</v>
      </c>
      <c r="AC92" s="1511" t="s">
        <v>539</v>
      </c>
      <c r="AD92" s="1511" t="s">
        <v>540</v>
      </c>
      <c r="AE92" s="1511" t="s">
        <v>333</v>
      </c>
      <c r="AF92" s="1511" t="s">
        <v>208</v>
      </c>
    </row>
    <row r="93" spans="1:36" s="60" customFormat="1" ht="13" x14ac:dyDescent="0.35">
      <c r="A93" s="356"/>
      <c r="B93" s="1522"/>
      <c r="C93" s="1522"/>
      <c r="D93" s="153"/>
      <c r="E93" s="153"/>
      <c r="F93" s="153"/>
      <c r="G93" s="153"/>
      <c r="H93" s="153"/>
      <c r="I93" s="1522"/>
      <c r="J93" s="153"/>
      <c r="K93" s="153"/>
      <c r="L93" s="153"/>
      <c r="M93" s="153"/>
      <c r="N93" s="153"/>
      <c r="O93" s="327"/>
      <c r="P93" s="153"/>
      <c r="Q93" s="153"/>
      <c r="R93" s="153"/>
      <c r="S93" s="153"/>
      <c r="T93" s="153"/>
      <c r="U93" s="1522"/>
      <c r="V93" s="326"/>
      <c r="W93" s="326"/>
      <c r="X93" s="326"/>
      <c r="Y93" s="326"/>
      <c r="Z93" s="326"/>
      <c r="AA93" s="165"/>
      <c r="AB93" s="328"/>
      <c r="AC93" s="328"/>
      <c r="AD93" s="328"/>
      <c r="AE93" s="328"/>
      <c r="AF93" s="328"/>
    </row>
    <row r="94" spans="1:36" s="955" customFormat="1" ht="17.149999999999999" customHeight="1" x14ac:dyDescent="0.35">
      <c r="A94" s="953" t="str">
        <f>'FS_Treatment volumes'!A27</f>
        <v>Plant 1 [sewerage treatment works]</v>
      </c>
      <c r="B94" s="1522">
        <f>'FS_Treatment volumes'!H27</f>
        <v>0</v>
      </c>
      <c r="C94" s="1522">
        <f>'FS_Treatment volumes'!N27</f>
        <v>0</v>
      </c>
      <c r="D94" s="956">
        <f>'Treatment Sludge_NO INPUTS'!AI15</f>
        <v>0</v>
      </c>
      <c r="E94" s="956">
        <f>'Treatment Sludge_NO INPUTS'!AJ15</f>
        <v>0</v>
      </c>
      <c r="F94" s="956">
        <f>'Treatment Sludge_NO INPUTS'!AK15</f>
        <v>0</v>
      </c>
      <c r="G94" s="956">
        <f>'Treatment Sludge_NO INPUTS'!AL15</f>
        <v>0</v>
      </c>
      <c r="H94" s="1468">
        <f t="shared" ref="H94:H99" si="45">SUM(D94:G94)</f>
        <v>0</v>
      </c>
      <c r="I94" s="957" t="str">
        <f t="shared" ref="I94:I99" si="46">IF(AND(B94=0,H94=0),"OK",IF(AND(B94&gt;0,H94=1),"OK","Not OK"))</f>
        <v>OK</v>
      </c>
      <c r="J94" s="1522">
        <f t="shared" ref="J94:J99" si="47">D94*$B94</f>
        <v>0</v>
      </c>
      <c r="K94" s="1522">
        <f t="shared" ref="K94:M99" si="48">E94*$B94</f>
        <v>0</v>
      </c>
      <c r="L94" s="1522">
        <f t="shared" si="48"/>
        <v>0</v>
      </c>
      <c r="M94" s="1522">
        <f t="shared" si="48"/>
        <v>0</v>
      </c>
      <c r="N94" s="1518">
        <f t="shared" ref="N94:N99" si="49">SUM(J94:M94)</f>
        <v>0</v>
      </c>
      <c r="O94" s="958"/>
      <c r="P94" s="956">
        <f>'Treatment Sludge_NO INPUTS'!AQ15</f>
        <v>0</v>
      </c>
      <c r="Q94" s="956">
        <f>'Treatment Sludge_NO INPUTS'!AR15</f>
        <v>0</v>
      </c>
      <c r="R94" s="956">
        <f>'Treatment Sludge_NO INPUTS'!AS15</f>
        <v>0</v>
      </c>
      <c r="S94" s="956">
        <f>'Treatment Sludge_NO INPUTS'!AT15</f>
        <v>0</v>
      </c>
      <c r="T94" s="1468">
        <f>SUM(P94:S94)</f>
        <v>0</v>
      </c>
      <c r="U94" s="957" t="str">
        <f t="shared" ref="U94:U99" si="50">IF(AND(C94=0,T94=0),"OK",IF(AND(C94&gt;0,T94=1),"OK","Not OK"))</f>
        <v>OK</v>
      </c>
      <c r="V94" s="1522">
        <f t="shared" ref="V94:Y99" si="51">P94*$C94</f>
        <v>0</v>
      </c>
      <c r="W94" s="1522">
        <f t="shared" si="51"/>
        <v>0</v>
      </c>
      <c r="X94" s="1522">
        <f t="shared" si="51"/>
        <v>0</v>
      </c>
      <c r="Y94" s="1522">
        <f t="shared" si="51"/>
        <v>0</v>
      </c>
      <c r="Z94" s="1518">
        <f t="shared" ref="Z94:Z99" si="52">SUM(V94:Y94)</f>
        <v>0</v>
      </c>
      <c r="AA94" s="10"/>
      <c r="AB94" s="1522">
        <f t="shared" ref="AB94:AE99" si="53">J94-V94</f>
        <v>0</v>
      </c>
      <c r="AC94" s="1522">
        <f t="shared" si="53"/>
        <v>0</v>
      </c>
      <c r="AD94" s="1522">
        <f t="shared" si="53"/>
        <v>0</v>
      </c>
      <c r="AE94" s="1522">
        <f t="shared" si="53"/>
        <v>0</v>
      </c>
      <c r="AF94" s="1518">
        <f t="shared" ref="AF94:AF99" si="54">SUM(AB94:AE94)</f>
        <v>0</v>
      </c>
    </row>
    <row r="95" spans="1:36" s="955" customFormat="1" ht="17.149999999999999" customHeight="1" x14ac:dyDescent="0.35">
      <c r="A95" s="953" t="str">
        <f>'FS_Treatment volumes'!A28</f>
        <v>Plant 2 [sewerage treatment works]</v>
      </c>
      <c r="B95" s="1522">
        <f>'FS_Treatment volumes'!H28</f>
        <v>0</v>
      </c>
      <c r="C95" s="1522">
        <f>'FS_Treatment volumes'!N28</f>
        <v>0</v>
      </c>
      <c r="D95" s="956">
        <f>'Treatment Sludge_NO INPUTS'!AI16</f>
        <v>0</v>
      </c>
      <c r="E95" s="956">
        <f>'Treatment Sludge_NO INPUTS'!AJ16</f>
        <v>0</v>
      </c>
      <c r="F95" s="956">
        <f>'Treatment Sludge_NO INPUTS'!AK16</f>
        <v>0</v>
      </c>
      <c r="G95" s="956">
        <f>'Treatment Sludge_NO INPUTS'!AL16</f>
        <v>0</v>
      </c>
      <c r="H95" s="1468">
        <f t="shared" si="45"/>
        <v>0</v>
      </c>
      <c r="I95" s="957" t="str">
        <f t="shared" si="46"/>
        <v>OK</v>
      </c>
      <c r="J95" s="1522">
        <f t="shared" si="47"/>
        <v>0</v>
      </c>
      <c r="K95" s="1522">
        <f t="shared" si="48"/>
        <v>0</v>
      </c>
      <c r="L95" s="1522">
        <f t="shared" si="48"/>
        <v>0</v>
      </c>
      <c r="M95" s="1522">
        <f t="shared" si="48"/>
        <v>0</v>
      </c>
      <c r="N95" s="1518">
        <f t="shared" si="49"/>
        <v>0</v>
      </c>
      <c r="O95" s="958"/>
      <c r="P95" s="956">
        <f>'Treatment Sludge_NO INPUTS'!AQ16</f>
        <v>0</v>
      </c>
      <c r="Q95" s="956">
        <f>'Treatment Sludge_NO INPUTS'!AR16</f>
        <v>0</v>
      </c>
      <c r="R95" s="956">
        <f>'Treatment Sludge_NO INPUTS'!AS16</f>
        <v>0</v>
      </c>
      <c r="S95" s="956">
        <f>'Treatment Sludge_NO INPUTS'!AT16</f>
        <v>0</v>
      </c>
      <c r="T95" s="1468">
        <f>SUM(O95:S95)</f>
        <v>0</v>
      </c>
      <c r="U95" s="957" t="str">
        <f t="shared" si="50"/>
        <v>OK</v>
      </c>
      <c r="V95" s="1522">
        <f t="shared" si="51"/>
        <v>0</v>
      </c>
      <c r="W95" s="1522">
        <f t="shared" si="51"/>
        <v>0</v>
      </c>
      <c r="X95" s="1522">
        <f t="shared" si="51"/>
        <v>0</v>
      </c>
      <c r="Y95" s="1522">
        <f t="shared" si="51"/>
        <v>0</v>
      </c>
      <c r="Z95" s="1518">
        <f t="shared" si="52"/>
        <v>0</v>
      </c>
      <c r="AA95" s="10"/>
      <c r="AB95" s="1522">
        <f t="shared" si="53"/>
        <v>0</v>
      </c>
      <c r="AC95" s="1522">
        <f t="shared" si="53"/>
        <v>0</v>
      </c>
      <c r="AD95" s="1522">
        <f t="shared" si="53"/>
        <v>0</v>
      </c>
      <c r="AE95" s="1522">
        <f t="shared" si="53"/>
        <v>0</v>
      </c>
      <c r="AF95" s="1518">
        <f t="shared" si="54"/>
        <v>0</v>
      </c>
    </row>
    <row r="96" spans="1:36" s="955" customFormat="1" ht="17.149999999999999" customHeight="1" x14ac:dyDescent="0.35">
      <c r="A96" s="953" t="str">
        <f>'FS_Treatment volumes'!A29</f>
        <v>Plant 3 [insert name]</v>
      </c>
      <c r="B96" s="1522">
        <f>'FS_Treatment volumes'!H29</f>
        <v>0</v>
      </c>
      <c r="C96" s="1522">
        <f>'FS_Treatment volumes'!N29</f>
        <v>0</v>
      </c>
      <c r="D96" s="956">
        <f>'Treatment Sludge_NO INPUTS'!AI17</f>
        <v>0</v>
      </c>
      <c r="E96" s="956">
        <f>'Treatment Sludge_NO INPUTS'!AJ17</f>
        <v>0</v>
      </c>
      <c r="F96" s="956">
        <f>'Treatment Sludge_NO INPUTS'!AK17</f>
        <v>0</v>
      </c>
      <c r="G96" s="956">
        <f>'Treatment Sludge_NO INPUTS'!AL17</f>
        <v>0</v>
      </c>
      <c r="H96" s="1468">
        <f t="shared" si="45"/>
        <v>0</v>
      </c>
      <c r="I96" s="957" t="str">
        <f t="shared" si="46"/>
        <v>OK</v>
      </c>
      <c r="J96" s="1522">
        <f t="shared" si="47"/>
        <v>0</v>
      </c>
      <c r="K96" s="1522">
        <f t="shared" si="48"/>
        <v>0</v>
      </c>
      <c r="L96" s="1522">
        <f t="shared" si="48"/>
        <v>0</v>
      </c>
      <c r="M96" s="1522">
        <f t="shared" si="48"/>
        <v>0</v>
      </c>
      <c r="N96" s="1518">
        <f t="shared" si="49"/>
        <v>0</v>
      </c>
      <c r="O96" s="958"/>
      <c r="P96" s="956">
        <f>'Treatment Sludge_NO INPUTS'!AQ17</f>
        <v>0</v>
      </c>
      <c r="Q96" s="956">
        <f>'Treatment Sludge_NO INPUTS'!AR17</f>
        <v>0</v>
      </c>
      <c r="R96" s="956">
        <f>'Treatment Sludge_NO INPUTS'!AS17</f>
        <v>0</v>
      </c>
      <c r="S96" s="956">
        <f>'Treatment Sludge_NO INPUTS'!AT17</f>
        <v>0</v>
      </c>
      <c r="T96" s="1468">
        <f>SUM(O96:S96)</f>
        <v>0</v>
      </c>
      <c r="U96" s="957" t="str">
        <f t="shared" si="50"/>
        <v>OK</v>
      </c>
      <c r="V96" s="1522">
        <f t="shared" si="51"/>
        <v>0</v>
      </c>
      <c r="W96" s="1522">
        <f t="shared" si="51"/>
        <v>0</v>
      </c>
      <c r="X96" s="1522">
        <f t="shared" si="51"/>
        <v>0</v>
      </c>
      <c r="Y96" s="1522">
        <f t="shared" si="51"/>
        <v>0</v>
      </c>
      <c r="Z96" s="1518">
        <f t="shared" si="52"/>
        <v>0</v>
      </c>
      <c r="AA96" s="10"/>
      <c r="AB96" s="1522">
        <f t="shared" si="53"/>
        <v>0</v>
      </c>
      <c r="AC96" s="1522">
        <f t="shared" si="53"/>
        <v>0</v>
      </c>
      <c r="AD96" s="1522">
        <f t="shared" si="53"/>
        <v>0</v>
      </c>
      <c r="AE96" s="1522">
        <f t="shared" si="53"/>
        <v>0</v>
      </c>
      <c r="AF96" s="1518">
        <f t="shared" si="54"/>
        <v>0</v>
      </c>
    </row>
    <row r="97" spans="1:36" s="955" customFormat="1" ht="17.149999999999999" customHeight="1" x14ac:dyDescent="0.35">
      <c r="A97" s="953" t="str">
        <f>'FS_Treatment volumes'!A30</f>
        <v>Plant 4 [insert name]</v>
      </c>
      <c r="B97" s="1522">
        <f>'FS_Treatment volumes'!H30</f>
        <v>0</v>
      </c>
      <c r="C97" s="1522">
        <f>'FS_Treatment volumes'!N30</f>
        <v>0</v>
      </c>
      <c r="D97" s="956">
        <f>'Treatment Sludge_NO INPUTS'!AI18</f>
        <v>0</v>
      </c>
      <c r="E97" s="956">
        <f>'Treatment Sludge_NO INPUTS'!AJ18</f>
        <v>0</v>
      </c>
      <c r="F97" s="956">
        <f>'Treatment Sludge_NO INPUTS'!AK18</f>
        <v>0</v>
      </c>
      <c r="G97" s="956">
        <f>'Treatment Sludge_NO INPUTS'!AL18</f>
        <v>0</v>
      </c>
      <c r="H97" s="1468">
        <f t="shared" si="45"/>
        <v>0</v>
      </c>
      <c r="I97" s="957" t="str">
        <f t="shared" si="46"/>
        <v>OK</v>
      </c>
      <c r="J97" s="1522">
        <f t="shared" si="47"/>
        <v>0</v>
      </c>
      <c r="K97" s="1522">
        <f t="shared" si="48"/>
        <v>0</v>
      </c>
      <c r="L97" s="1522">
        <f t="shared" si="48"/>
        <v>0</v>
      </c>
      <c r="M97" s="1522">
        <f t="shared" si="48"/>
        <v>0</v>
      </c>
      <c r="N97" s="1518">
        <f t="shared" si="49"/>
        <v>0</v>
      </c>
      <c r="P97" s="956">
        <f>'Treatment Sludge_NO INPUTS'!AQ18</f>
        <v>0</v>
      </c>
      <c r="Q97" s="956">
        <f>'Treatment Sludge_NO INPUTS'!AR18</f>
        <v>0</v>
      </c>
      <c r="R97" s="956">
        <f>'Treatment Sludge_NO INPUTS'!AS18</f>
        <v>0</v>
      </c>
      <c r="S97" s="956">
        <f>'Treatment Sludge_NO INPUTS'!AT18</f>
        <v>0</v>
      </c>
      <c r="T97" s="1468">
        <f>SUM(O97:S97)</f>
        <v>0</v>
      </c>
      <c r="U97" s="957" t="str">
        <f t="shared" si="50"/>
        <v>OK</v>
      </c>
      <c r="V97" s="1522">
        <f t="shared" si="51"/>
        <v>0</v>
      </c>
      <c r="W97" s="1522">
        <f t="shared" si="51"/>
        <v>0</v>
      </c>
      <c r="X97" s="1522">
        <f t="shared" si="51"/>
        <v>0</v>
      </c>
      <c r="Y97" s="1522">
        <f t="shared" si="51"/>
        <v>0</v>
      </c>
      <c r="Z97" s="1518">
        <f t="shared" si="52"/>
        <v>0</v>
      </c>
      <c r="AA97" s="10"/>
      <c r="AB97" s="1522">
        <f t="shared" si="53"/>
        <v>0</v>
      </c>
      <c r="AC97" s="1522">
        <f t="shared" si="53"/>
        <v>0</v>
      </c>
      <c r="AD97" s="1522">
        <f t="shared" si="53"/>
        <v>0</v>
      </c>
      <c r="AE97" s="1522">
        <f t="shared" si="53"/>
        <v>0</v>
      </c>
      <c r="AF97" s="1518">
        <f t="shared" si="54"/>
        <v>0</v>
      </c>
    </row>
    <row r="98" spans="1:36" s="955" customFormat="1" ht="17.149999999999999" customHeight="1" x14ac:dyDescent="0.35">
      <c r="A98" s="953" t="str">
        <f>'FS_Treatment volumes'!A31</f>
        <v>Plant 5 [insert name]</v>
      </c>
      <c r="B98" s="1522">
        <f>'FS_Treatment volumes'!H31</f>
        <v>0</v>
      </c>
      <c r="C98" s="1522">
        <f>'FS_Treatment volumes'!N31</f>
        <v>0</v>
      </c>
      <c r="D98" s="956">
        <f>'Treatment Sludge_NO INPUTS'!AI19</f>
        <v>0</v>
      </c>
      <c r="E98" s="956">
        <f>'Treatment Sludge_NO INPUTS'!AJ19</f>
        <v>0</v>
      </c>
      <c r="F98" s="956">
        <f>'Treatment Sludge_NO INPUTS'!AK19</f>
        <v>0</v>
      </c>
      <c r="G98" s="956">
        <f>'Treatment Sludge_NO INPUTS'!AL19</f>
        <v>0</v>
      </c>
      <c r="H98" s="1468">
        <f t="shared" si="45"/>
        <v>0</v>
      </c>
      <c r="I98" s="957" t="str">
        <f t="shared" si="46"/>
        <v>OK</v>
      </c>
      <c r="J98" s="1522">
        <f t="shared" si="47"/>
        <v>0</v>
      </c>
      <c r="K98" s="1522">
        <f t="shared" si="48"/>
        <v>0</v>
      </c>
      <c r="L98" s="1522">
        <f t="shared" si="48"/>
        <v>0</v>
      </c>
      <c r="M98" s="1522">
        <f t="shared" si="48"/>
        <v>0</v>
      </c>
      <c r="N98" s="1518">
        <f t="shared" si="49"/>
        <v>0</v>
      </c>
      <c r="P98" s="956">
        <f>'Treatment Sludge_NO INPUTS'!AQ19</f>
        <v>0</v>
      </c>
      <c r="Q98" s="956">
        <f>'Treatment Sludge_NO INPUTS'!AR19</f>
        <v>0</v>
      </c>
      <c r="R98" s="956">
        <f>'Treatment Sludge_NO INPUTS'!AS19</f>
        <v>0</v>
      </c>
      <c r="S98" s="956">
        <f>'Treatment Sludge_NO INPUTS'!AT19</f>
        <v>0</v>
      </c>
      <c r="T98" s="1468">
        <f>SUM(O98:S98)</f>
        <v>0</v>
      </c>
      <c r="U98" s="957" t="str">
        <f t="shared" si="50"/>
        <v>OK</v>
      </c>
      <c r="V98" s="1522">
        <f t="shared" si="51"/>
        <v>0</v>
      </c>
      <c r="W98" s="1522">
        <f t="shared" si="51"/>
        <v>0</v>
      </c>
      <c r="X98" s="1522">
        <f t="shared" si="51"/>
        <v>0</v>
      </c>
      <c r="Y98" s="1522">
        <f t="shared" si="51"/>
        <v>0</v>
      </c>
      <c r="Z98" s="1518">
        <f t="shared" si="52"/>
        <v>0</v>
      </c>
      <c r="AA98" s="10"/>
      <c r="AB98" s="1522">
        <f t="shared" si="53"/>
        <v>0</v>
      </c>
      <c r="AC98" s="1522">
        <f t="shared" si="53"/>
        <v>0</v>
      </c>
      <c r="AD98" s="1522">
        <f t="shared" si="53"/>
        <v>0</v>
      </c>
      <c r="AE98" s="1522">
        <f t="shared" si="53"/>
        <v>0</v>
      </c>
      <c r="AF98" s="1518">
        <f t="shared" si="54"/>
        <v>0</v>
      </c>
    </row>
    <row r="99" spans="1:36" s="955" customFormat="1" ht="17.149999999999999" customHeight="1" x14ac:dyDescent="0.35">
      <c r="A99" s="953" t="str">
        <f>'FS_Treatment volumes'!A32</f>
        <v>Plant 6 [insert name]</v>
      </c>
      <c r="B99" s="1522">
        <f>'FS_Treatment volumes'!H32</f>
        <v>0</v>
      </c>
      <c r="C99" s="1522">
        <f>'FS_Treatment volumes'!N32</f>
        <v>0</v>
      </c>
      <c r="D99" s="956">
        <f>'Treatment Sludge_NO INPUTS'!AI20</f>
        <v>0</v>
      </c>
      <c r="E99" s="956">
        <f>'Treatment Sludge_NO INPUTS'!AJ20</f>
        <v>0</v>
      </c>
      <c r="F99" s="956">
        <f>'Treatment Sludge_NO INPUTS'!AK20</f>
        <v>0</v>
      </c>
      <c r="G99" s="956">
        <f>'Treatment Sludge_NO INPUTS'!AL20</f>
        <v>0</v>
      </c>
      <c r="H99" s="1468">
        <f t="shared" si="45"/>
        <v>0</v>
      </c>
      <c r="I99" s="957" t="str">
        <f t="shared" si="46"/>
        <v>OK</v>
      </c>
      <c r="J99" s="1522">
        <f t="shared" si="47"/>
        <v>0</v>
      </c>
      <c r="K99" s="1522">
        <f t="shared" si="48"/>
        <v>0</v>
      </c>
      <c r="L99" s="1522">
        <f t="shared" si="48"/>
        <v>0</v>
      </c>
      <c r="M99" s="1522">
        <f t="shared" si="48"/>
        <v>0</v>
      </c>
      <c r="N99" s="1518">
        <f t="shared" si="49"/>
        <v>0</v>
      </c>
      <c r="O99" s="103"/>
      <c r="P99" s="956">
        <f>'Treatment Sludge_NO INPUTS'!AQ20</f>
        <v>0</v>
      </c>
      <c r="Q99" s="956">
        <f>'Treatment Sludge_NO INPUTS'!AR20</f>
        <v>0</v>
      </c>
      <c r="R99" s="956">
        <f>'Treatment Sludge_NO INPUTS'!AS20</f>
        <v>0</v>
      </c>
      <c r="S99" s="956">
        <f>'Treatment Sludge_NO INPUTS'!AT20</f>
        <v>0</v>
      </c>
      <c r="T99" s="1468">
        <f>SUM(O99:S99)</f>
        <v>0</v>
      </c>
      <c r="U99" s="957" t="str">
        <f t="shared" si="50"/>
        <v>OK</v>
      </c>
      <c r="V99" s="1522">
        <f t="shared" si="51"/>
        <v>0</v>
      </c>
      <c r="W99" s="1522">
        <f t="shared" si="51"/>
        <v>0</v>
      </c>
      <c r="X99" s="1522">
        <f t="shared" si="51"/>
        <v>0</v>
      </c>
      <c r="Y99" s="1522">
        <f t="shared" si="51"/>
        <v>0</v>
      </c>
      <c r="Z99" s="1518">
        <f t="shared" si="52"/>
        <v>0</v>
      </c>
      <c r="AA99" s="10"/>
      <c r="AB99" s="1522">
        <f t="shared" si="53"/>
        <v>0</v>
      </c>
      <c r="AC99" s="1522">
        <f t="shared" si="53"/>
        <v>0</v>
      </c>
      <c r="AD99" s="1522">
        <f t="shared" si="53"/>
        <v>0</v>
      </c>
      <c r="AE99" s="1522">
        <f t="shared" si="53"/>
        <v>0</v>
      </c>
      <c r="AF99" s="1518">
        <f t="shared" si="54"/>
        <v>0</v>
      </c>
    </row>
    <row r="100" spans="1:36" s="12" customFormat="1" ht="17.149999999999999" customHeight="1" x14ac:dyDescent="0.35">
      <c r="A100" s="950" t="s">
        <v>208</v>
      </c>
      <c r="B100" s="948">
        <f>SUM(B94:B99)</f>
        <v>0</v>
      </c>
      <c r="C100" s="948">
        <f>SUM(C94:C99)</f>
        <v>0</v>
      </c>
      <c r="D100" s="952"/>
      <c r="E100" s="952"/>
      <c r="F100" s="952"/>
      <c r="G100" s="952"/>
      <c r="H100" s="952"/>
      <c r="I100" s="952"/>
      <c r="J100" s="948">
        <f>SUM(J94:J99)</f>
        <v>0</v>
      </c>
      <c r="K100" s="948">
        <f>SUM(K94:K99)</f>
        <v>0</v>
      </c>
      <c r="L100" s="948">
        <f>SUM(L94:L99)</f>
        <v>0</v>
      </c>
      <c r="M100" s="948">
        <f>SUM(M94:M99)</f>
        <v>0</v>
      </c>
      <c r="N100" s="948">
        <f>SUM(N94:N99)</f>
        <v>0</v>
      </c>
      <c r="O100" s="213"/>
      <c r="P100" s="952"/>
      <c r="Q100" s="952"/>
      <c r="R100" s="952"/>
      <c r="S100" s="952"/>
      <c r="T100" s="952"/>
      <c r="U100" s="952"/>
      <c r="V100" s="948">
        <f>SUM(V94:V99)</f>
        <v>0</v>
      </c>
      <c r="W100" s="948">
        <f>SUM(W94:W99)</f>
        <v>0</v>
      </c>
      <c r="X100" s="948">
        <f>SUM(X94:X99)</f>
        <v>0</v>
      </c>
      <c r="Y100" s="948">
        <f>SUM(Y94:Y99)</f>
        <v>0</v>
      </c>
      <c r="Z100" s="948">
        <f>SUM(Z94:Z99)</f>
        <v>0</v>
      </c>
      <c r="AA100" s="32"/>
      <c r="AB100" s="948">
        <f>SUM(AB94:AB99)</f>
        <v>0</v>
      </c>
      <c r="AC100" s="948">
        <f>SUM(AC94:AC99)</f>
        <v>0</v>
      </c>
      <c r="AD100" s="948">
        <f>SUM(AD94:AD99)</f>
        <v>0</v>
      </c>
      <c r="AE100" s="948">
        <f>SUM(AE94:AE99)</f>
        <v>0</v>
      </c>
      <c r="AF100" s="948">
        <f>SUM(AF94:AF99)</f>
        <v>0</v>
      </c>
    </row>
    <row r="101" spans="1:36" ht="17.149999999999999" customHeight="1" x14ac:dyDescent="0.35">
      <c r="A101" s="3"/>
      <c r="B101" s="3"/>
      <c r="C101" s="68"/>
      <c r="D101" s="3"/>
      <c r="E101" s="3"/>
      <c r="F101" s="3"/>
      <c r="G101" s="3"/>
      <c r="H101" s="3"/>
      <c r="I101" s="3"/>
      <c r="J101" s="1468">
        <f>IF($N$100=0,0,J100/$N$100)</f>
        <v>0</v>
      </c>
      <c r="K101" s="1468">
        <f>IF($N$100=0,0,K100/$N$100)</f>
        <v>0</v>
      </c>
      <c r="L101" s="1468">
        <f>IF($N$100=0,0,L100/$N$100)</f>
        <v>0</v>
      </c>
      <c r="M101" s="1468">
        <f>IF($N$100=0,0,M100/$N$100)</f>
        <v>0</v>
      </c>
      <c r="N101" s="1468">
        <f>IF($N$100=0,0,N100/$N$100)</f>
        <v>0</v>
      </c>
      <c r="O101" s="3"/>
      <c r="P101" s="3"/>
      <c r="Q101" s="3"/>
      <c r="R101" s="3"/>
      <c r="S101" s="3"/>
      <c r="T101" s="3"/>
      <c r="U101" s="3"/>
      <c r="V101" s="3"/>
      <c r="W101" s="3"/>
      <c r="X101" s="3"/>
      <c r="Y101" s="3"/>
      <c r="Z101" s="3"/>
    </row>
    <row r="102" spans="1:36" ht="17.149999999999999" customHeight="1" x14ac:dyDescent="0.35">
      <c r="A102" s="3"/>
      <c r="B102" s="3"/>
      <c r="C102" s="68"/>
      <c r="D102" s="3"/>
      <c r="E102" s="3"/>
      <c r="F102" s="3"/>
      <c r="G102" s="3"/>
      <c r="H102" s="3"/>
      <c r="I102" s="3"/>
      <c r="J102" s="3"/>
      <c r="K102" s="3"/>
      <c r="L102" s="3"/>
      <c r="M102" s="3"/>
      <c r="N102" s="3"/>
      <c r="O102" s="3"/>
      <c r="P102" s="3"/>
      <c r="Q102" s="3"/>
      <c r="R102" s="3"/>
      <c r="S102" s="3"/>
      <c r="T102" s="3"/>
      <c r="U102" s="3"/>
      <c r="V102" s="3"/>
      <c r="W102" s="3"/>
      <c r="X102" s="3"/>
      <c r="Y102" s="3"/>
      <c r="Z102" s="3"/>
    </row>
    <row r="103" spans="1:36" ht="17.149999999999999" customHeight="1" x14ac:dyDescent="0.35">
      <c r="A103" s="949" t="s">
        <v>1197</v>
      </c>
      <c r="B103" s="1777" t="s">
        <v>9</v>
      </c>
      <c r="C103" s="1777"/>
      <c r="D103" s="3"/>
      <c r="E103" s="3"/>
      <c r="F103" s="3"/>
      <c r="G103" s="3"/>
      <c r="H103" s="3"/>
      <c r="I103" s="84"/>
      <c r="J103" s="84"/>
      <c r="K103" s="84"/>
      <c r="L103" s="84"/>
      <c r="M103" s="84"/>
      <c r="N103" s="84"/>
      <c r="O103" s="3"/>
      <c r="P103" s="3"/>
      <c r="Q103" s="3"/>
      <c r="R103" s="3"/>
      <c r="S103" s="3"/>
      <c r="T103" s="3"/>
      <c r="U103" s="3"/>
      <c r="V103" s="3"/>
      <c r="W103" s="3"/>
      <c r="X103" s="3"/>
      <c r="Y103" s="3"/>
      <c r="Z103" s="3"/>
      <c r="AA103" s="3"/>
      <c r="AB103" s="3"/>
    </row>
    <row r="104" spans="1:36" ht="17.149999999999999" customHeight="1" x14ac:dyDescent="0.35">
      <c r="A104" s="3"/>
      <c r="B104" s="117"/>
      <c r="C104" s="3"/>
      <c r="D104" s="1797" t="s">
        <v>511</v>
      </c>
      <c r="E104" s="1805"/>
      <c r="F104" s="1805"/>
      <c r="G104" s="1805"/>
      <c r="H104" s="1805"/>
      <c r="I104" s="1805"/>
      <c r="J104" s="1805"/>
      <c r="K104" s="1805"/>
      <c r="L104" s="1805"/>
      <c r="M104" s="1805"/>
      <c r="N104" s="1798"/>
      <c r="O104" s="3"/>
      <c r="P104" s="1784" t="s">
        <v>512</v>
      </c>
      <c r="Q104" s="1784"/>
      <c r="R104" s="1784"/>
      <c r="S104" s="1784"/>
      <c r="T104" s="1784"/>
      <c r="U104" s="1784"/>
      <c r="V104" s="1784"/>
      <c r="W104" s="1784"/>
      <c r="X104" s="1784"/>
      <c r="Y104" s="1784"/>
      <c r="Z104" s="1784"/>
      <c r="AA104" s="3"/>
      <c r="AB104" s="1784" t="s">
        <v>1108</v>
      </c>
      <c r="AC104" s="1784"/>
      <c r="AD104" s="1784"/>
      <c r="AE104" s="1784"/>
      <c r="AF104" s="1784"/>
      <c r="AG104" s="329"/>
      <c r="AH104" s="78"/>
      <c r="AI104" s="78"/>
      <c r="AJ104" s="78"/>
    </row>
    <row r="105" spans="1:36" s="11" customFormat="1" ht="17.149999999999999" customHeight="1" x14ac:dyDescent="0.35">
      <c r="A105" s="1808" t="s">
        <v>513</v>
      </c>
      <c r="B105" s="1764" t="s">
        <v>1153</v>
      </c>
      <c r="C105" s="1764" t="s">
        <v>1144</v>
      </c>
      <c r="D105" s="1784" t="s">
        <v>522</v>
      </c>
      <c r="E105" s="1784"/>
      <c r="F105" s="1784"/>
      <c r="G105" s="1784"/>
      <c r="H105" s="1784"/>
      <c r="I105" s="1784"/>
      <c r="J105" s="1784" t="s">
        <v>1145</v>
      </c>
      <c r="K105" s="1784"/>
      <c r="L105" s="1784"/>
      <c r="M105" s="1784"/>
      <c r="N105" s="1784"/>
      <c r="P105" s="1784" t="s">
        <v>522</v>
      </c>
      <c r="Q105" s="1784"/>
      <c r="R105" s="1784"/>
      <c r="S105" s="1784"/>
      <c r="T105" s="1784"/>
      <c r="U105" s="1784"/>
      <c r="V105" s="1784" t="s">
        <v>1145</v>
      </c>
      <c r="W105" s="1784"/>
      <c r="X105" s="1784"/>
      <c r="Y105" s="1784"/>
      <c r="Z105" s="1784"/>
      <c r="AA105" s="3"/>
      <c r="AB105" s="1784" t="s">
        <v>1145</v>
      </c>
      <c r="AC105" s="1784"/>
      <c r="AD105" s="1784"/>
      <c r="AE105" s="1784"/>
      <c r="AF105" s="1784"/>
    </row>
    <row r="106" spans="1:36" s="11" customFormat="1" ht="17.149999999999999" customHeight="1" x14ac:dyDescent="0.35">
      <c r="A106" s="1808"/>
      <c r="B106" s="1766"/>
      <c r="C106" s="1766"/>
      <c r="D106" s="1511" t="s">
        <v>538</v>
      </c>
      <c r="E106" s="1511" t="s">
        <v>539</v>
      </c>
      <c r="F106" s="1511" t="s">
        <v>540</v>
      </c>
      <c r="G106" s="1511" t="s">
        <v>333</v>
      </c>
      <c r="H106" s="1511" t="s">
        <v>208</v>
      </c>
      <c r="I106" s="1511" t="s">
        <v>535</v>
      </c>
      <c r="J106" s="1511" t="s">
        <v>538</v>
      </c>
      <c r="K106" s="1511" t="s">
        <v>539</v>
      </c>
      <c r="L106" s="1511" t="s">
        <v>540</v>
      </c>
      <c r="M106" s="1511" t="s">
        <v>333</v>
      </c>
      <c r="N106" s="1511" t="s">
        <v>208</v>
      </c>
      <c r="O106" s="198"/>
      <c r="P106" s="1511" t="s">
        <v>538</v>
      </c>
      <c r="Q106" s="1511" t="s">
        <v>539</v>
      </c>
      <c r="R106" s="1511" t="s">
        <v>540</v>
      </c>
      <c r="S106" s="1511" t="s">
        <v>537</v>
      </c>
      <c r="T106" s="1511" t="s">
        <v>208</v>
      </c>
      <c r="U106" s="1511" t="s">
        <v>535</v>
      </c>
      <c r="V106" s="1511" t="s">
        <v>538</v>
      </c>
      <c r="W106" s="1511" t="s">
        <v>539</v>
      </c>
      <c r="X106" s="1511" t="s">
        <v>540</v>
      </c>
      <c r="Y106" s="1511" t="s">
        <v>333</v>
      </c>
      <c r="Z106" s="1511" t="s">
        <v>208</v>
      </c>
      <c r="AA106" s="3"/>
      <c r="AB106" s="1511" t="s">
        <v>538</v>
      </c>
      <c r="AC106" s="1511" t="s">
        <v>539</v>
      </c>
      <c r="AD106" s="1511" t="s">
        <v>540</v>
      </c>
      <c r="AE106" s="1511" t="s">
        <v>333</v>
      </c>
      <c r="AF106" s="1511" t="s">
        <v>208</v>
      </c>
    </row>
    <row r="107" spans="1:36" s="60" customFormat="1" ht="13" x14ac:dyDescent="0.35">
      <c r="A107" s="356"/>
      <c r="B107" s="1522"/>
      <c r="C107" s="1522"/>
      <c r="D107" s="153"/>
      <c r="E107" s="153"/>
      <c r="F107" s="153"/>
      <c r="G107" s="153"/>
      <c r="H107" s="153"/>
      <c r="I107" s="1522"/>
      <c r="J107" s="153"/>
      <c r="K107" s="153"/>
      <c r="L107" s="153"/>
      <c r="M107" s="153"/>
      <c r="N107" s="153"/>
      <c r="O107" s="327"/>
      <c r="P107" s="153"/>
      <c r="Q107" s="153"/>
      <c r="R107" s="153"/>
      <c r="S107" s="153"/>
      <c r="T107" s="153"/>
      <c r="U107" s="1522"/>
      <c r="V107" s="153"/>
      <c r="W107" s="153"/>
      <c r="X107" s="153"/>
      <c r="Y107" s="153"/>
      <c r="Z107" s="153"/>
      <c r="AA107" s="165"/>
      <c r="AB107" s="153"/>
      <c r="AC107" s="153"/>
      <c r="AD107" s="153"/>
      <c r="AE107" s="153"/>
      <c r="AF107" s="153"/>
    </row>
    <row r="108" spans="1:36" s="955" customFormat="1" ht="17.149999999999999" customHeight="1" x14ac:dyDescent="0.35">
      <c r="A108" s="953" t="str">
        <f>'FS_Treatment volumes'!A45</f>
        <v>Plant 1</v>
      </c>
      <c r="B108" s="1522">
        <f>'FS_Treatment volumes'!H45</f>
        <v>0</v>
      </c>
      <c r="C108" s="1522">
        <f>'FS_Treatment volumes'!N45</f>
        <v>0</v>
      </c>
      <c r="D108" s="956">
        <f>'Treatment Sludge_NO INPUTS'!AI32</f>
        <v>0</v>
      </c>
      <c r="E108" s="956">
        <f>'Treatment Sludge_NO INPUTS'!AJ32</f>
        <v>0</v>
      </c>
      <c r="F108" s="956">
        <f>'Treatment Sludge_NO INPUTS'!AK32</f>
        <v>0</v>
      </c>
      <c r="G108" s="956">
        <f>'Treatment Sludge_NO INPUTS'!AL32</f>
        <v>0</v>
      </c>
      <c r="H108" s="1468">
        <f>SUM(D108:G108)</f>
        <v>0</v>
      </c>
      <c r="I108" s="957" t="str">
        <f>IF(AND(B108=0,H108=0),"OK",IF(AND(B108&gt;0,H108=1),"OK","Not OK"))</f>
        <v>OK</v>
      </c>
      <c r="J108" s="1522">
        <f>D108*$B108</f>
        <v>0</v>
      </c>
      <c r="K108" s="1522">
        <f t="shared" ref="K108:M117" si="55">E108*$B108</f>
        <v>0</v>
      </c>
      <c r="L108" s="1522">
        <f t="shared" si="55"/>
        <v>0</v>
      </c>
      <c r="M108" s="1522">
        <f t="shared" si="55"/>
        <v>0</v>
      </c>
      <c r="N108" s="1518">
        <f>SUM(J108:M108)</f>
        <v>0</v>
      </c>
      <c r="O108" s="958"/>
      <c r="P108" s="956">
        <f>'Treatment Sludge_NO INPUTS'!AQ32</f>
        <v>0</v>
      </c>
      <c r="Q108" s="956">
        <f>'Treatment Sludge_NO INPUTS'!AR32</f>
        <v>0</v>
      </c>
      <c r="R108" s="956">
        <f>'Treatment Sludge_NO INPUTS'!AS32</f>
        <v>0</v>
      </c>
      <c r="S108" s="956">
        <f>'Treatment Sludge_NO INPUTS'!AT32</f>
        <v>0</v>
      </c>
      <c r="T108" s="1468">
        <f>SUM(P108:S108)</f>
        <v>0</v>
      </c>
      <c r="U108" s="957" t="str">
        <f t="shared" ref="U108:U117" si="56">IF(AND(C108=0,T108=0),"OK",IF(AND(C108&gt;0,T108=1),"OK","Not OK"))</f>
        <v>OK</v>
      </c>
      <c r="V108" s="1522">
        <f t="shared" ref="V108:Y117" si="57">P108*$C108</f>
        <v>0</v>
      </c>
      <c r="W108" s="1522">
        <f t="shared" si="57"/>
        <v>0</v>
      </c>
      <c r="X108" s="1522">
        <f t="shared" si="57"/>
        <v>0</v>
      </c>
      <c r="Y108" s="1522">
        <f t="shared" si="57"/>
        <v>0</v>
      </c>
      <c r="Z108" s="1522">
        <f t="shared" ref="Z108:Z117" si="58">SUM(V108:Y108)</f>
        <v>0</v>
      </c>
      <c r="AA108" s="10"/>
      <c r="AB108" s="1522">
        <f t="shared" ref="AB108:AE117" si="59">J108-V108</f>
        <v>0</v>
      </c>
      <c r="AC108" s="1522">
        <f t="shared" si="59"/>
        <v>0</v>
      </c>
      <c r="AD108" s="1522">
        <f t="shared" si="59"/>
        <v>0</v>
      </c>
      <c r="AE108" s="1522">
        <f t="shared" si="59"/>
        <v>0</v>
      </c>
      <c r="AF108" s="1518">
        <f>SUM(AB108:AE108)</f>
        <v>0</v>
      </c>
    </row>
    <row r="109" spans="1:36" s="955" customFormat="1" ht="17.149999999999999" customHeight="1" x14ac:dyDescent="0.35">
      <c r="A109" s="953" t="str">
        <f>'FS_Treatment volumes'!A46</f>
        <v>Plant 2</v>
      </c>
      <c r="B109" s="1522">
        <f>'FS_Treatment volumes'!H46</f>
        <v>0</v>
      </c>
      <c r="C109" s="1522">
        <f>'FS_Treatment volumes'!N46</f>
        <v>0</v>
      </c>
      <c r="D109" s="956">
        <f>'Treatment Sludge_NO INPUTS'!AI33</f>
        <v>0</v>
      </c>
      <c r="E109" s="956">
        <f>'Treatment Sludge_NO INPUTS'!AJ33</f>
        <v>0</v>
      </c>
      <c r="F109" s="956">
        <f>'Treatment Sludge_NO INPUTS'!AK33</f>
        <v>0</v>
      </c>
      <c r="G109" s="956">
        <f>'Treatment Sludge_NO INPUTS'!AL33</f>
        <v>0</v>
      </c>
      <c r="H109" s="1468">
        <f t="shared" ref="H109:H117" si="60">SUM(D109:G109)</f>
        <v>0</v>
      </c>
      <c r="I109" s="957" t="str">
        <f t="shared" ref="I109:I117" si="61">IF(AND(B109=0,H109=0),"OK",IF(AND(B109&gt;0,H109=1),"OK","Not OK"))</f>
        <v>OK</v>
      </c>
      <c r="J109" s="1522">
        <f t="shared" ref="J109:J117" si="62">D109*$B109</f>
        <v>0</v>
      </c>
      <c r="K109" s="1522">
        <f t="shared" si="55"/>
        <v>0</v>
      </c>
      <c r="L109" s="1522">
        <f t="shared" si="55"/>
        <v>0</v>
      </c>
      <c r="M109" s="1522">
        <f t="shared" si="55"/>
        <v>0</v>
      </c>
      <c r="N109" s="1518">
        <f t="shared" ref="N109:N117" si="63">SUM(J109:M109)</f>
        <v>0</v>
      </c>
      <c r="O109" s="958"/>
      <c r="P109" s="956">
        <f>'Treatment Sludge_NO INPUTS'!AQ33</f>
        <v>0</v>
      </c>
      <c r="Q109" s="956">
        <f>'Treatment Sludge_NO INPUTS'!AR33</f>
        <v>0</v>
      </c>
      <c r="R109" s="956">
        <f>'Treatment Sludge_NO INPUTS'!AS33</f>
        <v>0</v>
      </c>
      <c r="S109" s="956">
        <f>'Treatment Sludge_NO INPUTS'!AT33</f>
        <v>0</v>
      </c>
      <c r="T109" s="1468">
        <f t="shared" ref="T109:T117" si="64">SUM(P109:S109)</f>
        <v>0</v>
      </c>
      <c r="U109" s="957" t="str">
        <f t="shared" si="56"/>
        <v>OK</v>
      </c>
      <c r="V109" s="1522">
        <f t="shared" si="57"/>
        <v>0</v>
      </c>
      <c r="W109" s="1522">
        <f t="shared" si="57"/>
        <v>0</v>
      </c>
      <c r="X109" s="1522">
        <f t="shared" si="57"/>
        <v>0</v>
      </c>
      <c r="Y109" s="1522">
        <f t="shared" si="57"/>
        <v>0</v>
      </c>
      <c r="Z109" s="1522">
        <f t="shared" si="58"/>
        <v>0</v>
      </c>
      <c r="AA109" s="10"/>
      <c r="AB109" s="1522">
        <f t="shared" si="59"/>
        <v>0</v>
      </c>
      <c r="AC109" s="1522">
        <f t="shared" si="59"/>
        <v>0</v>
      </c>
      <c r="AD109" s="1522">
        <f t="shared" si="59"/>
        <v>0</v>
      </c>
      <c r="AE109" s="1522">
        <f t="shared" si="59"/>
        <v>0</v>
      </c>
      <c r="AF109" s="1518">
        <f t="shared" ref="AF109:AF117" si="65">SUM(AB109:AE109)</f>
        <v>0</v>
      </c>
    </row>
    <row r="110" spans="1:36" s="955" customFormat="1" ht="17.149999999999999" customHeight="1" x14ac:dyDescent="0.35">
      <c r="A110" s="953" t="str">
        <f>'FS_Treatment volumes'!A47</f>
        <v>Plant 3</v>
      </c>
      <c r="B110" s="1522">
        <f>'FS_Treatment volumes'!H47</f>
        <v>0</v>
      </c>
      <c r="C110" s="1522">
        <f>'FS_Treatment volumes'!N47</f>
        <v>0</v>
      </c>
      <c r="D110" s="956">
        <f>'Treatment Sludge_NO INPUTS'!AI34</f>
        <v>0</v>
      </c>
      <c r="E110" s="956">
        <f>'Treatment Sludge_NO INPUTS'!AJ34</f>
        <v>0</v>
      </c>
      <c r="F110" s="956">
        <f>'Treatment Sludge_NO INPUTS'!AK34</f>
        <v>0</v>
      </c>
      <c r="G110" s="956">
        <f>'Treatment Sludge_NO INPUTS'!AL34</f>
        <v>0</v>
      </c>
      <c r="H110" s="1468">
        <f t="shared" si="60"/>
        <v>0</v>
      </c>
      <c r="I110" s="957" t="str">
        <f t="shared" si="61"/>
        <v>OK</v>
      </c>
      <c r="J110" s="1522">
        <f t="shared" si="62"/>
        <v>0</v>
      </c>
      <c r="K110" s="1522">
        <f t="shared" si="55"/>
        <v>0</v>
      </c>
      <c r="L110" s="1522">
        <f t="shared" si="55"/>
        <v>0</v>
      </c>
      <c r="M110" s="1522">
        <f t="shared" si="55"/>
        <v>0</v>
      </c>
      <c r="N110" s="1518">
        <f t="shared" si="63"/>
        <v>0</v>
      </c>
      <c r="O110" s="958"/>
      <c r="P110" s="956">
        <f>'Treatment Sludge_NO INPUTS'!AQ34</f>
        <v>0</v>
      </c>
      <c r="Q110" s="956">
        <f>'Treatment Sludge_NO INPUTS'!AR34</f>
        <v>0</v>
      </c>
      <c r="R110" s="956">
        <f>'Treatment Sludge_NO INPUTS'!AS34</f>
        <v>0</v>
      </c>
      <c r="S110" s="956">
        <f>'Treatment Sludge_NO INPUTS'!AT34</f>
        <v>0</v>
      </c>
      <c r="T110" s="1468">
        <f t="shared" si="64"/>
        <v>0</v>
      </c>
      <c r="U110" s="957" t="str">
        <f t="shared" si="56"/>
        <v>OK</v>
      </c>
      <c r="V110" s="1522">
        <f t="shared" si="57"/>
        <v>0</v>
      </c>
      <c r="W110" s="1522">
        <f t="shared" si="57"/>
        <v>0</v>
      </c>
      <c r="X110" s="1522">
        <f t="shared" si="57"/>
        <v>0</v>
      </c>
      <c r="Y110" s="1522">
        <f t="shared" si="57"/>
        <v>0</v>
      </c>
      <c r="Z110" s="1522">
        <f t="shared" si="58"/>
        <v>0</v>
      </c>
      <c r="AA110" s="10"/>
      <c r="AB110" s="1522">
        <f t="shared" si="59"/>
        <v>0</v>
      </c>
      <c r="AC110" s="1522">
        <f t="shared" si="59"/>
        <v>0</v>
      </c>
      <c r="AD110" s="1522">
        <f t="shared" si="59"/>
        <v>0</v>
      </c>
      <c r="AE110" s="1522">
        <f t="shared" si="59"/>
        <v>0</v>
      </c>
      <c r="AF110" s="1518">
        <f t="shared" si="65"/>
        <v>0</v>
      </c>
    </row>
    <row r="111" spans="1:36" s="955" customFormat="1" ht="17.149999999999999" customHeight="1" x14ac:dyDescent="0.35">
      <c r="A111" s="953" t="str">
        <f>'FS_Treatment volumes'!A48</f>
        <v>Plant 4</v>
      </c>
      <c r="B111" s="1522">
        <f>'FS_Treatment volumes'!H48</f>
        <v>0</v>
      </c>
      <c r="C111" s="1522">
        <f>'FS_Treatment volumes'!N48</f>
        <v>0</v>
      </c>
      <c r="D111" s="956">
        <f>'Treatment Sludge_NO INPUTS'!AI35</f>
        <v>0</v>
      </c>
      <c r="E111" s="956">
        <f>'Treatment Sludge_NO INPUTS'!AJ35</f>
        <v>0</v>
      </c>
      <c r="F111" s="956">
        <f>'Treatment Sludge_NO INPUTS'!AK35</f>
        <v>0</v>
      </c>
      <c r="G111" s="956">
        <f>'Treatment Sludge_NO INPUTS'!AL35</f>
        <v>0</v>
      </c>
      <c r="H111" s="1468">
        <f t="shared" si="60"/>
        <v>0</v>
      </c>
      <c r="I111" s="957" t="str">
        <f t="shared" si="61"/>
        <v>OK</v>
      </c>
      <c r="J111" s="1522">
        <f t="shared" si="62"/>
        <v>0</v>
      </c>
      <c r="K111" s="1522">
        <f t="shared" si="55"/>
        <v>0</v>
      </c>
      <c r="L111" s="1522">
        <f t="shared" si="55"/>
        <v>0</v>
      </c>
      <c r="M111" s="1522">
        <f t="shared" si="55"/>
        <v>0</v>
      </c>
      <c r="N111" s="1518">
        <f t="shared" si="63"/>
        <v>0</v>
      </c>
      <c r="P111" s="956">
        <f>'Treatment Sludge_NO INPUTS'!AQ35</f>
        <v>0</v>
      </c>
      <c r="Q111" s="956">
        <f>'Treatment Sludge_NO INPUTS'!AR35</f>
        <v>0</v>
      </c>
      <c r="R111" s="956">
        <f>'Treatment Sludge_NO INPUTS'!AS35</f>
        <v>0</v>
      </c>
      <c r="S111" s="956">
        <f>'Treatment Sludge_NO INPUTS'!AT35</f>
        <v>0</v>
      </c>
      <c r="T111" s="1468">
        <f t="shared" si="64"/>
        <v>0</v>
      </c>
      <c r="U111" s="957" t="str">
        <f t="shared" si="56"/>
        <v>OK</v>
      </c>
      <c r="V111" s="1522">
        <f t="shared" si="57"/>
        <v>0</v>
      </c>
      <c r="W111" s="1522">
        <f t="shared" si="57"/>
        <v>0</v>
      </c>
      <c r="X111" s="1522">
        <f t="shared" si="57"/>
        <v>0</v>
      </c>
      <c r="Y111" s="1522">
        <f t="shared" si="57"/>
        <v>0</v>
      </c>
      <c r="Z111" s="1522">
        <f t="shared" si="58"/>
        <v>0</v>
      </c>
      <c r="AA111" s="10"/>
      <c r="AB111" s="1522">
        <f t="shared" si="59"/>
        <v>0</v>
      </c>
      <c r="AC111" s="1522">
        <f t="shared" si="59"/>
        <v>0</v>
      </c>
      <c r="AD111" s="1522">
        <f t="shared" si="59"/>
        <v>0</v>
      </c>
      <c r="AE111" s="1522">
        <f t="shared" si="59"/>
        <v>0</v>
      </c>
      <c r="AF111" s="1518">
        <f t="shared" si="65"/>
        <v>0</v>
      </c>
    </row>
    <row r="112" spans="1:36" s="955" customFormat="1" ht="17.149999999999999" customHeight="1" x14ac:dyDescent="0.35">
      <c r="A112" s="953" t="str">
        <f>'FS_Treatment volumes'!A49</f>
        <v>Plant 5 [insert name]</v>
      </c>
      <c r="B112" s="1522">
        <f>'FS_Treatment volumes'!H49</f>
        <v>0</v>
      </c>
      <c r="C112" s="1522">
        <f>'FS_Treatment volumes'!N49</f>
        <v>0</v>
      </c>
      <c r="D112" s="956">
        <f>'Treatment Sludge_NO INPUTS'!AI36</f>
        <v>0</v>
      </c>
      <c r="E112" s="956">
        <f>'Treatment Sludge_NO INPUTS'!AJ36</f>
        <v>0</v>
      </c>
      <c r="F112" s="956">
        <f>'Treatment Sludge_NO INPUTS'!AK36</f>
        <v>0</v>
      </c>
      <c r="G112" s="956">
        <f>'Treatment Sludge_NO INPUTS'!AL36</f>
        <v>0</v>
      </c>
      <c r="H112" s="1468">
        <f t="shared" si="60"/>
        <v>0</v>
      </c>
      <c r="I112" s="957" t="str">
        <f t="shared" si="61"/>
        <v>OK</v>
      </c>
      <c r="J112" s="1522">
        <f t="shared" si="62"/>
        <v>0</v>
      </c>
      <c r="K112" s="1522">
        <f t="shared" si="55"/>
        <v>0</v>
      </c>
      <c r="L112" s="1522">
        <f t="shared" si="55"/>
        <v>0</v>
      </c>
      <c r="M112" s="1522">
        <f t="shared" si="55"/>
        <v>0</v>
      </c>
      <c r="N112" s="1518">
        <f t="shared" si="63"/>
        <v>0</v>
      </c>
      <c r="P112" s="956">
        <f>'Treatment Sludge_NO INPUTS'!AQ36</f>
        <v>0</v>
      </c>
      <c r="Q112" s="956">
        <f>'Treatment Sludge_NO INPUTS'!AR36</f>
        <v>0</v>
      </c>
      <c r="R112" s="956">
        <f>'Treatment Sludge_NO INPUTS'!AS36</f>
        <v>0</v>
      </c>
      <c r="S112" s="956">
        <f>'Treatment Sludge_NO INPUTS'!AT36</f>
        <v>0</v>
      </c>
      <c r="T112" s="1468">
        <f t="shared" si="64"/>
        <v>0</v>
      </c>
      <c r="U112" s="957" t="str">
        <f t="shared" si="56"/>
        <v>OK</v>
      </c>
      <c r="V112" s="1522">
        <f t="shared" si="57"/>
        <v>0</v>
      </c>
      <c r="W112" s="1522">
        <f t="shared" si="57"/>
        <v>0</v>
      </c>
      <c r="X112" s="1522">
        <f t="shared" si="57"/>
        <v>0</v>
      </c>
      <c r="Y112" s="1522">
        <f t="shared" si="57"/>
        <v>0</v>
      </c>
      <c r="Z112" s="1522">
        <f t="shared" si="58"/>
        <v>0</v>
      </c>
      <c r="AA112" s="10"/>
      <c r="AB112" s="1522">
        <f t="shared" si="59"/>
        <v>0</v>
      </c>
      <c r="AC112" s="1522">
        <f t="shared" si="59"/>
        <v>0</v>
      </c>
      <c r="AD112" s="1522">
        <f t="shared" si="59"/>
        <v>0</v>
      </c>
      <c r="AE112" s="1522">
        <f t="shared" si="59"/>
        <v>0</v>
      </c>
      <c r="AF112" s="1518">
        <f t="shared" si="65"/>
        <v>0</v>
      </c>
    </row>
    <row r="113" spans="1:36" s="955" customFormat="1" ht="17.149999999999999" customHeight="1" x14ac:dyDescent="0.35">
      <c r="A113" s="953" t="str">
        <f>'FS_Treatment volumes'!A50</f>
        <v>Plant 6 [insert name]</v>
      </c>
      <c r="B113" s="1522">
        <f>'FS_Treatment volumes'!H50</f>
        <v>0</v>
      </c>
      <c r="C113" s="1522">
        <f>'FS_Treatment volumes'!N50</f>
        <v>0</v>
      </c>
      <c r="D113" s="956">
        <f>'Treatment Sludge_NO INPUTS'!AI37</f>
        <v>0</v>
      </c>
      <c r="E113" s="956">
        <f>'Treatment Sludge_NO INPUTS'!AJ37</f>
        <v>0</v>
      </c>
      <c r="F113" s="956">
        <f>'Treatment Sludge_NO INPUTS'!AK37</f>
        <v>0</v>
      </c>
      <c r="G113" s="956">
        <f>'Treatment Sludge_NO INPUTS'!AL37</f>
        <v>0</v>
      </c>
      <c r="H113" s="1468">
        <f t="shared" si="60"/>
        <v>0</v>
      </c>
      <c r="I113" s="957" t="str">
        <f t="shared" si="61"/>
        <v>OK</v>
      </c>
      <c r="J113" s="1522">
        <f t="shared" si="62"/>
        <v>0</v>
      </c>
      <c r="K113" s="1522">
        <f t="shared" si="55"/>
        <v>0</v>
      </c>
      <c r="L113" s="1522">
        <f t="shared" si="55"/>
        <v>0</v>
      </c>
      <c r="M113" s="1522">
        <f t="shared" si="55"/>
        <v>0</v>
      </c>
      <c r="N113" s="1518">
        <f t="shared" si="63"/>
        <v>0</v>
      </c>
      <c r="P113" s="956">
        <f>'Treatment Sludge_NO INPUTS'!AQ37</f>
        <v>0</v>
      </c>
      <c r="Q113" s="956">
        <f>'Treatment Sludge_NO INPUTS'!AR37</f>
        <v>0</v>
      </c>
      <c r="R113" s="956">
        <f>'Treatment Sludge_NO INPUTS'!AS37</f>
        <v>0</v>
      </c>
      <c r="S113" s="956">
        <f>'Treatment Sludge_NO INPUTS'!AT37</f>
        <v>0</v>
      </c>
      <c r="T113" s="1468">
        <f t="shared" si="64"/>
        <v>0</v>
      </c>
      <c r="U113" s="957" t="str">
        <f t="shared" si="56"/>
        <v>OK</v>
      </c>
      <c r="V113" s="1522">
        <f t="shared" si="57"/>
        <v>0</v>
      </c>
      <c r="W113" s="1522">
        <f t="shared" si="57"/>
        <v>0</v>
      </c>
      <c r="X113" s="1522">
        <f t="shared" si="57"/>
        <v>0</v>
      </c>
      <c r="Y113" s="1522">
        <f t="shared" si="57"/>
        <v>0</v>
      </c>
      <c r="Z113" s="1522">
        <f t="shared" si="58"/>
        <v>0</v>
      </c>
      <c r="AA113" s="10"/>
      <c r="AB113" s="1522">
        <f t="shared" si="59"/>
        <v>0</v>
      </c>
      <c r="AC113" s="1522">
        <f t="shared" si="59"/>
        <v>0</v>
      </c>
      <c r="AD113" s="1522">
        <f t="shared" si="59"/>
        <v>0</v>
      </c>
      <c r="AE113" s="1522">
        <f t="shared" si="59"/>
        <v>0</v>
      </c>
      <c r="AF113" s="1518">
        <f t="shared" si="65"/>
        <v>0</v>
      </c>
    </row>
    <row r="114" spans="1:36" s="955" customFormat="1" ht="17.149999999999999" customHeight="1" x14ac:dyDescent="0.35">
      <c r="A114" s="953" t="str">
        <f>'FS_Treatment volumes'!A51</f>
        <v>Plant 7 [insert name]</v>
      </c>
      <c r="B114" s="1522">
        <f>'FS_Treatment volumes'!H51</f>
        <v>0</v>
      </c>
      <c r="C114" s="1522">
        <f>'FS_Treatment volumes'!N51</f>
        <v>0</v>
      </c>
      <c r="D114" s="956">
        <f>'Treatment Sludge_NO INPUTS'!AI38</f>
        <v>0</v>
      </c>
      <c r="E114" s="956">
        <f>'Treatment Sludge_NO INPUTS'!AJ38</f>
        <v>0</v>
      </c>
      <c r="F114" s="956">
        <f>'Treatment Sludge_NO INPUTS'!AK38</f>
        <v>0</v>
      </c>
      <c r="G114" s="956">
        <f>'Treatment Sludge_NO INPUTS'!AL38</f>
        <v>0</v>
      </c>
      <c r="H114" s="1468">
        <f t="shared" si="60"/>
        <v>0</v>
      </c>
      <c r="I114" s="957" t="str">
        <f t="shared" si="61"/>
        <v>OK</v>
      </c>
      <c r="J114" s="1522">
        <f t="shared" si="62"/>
        <v>0</v>
      </c>
      <c r="K114" s="1522">
        <f t="shared" si="55"/>
        <v>0</v>
      </c>
      <c r="L114" s="1522">
        <f t="shared" si="55"/>
        <v>0</v>
      </c>
      <c r="M114" s="1522">
        <f t="shared" si="55"/>
        <v>0</v>
      </c>
      <c r="N114" s="1518">
        <f t="shared" si="63"/>
        <v>0</v>
      </c>
      <c r="P114" s="956">
        <f>'Treatment Sludge_NO INPUTS'!AQ38</f>
        <v>0</v>
      </c>
      <c r="Q114" s="956">
        <f>'Treatment Sludge_NO INPUTS'!AR38</f>
        <v>0</v>
      </c>
      <c r="R114" s="956">
        <f>'Treatment Sludge_NO INPUTS'!AS38</f>
        <v>0</v>
      </c>
      <c r="S114" s="956">
        <f>'Treatment Sludge_NO INPUTS'!AT38</f>
        <v>0</v>
      </c>
      <c r="T114" s="1468">
        <f t="shared" si="64"/>
        <v>0</v>
      </c>
      <c r="U114" s="957" t="str">
        <f t="shared" si="56"/>
        <v>OK</v>
      </c>
      <c r="V114" s="1522">
        <f t="shared" si="57"/>
        <v>0</v>
      </c>
      <c r="W114" s="1522">
        <f t="shared" si="57"/>
        <v>0</v>
      </c>
      <c r="X114" s="1522">
        <f t="shared" si="57"/>
        <v>0</v>
      </c>
      <c r="Y114" s="1522">
        <f t="shared" si="57"/>
        <v>0</v>
      </c>
      <c r="Z114" s="1522">
        <f t="shared" si="58"/>
        <v>0</v>
      </c>
      <c r="AA114" s="10"/>
      <c r="AB114" s="1522">
        <f t="shared" si="59"/>
        <v>0</v>
      </c>
      <c r="AC114" s="1522">
        <f t="shared" si="59"/>
        <v>0</v>
      </c>
      <c r="AD114" s="1522">
        <f t="shared" si="59"/>
        <v>0</v>
      </c>
      <c r="AE114" s="1522">
        <f t="shared" si="59"/>
        <v>0</v>
      </c>
      <c r="AF114" s="1518">
        <f t="shared" si="65"/>
        <v>0</v>
      </c>
    </row>
    <row r="115" spans="1:36" s="955" customFormat="1" ht="17.149999999999999" customHeight="1" x14ac:dyDescent="0.35">
      <c r="A115" s="953" t="str">
        <f>'FS_Treatment volumes'!A52</f>
        <v>Plant 8 [insert name]</v>
      </c>
      <c r="B115" s="1522">
        <f>'FS_Treatment volumes'!H52</f>
        <v>0</v>
      </c>
      <c r="C115" s="1522">
        <f>'FS_Treatment volumes'!N52</f>
        <v>0</v>
      </c>
      <c r="D115" s="956">
        <f>'Treatment Sludge_NO INPUTS'!AI39</f>
        <v>0</v>
      </c>
      <c r="E115" s="956">
        <f>'Treatment Sludge_NO INPUTS'!AJ39</f>
        <v>0</v>
      </c>
      <c r="F115" s="956">
        <f>'Treatment Sludge_NO INPUTS'!AK39</f>
        <v>0</v>
      </c>
      <c r="G115" s="956">
        <f>'Treatment Sludge_NO INPUTS'!AL39</f>
        <v>0</v>
      </c>
      <c r="H115" s="1468">
        <f t="shared" si="60"/>
        <v>0</v>
      </c>
      <c r="I115" s="957" t="str">
        <f t="shared" si="61"/>
        <v>OK</v>
      </c>
      <c r="J115" s="1522">
        <f t="shared" si="62"/>
        <v>0</v>
      </c>
      <c r="K115" s="1522">
        <f t="shared" si="55"/>
        <v>0</v>
      </c>
      <c r="L115" s="1522">
        <f t="shared" si="55"/>
        <v>0</v>
      </c>
      <c r="M115" s="1522">
        <f t="shared" si="55"/>
        <v>0</v>
      </c>
      <c r="N115" s="1518">
        <f t="shared" si="63"/>
        <v>0</v>
      </c>
      <c r="P115" s="956">
        <f>'Treatment Sludge_NO INPUTS'!AQ39</f>
        <v>0</v>
      </c>
      <c r="Q115" s="956">
        <f>'Treatment Sludge_NO INPUTS'!AR39</f>
        <v>0</v>
      </c>
      <c r="R115" s="956">
        <f>'Treatment Sludge_NO INPUTS'!AS39</f>
        <v>0</v>
      </c>
      <c r="S115" s="956">
        <f>'Treatment Sludge_NO INPUTS'!AT39</f>
        <v>0</v>
      </c>
      <c r="T115" s="1468">
        <f t="shared" si="64"/>
        <v>0</v>
      </c>
      <c r="U115" s="957" t="str">
        <f t="shared" si="56"/>
        <v>OK</v>
      </c>
      <c r="V115" s="1522">
        <f t="shared" si="57"/>
        <v>0</v>
      </c>
      <c r="W115" s="1522">
        <f t="shared" si="57"/>
        <v>0</v>
      </c>
      <c r="X115" s="1522">
        <f t="shared" si="57"/>
        <v>0</v>
      </c>
      <c r="Y115" s="1522">
        <f t="shared" si="57"/>
        <v>0</v>
      </c>
      <c r="Z115" s="1522">
        <f t="shared" si="58"/>
        <v>0</v>
      </c>
      <c r="AA115" s="10"/>
      <c r="AB115" s="1522">
        <f t="shared" si="59"/>
        <v>0</v>
      </c>
      <c r="AC115" s="1522">
        <f t="shared" si="59"/>
        <v>0</v>
      </c>
      <c r="AD115" s="1522">
        <f t="shared" si="59"/>
        <v>0</v>
      </c>
      <c r="AE115" s="1522">
        <f t="shared" si="59"/>
        <v>0</v>
      </c>
      <c r="AF115" s="1518">
        <f t="shared" si="65"/>
        <v>0</v>
      </c>
    </row>
    <row r="116" spans="1:36" s="955" customFormat="1" ht="17.149999999999999" customHeight="1" x14ac:dyDescent="0.35">
      <c r="A116" s="953" t="str">
        <f>'FS_Treatment volumes'!A53</f>
        <v>Plant 9 [insert name]</v>
      </c>
      <c r="B116" s="1522">
        <f>'FS_Treatment volumes'!H53</f>
        <v>0</v>
      </c>
      <c r="C116" s="1522">
        <f>'FS_Treatment volumes'!N53</f>
        <v>0</v>
      </c>
      <c r="D116" s="956">
        <f>'Treatment Sludge_NO INPUTS'!AI40</f>
        <v>0</v>
      </c>
      <c r="E116" s="956">
        <f>'Treatment Sludge_NO INPUTS'!AJ40</f>
        <v>0</v>
      </c>
      <c r="F116" s="956">
        <f>'Treatment Sludge_NO INPUTS'!AK40</f>
        <v>0</v>
      </c>
      <c r="G116" s="956">
        <f>'Treatment Sludge_NO INPUTS'!AL40</f>
        <v>0</v>
      </c>
      <c r="H116" s="1468">
        <f t="shared" si="60"/>
        <v>0</v>
      </c>
      <c r="I116" s="957" t="str">
        <f t="shared" si="61"/>
        <v>OK</v>
      </c>
      <c r="J116" s="1522">
        <f t="shared" si="62"/>
        <v>0</v>
      </c>
      <c r="K116" s="1522">
        <f t="shared" si="55"/>
        <v>0</v>
      </c>
      <c r="L116" s="1522">
        <f t="shared" si="55"/>
        <v>0</v>
      </c>
      <c r="M116" s="1522">
        <f t="shared" si="55"/>
        <v>0</v>
      </c>
      <c r="N116" s="1518">
        <f t="shared" si="63"/>
        <v>0</v>
      </c>
      <c r="P116" s="956">
        <f>'Treatment Sludge_NO INPUTS'!AQ40</f>
        <v>0</v>
      </c>
      <c r="Q116" s="956">
        <f>'Treatment Sludge_NO INPUTS'!AR40</f>
        <v>0</v>
      </c>
      <c r="R116" s="956">
        <f>'Treatment Sludge_NO INPUTS'!AS40</f>
        <v>0</v>
      </c>
      <c r="S116" s="956">
        <f>'Treatment Sludge_NO INPUTS'!AT40</f>
        <v>0</v>
      </c>
      <c r="T116" s="1468">
        <f t="shared" si="64"/>
        <v>0</v>
      </c>
      <c r="U116" s="957" t="str">
        <f t="shared" si="56"/>
        <v>OK</v>
      </c>
      <c r="V116" s="1522">
        <f t="shared" si="57"/>
        <v>0</v>
      </c>
      <c r="W116" s="1522">
        <f t="shared" si="57"/>
        <v>0</v>
      </c>
      <c r="X116" s="1522">
        <f t="shared" si="57"/>
        <v>0</v>
      </c>
      <c r="Y116" s="1522">
        <f t="shared" si="57"/>
        <v>0</v>
      </c>
      <c r="Z116" s="1522">
        <f t="shared" si="58"/>
        <v>0</v>
      </c>
      <c r="AA116" s="10"/>
      <c r="AB116" s="1522">
        <f t="shared" si="59"/>
        <v>0</v>
      </c>
      <c r="AC116" s="1522">
        <f t="shared" si="59"/>
        <v>0</v>
      </c>
      <c r="AD116" s="1522">
        <f t="shared" si="59"/>
        <v>0</v>
      </c>
      <c r="AE116" s="1522">
        <f t="shared" si="59"/>
        <v>0</v>
      </c>
      <c r="AF116" s="1518">
        <f t="shared" si="65"/>
        <v>0</v>
      </c>
    </row>
    <row r="117" spans="1:36" s="955" customFormat="1" ht="17.149999999999999" customHeight="1" x14ac:dyDescent="0.35">
      <c r="A117" s="953" t="str">
        <f>'FS_Treatment volumes'!A54</f>
        <v>Plant 10 [insert name]</v>
      </c>
      <c r="B117" s="1522">
        <f>'FS_Treatment volumes'!H54</f>
        <v>0</v>
      </c>
      <c r="C117" s="1522">
        <f>'FS_Treatment volumes'!N54</f>
        <v>0</v>
      </c>
      <c r="D117" s="956">
        <f>'Treatment Sludge_NO INPUTS'!AI41</f>
        <v>0</v>
      </c>
      <c r="E117" s="956">
        <f>'Treatment Sludge_NO INPUTS'!AJ41</f>
        <v>0</v>
      </c>
      <c r="F117" s="956">
        <f>'Treatment Sludge_NO INPUTS'!AK41</f>
        <v>0</v>
      </c>
      <c r="G117" s="956">
        <f>'Treatment Sludge_NO INPUTS'!AL41</f>
        <v>0</v>
      </c>
      <c r="H117" s="1468">
        <f t="shared" si="60"/>
        <v>0</v>
      </c>
      <c r="I117" s="957" t="str">
        <f t="shared" si="61"/>
        <v>OK</v>
      </c>
      <c r="J117" s="1522">
        <f t="shared" si="62"/>
        <v>0</v>
      </c>
      <c r="K117" s="1522">
        <f t="shared" si="55"/>
        <v>0</v>
      </c>
      <c r="L117" s="1522">
        <f t="shared" si="55"/>
        <v>0</v>
      </c>
      <c r="M117" s="1522">
        <f t="shared" si="55"/>
        <v>0</v>
      </c>
      <c r="N117" s="1518">
        <f t="shared" si="63"/>
        <v>0</v>
      </c>
      <c r="O117" s="103"/>
      <c r="P117" s="956">
        <f>'Treatment Sludge_NO INPUTS'!AQ41</f>
        <v>0</v>
      </c>
      <c r="Q117" s="956">
        <f>'Treatment Sludge_NO INPUTS'!AR41</f>
        <v>0</v>
      </c>
      <c r="R117" s="956">
        <f>'Treatment Sludge_NO INPUTS'!AS41</f>
        <v>0</v>
      </c>
      <c r="S117" s="956">
        <f>'Treatment Sludge_NO INPUTS'!AT41</f>
        <v>0</v>
      </c>
      <c r="T117" s="1468">
        <f t="shared" si="64"/>
        <v>0</v>
      </c>
      <c r="U117" s="957" t="str">
        <f t="shared" si="56"/>
        <v>OK</v>
      </c>
      <c r="V117" s="1522">
        <f t="shared" si="57"/>
        <v>0</v>
      </c>
      <c r="W117" s="1522">
        <f t="shared" si="57"/>
        <v>0</v>
      </c>
      <c r="X117" s="1522">
        <f t="shared" si="57"/>
        <v>0</v>
      </c>
      <c r="Y117" s="1522">
        <f t="shared" si="57"/>
        <v>0</v>
      </c>
      <c r="Z117" s="1522">
        <f t="shared" si="58"/>
        <v>0</v>
      </c>
      <c r="AA117" s="10"/>
      <c r="AB117" s="1522">
        <f t="shared" si="59"/>
        <v>0</v>
      </c>
      <c r="AC117" s="1522">
        <f t="shared" si="59"/>
        <v>0</v>
      </c>
      <c r="AD117" s="1522">
        <f t="shared" si="59"/>
        <v>0</v>
      </c>
      <c r="AE117" s="1522">
        <f t="shared" si="59"/>
        <v>0</v>
      </c>
      <c r="AF117" s="1518">
        <f t="shared" si="65"/>
        <v>0</v>
      </c>
    </row>
    <row r="118" spans="1:36" s="12" customFormat="1" ht="17.149999999999999" customHeight="1" x14ac:dyDescent="0.35">
      <c r="A118" s="950" t="s">
        <v>208</v>
      </c>
      <c r="B118" s="948">
        <f>SUM(B108:B117)</f>
        <v>0</v>
      </c>
      <c r="C118" s="948">
        <f>SUM(C108:C117)</f>
        <v>0</v>
      </c>
      <c r="D118" s="952"/>
      <c r="E118" s="952"/>
      <c r="F118" s="952"/>
      <c r="G118" s="952"/>
      <c r="H118" s="952"/>
      <c r="I118" s="952"/>
      <c r="J118" s="948">
        <f>SUM(J108:J117)</f>
        <v>0</v>
      </c>
      <c r="K118" s="948">
        <f>SUM(K108:K117)</f>
        <v>0</v>
      </c>
      <c r="L118" s="948">
        <f>SUM(L108:L117)</f>
        <v>0</v>
      </c>
      <c r="M118" s="948">
        <f>SUM(M108:M117)</f>
        <v>0</v>
      </c>
      <c r="N118" s="948">
        <f>SUM(N108:N117)</f>
        <v>0</v>
      </c>
      <c r="O118" s="213"/>
      <c r="P118" s="952"/>
      <c r="Q118" s="952"/>
      <c r="R118" s="952"/>
      <c r="S118" s="952"/>
      <c r="T118" s="952"/>
      <c r="U118" s="952"/>
      <c r="V118" s="948">
        <f>SUM(V108:V117)</f>
        <v>0</v>
      </c>
      <c r="W118" s="948">
        <f>SUM(W108:W117)</f>
        <v>0</v>
      </c>
      <c r="X118" s="948">
        <f>SUM(X108:X117)</f>
        <v>0</v>
      </c>
      <c r="Y118" s="948">
        <f>SUM(Y108:Y117)</f>
        <v>0</v>
      </c>
      <c r="Z118" s="948">
        <f>SUM(Z108:Z117)</f>
        <v>0</v>
      </c>
      <c r="AA118" s="32"/>
      <c r="AB118" s="948">
        <f>SUM(AB108:AB117)</f>
        <v>0</v>
      </c>
      <c r="AC118" s="948">
        <f>SUM(AC108:AC117)</f>
        <v>0</v>
      </c>
      <c r="AD118" s="948">
        <f>SUM(AD108:AD117)</f>
        <v>0</v>
      </c>
      <c r="AE118" s="948">
        <f>SUM(AE108:AE117)</f>
        <v>0</v>
      </c>
      <c r="AF118" s="948">
        <f>SUM(AF108:AF117)</f>
        <v>0</v>
      </c>
    </row>
    <row r="119" spans="1:36" ht="17.149999999999999" customHeight="1" x14ac:dyDescent="0.35">
      <c r="A119" s="3"/>
      <c r="B119" s="3"/>
      <c r="C119" s="68"/>
      <c r="D119" s="3"/>
      <c r="E119" s="3"/>
      <c r="F119" s="3"/>
      <c r="G119" s="3"/>
      <c r="H119" s="3"/>
      <c r="I119" s="3"/>
      <c r="J119" s="1468">
        <f>IF($N$118=0,0,J118/$N$118)</f>
        <v>0</v>
      </c>
      <c r="K119" s="1468">
        <f>IF($N$118=0,0,K118/$N$118)</f>
        <v>0</v>
      </c>
      <c r="L119" s="1468">
        <f>IF($N$118=0,0,L118/$N$118)</f>
        <v>0</v>
      </c>
      <c r="M119" s="1468">
        <f>IF($N$118=0,0,M118/$N$118)</f>
        <v>0</v>
      </c>
      <c r="N119" s="1468">
        <f>IF($N$118=0,0,N118/$N$118)</f>
        <v>0</v>
      </c>
      <c r="O119" s="3"/>
      <c r="P119" s="3"/>
      <c r="Q119" s="3"/>
      <c r="R119" s="3"/>
      <c r="S119" s="3"/>
      <c r="T119" s="3"/>
      <c r="U119" s="3"/>
      <c r="V119" s="3"/>
      <c r="W119" s="3"/>
      <c r="X119" s="3"/>
      <c r="Y119" s="3"/>
      <c r="Z119" s="3"/>
    </row>
    <row r="120" spans="1:36" ht="17.149999999999999" customHeight="1" x14ac:dyDescent="0.35">
      <c r="A120" s="3"/>
      <c r="B120" s="3"/>
      <c r="C120" s="68"/>
      <c r="D120" s="3"/>
      <c r="E120" s="3"/>
      <c r="F120" s="3"/>
      <c r="G120" s="3"/>
      <c r="H120" s="3"/>
      <c r="I120" s="3"/>
      <c r="J120" s="3"/>
      <c r="K120" s="3"/>
      <c r="L120" s="3"/>
      <c r="M120" s="3"/>
      <c r="N120" s="3"/>
      <c r="O120" s="3"/>
      <c r="P120" s="3"/>
      <c r="Q120" s="3"/>
      <c r="R120" s="3"/>
      <c r="S120" s="3"/>
      <c r="T120" s="3"/>
      <c r="U120" s="3"/>
      <c r="V120" s="3"/>
      <c r="W120" s="3"/>
      <c r="X120" s="3"/>
      <c r="Y120" s="3"/>
      <c r="Z120" s="3"/>
    </row>
    <row r="121" spans="1:36" ht="17.149999999999999" customHeight="1" x14ac:dyDescent="0.35">
      <c r="A121" s="3"/>
      <c r="B121" s="3"/>
      <c r="C121" s="68"/>
      <c r="D121" s="3"/>
      <c r="E121" s="3"/>
      <c r="F121" s="3"/>
      <c r="G121" s="3"/>
      <c r="H121" s="3"/>
      <c r="I121" s="3"/>
      <c r="J121" s="3"/>
      <c r="K121" s="3"/>
      <c r="L121" s="3"/>
      <c r="M121" s="3"/>
      <c r="N121" s="3"/>
      <c r="O121" s="3"/>
      <c r="P121" s="3"/>
      <c r="Q121" s="3"/>
      <c r="R121" s="3"/>
      <c r="S121" s="3"/>
      <c r="T121" s="3"/>
      <c r="U121" s="3"/>
      <c r="V121" s="3"/>
      <c r="W121" s="3"/>
      <c r="X121" s="3"/>
      <c r="Y121" s="3"/>
      <c r="Z121" s="3"/>
    </row>
    <row r="122" spans="1:36" ht="17.149999999999999" customHeight="1" x14ac:dyDescent="0.35">
      <c r="A122" s="949" t="s">
        <v>1198</v>
      </c>
      <c r="B122" s="1777" t="s">
        <v>9</v>
      </c>
      <c r="C122" s="1777"/>
      <c r="D122" s="3"/>
      <c r="E122" s="3"/>
      <c r="F122" s="3"/>
      <c r="G122" s="3"/>
      <c r="H122" s="3"/>
      <c r="I122" s="84"/>
      <c r="J122" s="84"/>
      <c r="K122" s="84"/>
      <c r="L122" s="84"/>
      <c r="M122" s="84"/>
      <c r="N122" s="84"/>
      <c r="O122" s="3"/>
      <c r="P122" s="3"/>
      <c r="Q122" s="3"/>
      <c r="R122" s="3"/>
      <c r="S122" s="3"/>
      <c r="T122" s="3"/>
      <c r="U122" s="3"/>
      <c r="V122" s="3"/>
      <c r="W122" s="3"/>
      <c r="X122" s="3"/>
      <c r="Y122" s="3"/>
      <c r="Z122" s="3"/>
      <c r="AA122" s="3"/>
      <c r="AB122" s="3"/>
    </row>
    <row r="123" spans="1:36" ht="17.149999999999999" customHeight="1" x14ac:dyDescent="0.35">
      <c r="A123" s="3"/>
      <c r="B123" s="117"/>
      <c r="C123" s="3"/>
      <c r="D123" s="1797" t="s">
        <v>511</v>
      </c>
      <c r="E123" s="1805"/>
      <c r="F123" s="1805"/>
      <c r="G123" s="1805"/>
      <c r="H123" s="1805"/>
      <c r="I123" s="1805"/>
      <c r="J123" s="1805"/>
      <c r="K123" s="1805"/>
      <c r="L123" s="1805"/>
      <c r="M123" s="1805"/>
      <c r="N123" s="1798"/>
      <c r="O123" s="3"/>
      <c r="P123" s="1784" t="s">
        <v>512</v>
      </c>
      <c r="Q123" s="1784"/>
      <c r="R123" s="1784"/>
      <c r="S123" s="1784"/>
      <c r="T123" s="1784"/>
      <c r="U123" s="1784"/>
      <c r="V123" s="1784"/>
      <c r="W123" s="1784"/>
      <c r="X123" s="1784"/>
      <c r="Y123" s="1784"/>
      <c r="Z123" s="1784"/>
      <c r="AA123" s="3"/>
      <c r="AB123" s="1784" t="s">
        <v>1108</v>
      </c>
      <c r="AC123" s="1784"/>
      <c r="AD123" s="1784"/>
      <c r="AE123" s="1784"/>
      <c r="AF123" s="1784"/>
      <c r="AG123" s="329"/>
      <c r="AH123" s="78"/>
      <c r="AI123" s="78"/>
      <c r="AJ123" s="78"/>
    </row>
    <row r="124" spans="1:36" s="11" customFormat="1" ht="17.149999999999999" customHeight="1" x14ac:dyDescent="0.35">
      <c r="A124" s="1808" t="s">
        <v>1149</v>
      </c>
      <c r="B124" s="1764" t="s">
        <v>1153</v>
      </c>
      <c r="C124" s="1764" t="s">
        <v>1144</v>
      </c>
      <c r="D124" s="1784" t="s">
        <v>522</v>
      </c>
      <c r="E124" s="1784"/>
      <c r="F124" s="1784"/>
      <c r="G124" s="1784"/>
      <c r="H124" s="1784"/>
      <c r="I124" s="1784"/>
      <c r="J124" s="1784" t="s">
        <v>1145</v>
      </c>
      <c r="K124" s="1784"/>
      <c r="L124" s="1784"/>
      <c r="M124" s="1784"/>
      <c r="N124" s="1784"/>
      <c r="P124" s="1784" t="s">
        <v>522</v>
      </c>
      <c r="Q124" s="1784"/>
      <c r="R124" s="1784"/>
      <c r="S124" s="1784"/>
      <c r="T124" s="1784"/>
      <c r="U124" s="1784"/>
      <c r="V124" s="1784" t="s">
        <v>1145</v>
      </c>
      <c r="W124" s="1784"/>
      <c r="X124" s="1784"/>
      <c r="Y124" s="1784"/>
      <c r="Z124" s="1784"/>
      <c r="AA124" s="3"/>
      <c r="AB124" s="1784" t="s">
        <v>1145</v>
      </c>
      <c r="AC124" s="1784"/>
      <c r="AD124" s="1784"/>
      <c r="AE124" s="1784"/>
      <c r="AF124" s="1784"/>
    </row>
    <row r="125" spans="1:36" s="11" customFormat="1" ht="17.149999999999999" customHeight="1" x14ac:dyDescent="0.35">
      <c r="A125" s="1808"/>
      <c r="B125" s="1766"/>
      <c r="C125" s="1766"/>
      <c r="D125" s="1511" t="s">
        <v>538</v>
      </c>
      <c r="E125" s="1511" t="s">
        <v>539</v>
      </c>
      <c r="F125" s="1511" t="s">
        <v>540</v>
      </c>
      <c r="G125" s="1511" t="s">
        <v>333</v>
      </c>
      <c r="H125" s="1511" t="s">
        <v>208</v>
      </c>
      <c r="I125" s="1511" t="s">
        <v>535</v>
      </c>
      <c r="J125" s="1511" t="s">
        <v>538</v>
      </c>
      <c r="K125" s="1511" t="s">
        <v>539</v>
      </c>
      <c r="L125" s="1511" t="s">
        <v>540</v>
      </c>
      <c r="M125" s="1511" t="s">
        <v>333</v>
      </c>
      <c r="N125" s="1511" t="s">
        <v>208</v>
      </c>
      <c r="O125" s="198"/>
      <c r="P125" s="1511" t="s">
        <v>538</v>
      </c>
      <c r="Q125" s="1511" t="s">
        <v>539</v>
      </c>
      <c r="R125" s="1511" t="s">
        <v>540</v>
      </c>
      <c r="S125" s="1511" t="s">
        <v>537</v>
      </c>
      <c r="T125" s="1511" t="s">
        <v>208</v>
      </c>
      <c r="U125" s="1511" t="s">
        <v>535</v>
      </c>
      <c r="V125" s="1511" t="s">
        <v>538</v>
      </c>
      <c r="W125" s="1511" t="s">
        <v>539</v>
      </c>
      <c r="X125" s="1511" t="s">
        <v>540</v>
      </c>
      <c r="Y125" s="1511" t="s">
        <v>333</v>
      </c>
      <c r="Z125" s="1511" t="s">
        <v>208</v>
      </c>
      <c r="AA125" s="3"/>
      <c r="AB125" s="1511" t="s">
        <v>538</v>
      </c>
      <c r="AC125" s="1511" t="s">
        <v>539</v>
      </c>
      <c r="AD125" s="1511" t="s">
        <v>540</v>
      </c>
      <c r="AE125" s="1511" t="s">
        <v>333</v>
      </c>
      <c r="AF125" s="1511" t="s">
        <v>208</v>
      </c>
    </row>
    <row r="126" spans="1:36" s="60" customFormat="1" ht="13" x14ac:dyDescent="0.35">
      <c r="A126" s="356"/>
      <c r="B126" s="1522"/>
      <c r="C126" s="1522"/>
      <c r="D126" s="153"/>
      <c r="E126" s="153"/>
      <c r="F126" s="153"/>
      <c r="G126" s="153"/>
      <c r="H126" s="153"/>
      <c r="I126" s="1522"/>
      <c r="J126" s="153"/>
      <c r="K126" s="153"/>
      <c r="L126" s="153"/>
      <c r="M126" s="153"/>
      <c r="N126" s="153"/>
      <c r="O126" s="327"/>
      <c r="P126" s="153"/>
      <c r="Q126" s="153"/>
      <c r="R126" s="153"/>
      <c r="S126" s="153"/>
      <c r="T126" s="153"/>
      <c r="U126" s="1522"/>
      <c r="V126" s="153"/>
      <c r="W126" s="153"/>
      <c r="X126" s="153"/>
      <c r="Y126" s="153"/>
      <c r="Z126" s="153"/>
      <c r="AA126" s="165"/>
      <c r="AB126" s="153"/>
      <c r="AC126" s="153"/>
      <c r="AD126" s="153"/>
      <c r="AE126" s="153"/>
      <c r="AF126" s="153"/>
    </row>
    <row r="127" spans="1:36" s="955" customFormat="1" ht="17.149999999999999" customHeight="1" x14ac:dyDescent="0.35">
      <c r="A127" s="953" t="str">
        <f>'FS_Treatment volumes'!A67</f>
        <v>Location 1 [insert name]</v>
      </c>
      <c r="B127" s="1522">
        <f>'FS_Treatment volumes'!H67</f>
        <v>0</v>
      </c>
      <c r="C127" s="1522">
        <f>'FS_Treatment volumes'!N67</f>
        <v>0</v>
      </c>
      <c r="D127" s="956">
        <f>'Treatment Sludge_NO INPUTS'!AI53</f>
        <v>0</v>
      </c>
      <c r="E127" s="956">
        <f>'Treatment Sludge_NO INPUTS'!AJ53</f>
        <v>0</v>
      </c>
      <c r="F127" s="956">
        <f>'Treatment Sludge_NO INPUTS'!AK53</f>
        <v>0</v>
      </c>
      <c r="G127" s="956">
        <f>'Treatment Sludge_NO INPUTS'!AL53</f>
        <v>0</v>
      </c>
      <c r="H127" s="1468">
        <f t="shared" ref="H127:H132" si="66">SUM(D127:G127)</f>
        <v>0</v>
      </c>
      <c r="I127" s="957" t="str">
        <f t="shared" ref="I127:I132" si="67">IF(AND(B127=0,H127=0),"OK",IF(AND(B127&gt;0,H127=1),"OK","Not OK"))</f>
        <v>OK</v>
      </c>
      <c r="J127" s="1522">
        <f t="shared" ref="J127:J132" si="68">D127*$B127</f>
        <v>0</v>
      </c>
      <c r="K127" s="1522">
        <f t="shared" ref="K127:M132" si="69">E127*$B127</f>
        <v>0</v>
      </c>
      <c r="L127" s="1522">
        <f t="shared" si="69"/>
        <v>0</v>
      </c>
      <c r="M127" s="1522">
        <f t="shared" si="69"/>
        <v>0</v>
      </c>
      <c r="N127" s="1518">
        <f t="shared" ref="N127:N132" si="70">SUM(J127:M127)</f>
        <v>0</v>
      </c>
      <c r="O127" s="958"/>
      <c r="P127" s="956">
        <f>'Treatment Sludge_NO INPUTS'!AQ53</f>
        <v>0</v>
      </c>
      <c r="Q127" s="956">
        <f>'Treatment Sludge_NO INPUTS'!AR53</f>
        <v>0</v>
      </c>
      <c r="R127" s="956">
        <f>'Treatment Sludge_NO INPUTS'!AS53</f>
        <v>0</v>
      </c>
      <c r="S127" s="956">
        <f>'Treatment Sludge_NO INPUTS'!AT53</f>
        <v>0</v>
      </c>
      <c r="T127" s="1468">
        <f>SUM(P127:S127)</f>
        <v>0</v>
      </c>
      <c r="U127" s="957" t="str">
        <f t="shared" ref="U127:U132" si="71">IF(AND(C127=0,T127=0),"OK",IF(AND(C127&gt;0,T127=1),"OK","Not OK"))</f>
        <v>OK</v>
      </c>
      <c r="V127" s="1522">
        <f t="shared" ref="V127:Y132" si="72">P127*$C127</f>
        <v>0</v>
      </c>
      <c r="W127" s="1522">
        <f t="shared" si="72"/>
        <v>0</v>
      </c>
      <c r="X127" s="1522">
        <f t="shared" si="72"/>
        <v>0</v>
      </c>
      <c r="Y127" s="1522">
        <f t="shared" si="72"/>
        <v>0</v>
      </c>
      <c r="Z127" s="1518">
        <f t="shared" ref="Z127:Z132" si="73">SUM(V127:Y127)</f>
        <v>0</v>
      </c>
      <c r="AA127" s="10"/>
      <c r="AB127" s="1522">
        <f t="shared" ref="AB127:AE132" si="74">J127-V127</f>
        <v>0</v>
      </c>
      <c r="AC127" s="1522">
        <f t="shared" si="74"/>
        <v>0</v>
      </c>
      <c r="AD127" s="1522">
        <f t="shared" si="74"/>
        <v>0</v>
      </c>
      <c r="AE127" s="1522">
        <f t="shared" si="74"/>
        <v>0</v>
      </c>
      <c r="AF127" s="1518">
        <f t="shared" ref="AF127:AF132" si="75">SUM(AB127:AE127)</f>
        <v>0</v>
      </c>
    </row>
    <row r="128" spans="1:36" s="955" customFormat="1" ht="17.149999999999999" customHeight="1" x14ac:dyDescent="0.35">
      <c r="A128" s="953" t="str">
        <f>'FS_Treatment volumes'!A68</f>
        <v>Location 2 [insert name]</v>
      </c>
      <c r="B128" s="1522">
        <f>'FS_Treatment volumes'!H68</f>
        <v>0</v>
      </c>
      <c r="C128" s="1522">
        <f>'FS_Treatment volumes'!N68</f>
        <v>0</v>
      </c>
      <c r="D128" s="956">
        <f>'Treatment Sludge_NO INPUTS'!AI54</f>
        <v>0</v>
      </c>
      <c r="E128" s="956">
        <f>'Treatment Sludge_NO INPUTS'!AJ54</f>
        <v>0</v>
      </c>
      <c r="F128" s="956">
        <f>'Treatment Sludge_NO INPUTS'!AK54</f>
        <v>0</v>
      </c>
      <c r="G128" s="956">
        <f>'Treatment Sludge_NO INPUTS'!AL54</f>
        <v>0</v>
      </c>
      <c r="H128" s="1468">
        <f t="shared" si="66"/>
        <v>0</v>
      </c>
      <c r="I128" s="957" t="str">
        <f t="shared" si="67"/>
        <v>OK</v>
      </c>
      <c r="J128" s="1522">
        <f t="shared" si="68"/>
        <v>0</v>
      </c>
      <c r="K128" s="1522">
        <f t="shared" si="69"/>
        <v>0</v>
      </c>
      <c r="L128" s="1522">
        <f t="shared" si="69"/>
        <v>0</v>
      </c>
      <c r="M128" s="1522">
        <f t="shared" si="69"/>
        <v>0</v>
      </c>
      <c r="N128" s="1518">
        <f t="shared" si="70"/>
        <v>0</v>
      </c>
      <c r="O128" s="958"/>
      <c r="P128" s="956">
        <f>'Treatment Sludge_NO INPUTS'!AQ54</f>
        <v>0</v>
      </c>
      <c r="Q128" s="956">
        <f>'Treatment Sludge_NO INPUTS'!AR54</f>
        <v>0</v>
      </c>
      <c r="R128" s="956">
        <f>'Treatment Sludge_NO INPUTS'!AS54</f>
        <v>0</v>
      </c>
      <c r="S128" s="956">
        <f>'Treatment Sludge_NO INPUTS'!AT54</f>
        <v>0</v>
      </c>
      <c r="T128" s="1468">
        <f>SUM(O128:S128)</f>
        <v>0</v>
      </c>
      <c r="U128" s="957" t="str">
        <f t="shared" si="71"/>
        <v>OK</v>
      </c>
      <c r="V128" s="1522">
        <f t="shared" si="72"/>
        <v>0</v>
      </c>
      <c r="W128" s="1522">
        <f t="shared" si="72"/>
        <v>0</v>
      </c>
      <c r="X128" s="1522">
        <f t="shared" si="72"/>
        <v>0</v>
      </c>
      <c r="Y128" s="1522">
        <f t="shared" si="72"/>
        <v>0</v>
      </c>
      <c r="Z128" s="1518">
        <f t="shared" si="73"/>
        <v>0</v>
      </c>
      <c r="AA128" s="10"/>
      <c r="AB128" s="1522">
        <f t="shared" si="74"/>
        <v>0</v>
      </c>
      <c r="AC128" s="1522">
        <f t="shared" si="74"/>
        <v>0</v>
      </c>
      <c r="AD128" s="1522">
        <f t="shared" si="74"/>
        <v>0</v>
      </c>
      <c r="AE128" s="1522">
        <f t="shared" si="74"/>
        <v>0</v>
      </c>
      <c r="AF128" s="1518">
        <f t="shared" si="75"/>
        <v>0</v>
      </c>
    </row>
    <row r="129" spans="1:36" s="955" customFormat="1" ht="17.149999999999999" customHeight="1" x14ac:dyDescent="0.35">
      <c r="A129" s="953" t="str">
        <f>'FS_Treatment volumes'!A69</f>
        <v>Location 3 [insert name]</v>
      </c>
      <c r="B129" s="1522">
        <f>'FS_Treatment volumes'!H69</f>
        <v>0</v>
      </c>
      <c r="C129" s="1522">
        <f>'FS_Treatment volumes'!N69</f>
        <v>0</v>
      </c>
      <c r="D129" s="956">
        <f>'Treatment Sludge_NO INPUTS'!AI55</f>
        <v>0</v>
      </c>
      <c r="E129" s="956">
        <f>'Treatment Sludge_NO INPUTS'!AJ55</f>
        <v>0</v>
      </c>
      <c r="F129" s="956">
        <f>'Treatment Sludge_NO INPUTS'!AK55</f>
        <v>0</v>
      </c>
      <c r="G129" s="956">
        <f>'Treatment Sludge_NO INPUTS'!AL55</f>
        <v>0</v>
      </c>
      <c r="H129" s="1468">
        <f t="shared" si="66"/>
        <v>0</v>
      </c>
      <c r="I129" s="957" t="str">
        <f t="shared" si="67"/>
        <v>OK</v>
      </c>
      <c r="J129" s="1522">
        <f t="shared" si="68"/>
        <v>0</v>
      </c>
      <c r="K129" s="1522">
        <f t="shared" si="69"/>
        <v>0</v>
      </c>
      <c r="L129" s="1522">
        <f t="shared" si="69"/>
        <v>0</v>
      </c>
      <c r="M129" s="1522">
        <f t="shared" si="69"/>
        <v>0</v>
      </c>
      <c r="N129" s="1518">
        <f t="shared" si="70"/>
        <v>0</v>
      </c>
      <c r="O129" s="958"/>
      <c r="P129" s="956">
        <f>'Treatment Sludge_NO INPUTS'!AQ55</f>
        <v>0</v>
      </c>
      <c r="Q129" s="956">
        <f>'Treatment Sludge_NO INPUTS'!AR55</f>
        <v>0</v>
      </c>
      <c r="R129" s="956">
        <f>'Treatment Sludge_NO INPUTS'!AS55</f>
        <v>0</v>
      </c>
      <c r="S129" s="956">
        <f>'Treatment Sludge_NO INPUTS'!AT55</f>
        <v>0</v>
      </c>
      <c r="T129" s="1468">
        <f>SUM(O129:S129)</f>
        <v>0</v>
      </c>
      <c r="U129" s="957" t="str">
        <f t="shared" si="71"/>
        <v>OK</v>
      </c>
      <c r="V129" s="1522">
        <f t="shared" si="72"/>
        <v>0</v>
      </c>
      <c r="W129" s="1522">
        <f t="shared" si="72"/>
        <v>0</v>
      </c>
      <c r="X129" s="1522">
        <f t="shared" si="72"/>
        <v>0</v>
      </c>
      <c r="Y129" s="1522">
        <f t="shared" si="72"/>
        <v>0</v>
      </c>
      <c r="Z129" s="1518">
        <f t="shared" si="73"/>
        <v>0</v>
      </c>
      <c r="AA129" s="10"/>
      <c r="AB129" s="1522">
        <f t="shared" si="74"/>
        <v>0</v>
      </c>
      <c r="AC129" s="1522">
        <f t="shared" si="74"/>
        <v>0</v>
      </c>
      <c r="AD129" s="1522">
        <f t="shared" si="74"/>
        <v>0</v>
      </c>
      <c r="AE129" s="1522">
        <f t="shared" si="74"/>
        <v>0</v>
      </c>
      <c r="AF129" s="1518">
        <f t="shared" si="75"/>
        <v>0</v>
      </c>
    </row>
    <row r="130" spans="1:36" s="955" customFormat="1" ht="17.149999999999999" customHeight="1" x14ac:dyDescent="0.35">
      <c r="A130" s="953" t="str">
        <f>'FS_Treatment volumes'!A70</f>
        <v>Location 4 [insert name]</v>
      </c>
      <c r="B130" s="1522">
        <f>'FS_Treatment volumes'!H70</f>
        <v>0</v>
      </c>
      <c r="C130" s="1522">
        <f>'FS_Treatment volumes'!N70</f>
        <v>0</v>
      </c>
      <c r="D130" s="956">
        <f>'Treatment Sludge_NO INPUTS'!AI56</f>
        <v>0</v>
      </c>
      <c r="E130" s="956">
        <f>'Treatment Sludge_NO INPUTS'!AJ56</f>
        <v>0</v>
      </c>
      <c r="F130" s="956">
        <f>'Treatment Sludge_NO INPUTS'!AK56</f>
        <v>0</v>
      </c>
      <c r="G130" s="956">
        <f>'Treatment Sludge_NO INPUTS'!AL56</f>
        <v>0</v>
      </c>
      <c r="H130" s="1468">
        <f t="shared" si="66"/>
        <v>0</v>
      </c>
      <c r="I130" s="957" t="str">
        <f t="shared" si="67"/>
        <v>OK</v>
      </c>
      <c r="J130" s="1522">
        <f t="shared" si="68"/>
        <v>0</v>
      </c>
      <c r="K130" s="1522">
        <f t="shared" si="69"/>
        <v>0</v>
      </c>
      <c r="L130" s="1522">
        <f t="shared" si="69"/>
        <v>0</v>
      </c>
      <c r="M130" s="1522">
        <f t="shared" si="69"/>
        <v>0</v>
      </c>
      <c r="N130" s="1518">
        <f t="shared" si="70"/>
        <v>0</v>
      </c>
      <c r="P130" s="956">
        <f>'Treatment Sludge_NO INPUTS'!AQ56</f>
        <v>0</v>
      </c>
      <c r="Q130" s="956">
        <f>'Treatment Sludge_NO INPUTS'!AR56</f>
        <v>0</v>
      </c>
      <c r="R130" s="956">
        <f>'Treatment Sludge_NO INPUTS'!AS56</f>
        <v>0</v>
      </c>
      <c r="S130" s="956">
        <f>'Treatment Sludge_NO INPUTS'!AT56</f>
        <v>0</v>
      </c>
      <c r="T130" s="1468">
        <f>SUM(O130:S130)</f>
        <v>0</v>
      </c>
      <c r="U130" s="957" t="str">
        <f t="shared" si="71"/>
        <v>OK</v>
      </c>
      <c r="V130" s="1522">
        <f t="shared" si="72"/>
        <v>0</v>
      </c>
      <c r="W130" s="1522">
        <f t="shared" si="72"/>
        <v>0</v>
      </c>
      <c r="X130" s="1522">
        <f t="shared" si="72"/>
        <v>0</v>
      </c>
      <c r="Y130" s="1522">
        <f t="shared" si="72"/>
        <v>0</v>
      </c>
      <c r="Z130" s="1518">
        <f t="shared" si="73"/>
        <v>0</v>
      </c>
      <c r="AA130" s="10"/>
      <c r="AB130" s="1522">
        <f t="shared" si="74"/>
        <v>0</v>
      </c>
      <c r="AC130" s="1522">
        <f t="shared" si="74"/>
        <v>0</v>
      </c>
      <c r="AD130" s="1522">
        <f t="shared" si="74"/>
        <v>0</v>
      </c>
      <c r="AE130" s="1522">
        <f t="shared" si="74"/>
        <v>0</v>
      </c>
      <c r="AF130" s="1518">
        <f t="shared" si="75"/>
        <v>0</v>
      </c>
    </row>
    <row r="131" spans="1:36" s="955" customFormat="1" ht="17.149999999999999" customHeight="1" x14ac:dyDescent="0.35">
      <c r="A131" s="953" t="str">
        <f>'FS_Treatment volumes'!A71</f>
        <v>Location 5 [insert name]</v>
      </c>
      <c r="B131" s="1522">
        <f>'FS_Treatment volumes'!H71</f>
        <v>0</v>
      </c>
      <c r="C131" s="1522">
        <f>'FS_Treatment volumes'!N71</f>
        <v>0</v>
      </c>
      <c r="D131" s="956">
        <f>'Treatment Sludge_NO INPUTS'!AI57</f>
        <v>0</v>
      </c>
      <c r="E131" s="956">
        <f>'Treatment Sludge_NO INPUTS'!AJ57</f>
        <v>0</v>
      </c>
      <c r="F131" s="956">
        <f>'Treatment Sludge_NO INPUTS'!AK57</f>
        <v>0</v>
      </c>
      <c r="G131" s="956">
        <f>'Treatment Sludge_NO INPUTS'!AL57</f>
        <v>0</v>
      </c>
      <c r="H131" s="1468">
        <f t="shared" si="66"/>
        <v>0</v>
      </c>
      <c r="I131" s="957" t="str">
        <f t="shared" si="67"/>
        <v>OK</v>
      </c>
      <c r="J131" s="1522">
        <f t="shared" si="68"/>
        <v>0</v>
      </c>
      <c r="K131" s="1522">
        <f t="shared" si="69"/>
        <v>0</v>
      </c>
      <c r="L131" s="1522">
        <f t="shared" si="69"/>
        <v>0</v>
      </c>
      <c r="M131" s="1522">
        <f t="shared" si="69"/>
        <v>0</v>
      </c>
      <c r="N131" s="1518">
        <f t="shared" si="70"/>
        <v>0</v>
      </c>
      <c r="P131" s="956">
        <f>'Treatment Sludge_NO INPUTS'!AQ57</f>
        <v>0</v>
      </c>
      <c r="Q131" s="956">
        <f>'Treatment Sludge_NO INPUTS'!AR57</f>
        <v>0</v>
      </c>
      <c r="R131" s="956">
        <f>'Treatment Sludge_NO INPUTS'!AS57</f>
        <v>0</v>
      </c>
      <c r="S131" s="956">
        <f>'Treatment Sludge_NO INPUTS'!AT57</f>
        <v>0</v>
      </c>
      <c r="T131" s="1468">
        <f>SUM(O131:S131)</f>
        <v>0</v>
      </c>
      <c r="U131" s="957" t="str">
        <f t="shared" si="71"/>
        <v>OK</v>
      </c>
      <c r="V131" s="1522">
        <f t="shared" si="72"/>
        <v>0</v>
      </c>
      <c r="W131" s="1522">
        <f t="shared" si="72"/>
        <v>0</v>
      </c>
      <c r="X131" s="1522">
        <f t="shared" si="72"/>
        <v>0</v>
      </c>
      <c r="Y131" s="1522">
        <f t="shared" si="72"/>
        <v>0</v>
      </c>
      <c r="Z131" s="1518">
        <f t="shared" si="73"/>
        <v>0</v>
      </c>
      <c r="AA131" s="10"/>
      <c r="AB131" s="1522">
        <f t="shared" si="74"/>
        <v>0</v>
      </c>
      <c r="AC131" s="1522">
        <f t="shared" si="74"/>
        <v>0</v>
      </c>
      <c r="AD131" s="1522">
        <f t="shared" si="74"/>
        <v>0</v>
      </c>
      <c r="AE131" s="1522">
        <f t="shared" si="74"/>
        <v>0</v>
      </c>
      <c r="AF131" s="1518">
        <f t="shared" si="75"/>
        <v>0</v>
      </c>
    </row>
    <row r="132" spans="1:36" s="955" customFormat="1" ht="17.149999999999999" customHeight="1" x14ac:dyDescent="0.35">
      <c r="A132" s="953" t="str">
        <f>'FS_Treatment volumes'!A72</f>
        <v>Location 6 [insert name]</v>
      </c>
      <c r="B132" s="1522">
        <f>'FS_Treatment volumes'!H72</f>
        <v>0</v>
      </c>
      <c r="C132" s="1522">
        <f>'FS_Treatment volumes'!N72</f>
        <v>0</v>
      </c>
      <c r="D132" s="956">
        <f>'Treatment Sludge_NO INPUTS'!AI58</f>
        <v>0</v>
      </c>
      <c r="E132" s="956">
        <f>'Treatment Sludge_NO INPUTS'!AJ58</f>
        <v>0</v>
      </c>
      <c r="F132" s="956">
        <f>'Treatment Sludge_NO INPUTS'!AK58</f>
        <v>0</v>
      </c>
      <c r="G132" s="956">
        <f>'Treatment Sludge_NO INPUTS'!AL58</f>
        <v>0</v>
      </c>
      <c r="H132" s="1468">
        <f t="shared" si="66"/>
        <v>0</v>
      </c>
      <c r="I132" s="957" t="str">
        <f t="shared" si="67"/>
        <v>OK</v>
      </c>
      <c r="J132" s="1522">
        <f t="shared" si="68"/>
        <v>0</v>
      </c>
      <c r="K132" s="1522">
        <f t="shared" si="69"/>
        <v>0</v>
      </c>
      <c r="L132" s="1522">
        <f t="shared" si="69"/>
        <v>0</v>
      </c>
      <c r="M132" s="1522">
        <f t="shared" si="69"/>
        <v>0</v>
      </c>
      <c r="N132" s="1518">
        <f t="shared" si="70"/>
        <v>0</v>
      </c>
      <c r="O132" s="103"/>
      <c r="P132" s="956">
        <f>'Treatment Sludge_NO INPUTS'!AQ58</f>
        <v>0</v>
      </c>
      <c r="Q132" s="956">
        <f>'Treatment Sludge_NO INPUTS'!AR58</f>
        <v>0</v>
      </c>
      <c r="R132" s="956">
        <f>'Treatment Sludge_NO INPUTS'!AS58</f>
        <v>0</v>
      </c>
      <c r="S132" s="956">
        <f>'Treatment Sludge_NO INPUTS'!AT58</f>
        <v>0</v>
      </c>
      <c r="T132" s="1468">
        <f>SUM(O132:S132)</f>
        <v>0</v>
      </c>
      <c r="U132" s="957" t="str">
        <f t="shared" si="71"/>
        <v>OK</v>
      </c>
      <c r="V132" s="1522">
        <f t="shared" si="72"/>
        <v>0</v>
      </c>
      <c r="W132" s="1522">
        <f t="shared" si="72"/>
        <v>0</v>
      </c>
      <c r="X132" s="1522">
        <f t="shared" si="72"/>
        <v>0</v>
      </c>
      <c r="Y132" s="1522">
        <f t="shared" si="72"/>
        <v>0</v>
      </c>
      <c r="Z132" s="1518">
        <f t="shared" si="73"/>
        <v>0</v>
      </c>
      <c r="AA132" s="10"/>
      <c r="AB132" s="1522">
        <f t="shared" si="74"/>
        <v>0</v>
      </c>
      <c r="AC132" s="1522">
        <f t="shared" si="74"/>
        <v>0</v>
      </c>
      <c r="AD132" s="1522">
        <f t="shared" si="74"/>
        <v>0</v>
      </c>
      <c r="AE132" s="1522">
        <f t="shared" si="74"/>
        <v>0</v>
      </c>
      <c r="AF132" s="1518">
        <f t="shared" si="75"/>
        <v>0</v>
      </c>
    </row>
    <row r="133" spans="1:36" s="12" customFormat="1" ht="17.149999999999999" customHeight="1" x14ac:dyDescent="0.35">
      <c r="A133" s="950" t="s">
        <v>208</v>
      </c>
      <c r="B133" s="948">
        <f>SUM(B127:B132)</f>
        <v>0</v>
      </c>
      <c r="C133" s="948">
        <f>SUM(C127:C132)</f>
        <v>0</v>
      </c>
      <c r="D133" s="952"/>
      <c r="E133" s="952"/>
      <c r="F133" s="952"/>
      <c r="G133" s="952"/>
      <c r="H133" s="952"/>
      <c r="I133" s="952"/>
      <c r="J133" s="948">
        <f>SUM(J127:J132)</f>
        <v>0</v>
      </c>
      <c r="K133" s="948">
        <f>SUM(K127:K132)</f>
        <v>0</v>
      </c>
      <c r="L133" s="948">
        <f>SUM(L127:L132)</f>
        <v>0</v>
      </c>
      <c r="M133" s="948">
        <f>SUM(M127:M132)</f>
        <v>0</v>
      </c>
      <c r="N133" s="948">
        <f>SUM(N127:N132)</f>
        <v>0</v>
      </c>
      <c r="O133" s="213"/>
      <c r="P133" s="952"/>
      <c r="Q133" s="952"/>
      <c r="R133" s="952"/>
      <c r="S133" s="952"/>
      <c r="T133" s="952"/>
      <c r="U133" s="952"/>
      <c r="V133" s="948">
        <f>SUM(V127:V132)</f>
        <v>0</v>
      </c>
      <c r="W133" s="948">
        <f>SUM(W127:W132)</f>
        <v>0</v>
      </c>
      <c r="X133" s="948">
        <f>SUM(X127:X132)</f>
        <v>0</v>
      </c>
      <c r="Y133" s="948">
        <f>SUM(Y127:Y132)</f>
        <v>0</v>
      </c>
      <c r="Z133" s="948">
        <f>SUM(Z127:Z132)</f>
        <v>0</v>
      </c>
      <c r="AA133" s="32"/>
      <c r="AB133" s="948">
        <f>SUM(AB127:AB132)</f>
        <v>0</v>
      </c>
      <c r="AC133" s="948">
        <f>SUM(AC127:AC132)</f>
        <v>0</v>
      </c>
      <c r="AD133" s="948">
        <f>SUM(AD127:AD132)</f>
        <v>0</v>
      </c>
      <c r="AE133" s="948">
        <f>SUM(AE127:AE132)</f>
        <v>0</v>
      </c>
      <c r="AF133" s="948">
        <f>SUM(AF127:AF132)</f>
        <v>0</v>
      </c>
    </row>
    <row r="134" spans="1:36" ht="17.149999999999999" customHeight="1" x14ac:dyDescent="0.35">
      <c r="A134" s="3"/>
      <c r="B134" s="3"/>
      <c r="C134" s="68"/>
      <c r="D134" s="3"/>
      <c r="E134" s="3"/>
      <c r="F134" s="3"/>
      <c r="G134" s="3"/>
      <c r="H134" s="3"/>
      <c r="I134" s="3"/>
      <c r="J134" s="1468">
        <f>IF($N$133=0,0,J133/$N$133)</f>
        <v>0</v>
      </c>
      <c r="K134" s="1468">
        <f>IF($N$133=0,0,K133/$N$133)</f>
        <v>0</v>
      </c>
      <c r="L134" s="1468">
        <f>IF($N$133=0,0,L133/$N$133)</f>
        <v>0</v>
      </c>
      <c r="M134" s="1468">
        <f>IF($N$133=0,0,M133/$N$133)</f>
        <v>0</v>
      </c>
      <c r="N134" s="1468">
        <f>IF($N$133=0,0,N133/$N$133)</f>
        <v>0</v>
      </c>
      <c r="O134" s="3"/>
      <c r="P134" s="3"/>
      <c r="Q134" s="3"/>
      <c r="R134" s="3"/>
      <c r="S134" s="3"/>
      <c r="T134" s="3"/>
      <c r="U134" s="3"/>
      <c r="V134" s="3"/>
      <c r="W134" s="3"/>
      <c r="X134" s="3"/>
      <c r="Y134" s="3"/>
      <c r="Z134" s="3"/>
    </row>
    <row r="135" spans="1:36" ht="17.149999999999999" customHeight="1" x14ac:dyDescent="0.35">
      <c r="A135" s="3"/>
      <c r="B135" s="3"/>
      <c r="C135" s="68"/>
      <c r="D135" s="3"/>
      <c r="E135" s="3"/>
      <c r="F135" s="3"/>
      <c r="G135" s="3"/>
      <c r="H135" s="3"/>
      <c r="I135" s="3"/>
      <c r="J135" s="3"/>
      <c r="K135" s="3"/>
      <c r="L135" s="3"/>
      <c r="M135" s="3"/>
      <c r="N135" s="3"/>
      <c r="O135" s="3"/>
      <c r="P135" s="3"/>
      <c r="Q135" s="3"/>
      <c r="R135" s="3"/>
      <c r="S135" s="3"/>
      <c r="T135" s="3"/>
      <c r="U135" s="3"/>
      <c r="V135" s="3"/>
      <c r="W135" s="3"/>
      <c r="X135" s="3"/>
      <c r="Y135" s="3"/>
      <c r="Z135" s="3"/>
    </row>
    <row r="136" spans="1:36" ht="17.149999999999999" customHeight="1" x14ac:dyDescent="0.35">
      <c r="A136" s="3"/>
      <c r="B136" s="3"/>
      <c r="C136" s="68"/>
      <c r="D136" s="3"/>
      <c r="E136" s="3"/>
      <c r="F136" s="3"/>
      <c r="G136" s="3"/>
      <c r="H136" s="3"/>
      <c r="I136" s="3"/>
      <c r="J136" s="3"/>
      <c r="K136" s="3"/>
      <c r="L136" s="3"/>
      <c r="M136" s="3"/>
      <c r="N136" s="3"/>
      <c r="O136" s="3"/>
      <c r="P136" s="3"/>
      <c r="Q136" s="3"/>
      <c r="R136" s="3"/>
      <c r="S136" s="3"/>
      <c r="T136" s="3"/>
      <c r="U136" s="3"/>
      <c r="V136" s="3"/>
      <c r="W136" s="3"/>
      <c r="X136" s="3"/>
      <c r="Y136" s="3"/>
      <c r="Z136" s="3"/>
    </row>
    <row r="137" spans="1:36" ht="17.149999999999999" customHeight="1" x14ac:dyDescent="0.35">
      <c r="A137" s="949" t="s">
        <v>1199</v>
      </c>
      <c r="B137" s="1777" t="s">
        <v>9</v>
      </c>
      <c r="C137" s="1777"/>
      <c r="D137" s="3"/>
      <c r="E137" s="3"/>
      <c r="F137" s="3"/>
      <c r="G137" s="3"/>
      <c r="H137" s="3"/>
      <c r="I137" s="84"/>
      <c r="J137" s="84"/>
      <c r="K137" s="84"/>
      <c r="L137" s="84"/>
      <c r="M137" s="84"/>
      <c r="N137" s="84"/>
      <c r="O137" s="3"/>
      <c r="P137" s="3"/>
      <c r="Q137" s="3"/>
      <c r="R137" s="3"/>
      <c r="S137" s="3"/>
      <c r="T137" s="3"/>
      <c r="U137" s="3"/>
      <c r="V137" s="3"/>
      <c r="W137" s="3"/>
      <c r="X137" s="3"/>
      <c r="Y137" s="3"/>
      <c r="Z137" s="3"/>
      <c r="AA137" s="3"/>
      <c r="AB137" s="3"/>
    </row>
    <row r="138" spans="1:36" ht="17.149999999999999" customHeight="1" x14ac:dyDescent="0.35">
      <c r="A138" s="3"/>
      <c r="B138" s="117"/>
      <c r="C138" s="3"/>
      <c r="D138" s="1797" t="s">
        <v>511</v>
      </c>
      <c r="E138" s="1805"/>
      <c r="F138" s="1805"/>
      <c r="G138" s="1805"/>
      <c r="H138" s="1805"/>
      <c r="I138" s="1805"/>
      <c r="J138" s="1805"/>
      <c r="K138" s="1805"/>
      <c r="L138" s="1805"/>
      <c r="M138" s="1805"/>
      <c r="N138" s="1798"/>
      <c r="O138" s="3"/>
      <c r="P138" s="1784" t="s">
        <v>512</v>
      </c>
      <c r="Q138" s="1784"/>
      <c r="R138" s="1784"/>
      <c r="S138" s="1784"/>
      <c r="T138" s="1784"/>
      <c r="U138" s="1784"/>
      <c r="V138" s="1784"/>
      <c r="W138" s="1784"/>
      <c r="X138" s="1784"/>
      <c r="Y138" s="1784"/>
      <c r="Z138" s="1784"/>
      <c r="AA138" s="3"/>
      <c r="AB138" s="1784" t="s">
        <v>1108</v>
      </c>
      <c r="AC138" s="1784"/>
      <c r="AD138" s="1784"/>
      <c r="AE138" s="1784"/>
      <c r="AF138" s="1784"/>
      <c r="AG138" s="329"/>
      <c r="AH138" s="78"/>
      <c r="AI138" s="78"/>
      <c r="AJ138" s="78"/>
    </row>
    <row r="139" spans="1:36" s="11" customFormat="1" ht="17.149999999999999" customHeight="1" x14ac:dyDescent="0.35">
      <c r="A139" s="1808" t="s">
        <v>579</v>
      </c>
      <c r="B139" s="1764" t="s">
        <v>1153</v>
      </c>
      <c r="C139" s="1764" t="s">
        <v>1144</v>
      </c>
      <c r="D139" s="1784" t="s">
        <v>522</v>
      </c>
      <c r="E139" s="1784"/>
      <c r="F139" s="1784"/>
      <c r="G139" s="1784"/>
      <c r="H139" s="1784"/>
      <c r="I139" s="1784"/>
      <c r="J139" s="1784" t="s">
        <v>1145</v>
      </c>
      <c r="K139" s="1784"/>
      <c r="L139" s="1784"/>
      <c r="M139" s="1784"/>
      <c r="N139" s="1784"/>
      <c r="P139" s="1784" t="s">
        <v>522</v>
      </c>
      <c r="Q139" s="1784"/>
      <c r="R139" s="1784"/>
      <c r="S139" s="1784"/>
      <c r="T139" s="1784"/>
      <c r="U139" s="1784"/>
      <c r="V139" s="1784" t="s">
        <v>1145</v>
      </c>
      <c r="W139" s="1784"/>
      <c r="X139" s="1784"/>
      <c r="Y139" s="1784"/>
      <c r="Z139" s="1784"/>
      <c r="AA139" s="3"/>
      <c r="AB139" s="1784" t="s">
        <v>1145</v>
      </c>
      <c r="AC139" s="1784"/>
      <c r="AD139" s="1784"/>
      <c r="AE139" s="1784"/>
      <c r="AF139" s="1784"/>
    </row>
    <row r="140" spans="1:36" s="11" customFormat="1" ht="17.149999999999999" customHeight="1" x14ac:dyDescent="0.35">
      <c r="A140" s="1808"/>
      <c r="B140" s="1766"/>
      <c r="C140" s="1766"/>
      <c r="D140" s="1511" t="s">
        <v>538</v>
      </c>
      <c r="E140" s="1511" t="s">
        <v>539</v>
      </c>
      <c r="F140" s="1511" t="s">
        <v>540</v>
      </c>
      <c r="G140" s="1511" t="s">
        <v>333</v>
      </c>
      <c r="H140" s="1511" t="s">
        <v>208</v>
      </c>
      <c r="I140" s="1511" t="s">
        <v>535</v>
      </c>
      <c r="J140" s="1511" t="s">
        <v>538</v>
      </c>
      <c r="K140" s="1511" t="s">
        <v>539</v>
      </c>
      <c r="L140" s="1511" t="s">
        <v>540</v>
      </c>
      <c r="M140" s="1511" t="s">
        <v>333</v>
      </c>
      <c r="N140" s="1511" t="s">
        <v>208</v>
      </c>
      <c r="O140" s="198"/>
      <c r="P140" s="1511" t="s">
        <v>538</v>
      </c>
      <c r="Q140" s="1511" t="s">
        <v>539</v>
      </c>
      <c r="R140" s="1511" t="s">
        <v>540</v>
      </c>
      <c r="S140" s="1511" t="s">
        <v>537</v>
      </c>
      <c r="T140" s="1511" t="s">
        <v>208</v>
      </c>
      <c r="U140" s="1511" t="s">
        <v>535</v>
      </c>
      <c r="V140" s="1511" t="s">
        <v>538</v>
      </c>
      <c r="W140" s="1511" t="s">
        <v>539</v>
      </c>
      <c r="X140" s="1511" t="s">
        <v>540</v>
      </c>
      <c r="Y140" s="1511" t="s">
        <v>333</v>
      </c>
      <c r="Z140" s="1511" t="s">
        <v>208</v>
      </c>
      <c r="AA140" s="3"/>
      <c r="AB140" s="1511" t="s">
        <v>538</v>
      </c>
      <c r="AC140" s="1511" t="s">
        <v>539</v>
      </c>
      <c r="AD140" s="1511" t="s">
        <v>540</v>
      </c>
      <c r="AE140" s="1511" t="s">
        <v>333</v>
      </c>
      <c r="AF140" s="1511" t="s">
        <v>208</v>
      </c>
    </row>
    <row r="141" spans="1:36" s="60" customFormat="1" ht="13" x14ac:dyDescent="0.35">
      <c r="A141" s="356"/>
      <c r="B141" s="1522"/>
      <c r="C141" s="1522"/>
      <c r="D141" s="153"/>
      <c r="E141" s="153"/>
      <c r="F141" s="153"/>
      <c r="G141" s="153"/>
      <c r="H141" s="153"/>
      <c r="I141" s="1522"/>
      <c r="J141" s="153"/>
      <c r="K141" s="153"/>
      <c r="L141" s="153"/>
      <c r="M141" s="153"/>
      <c r="N141" s="153"/>
      <c r="O141" s="327"/>
      <c r="P141" s="153"/>
      <c r="Q141" s="153"/>
      <c r="R141" s="153"/>
      <c r="S141" s="153"/>
      <c r="T141" s="153"/>
      <c r="U141" s="1522"/>
      <c r="V141" s="153"/>
      <c r="W141" s="153"/>
      <c r="X141" s="153"/>
      <c r="Y141" s="153"/>
      <c r="Z141" s="153"/>
      <c r="AA141" s="165"/>
      <c r="AB141" s="153"/>
      <c r="AC141" s="153"/>
      <c r="AD141" s="153"/>
      <c r="AE141" s="153"/>
      <c r="AF141" s="153"/>
    </row>
    <row r="142" spans="1:36" s="955" customFormat="1" ht="17.149999999999999" customHeight="1" x14ac:dyDescent="0.35">
      <c r="A142" s="953" t="str">
        <f>'FS_Treatment volumes'!A85</f>
        <v>Low income residential areas (not treated)</v>
      </c>
      <c r="B142" s="1522">
        <f>'FS_Treatment volumes'!H85</f>
        <v>0</v>
      </c>
      <c r="C142" s="1522">
        <f>'FS_Treatment volumes'!N85</f>
        <v>0</v>
      </c>
      <c r="D142" s="956">
        <f>'Treatment Sludge_NO INPUTS'!AI70</f>
        <v>0</v>
      </c>
      <c r="E142" s="956">
        <f>'Treatment Sludge_NO INPUTS'!AJ70</f>
        <v>0</v>
      </c>
      <c r="F142" s="956">
        <f>'Treatment Sludge_NO INPUTS'!AK70</f>
        <v>0</v>
      </c>
      <c r="G142" s="956">
        <f>'Treatment Sludge_NO INPUTS'!AL70</f>
        <v>0</v>
      </c>
      <c r="H142" s="1468">
        <f t="shared" ref="H142:H147" si="76">SUM(D142:G142)</f>
        <v>0</v>
      </c>
      <c r="I142" s="957" t="str">
        <f t="shared" ref="I142:I147" si="77">IF(AND(B142=0,H142=0),"OK",IF(AND(B142&gt;0,H142=1),"OK","Not OK"))</f>
        <v>OK</v>
      </c>
      <c r="J142" s="1522">
        <f t="shared" ref="J142:J147" si="78">D142*$B142</f>
        <v>0</v>
      </c>
      <c r="K142" s="1522">
        <f t="shared" ref="K142:M147" si="79">E142*$B142</f>
        <v>0</v>
      </c>
      <c r="L142" s="1522">
        <f t="shared" si="79"/>
        <v>0</v>
      </c>
      <c r="M142" s="1522">
        <f t="shared" si="79"/>
        <v>0</v>
      </c>
      <c r="N142" s="1518">
        <f t="shared" ref="N142:N147" si="80">SUM(J142:M142)</f>
        <v>0</v>
      </c>
      <c r="O142" s="958"/>
      <c r="P142" s="956">
        <f>'Treatment Sludge_NO INPUTS'!AQ70</f>
        <v>0</v>
      </c>
      <c r="Q142" s="956">
        <f>'Treatment Sludge_NO INPUTS'!AR70</f>
        <v>0</v>
      </c>
      <c r="R142" s="956">
        <f>'Treatment Sludge_NO INPUTS'!AS70</f>
        <v>0</v>
      </c>
      <c r="S142" s="956">
        <f>'Treatment Sludge_NO INPUTS'!AT70</f>
        <v>0</v>
      </c>
      <c r="T142" s="1468">
        <f>SUM(P142:S142)</f>
        <v>0</v>
      </c>
      <c r="U142" s="957" t="str">
        <f t="shared" ref="U142:U147" si="81">IF(AND(C142=0,T142=0),"OK",IF(AND(C142&gt;0,T142=1),"OK","Not OK"))</f>
        <v>OK</v>
      </c>
      <c r="V142" s="1522">
        <f t="shared" ref="V142:Y147" si="82">P142*$C142</f>
        <v>0</v>
      </c>
      <c r="W142" s="1522">
        <f t="shared" si="82"/>
        <v>0</v>
      </c>
      <c r="X142" s="1522">
        <f t="shared" si="82"/>
        <v>0</v>
      </c>
      <c r="Y142" s="1522">
        <f t="shared" si="82"/>
        <v>0</v>
      </c>
      <c r="Z142" s="1518">
        <f t="shared" ref="Z142:Z147" si="83">SUM(V142:Y142)</f>
        <v>0</v>
      </c>
      <c r="AA142" s="10"/>
      <c r="AB142" s="1522">
        <f t="shared" ref="AB142:AE147" si="84">J142-V142</f>
        <v>0</v>
      </c>
      <c r="AC142" s="1522">
        <f t="shared" si="84"/>
        <v>0</v>
      </c>
      <c r="AD142" s="1522">
        <f t="shared" si="84"/>
        <v>0</v>
      </c>
      <c r="AE142" s="1522">
        <f t="shared" si="84"/>
        <v>0</v>
      </c>
      <c r="AF142" s="1518">
        <f t="shared" ref="AF142:AF147" si="85">SUM(AB142:AE142)</f>
        <v>0</v>
      </c>
    </row>
    <row r="143" spans="1:36" s="955" customFormat="1" ht="17.149999999999999" customHeight="1" x14ac:dyDescent="0.35">
      <c r="A143" s="953" t="str">
        <f>'FS_Treatment volumes'!A86</f>
        <v>High income residential areas (treated)</v>
      </c>
      <c r="B143" s="1522">
        <f>'FS_Treatment volumes'!H86</f>
        <v>0</v>
      </c>
      <c r="C143" s="1522">
        <f>'FS_Treatment volumes'!N86</f>
        <v>0</v>
      </c>
      <c r="D143" s="956">
        <f>'Treatment Sludge_NO INPUTS'!AI71</f>
        <v>0</v>
      </c>
      <c r="E143" s="956">
        <f>'Treatment Sludge_NO INPUTS'!AJ71</f>
        <v>0</v>
      </c>
      <c r="F143" s="956">
        <f>'Treatment Sludge_NO INPUTS'!AK71</f>
        <v>0</v>
      </c>
      <c r="G143" s="956">
        <f>'Treatment Sludge_NO INPUTS'!AL71</f>
        <v>0</v>
      </c>
      <c r="H143" s="1468">
        <f t="shared" si="76"/>
        <v>0</v>
      </c>
      <c r="I143" s="957" t="str">
        <f t="shared" si="77"/>
        <v>OK</v>
      </c>
      <c r="J143" s="1522">
        <f t="shared" si="78"/>
        <v>0</v>
      </c>
      <c r="K143" s="1522">
        <f t="shared" si="79"/>
        <v>0</v>
      </c>
      <c r="L143" s="1522">
        <f t="shared" si="79"/>
        <v>0</v>
      </c>
      <c r="M143" s="1522">
        <f t="shared" si="79"/>
        <v>0</v>
      </c>
      <c r="N143" s="1518">
        <f t="shared" si="80"/>
        <v>0</v>
      </c>
      <c r="O143" s="958"/>
      <c r="P143" s="956">
        <f>'Treatment Sludge_NO INPUTS'!AQ71</f>
        <v>0</v>
      </c>
      <c r="Q143" s="956">
        <f>'Treatment Sludge_NO INPUTS'!AR71</f>
        <v>0</v>
      </c>
      <c r="R143" s="956">
        <f>'Treatment Sludge_NO INPUTS'!AS71</f>
        <v>0</v>
      </c>
      <c r="S143" s="956">
        <f>'Treatment Sludge_NO INPUTS'!AT71</f>
        <v>0</v>
      </c>
      <c r="T143" s="1468">
        <f>SUM(O143:S143)</f>
        <v>0</v>
      </c>
      <c r="U143" s="957" t="str">
        <f t="shared" si="81"/>
        <v>OK</v>
      </c>
      <c r="V143" s="1522">
        <f t="shared" si="82"/>
        <v>0</v>
      </c>
      <c r="W143" s="1522">
        <f t="shared" si="82"/>
        <v>0</v>
      </c>
      <c r="X143" s="1522">
        <f t="shared" si="82"/>
        <v>0</v>
      </c>
      <c r="Y143" s="1522">
        <f t="shared" si="82"/>
        <v>0</v>
      </c>
      <c r="Z143" s="1518">
        <f t="shared" si="83"/>
        <v>0</v>
      </c>
      <c r="AA143" s="10"/>
      <c r="AB143" s="1522">
        <f t="shared" si="84"/>
        <v>0</v>
      </c>
      <c r="AC143" s="1522">
        <f t="shared" si="84"/>
        <v>0</v>
      </c>
      <c r="AD143" s="1522">
        <f t="shared" si="84"/>
        <v>0</v>
      </c>
      <c r="AE143" s="1522">
        <f t="shared" si="84"/>
        <v>0</v>
      </c>
      <c r="AF143" s="1518">
        <f t="shared" si="85"/>
        <v>0</v>
      </c>
    </row>
    <row r="144" spans="1:36" s="955" customFormat="1" ht="17.149999999999999" customHeight="1" x14ac:dyDescent="0.35">
      <c r="A144" s="953" t="str">
        <f>'FS_Treatment volumes'!A87</f>
        <v>Onsite septic tanks | [Insert location]</v>
      </c>
      <c r="B144" s="1522">
        <f>'FS_Treatment volumes'!H87</f>
        <v>0</v>
      </c>
      <c r="C144" s="1522">
        <f>'FS_Treatment volumes'!N87</f>
        <v>0</v>
      </c>
      <c r="D144" s="956">
        <f>'Treatment Sludge_NO INPUTS'!AI72</f>
        <v>0</v>
      </c>
      <c r="E144" s="956">
        <f>'Treatment Sludge_NO INPUTS'!AJ72</f>
        <v>0</v>
      </c>
      <c r="F144" s="956">
        <f>'Treatment Sludge_NO INPUTS'!AK72</f>
        <v>0</v>
      </c>
      <c r="G144" s="956">
        <f>'Treatment Sludge_NO INPUTS'!AL72</f>
        <v>0</v>
      </c>
      <c r="H144" s="1468">
        <f t="shared" si="76"/>
        <v>0</v>
      </c>
      <c r="I144" s="957" t="str">
        <f t="shared" si="77"/>
        <v>OK</v>
      </c>
      <c r="J144" s="1522">
        <f t="shared" si="78"/>
        <v>0</v>
      </c>
      <c r="K144" s="1522">
        <f t="shared" si="79"/>
        <v>0</v>
      </c>
      <c r="L144" s="1522">
        <f t="shared" si="79"/>
        <v>0</v>
      </c>
      <c r="M144" s="1522">
        <f t="shared" si="79"/>
        <v>0</v>
      </c>
      <c r="N144" s="1518">
        <f t="shared" si="80"/>
        <v>0</v>
      </c>
      <c r="O144" s="958"/>
      <c r="P144" s="956">
        <f>'Treatment Sludge_NO INPUTS'!AQ72</f>
        <v>0</v>
      </c>
      <c r="Q144" s="956">
        <f>'Treatment Sludge_NO INPUTS'!AR72</f>
        <v>0</v>
      </c>
      <c r="R144" s="956">
        <f>'Treatment Sludge_NO INPUTS'!AS72</f>
        <v>0</v>
      </c>
      <c r="S144" s="956">
        <f>'Treatment Sludge_NO INPUTS'!AT72</f>
        <v>0</v>
      </c>
      <c r="T144" s="1468">
        <f>SUM(O144:S144)</f>
        <v>0</v>
      </c>
      <c r="U144" s="957" t="str">
        <f t="shared" si="81"/>
        <v>OK</v>
      </c>
      <c r="V144" s="1522">
        <f t="shared" si="82"/>
        <v>0</v>
      </c>
      <c r="W144" s="1522">
        <f t="shared" si="82"/>
        <v>0</v>
      </c>
      <c r="X144" s="1522">
        <f t="shared" si="82"/>
        <v>0</v>
      </c>
      <c r="Y144" s="1522">
        <f t="shared" si="82"/>
        <v>0</v>
      </c>
      <c r="Z144" s="1518">
        <f t="shared" si="83"/>
        <v>0</v>
      </c>
      <c r="AA144" s="10"/>
      <c r="AB144" s="1522">
        <f t="shared" si="84"/>
        <v>0</v>
      </c>
      <c r="AC144" s="1522">
        <f t="shared" si="84"/>
        <v>0</v>
      </c>
      <c r="AD144" s="1522">
        <f t="shared" si="84"/>
        <v>0</v>
      </c>
      <c r="AE144" s="1522">
        <f t="shared" si="84"/>
        <v>0</v>
      </c>
      <c r="AF144" s="1518">
        <f t="shared" si="85"/>
        <v>0</v>
      </c>
    </row>
    <row r="145" spans="1:32" s="955" customFormat="1" ht="17.149999999999999" customHeight="1" x14ac:dyDescent="0.35">
      <c r="A145" s="953" t="str">
        <f>'FS_Treatment volumes'!A88</f>
        <v>Onsite septic tanks | [Insert location]</v>
      </c>
      <c r="B145" s="1522">
        <f>'FS_Treatment volumes'!H88</f>
        <v>0</v>
      </c>
      <c r="C145" s="1522">
        <f>'FS_Treatment volumes'!N88</f>
        <v>0</v>
      </c>
      <c r="D145" s="956">
        <f>'Treatment Sludge_NO INPUTS'!AI73</f>
        <v>0</v>
      </c>
      <c r="E145" s="956">
        <f>'Treatment Sludge_NO INPUTS'!AJ73</f>
        <v>0</v>
      </c>
      <c r="F145" s="956">
        <f>'Treatment Sludge_NO INPUTS'!AK73</f>
        <v>0</v>
      </c>
      <c r="G145" s="956">
        <f>'Treatment Sludge_NO INPUTS'!AL73</f>
        <v>0</v>
      </c>
      <c r="H145" s="1468">
        <f t="shared" si="76"/>
        <v>0</v>
      </c>
      <c r="I145" s="957" t="str">
        <f t="shared" si="77"/>
        <v>OK</v>
      </c>
      <c r="J145" s="1522">
        <f t="shared" si="78"/>
        <v>0</v>
      </c>
      <c r="K145" s="1522">
        <f t="shared" si="79"/>
        <v>0</v>
      </c>
      <c r="L145" s="1522">
        <f t="shared" si="79"/>
        <v>0</v>
      </c>
      <c r="M145" s="1522">
        <f t="shared" si="79"/>
        <v>0</v>
      </c>
      <c r="N145" s="1518">
        <f t="shared" si="80"/>
        <v>0</v>
      </c>
      <c r="P145" s="956">
        <f>'Treatment Sludge_NO INPUTS'!AQ73</f>
        <v>0</v>
      </c>
      <c r="Q145" s="956">
        <f>'Treatment Sludge_NO INPUTS'!AR73</f>
        <v>0</v>
      </c>
      <c r="R145" s="956">
        <f>'Treatment Sludge_NO INPUTS'!AS73</f>
        <v>0</v>
      </c>
      <c r="S145" s="956">
        <f>'Treatment Sludge_NO INPUTS'!AT73</f>
        <v>0</v>
      </c>
      <c r="T145" s="1468">
        <f>SUM(O145:S145)</f>
        <v>0</v>
      </c>
      <c r="U145" s="957" t="str">
        <f t="shared" si="81"/>
        <v>OK</v>
      </c>
      <c r="V145" s="1522">
        <f t="shared" si="82"/>
        <v>0</v>
      </c>
      <c r="W145" s="1522">
        <f t="shared" si="82"/>
        <v>0</v>
      </c>
      <c r="X145" s="1522">
        <f t="shared" si="82"/>
        <v>0</v>
      </c>
      <c r="Y145" s="1522">
        <f t="shared" si="82"/>
        <v>0</v>
      </c>
      <c r="Z145" s="1518">
        <f t="shared" si="83"/>
        <v>0</v>
      </c>
      <c r="AA145" s="10"/>
      <c r="AB145" s="1522">
        <f t="shared" si="84"/>
        <v>0</v>
      </c>
      <c r="AC145" s="1522">
        <f t="shared" si="84"/>
        <v>0</v>
      </c>
      <c r="AD145" s="1522">
        <f t="shared" si="84"/>
        <v>0</v>
      </c>
      <c r="AE145" s="1522">
        <f t="shared" si="84"/>
        <v>0</v>
      </c>
      <c r="AF145" s="1518">
        <f t="shared" si="85"/>
        <v>0</v>
      </c>
    </row>
    <row r="146" spans="1:32" s="955" customFormat="1" ht="17.149999999999999" customHeight="1" x14ac:dyDescent="0.35">
      <c r="A146" s="953">
        <f>'FS_Treatment volumes'!A89</f>
        <v>0</v>
      </c>
      <c r="B146" s="1522">
        <f>'FS_Treatment volumes'!H89</f>
        <v>0</v>
      </c>
      <c r="C146" s="1522">
        <f>'FS_Treatment volumes'!N89</f>
        <v>0</v>
      </c>
      <c r="D146" s="956">
        <f>'Treatment Sludge_NO INPUTS'!AI74</f>
        <v>0</v>
      </c>
      <c r="E146" s="956">
        <f>'Treatment Sludge_NO INPUTS'!AJ74</f>
        <v>0</v>
      </c>
      <c r="F146" s="956">
        <f>'Treatment Sludge_NO INPUTS'!AK74</f>
        <v>0</v>
      </c>
      <c r="G146" s="956">
        <f>'Treatment Sludge_NO INPUTS'!AL74</f>
        <v>0</v>
      </c>
      <c r="H146" s="1468">
        <f t="shared" si="76"/>
        <v>0</v>
      </c>
      <c r="I146" s="957" t="str">
        <f t="shared" si="77"/>
        <v>OK</v>
      </c>
      <c r="J146" s="1522">
        <f t="shared" si="78"/>
        <v>0</v>
      </c>
      <c r="K146" s="1522">
        <f t="shared" si="79"/>
        <v>0</v>
      </c>
      <c r="L146" s="1522">
        <f t="shared" si="79"/>
        <v>0</v>
      </c>
      <c r="M146" s="1522">
        <f t="shared" si="79"/>
        <v>0</v>
      </c>
      <c r="N146" s="1518">
        <f t="shared" si="80"/>
        <v>0</v>
      </c>
      <c r="P146" s="956">
        <f>'Treatment Sludge_NO INPUTS'!AQ74</f>
        <v>0</v>
      </c>
      <c r="Q146" s="956">
        <f>'Treatment Sludge_NO INPUTS'!AR74</f>
        <v>0</v>
      </c>
      <c r="R146" s="956">
        <f>'Treatment Sludge_NO INPUTS'!AS74</f>
        <v>0</v>
      </c>
      <c r="S146" s="956">
        <f>'Treatment Sludge_NO INPUTS'!AT74</f>
        <v>0</v>
      </c>
      <c r="T146" s="1468">
        <f>SUM(O146:S146)</f>
        <v>0</v>
      </c>
      <c r="U146" s="957" t="str">
        <f t="shared" si="81"/>
        <v>OK</v>
      </c>
      <c r="V146" s="1522">
        <f t="shared" si="82"/>
        <v>0</v>
      </c>
      <c r="W146" s="1522">
        <f t="shared" si="82"/>
        <v>0</v>
      </c>
      <c r="X146" s="1522">
        <f t="shared" si="82"/>
        <v>0</v>
      </c>
      <c r="Y146" s="1522">
        <f t="shared" si="82"/>
        <v>0</v>
      </c>
      <c r="Z146" s="1518">
        <f t="shared" si="83"/>
        <v>0</v>
      </c>
      <c r="AA146" s="10"/>
      <c r="AB146" s="1522">
        <f t="shared" si="84"/>
        <v>0</v>
      </c>
      <c r="AC146" s="1522">
        <f t="shared" si="84"/>
        <v>0</v>
      </c>
      <c r="AD146" s="1522">
        <f t="shared" si="84"/>
        <v>0</v>
      </c>
      <c r="AE146" s="1522">
        <f t="shared" si="84"/>
        <v>0</v>
      </c>
      <c r="AF146" s="1518">
        <f t="shared" si="85"/>
        <v>0</v>
      </c>
    </row>
    <row r="147" spans="1:32" s="955" customFormat="1" ht="17.149999999999999" customHeight="1" x14ac:dyDescent="0.35">
      <c r="A147" s="953">
        <f>'FS_Treatment volumes'!A90</f>
        <v>0</v>
      </c>
      <c r="B147" s="1522">
        <f>'FS_Treatment volumes'!H90</f>
        <v>0</v>
      </c>
      <c r="C147" s="1522">
        <f>'FS_Treatment volumes'!N90</f>
        <v>0</v>
      </c>
      <c r="D147" s="956">
        <f>'Treatment Sludge_NO INPUTS'!AI75</f>
        <v>0</v>
      </c>
      <c r="E147" s="956">
        <f>'Treatment Sludge_NO INPUTS'!AJ75</f>
        <v>0</v>
      </c>
      <c r="F147" s="956">
        <f>'Treatment Sludge_NO INPUTS'!AK75</f>
        <v>0</v>
      </c>
      <c r="G147" s="956">
        <f>'Treatment Sludge_NO INPUTS'!AL75</f>
        <v>0</v>
      </c>
      <c r="H147" s="1468">
        <f t="shared" si="76"/>
        <v>0</v>
      </c>
      <c r="I147" s="957" t="str">
        <f t="shared" si="77"/>
        <v>OK</v>
      </c>
      <c r="J147" s="1522">
        <f t="shared" si="78"/>
        <v>0</v>
      </c>
      <c r="K147" s="1522">
        <f t="shared" si="79"/>
        <v>0</v>
      </c>
      <c r="L147" s="1522">
        <f t="shared" si="79"/>
        <v>0</v>
      </c>
      <c r="M147" s="1522">
        <f t="shared" si="79"/>
        <v>0</v>
      </c>
      <c r="N147" s="1518">
        <f t="shared" si="80"/>
        <v>0</v>
      </c>
      <c r="O147" s="103"/>
      <c r="P147" s="956">
        <f>'Treatment Sludge_NO INPUTS'!AQ75</f>
        <v>0</v>
      </c>
      <c r="Q147" s="956">
        <f>'Treatment Sludge_NO INPUTS'!AR75</f>
        <v>0</v>
      </c>
      <c r="R147" s="956">
        <f>'Treatment Sludge_NO INPUTS'!AS75</f>
        <v>0</v>
      </c>
      <c r="S147" s="956">
        <f>'Treatment Sludge_NO INPUTS'!AT75</f>
        <v>0</v>
      </c>
      <c r="T147" s="1468">
        <f>SUM(O147:S147)</f>
        <v>0</v>
      </c>
      <c r="U147" s="957" t="str">
        <f t="shared" si="81"/>
        <v>OK</v>
      </c>
      <c r="V147" s="1522">
        <f t="shared" si="82"/>
        <v>0</v>
      </c>
      <c r="W147" s="1522">
        <f t="shared" si="82"/>
        <v>0</v>
      </c>
      <c r="X147" s="1522">
        <f t="shared" si="82"/>
        <v>0</v>
      </c>
      <c r="Y147" s="1522">
        <f t="shared" si="82"/>
        <v>0</v>
      </c>
      <c r="Z147" s="1518">
        <f t="shared" si="83"/>
        <v>0</v>
      </c>
      <c r="AA147" s="10"/>
      <c r="AB147" s="1522">
        <f t="shared" si="84"/>
        <v>0</v>
      </c>
      <c r="AC147" s="1522">
        <f t="shared" si="84"/>
        <v>0</v>
      </c>
      <c r="AD147" s="1522">
        <f t="shared" si="84"/>
        <v>0</v>
      </c>
      <c r="AE147" s="1522">
        <f t="shared" si="84"/>
        <v>0</v>
      </c>
      <c r="AF147" s="1518">
        <f t="shared" si="85"/>
        <v>0</v>
      </c>
    </row>
    <row r="148" spans="1:32" s="12" customFormat="1" ht="17.149999999999999" customHeight="1" x14ac:dyDescent="0.35">
      <c r="A148" s="950" t="s">
        <v>208</v>
      </c>
      <c r="B148" s="948">
        <f>SUM(B142:B147)</f>
        <v>0</v>
      </c>
      <c r="C148" s="948">
        <f>SUM(C142:C147)</f>
        <v>0</v>
      </c>
      <c r="D148" s="952"/>
      <c r="E148" s="952"/>
      <c r="F148" s="952"/>
      <c r="G148" s="952"/>
      <c r="H148" s="952"/>
      <c r="I148" s="952"/>
      <c r="J148" s="948">
        <f>SUM(J142:J147)</f>
        <v>0</v>
      </c>
      <c r="K148" s="948">
        <f>SUM(K142:K147)</f>
        <v>0</v>
      </c>
      <c r="L148" s="948">
        <f>SUM(L142:L147)</f>
        <v>0</v>
      </c>
      <c r="M148" s="948">
        <f>SUM(M142:M147)</f>
        <v>0</v>
      </c>
      <c r="N148" s="948">
        <f>SUM(N142:N147)</f>
        <v>0</v>
      </c>
      <c r="O148" s="213"/>
      <c r="P148" s="952"/>
      <c r="Q148" s="952"/>
      <c r="R148" s="952"/>
      <c r="S148" s="952"/>
      <c r="T148" s="952"/>
      <c r="U148" s="952"/>
      <c r="V148" s="948">
        <f>SUM(V142:V147)</f>
        <v>0</v>
      </c>
      <c r="W148" s="948">
        <f>SUM(W142:W147)</f>
        <v>0</v>
      </c>
      <c r="X148" s="948">
        <f>SUM(X142:X147)</f>
        <v>0</v>
      </c>
      <c r="Y148" s="948">
        <f>SUM(Y142:Y147)</f>
        <v>0</v>
      </c>
      <c r="Z148" s="948">
        <f>SUM(Z142:Z147)</f>
        <v>0</v>
      </c>
      <c r="AA148" s="32"/>
      <c r="AB148" s="948">
        <f>SUM(AB142:AB147)</f>
        <v>0</v>
      </c>
      <c r="AC148" s="948">
        <f>SUM(AC142:AC147)</f>
        <v>0</v>
      </c>
      <c r="AD148" s="948">
        <f>SUM(AD142:AD147)</f>
        <v>0</v>
      </c>
      <c r="AE148" s="948">
        <f>SUM(AE142:AE147)</f>
        <v>0</v>
      </c>
      <c r="AF148" s="948">
        <f>SUM(AF142:AF147)</f>
        <v>0</v>
      </c>
    </row>
    <row r="149" spans="1:32" ht="17.149999999999999" customHeight="1" x14ac:dyDescent="0.35">
      <c r="A149" s="3"/>
      <c r="B149" s="3"/>
      <c r="C149" s="68"/>
      <c r="D149" s="3"/>
      <c r="E149" s="3"/>
      <c r="F149" s="3"/>
      <c r="G149" s="3"/>
      <c r="H149" s="3"/>
      <c r="I149" s="3"/>
      <c r="J149" s="1468">
        <f>IF($N$148=0,0,J148/$N$148)</f>
        <v>0</v>
      </c>
      <c r="K149" s="1468">
        <f>IF($N$148=0,0,K148/$N$148)</f>
        <v>0</v>
      </c>
      <c r="L149" s="1468">
        <f>IF($N$148=0,0,L148/$N$148)</f>
        <v>0</v>
      </c>
      <c r="M149" s="1468">
        <f>IF($N$148=0,0,M148/$N$148)</f>
        <v>0</v>
      </c>
      <c r="N149" s="1468">
        <f>IF($N$148=0,0,N148/$N$148)</f>
        <v>0</v>
      </c>
      <c r="O149" s="3"/>
      <c r="P149" s="3"/>
      <c r="Q149" s="3"/>
      <c r="R149" s="3"/>
      <c r="S149" s="3"/>
      <c r="T149" s="3"/>
      <c r="U149" s="3"/>
      <c r="V149" s="3"/>
      <c r="W149" s="3"/>
      <c r="X149" s="3"/>
      <c r="Y149" s="3"/>
      <c r="Z149" s="3"/>
    </row>
    <row r="150" spans="1:32" ht="17.149999999999999" customHeight="1" x14ac:dyDescent="0.35">
      <c r="A150" s="3"/>
      <c r="B150" s="3"/>
      <c r="C150" s="68"/>
      <c r="D150" s="3"/>
      <c r="E150" s="3"/>
      <c r="F150" s="3"/>
      <c r="G150" s="3"/>
      <c r="H150" s="3"/>
      <c r="I150" s="3"/>
      <c r="J150" s="3"/>
      <c r="K150" s="3"/>
      <c r="L150" s="3"/>
      <c r="M150" s="3"/>
      <c r="N150" s="3"/>
      <c r="O150" s="3"/>
      <c r="P150" s="3"/>
      <c r="Q150" s="3"/>
      <c r="R150" s="3"/>
      <c r="S150" s="3"/>
      <c r="T150" s="3"/>
      <c r="U150" s="3"/>
      <c r="V150" s="3"/>
      <c r="W150" s="3"/>
      <c r="X150" s="3"/>
      <c r="Y150" s="3"/>
      <c r="Z150" s="3"/>
    </row>
    <row r="151" spans="1:32" ht="17.149999999999999" customHeight="1" x14ac:dyDescent="0.35">
      <c r="A151" s="3"/>
      <c r="B151" s="3"/>
      <c r="C151" s="68"/>
      <c r="D151" s="3"/>
      <c r="E151" s="3"/>
      <c r="F151" s="3"/>
      <c r="G151" s="3"/>
      <c r="H151" s="3"/>
      <c r="I151" s="3"/>
      <c r="J151" s="3"/>
      <c r="K151" s="3"/>
      <c r="L151" s="3"/>
      <c r="M151" s="3"/>
      <c r="N151" s="3"/>
      <c r="O151" s="3"/>
      <c r="P151" s="3"/>
      <c r="Q151" s="3"/>
      <c r="R151" s="3"/>
      <c r="S151" s="3"/>
      <c r="T151" s="3"/>
      <c r="U151" s="3"/>
      <c r="V151" s="3"/>
      <c r="W151" s="3"/>
      <c r="X151" s="3"/>
      <c r="Y151" s="3"/>
      <c r="Z151" s="3"/>
    </row>
    <row r="152" spans="1:32" ht="17.149999999999999" customHeight="1" x14ac:dyDescent="0.35">
      <c r="A152" s="949" t="s">
        <v>1157</v>
      </c>
      <c r="B152" s="1780" t="s">
        <v>9</v>
      </c>
      <c r="C152" s="1780"/>
      <c r="D152" s="1780"/>
      <c r="E152" s="1780"/>
      <c r="F152" s="1780"/>
      <c r="G152" s="1780"/>
      <c r="H152" s="1780"/>
      <c r="I152" s="1780"/>
      <c r="J152" s="1780"/>
      <c r="K152" s="1780"/>
      <c r="L152" s="3"/>
      <c r="M152" s="3"/>
      <c r="N152" s="3"/>
      <c r="O152" s="3"/>
      <c r="P152" s="3"/>
      <c r="Q152" s="3"/>
      <c r="R152" s="3"/>
      <c r="S152" s="3"/>
      <c r="T152" s="3"/>
      <c r="U152" s="3"/>
      <c r="V152" s="3"/>
      <c r="W152" s="3"/>
      <c r="X152" s="3"/>
      <c r="Y152" s="3"/>
      <c r="Z152" s="3"/>
    </row>
    <row r="153" spans="1:32" ht="17.149999999999999" customHeight="1" x14ac:dyDescent="0.35">
      <c r="A153" s="3"/>
      <c r="B153" s="3"/>
      <c r="C153" s="68"/>
      <c r="D153" s="3"/>
      <c r="E153" s="3"/>
      <c r="F153" s="3"/>
      <c r="G153" s="3"/>
      <c r="H153" s="3"/>
      <c r="I153" s="3"/>
      <c r="J153" s="3"/>
      <c r="K153" s="3"/>
      <c r="L153" s="3"/>
      <c r="M153" s="3"/>
      <c r="N153" s="3"/>
      <c r="O153" s="3"/>
      <c r="P153" s="3"/>
      <c r="Q153" s="3"/>
      <c r="R153" s="3"/>
      <c r="S153" s="3"/>
      <c r="T153" s="3"/>
      <c r="U153" s="3"/>
      <c r="V153" s="3"/>
      <c r="W153" s="3"/>
      <c r="X153" s="3"/>
      <c r="Y153" s="3"/>
      <c r="Z153" s="3"/>
    </row>
    <row r="154" spans="1:32" ht="17.149999999999999" customHeight="1" x14ac:dyDescent="0.35">
      <c r="A154" s="330"/>
      <c r="B154" s="1784" t="s">
        <v>1158</v>
      </c>
      <c r="C154" s="1784"/>
      <c r="D154" s="1784"/>
      <c r="E154" s="1784"/>
      <c r="F154" s="1784"/>
      <c r="G154" s="1784"/>
      <c r="H154" s="1784"/>
      <c r="I154" s="1784"/>
      <c r="J154" s="1784"/>
      <c r="K154" s="1784"/>
      <c r="L154" s="3"/>
      <c r="M154" s="3"/>
      <c r="N154" s="3"/>
      <c r="O154" s="3"/>
      <c r="P154" s="3"/>
      <c r="Q154" s="3"/>
      <c r="R154" s="3"/>
      <c r="S154" s="3"/>
      <c r="T154" s="3"/>
      <c r="U154" s="3"/>
      <c r="V154" s="3"/>
      <c r="W154" s="3"/>
      <c r="X154" s="3"/>
      <c r="Y154" s="3"/>
      <c r="Z154" s="3"/>
    </row>
    <row r="155" spans="1:32" ht="17.149999999999999" customHeight="1" x14ac:dyDescent="0.35">
      <c r="A155" s="1784" t="s">
        <v>1125</v>
      </c>
      <c r="B155" s="1797" t="s">
        <v>28</v>
      </c>
      <c r="C155" s="1805"/>
      <c r="D155" s="1805"/>
      <c r="E155" s="1805"/>
      <c r="F155" s="1798"/>
      <c r="G155" s="1784" t="s">
        <v>1126</v>
      </c>
      <c r="H155" s="1784"/>
      <c r="I155" s="1784"/>
      <c r="J155" s="1784"/>
      <c r="K155" s="1784"/>
      <c r="L155" s="3"/>
      <c r="M155" s="3"/>
      <c r="N155" s="3"/>
      <c r="O155" s="3"/>
      <c r="P155" s="3"/>
      <c r="Q155" s="68"/>
      <c r="R155" s="68"/>
      <c r="S155" s="68"/>
      <c r="T155" s="3"/>
      <c r="U155" s="3"/>
      <c r="V155" s="3"/>
      <c r="W155" s="3"/>
      <c r="X155" s="3"/>
      <c r="Y155" s="3"/>
      <c r="Z155" s="3"/>
    </row>
    <row r="156" spans="1:32" ht="17.149999999999999" customHeight="1" x14ac:dyDescent="0.35">
      <c r="A156" s="1784"/>
      <c r="B156" s="1511" t="s">
        <v>531</v>
      </c>
      <c r="C156" s="1511" t="s">
        <v>532</v>
      </c>
      <c r="D156" s="1511" t="s">
        <v>533</v>
      </c>
      <c r="E156" s="1511" t="s">
        <v>333</v>
      </c>
      <c r="F156" s="1511" t="s">
        <v>361</v>
      </c>
      <c r="G156" s="1511" t="s">
        <v>531</v>
      </c>
      <c r="H156" s="1511" t="s">
        <v>532</v>
      </c>
      <c r="I156" s="1511" t="s">
        <v>533</v>
      </c>
      <c r="J156" s="1511" t="s">
        <v>333</v>
      </c>
      <c r="K156" s="1511" t="s">
        <v>361</v>
      </c>
      <c r="L156" s="3"/>
      <c r="M156" s="3"/>
      <c r="N156" s="3"/>
      <c r="O156" s="3"/>
      <c r="P156" s="3"/>
      <c r="Q156" s="68"/>
      <c r="R156" s="68"/>
      <c r="S156" s="68"/>
      <c r="T156" s="3"/>
      <c r="U156" s="3"/>
      <c r="V156" s="3"/>
      <c r="W156" s="3"/>
      <c r="X156" s="3"/>
      <c r="Y156" s="3"/>
      <c r="Z156" s="3"/>
    </row>
    <row r="157" spans="1:32" s="60" customFormat="1" ht="13" x14ac:dyDescent="0.35">
      <c r="A157" s="1510"/>
      <c r="B157" s="333"/>
      <c r="C157" s="333"/>
      <c r="D157" s="333"/>
      <c r="E157" s="333"/>
      <c r="F157" s="333"/>
      <c r="G157" s="334"/>
      <c r="H157" s="334"/>
      <c r="I157" s="334"/>
      <c r="J157" s="334"/>
      <c r="K157" s="334"/>
      <c r="Q157" s="327"/>
      <c r="R157" s="327"/>
      <c r="S157" s="327"/>
    </row>
    <row r="158" spans="1:32" s="47" customFormat="1" ht="17.149999999999999" customHeight="1" x14ac:dyDescent="0.35">
      <c r="A158" s="176" t="s">
        <v>1189</v>
      </c>
      <c r="B158" s="53">
        <f>V35</f>
        <v>0</v>
      </c>
      <c r="C158" s="53">
        <f>W35</f>
        <v>0</v>
      </c>
      <c r="D158" s="53">
        <f>X35</f>
        <v>0</v>
      </c>
      <c r="E158" s="53">
        <f>Y35</f>
        <v>0</v>
      </c>
      <c r="F158" s="53">
        <f>SUM(B158:E158)</f>
        <v>0</v>
      </c>
      <c r="G158" s="53">
        <f>AB35</f>
        <v>0</v>
      </c>
      <c r="H158" s="53">
        <f>AC35</f>
        <v>0</v>
      </c>
      <c r="I158" s="53">
        <f>AD35</f>
        <v>0</v>
      </c>
      <c r="J158" s="53">
        <f>AE35</f>
        <v>0</v>
      </c>
      <c r="K158" s="53">
        <f>SUM(G158:J158)</f>
        <v>0</v>
      </c>
      <c r="Q158" s="331"/>
      <c r="R158" s="331"/>
      <c r="S158" s="331"/>
    </row>
    <row r="159" spans="1:32" s="47" customFormat="1" ht="17.149999999999999" customHeight="1" x14ac:dyDescent="0.35">
      <c r="A159" s="176" t="s">
        <v>1190</v>
      </c>
      <c r="B159" s="53">
        <f>V54</f>
        <v>11410</v>
      </c>
      <c r="C159" s="53">
        <f>W54</f>
        <v>0</v>
      </c>
      <c r="D159" s="53">
        <f>X54</f>
        <v>0</v>
      </c>
      <c r="E159" s="53">
        <f>Y54</f>
        <v>0</v>
      </c>
      <c r="F159" s="53">
        <f>SUM(B159:E159)</f>
        <v>11410</v>
      </c>
      <c r="G159" s="53">
        <f>AB54</f>
        <v>21190</v>
      </c>
      <c r="H159" s="53">
        <f>AC54</f>
        <v>0</v>
      </c>
      <c r="I159" s="53">
        <f>AD54</f>
        <v>0</v>
      </c>
      <c r="J159" s="53">
        <f>AE54</f>
        <v>0</v>
      </c>
      <c r="K159" s="53">
        <f>SUM(G159:J159)</f>
        <v>21190</v>
      </c>
      <c r="Q159" s="331"/>
      <c r="R159" s="331"/>
      <c r="S159" s="331"/>
    </row>
    <row r="160" spans="1:32" s="47" customFormat="1" ht="17.149999999999999" customHeight="1" x14ac:dyDescent="0.35">
      <c r="A160" s="176" t="s">
        <v>1191</v>
      </c>
      <c r="B160" s="53">
        <f>V69</f>
        <v>0</v>
      </c>
      <c r="C160" s="53">
        <f>W69</f>
        <v>0</v>
      </c>
      <c r="D160" s="53">
        <f>X69</f>
        <v>0</v>
      </c>
      <c r="E160" s="53">
        <f>Y69</f>
        <v>0</v>
      </c>
      <c r="F160" s="53">
        <f>SUM(B160:E160)</f>
        <v>0</v>
      </c>
      <c r="G160" s="53">
        <f>AB69</f>
        <v>0</v>
      </c>
      <c r="H160" s="53">
        <f>AC69</f>
        <v>0</v>
      </c>
      <c r="I160" s="53">
        <f>AD69</f>
        <v>0</v>
      </c>
      <c r="J160" s="53">
        <f>AE69</f>
        <v>0</v>
      </c>
      <c r="K160" s="53">
        <f>SUM(G160:J160)</f>
        <v>0</v>
      </c>
      <c r="Q160" s="331"/>
      <c r="R160" s="331"/>
      <c r="S160" s="331"/>
    </row>
    <row r="161" spans="1:26" s="47" customFormat="1" ht="17.149999999999999" customHeight="1" x14ac:dyDescent="0.35">
      <c r="A161" s="176" t="s">
        <v>1192</v>
      </c>
      <c r="B161" s="53">
        <f>V84</f>
        <v>0</v>
      </c>
      <c r="C161" s="53">
        <f>W84</f>
        <v>0</v>
      </c>
      <c r="D161" s="53">
        <f>X84</f>
        <v>0</v>
      </c>
      <c r="E161" s="53">
        <f>Y84</f>
        <v>0</v>
      </c>
      <c r="F161" s="53">
        <f>SUM(B161:E161)</f>
        <v>0</v>
      </c>
      <c r="G161" s="53">
        <f>AB84</f>
        <v>0</v>
      </c>
      <c r="H161" s="53">
        <f>AC84</f>
        <v>0</v>
      </c>
      <c r="I161" s="53">
        <f>AD84</f>
        <v>0</v>
      </c>
      <c r="J161" s="53">
        <f>AE84</f>
        <v>0</v>
      </c>
      <c r="K161" s="53">
        <f>SUM(G161:J161)</f>
        <v>0</v>
      </c>
      <c r="Q161" s="331"/>
      <c r="R161" s="331"/>
      <c r="S161" s="331"/>
    </row>
    <row r="162" spans="1:26" s="11" customFormat="1" ht="17.149999999999999" customHeight="1" x14ac:dyDescent="0.35">
      <c r="A162" s="950" t="s">
        <v>208</v>
      </c>
      <c r="B162" s="948">
        <f>SUM(B158:B161)</f>
        <v>11410</v>
      </c>
      <c r="C162" s="948">
        <f t="shared" ref="C162:K162" si="86">SUM(C158:C161)</f>
        <v>0</v>
      </c>
      <c r="D162" s="948">
        <f t="shared" si="86"/>
        <v>0</v>
      </c>
      <c r="E162" s="948">
        <f t="shared" si="86"/>
        <v>0</v>
      </c>
      <c r="F162" s="948">
        <f t="shared" si="86"/>
        <v>11410</v>
      </c>
      <c r="G162" s="948">
        <f t="shared" si="86"/>
        <v>21190</v>
      </c>
      <c r="H162" s="948">
        <f t="shared" si="86"/>
        <v>0</v>
      </c>
      <c r="I162" s="948">
        <f t="shared" si="86"/>
        <v>0</v>
      </c>
      <c r="J162" s="948">
        <f t="shared" si="86"/>
        <v>0</v>
      </c>
      <c r="K162" s="948">
        <f t="shared" si="86"/>
        <v>21190</v>
      </c>
      <c r="Q162" s="332"/>
      <c r="R162" s="332"/>
      <c r="S162" s="332"/>
    </row>
    <row r="163" spans="1:26" ht="17.149999999999999" customHeight="1" x14ac:dyDescent="0.35">
      <c r="A163" s="3"/>
      <c r="B163" s="454">
        <f>IF($F$162=0,0,B162/$F$162)</f>
        <v>1</v>
      </c>
      <c r="C163" s="454">
        <f>IF($F$162=0,0,C162/$F$162)</f>
        <v>0</v>
      </c>
      <c r="D163" s="454">
        <f>IF($F$162=0,0,D162/$F$162)</f>
        <v>0</v>
      </c>
      <c r="E163" s="454">
        <f>IF($F$162=0,0,E162/$F$162)</f>
        <v>0</v>
      </c>
      <c r="F163" s="454">
        <f>IF($F$162=0,0,F162/$F$162)</f>
        <v>1</v>
      </c>
      <c r="G163" s="454">
        <f>IF($K$162=0,0,G162/$K$162)</f>
        <v>1</v>
      </c>
      <c r="H163" s="454">
        <f>IF($K$162=0,0,H162/$K$162)</f>
        <v>0</v>
      </c>
      <c r="I163" s="454">
        <f>IF($K$162=0,0,I162/$K$162)</f>
        <v>0</v>
      </c>
      <c r="J163" s="454">
        <f>IF($K$162=0,0,J162/$K$162)</f>
        <v>0</v>
      </c>
      <c r="K163" s="454">
        <f>IF($K$162=0,0,K162/$K$162)</f>
        <v>1</v>
      </c>
      <c r="L163" s="3"/>
      <c r="M163" s="3"/>
      <c r="N163" s="3"/>
      <c r="O163" s="3"/>
      <c r="P163" s="3"/>
      <c r="Q163" s="68"/>
      <c r="R163" s="68"/>
      <c r="S163" s="68"/>
      <c r="T163" s="3"/>
      <c r="U163" s="3"/>
      <c r="V163" s="3"/>
      <c r="W163" s="3"/>
      <c r="X163" s="3"/>
      <c r="Y163" s="3"/>
      <c r="Z163" s="3"/>
    </row>
    <row r="164" spans="1:26" ht="17.149999999999999" customHeight="1" x14ac:dyDescent="0.35">
      <c r="A164" s="3"/>
      <c r="B164" s="3"/>
      <c r="C164" s="3"/>
      <c r="D164" s="3"/>
      <c r="E164" s="3"/>
      <c r="F164" s="3"/>
      <c r="G164" s="3"/>
      <c r="H164" s="3"/>
      <c r="I164" s="3"/>
      <c r="J164" s="3"/>
      <c r="K164" s="3"/>
      <c r="L164" s="3"/>
      <c r="M164" s="3"/>
      <c r="N164" s="3"/>
      <c r="O164" s="3"/>
      <c r="P164" s="3"/>
      <c r="Q164" s="68"/>
      <c r="R164" s="68"/>
      <c r="S164" s="68"/>
      <c r="T164" s="3"/>
      <c r="U164" s="3"/>
      <c r="V164" s="3"/>
      <c r="W164" s="3"/>
      <c r="X164" s="3"/>
      <c r="Y164" s="3"/>
      <c r="Z164" s="3"/>
    </row>
    <row r="165" spans="1:26" ht="17.149999999999999" customHeight="1" x14ac:dyDescent="0.35">
      <c r="A165" s="3"/>
      <c r="B165" s="1853">
        <f>F162+K162</f>
        <v>32600</v>
      </c>
      <c r="C165" s="1854"/>
      <c r="D165" s="1854"/>
      <c r="E165" s="1854"/>
      <c r="F165" s="1854"/>
      <c r="G165" s="1854"/>
      <c r="H165" s="1854"/>
      <c r="I165" s="1854"/>
      <c r="J165" s="1854"/>
      <c r="K165" s="1854"/>
      <c r="L165" s="3"/>
      <c r="M165" s="3"/>
      <c r="N165" s="3"/>
      <c r="O165" s="3"/>
      <c r="P165" s="3"/>
      <c r="Q165" s="68"/>
      <c r="R165" s="68"/>
      <c r="S165" s="68"/>
      <c r="T165" s="3"/>
      <c r="U165" s="3"/>
      <c r="V165" s="3"/>
      <c r="W165" s="3"/>
      <c r="X165" s="3"/>
      <c r="Y165" s="3"/>
      <c r="Z165" s="3"/>
    </row>
    <row r="166" spans="1:26" ht="17.149999999999999" customHeight="1" x14ac:dyDescent="0.35">
      <c r="A166" s="3"/>
      <c r="B166" s="3"/>
      <c r="C166" s="3"/>
      <c r="D166" s="3"/>
      <c r="E166" s="3"/>
      <c r="F166" s="3"/>
      <c r="G166" s="3"/>
      <c r="H166" s="3"/>
      <c r="I166" s="3"/>
      <c r="J166" s="3"/>
      <c r="K166" s="3"/>
      <c r="L166" s="3"/>
      <c r="M166" s="3"/>
      <c r="N166" s="3"/>
      <c r="O166" s="3"/>
      <c r="P166" s="3"/>
      <c r="Q166" s="68"/>
      <c r="R166" s="68"/>
      <c r="S166" s="68"/>
      <c r="T166" s="3"/>
      <c r="U166" s="3"/>
      <c r="V166" s="3"/>
      <c r="W166" s="3"/>
      <c r="X166" s="3"/>
      <c r="Y166" s="3"/>
      <c r="Z166" s="3"/>
    </row>
    <row r="167" spans="1:26" ht="17.149999999999999" customHeight="1" x14ac:dyDescent="0.35">
      <c r="A167" s="3"/>
      <c r="B167" s="3"/>
      <c r="C167" s="3"/>
      <c r="D167" s="3"/>
      <c r="E167" s="3"/>
      <c r="F167" s="3"/>
      <c r="G167" s="3"/>
      <c r="H167" s="3"/>
      <c r="I167" s="3"/>
      <c r="J167" s="3"/>
      <c r="K167" s="3"/>
      <c r="L167" s="3"/>
      <c r="M167" s="3"/>
      <c r="N167" s="3"/>
      <c r="O167" s="3"/>
      <c r="P167" s="3"/>
      <c r="Q167" s="68"/>
      <c r="R167" s="68"/>
      <c r="S167" s="68"/>
      <c r="T167" s="3"/>
      <c r="U167" s="3"/>
      <c r="V167" s="3"/>
      <c r="W167" s="3"/>
      <c r="X167" s="3"/>
      <c r="Y167" s="3"/>
      <c r="Z167" s="3"/>
    </row>
    <row r="168" spans="1:26" ht="17.149999999999999" customHeight="1" x14ac:dyDescent="0.35">
      <c r="A168" s="949" t="s">
        <v>1160</v>
      </c>
      <c r="B168" s="1780" t="s">
        <v>9</v>
      </c>
      <c r="C168" s="1780"/>
      <c r="D168" s="1780"/>
      <c r="E168" s="1780"/>
      <c r="F168" s="1780"/>
      <c r="G168" s="1780"/>
      <c r="H168" s="1780"/>
      <c r="I168" s="1780"/>
      <c r="J168" s="1780"/>
      <c r="K168" s="1780"/>
      <c r="L168" s="3"/>
      <c r="M168" s="3"/>
      <c r="N168" s="3"/>
      <c r="O168" s="3"/>
      <c r="P168" s="3"/>
      <c r="Q168" s="68"/>
      <c r="R168" s="68"/>
      <c r="S168" s="68"/>
      <c r="T168" s="3"/>
      <c r="U168" s="3"/>
      <c r="V168" s="3"/>
      <c r="W168" s="3"/>
      <c r="X168" s="3"/>
      <c r="Y168" s="3"/>
      <c r="Z168" s="3"/>
    </row>
    <row r="169" spans="1:26" ht="17.149999999999999" customHeight="1" x14ac:dyDescent="0.35">
      <c r="A169" s="3"/>
      <c r="B169" s="3"/>
      <c r="C169" s="68"/>
      <c r="D169" s="3"/>
      <c r="E169" s="3"/>
      <c r="F169" s="3"/>
      <c r="G169" s="3"/>
      <c r="H169" s="3"/>
      <c r="I169" s="3"/>
      <c r="J169" s="3"/>
      <c r="K169" s="3"/>
      <c r="L169" s="3"/>
      <c r="M169" s="3"/>
      <c r="N169" s="3"/>
      <c r="O169" s="3"/>
      <c r="P169" s="3"/>
      <c r="Q169" s="68"/>
      <c r="R169" s="68"/>
      <c r="S169" s="68"/>
      <c r="T169" s="3"/>
      <c r="U169" s="3"/>
      <c r="V169" s="3"/>
      <c r="W169" s="3"/>
      <c r="X169" s="3"/>
      <c r="Y169" s="3"/>
      <c r="Z169" s="3"/>
    </row>
    <row r="170" spans="1:26" ht="17.149999999999999" customHeight="1" x14ac:dyDescent="0.35">
      <c r="A170" s="330"/>
      <c r="B170" s="1784" t="s">
        <v>1161</v>
      </c>
      <c r="C170" s="1784"/>
      <c r="D170" s="1784"/>
      <c r="E170" s="1784"/>
      <c r="F170" s="1784"/>
      <c r="G170" s="1784"/>
      <c r="H170" s="1784"/>
      <c r="I170" s="1784"/>
      <c r="J170" s="1784"/>
      <c r="K170" s="1784"/>
      <c r="L170" s="3"/>
      <c r="M170" s="3"/>
      <c r="N170" s="3"/>
      <c r="O170" s="3"/>
      <c r="P170" s="3"/>
      <c r="Q170" s="68"/>
      <c r="R170" s="68"/>
      <c r="S170" s="68"/>
      <c r="T170" s="3"/>
      <c r="U170" s="3"/>
      <c r="V170" s="3"/>
      <c r="W170" s="3"/>
      <c r="X170" s="3"/>
      <c r="Y170" s="3"/>
      <c r="Z170" s="3"/>
    </row>
    <row r="171" spans="1:26" ht="17.149999999999999" customHeight="1" x14ac:dyDescent="0.35">
      <c r="A171" s="1784" t="s">
        <v>1125</v>
      </c>
      <c r="B171" s="1797" t="s">
        <v>28</v>
      </c>
      <c r="C171" s="1805"/>
      <c r="D171" s="1805"/>
      <c r="E171" s="1805"/>
      <c r="F171" s="1798"/>
      <c r="G171" s="1784" t="s">
        <v>1126</v>
      </c>
      <c r="H171" s="1784"/>
      <c r="I171" s="1784"/>
      <c r="J171" s="1784"/>
      <c r="K171" s="1784"/>
      <c r="L171" s="3"/>
      <c r="M171" s="3"/>
      <c r="N171" s="3"/>
      <c r="O171" s="3"/>
      <c r="P171" s="3"/>
      <c r="Q171" s="68"/>
      <c r="R171" s="68"/>
      <c r="S171" s="68"/>
      <c r="T171" s="3"/>
      <c r="U171" s="3"/>
      <c r="V171" s="3"/>
      <c r="W171" s="3"/>
      <c r="X171" s="3"/>
      <c r="Y171" s="3"/>
      <c r="Z171" s="3"/>
    </row>
    <row r="172" spans="1:26" ht="17.149999999999999" customHeight="1" x14ac:dyDescent="0.35">
      <c r="A172" s="1784"/>
      <c r="B172" s="1511" t="s">
        <v>538</v>
      </c>
      <c r="C172" s="1511" t="s">
        <v>539</v>
      </c>
      <c r="D172" s="1511" t="s">
        <v>540</v>
      </c>
      <c r="E172" s="1511" t="s">
        <v>333</v>
      </c>
      <c r="F172" s="1511" t="s">
        <v>361</v>
      </c>
      <c r="G172" s="1511" t="s">
        <v>538</v>
      </c>
      <c r="H172" s="1511" t="s">
        <v>539</v>
      </c>
      <c r="I172" s="1511" t="s">
        <v>540</v>
      </c>
      <c r="J172" s="1511" t="s">
        <v>333</v>
      </c>
      <c r="K172" s="1511" t="s">
        <v>361</v>
      </c>
      <c r="L172" s="3"/>
      <c r="M172" s="3"/>
      <c r="N172" s="3"/>
      <c r="O172" s="3"/>
      <c r="P172" s="3"/>
      <c r="Q172" s="68"/>
      <c r="R172" s="68"/>
      <c r="S172" s="68"/>
      <c r="T172" s="3"/>
      <c r="U172" s="3"/>
      <c r="V172" s="3"/>
      <c r="W172" s="3"/>
      <c r="X172" s="3"/>
      <c r="Y172" s="3"/>
      <c r="Z172" s="3"/>
    </row>
    <row r="173" spans="1:26" ht="17.149999999999999" customHeight="1" x14ac:dyDescent="0.35">
      <c r="A173" s="1510"/>
      <c r="B173" s="333"/>
      <c r="C173" s="333"/>
      <c r="D173" s="333"/>
      <c r="E173" s="333"/>
      <c r="F173" s="333"/>
      <c r="G173" s="334"/>
      <c r="H173" s="334"/>
      <c r="I173" s="334"/>
      <c r="J173" s="334"/>
      <c r="K173" s="334"/>
      <c r="L173" s="3"/>
      <c r="M173" s="3"/>
      <c r="N173" s="3"/>
      <c r="O173" s="3"/>
      <c r="P173" s="3"/>
      <c r="Q173" s="68"/>
      <c r="R173" s="68"/>
      <c r="S173" s="68"/>
      <c r="T173" s="3"/>
      <c r="U173" s="3"/>
      <c r="V173" s="3"/>
      <c r="W173" s="3"/>
      <c r="X173" s="3"/>
      <c r="Y173" s="3"/>
      <c r="Z173" s="3"/>
    </row>
    <row r="174" spans="1:26" ht="17.149999999999999" customHeight="1" x14ac:dyDescent="0.35">
      <c r="A174" s="176" t="s">
        <v>1189</v>
      </c>
      <c r="B174" s="1518">
        <f>V100</f>
        <v>0</v>
      </c>
      <c r="C174" s="1518">
        <f>W100</f>
        <v>0</v>
      </c>
      <c r="D174" s="1518">
        <f>X100</f>
        <v>0</v>
      </c>
      <c r="E174" s="1518">
        <f>Y100</f>
        <v>0</v>
      </c>
      <c r="F174" s="1518">
        <f>SUM(B174:E174)</f>
        <v>0</v>
      </c>
      <c r="G174" s="1518">
        <f>AB100</f>
        <v>0</v>
      </c>
      <c r="H174" s="1518">
        <f>AC100</f>
        <v>0</v>
      </c>
      <c r="I174" s="1518">
        <f>AD100</f>
        <v>0</v>
      </c>
      <c r="J174" s="1518">
        <f>AE100</f>
        <v>0</v>
      </c>
      <c r="K174" s="1518">
        <f>SUM(G174:J174)</f>
        <v>0</v>
      </c>
      <c r="L174" s="3"/>
      <c r="M174" s="3"/>
      <c r="N174" s="3"/>
      <c r="O174" s="3"/>
      <c r="P174" s="3"/>
      <c r="Q174" s="68"/>
      <c r="R174" s="68"/>
      <c r="S174" s="68"/>
      <c r="T174" s="3"/>
      <c r="U174" s="3"/>
      <c r="V174" s="3"/>
      <c r="W174" s="3"/>
      <c r="X174" s="3"/>
      <c r="Y174" s="3"/>
      <c r="Z174" s="3"/>
    </row>
    <row r="175" spans="1:26" ht="17.149999999999999" customHeight="1" x14ac:dyDescent="0.35">
      <c r="A175" s="176" t="s">
        <v>1190</v>
      </c>
      <c r="B175" s="1518">
        <f>V118</f>
        <v>0</v>
      </c>
      <c r="C175" s="1518">
        <f>W118</f>
        <v>0</v>
      </c>
      <c r="D175" s="1518">
        <f>X118</f>
        <v>0</v>
      </c>
      <c r="E175" s="1518">
        <f>Y118</f>
        <v>0</v>
      </c>
      <c r="F175" s="1518">
        <f>SUM(B175:E175)</f>
        <v>0</v>
      </c>
      <c r="G175" s="1518">
        <f>AB118</f>
        <v>0</v>
      </c>
      <c r="H175" s="1518">
        <f>AC118</f>
        <v>0</v>
      </c>
      <c r="I175" s="1518">
        <f>AD118</f>
        <v>0</v>
      </c>
      <c r="J175" s="1518">
        <f>AE118</f>
        <v>0</v>
      </c>
      <c r="K175" s="1518">
        <f>SUM(G175:J175)</f>
        <v>0</v>
      </c>
      <c r="L175" s="3"/>
      <c r="M175" s="3"/>
      <c r="N175" s="3"/>
      <c r="O175" s="3"/>
      <c r="P175" s="3"/>
      <c r="Q175" s="68"/>
      <c r="R175" s="68"/>
      <c r="S175" s="68"/>
      <c r="T175" s="3"/>
      <c r="U175" s="3"/>
      <c r="V175" s="3"/>
      <c r="W175" s="3"/>
      <c r="X175" s="3"/>
      <c r="Y175" s="3"/>
      <c r="Z175" s="3"/>
    </row>
    <row r="176" spans="1:26" ht="17.149999999999999" customHeight="1" x14ac:dyDescent="0.35">
      <c r="A176" s="176" t="s">
        <v>1191</v>
      </c>
      <c r="B176" s="1518">
        <f>V133</f>
        <v>0</v>
      </c>
      <c r="C176" s="1518">
        <f>W133</f>
        <v>0</v>
      </c>
      <c r="D176" s="1518">
        <f>X133</f>
        <v>0</v>
      </c>
      <c r="E176" s="1518">
        <f>Y133</f>
        <v>0</v>
      </c>
      <c r="F176" s="1518">
        <f>SUM(B176:E176)</f>
        <v>0</v>
      </c>
      <c r="G176" s="1518">
        <f>AB133</f>
        <v>0</v>
      </c>
      <c r="H176" s="1518">
        <f>AC133</f>
        <v>0</v>
      </c>
      <c r="I176" s="1518">
        <f>AD133</f>
        <v>0</v>
      </c>
      <c r="J176" s="1518">
        <f>AE133</f>
        <v>0</v>
      </c>
      <c r="K176" s="1518">
        <f>SUM(G176:J176)</f>
        <v>0</v>
      </c>
      <c r="L176" s="3"/>
      <c r="M176" s="3"/>
      <c r="N176" s="3"/>
      <c r="O176" s="3"/>
      <c r="P176" s="3"/>
      <c r="Q176" s="68"/>
      <c r="R176" s="68"/>
      <c r="S176" s="68"/>
      <c r="T176" s="3"/>
      <c r="U176" s="3"/>
      <c r="V176" s="3"/>
      <c r="W176" s="3"/>
      <c r="X176" s="3"/>
      <c r="Y176" s="3"/>
      <c r="Z176" s="3"/>
    </row>
    <row r="177" spans="1:28" ht="17.149999999999999" customHeight="1" x14ac:dyDescent="0.35">
      <c r="A177" s="176" t="s">
        <v>1192</v>
      </c>
      <c r="B177" s="1518">
        <f>V148</f>
        <v>0</v>
      </c>
      <c r="C177" s="1518">
        <f>W148</f>
        <v>0</v>
      </c>
      <c r="D177" s="1518">
        <f>X148</f>
        <v>0</v>
      </c>
      <c r="E177" s="1518">
        <f>Y148</f>
        <v>0</v>
      </c>
      <c r="F177" s="1518">
        <f>SUM(B177:E177)</f>
        <v>0</v>
      </c>
      <c r="G177" s="1518">
        <f>AB148</f>
        <v>0</v>
      </c>
      <c r="H177" s="1518">
        <f>AC148</f>
        <v>0</v>
      </c>
      <c r="I177" s="1518">
        <f>AD148</f>
        <v>0</v>
      </c>
      <c r="J177" s="1518">
        <f>AE148</f>
        <v>0</v>
      </c>
      <c r="K177" s="1518">
        <f>SUM(G177:J177)</f>
        <v>0</v>
      </c>
      <c r="L177" s="3"/>
      <c r="M177" s="3"/>
      <c r="N177" s="3"/>
      <c r="O177" s="3"/>
      <c r="P177" s="3"/>
      <c r="Q177" s="68"/>
      <c r="R177" s="68"/>
      <c r="S177" s="68"/>
      <c r="T177" s="3"/>
      <c r="U177" s="3"/>
      <c r="V177" s="3"/>
      <c r="W177" s="3"/>
      <c r="X177" s="3"/>
      <c r="Y177" s="3"/>
      <c r="Z177" s="3"/>
    </row>
    <row r="178" spans="1:28" ht="17.149999999999999" customHeight="1" x14ac:dyDescent="0.35">
      <c r="A178" s="950" t="s">
        <v>208</v>
      </c>
      <c r="B178" s="948">
        <f>SUM(B174:B177)</f>
        <v>0</v>
      </c>
      <c r="C178" s="948">
        <f t="shared" ref="C178:K178" si="87">SUM(C174:C177)</f>
        <v>0</v>
      </c>
      <c r="D178" s="948">
        <f t="shared" si="87"/>
        <v>0</v>
      </c>
      <c r="E178" s="948">
        <f t="shared" si="87"/>
        <v>0</v>
      </c>
      <c r="F178" s="948">
        <f t="shared" si="87"/>
        <v>0</v>
      </c>
      <c r="G178" s="948">
        <f t="shared" si="87"/>
        <v>0</v>
      </c>
      <c r="H178" s="948">
        <f t="shared" si="87"/>
        <v>0</v>
      </c>
      <c r="I178" s="948">
        <f t="shared" si="87"/>
        <v>0</v>
      </c>
      <c r="J178" s="948">
        <f t="shared" si="87"/>
        <v>0</v>
      </c>
      <c r="K178" s="948">
        <f t="shared" si="87"/>
        <v>0</v>
      </c>
      <c r="L178" s="3"/>
      <c r="M178" s="3"/>
      <c r="N178" s="3"/>
      <c r="O178" s="3"/>
      <c r="P178" s="3"/>
      <c r="Q178" s="68"/>
      <c r="R178" s="68"/>
      <c r="S178" s="68"/>
      <c r="T178" s="3"/>
      <c r="U178" s="3"/>
      <c r="V178" s="3"/>
      <c r="W178" s="3"/>
      <c r="X178" s="3"/>
      <c r="Y178" s="3"/>
      <c r="Z178" s="3"/>
    </row>
    <row r="179" spans="1:28" ht="17.149999999999999" customHeight="1" x14ac:dyDescent="0.35">
      <c r="A179" s="3"/>
      <c r="B179" s="454">
        <f>IF($F$178=0,0,B178/$F$178)</f>
        <v>0</v>
      </c>
      <c r="C179" s="454">
        <f>IF($F$178=0,0,C178/$F$178)</f>
        <v>0</v>
      </c>
      <c r="D179" s="454">
        <f>IF($F$178=0,0,D178/$F$178)</f>
        <v>0</v>
      </c>
      <c r="E179" s="454">
        <f>IF($F$178=0,0,E178/$F$178)</f>
        <v>0</v>
      </c>
      <c r="F179" s="454">
        <f>IF($F$178=0,0,F178/$F$178)</f>
        <v>0</v>
      </c>
      <c r="G179" s="454">
        <f>IF($K$178=0,0,G178/$K$178)</f>
        <v>0</v>
      </c>
      <c r="H179" s="454">
        <f>IF($K$178=0,0,H178/$K$178)</f>
        <v>0</v>
      </c>
      <c r="I179" s="454">
        <f>IF($K$178=0,0,I178/$K$178)</f>
        <v>0</v>
      </c>
      <c r="J179" s="454">
        <f>IF($K$178=0,0,J178/$K$178)</f>
        <v>0</v>
      </c>
      <c r="K179" s="454">
        <f>IF($K$178=0,0,K178/$K$178)</f>
        <v>0</v>
      </c>
      <c r="L179" s="3"/>
      <c r="M179" s="3"/>
      <c r="N179" s="3"/>
      <c r="O179" s="3"/>
      <c r="P179" s="3"/>
      <c r="Q179" s="68"/>
      <c r="R179" s="68"/>
      <c r="S179" s="68"/>
      <c r="T179" s="3"/>
      <c r="U179" s="3"/>
      <c r="V179" s="3"/>
      <c r="W179" s="3"/>
      <c r="X179" s="3"/>
      <c r="Y179" s="3"/>
      <c r="Z179" s="3"/>
    </row>
    <row r="180" spans="1:28" ht="17.149999999999999" customHeight="1" x14ac:dyDescent="0.35">
      <c r="A180" s="3"/>
      <c r="B180" s="3"/>
      <c r="C180" s="3"/>
      <c r="D180" s="3"/>
      <c r="E180" s="3"/>
      <c r="F180" s="3"/>
      <c r="G180" s="3"/>
      <c r="H180" s="3"/>
      <c r="I180" s="3"/>
      <c r="J180" s="3"/>
      <c r="K180" s="3"/>
      <c r="L180" s="3"/>
      <c r="M180" s="3"/>
      <c r="N180" s="3"/>
      <c r="O180" s="3"/>
      <c r="P180" s="3"/>
      <c r="Q180" s="68"/>
      <c r="R180" s="68"/>
      <c r="S180" s="68"/>
      <c r="T180" s="3"/>
      <c r="U180" s="3"/>
      <c r="V180" s="3"/>
      <c r="W180" s="3"/>
      <c r="X180" s="3"/>
      <c r="Y180" s="3"/>
      <c r="Z180" s="3"/>
    </row>
    <row r="181" spans="1:28" ht="17.149999999999999" customHeight="1" x14ac:dyDescent="0.35">
      <c r="A181" s="3"/>
      <c r="B181" s="1853">
        <f>F178+K178</f>
        <v>0</v>
      </c>
      <c r="C181" s="1854"/>
      <c r="D181" s="1854"/>
      <c r="E181" s="1854"/>
      <c r="F181" s="1854"/>
      <c r="G181" s="1854"/>
      <c r="H181" s="1854"/>
      <c r="I181" s="1854"/>
      <c r="J181" s="1854"/>
      <c r="K181" s="1854"/>
      <c r="L181" s="3"/>
      <c r="M181" s="3"/>
      <c r="N181" s="3"/>
      <c r="O181" s="3"/>
      <c r="P181" s="3"/>
      <c r="Q181" s="68"/>
      <c r="R181" s="68"/>
      <c r="S181" s="68"/>
      <c r="T181" s="3"/>
      <c r="U181" s="3"/>
      <c r="V181" s="3"/>
      <c r="W181" s="3"/>
      <c r="X181" s="3"/>
      <c r="Y181" s="3"/>
      <c r="Z181" s="3"/>
    </row>
    <row r="182" spans="1:28" ht="17.149999999999999" customHeight="1" x14ac:dyDescent="0.35">
      <c r="A182" s="3"/>
      <c r="B182" s="3"/>
      <c r="C182" s="3"/>
      <c r="D182" s="3"/>
      <c r="E182" s="3"/>
      <c r="F182" s="3"/>
      <c r="G182" s="3"/>
      <c r="H182" s="3"/>
      <c r="I182" s="3"/>
      <c r="J182" s="3"/>
      <c r="K182" s="3"/>
      <c r="L182" s="3"/>
      <c r="M182" s="3"/>
      <c r="N182" s="3"/>
      <c r="O182" s="3"/>
      <c r="P182" s="3"/>
      <c r="Q182" s="68"/>
      <c r="R182" s="68"/>
      <c r="S182" s="68"/>
      <c r="T182" s="3"/>
      <c r="U182" s="3"/>
      <c r="V182" s="3"/>
      <c r="W182" s="3"/>
      <c r="X182" s="3"/>
      <c r="Y182" s="3"/>
      <c r="Z182" s="3"/>
    </row>
    <row r="183" spans="1:28" ht="17.149999999999999" customHeight="1" x14ac:dyDescent="0.35">
      <c r="A183" s="3"/>
      <c r="B183" s="3"/>
      <c r="C183" s="3"/>
      <c r="D183" s="3"/>
      <c r="E183" s="3"/>
      <c r="F183" s="3"/>
      <c r="G183" s="3"/>
      <c r="H183" s="3"/>
      <c r="I183" s="3"/>
      <c r="J183" s="3"/>
      <c r="K183" s="3"/>
      <c r="L183" s="3"/>
      <c r="M183" s="3"/>
      <c r="N183" s="3"/>
      <c r="O183" s="3"/>
      <c r="P183" s="3"/>
      <c r="Q183" s="68"/>
      <c r="R183" s="68"/>
      <c r="S183" s="68"/>
      <c r="T183" s="3"/>
      <c r="U183" s="3"/>
      <c r="V183" s="3"/>
      <c r="W183" s="3"/>
      <c r="X183" s="3"/>
      <c r="Y183" s="3"/>
      <c r="Z183" s="3"/>
    </row>
    <row r="184" spans="1:28" ht="17.149999999999999" customHeight="1" x14ac:dyDescent="0.35">
      <c r="A184" s="330"/>
      <c r="B184" s="1797" t="s">
        <v>1162</v>
      </c>
      <c r="C184" s="1805"/>
      <c r="D184" s="1798"/>
      <c r="E184" s="1784" t="s">
        <v>1163</v>
      </c>
      <c r="F184" s="1784"/>
      <c r="G184" s="1784"/>
      <c r="H184" s="3"/>
      <c r="I184" s="1784" t="s">
        <v>1164</v>
      </c>
      <c r="J184" s="1784"/>
      <c r="K184" s="1784"/>
      <c r="L184" s="3"/>
      <c r="M184" s="3"/>
      <c r="N184" s="3"/>
      <c r="O184" s="3"/>
      <c r="P184" s="3"/>
      <c r="Q184" s="3"/>
      <c r="R184" s="3"/>
      <c r="S184" s="68"/>
      <c r="T184" s="68"/>
      <c r="U184" s="68"/>
      <c r="V184" s="3"/>
      <c r="W184" s="3"/>
      <c r="X184" s="3"/>
      <c r="Y184" s="3"/>
      <c r="Z184" s="3"/>
      <c r="AA184" s="3"/>
      <c r="AB184" s="3"/>
    </row>
    <row r="185" spans="1:28" ht="17.149999999999999" customHeight="1" x14ac:dyDescent="0.35">
      <c r="A185" s="1503" t="s">
        <v>1125</v>
      </c>
      <c r="B185" s="1503" t="s">
        <v>54</v>
      </c>
      <c r="C185" s="1503" t="s">
        <v>1165</v>
      </c>
      <c r="D185" s="1503" t="s">
        <v>12</v>
      </c>
      <c r="E185" s="1503" t="s">
        <v>54</v>
      </c>
      <c r="F185" s="1503" t="s">
        <v>1165</v>
      </c>
      <c r="G185" s="1503" t="s">
        <v>12</v>
      </c>
      <c r="H185" s="3"/>
      <c r="I185" s="1503" t="s">
        <v>54</v>
      </c>
      <c r="J185" s="1503" t="s">
        <v>1165</v>
      </c>
      <c r="K185" s="1503" t="s">
        <v>12</v>
      </c>
      <c r="L185" s="3"/>
      <c r="M185" s="3"/>
      <c r="N185" s="3"/>
      <c r="O185" s="3"/>
      <c r="P185" s="3"/>
      <c r="Q185" s="3"/>
      <c r="R185" s="3"/>
      <c r="S185" s="68"/>
      <c r="T185" s="68"/>
      <c r="U185" s="68"/>
      <c r="V185" s="3"/>
      <c r="W185" s="3"/>
      <c r="X185" s="3"/>
      <c r="Y185" s="3"/>
      <c r="Z185" s="3"/>
      <c r="AA185" s="3"/>
      <c r="AB185" s="3"/>
    </row>
    <row r="186" spans="1:28" s="60" customFormat="1" ht="13" x14ac:dyDescent="0.35">
      <c r="A186" s="335"/>
      <c r="B186" s="321"/>
      <c r="C186" s="292"/>
      <c r="D186" s="155"/>
      <c r="E186" s="321"/>
      <c r="F186" s="292"/>
      <c r="G186" s="155"/>
      <c r="I186" s="321"/>
      <c r="J186" s="292"/>
      <c r="K186" s="155"/>
      <c r="S186" s="327"/>
      <c r="T186" s="327"/>
      <c r="U186" s="327"/>
    </row>
    <row r="187" spans="1:28" ht="17.149999999999999" customHeight="1" x14ac:dyDescent="0.35">
      <c r="A187" s="176" t="s">
        <v>1189</v>
      </c>
      <c r="B187" s="1518">
        <f>F158</f>
        <v>0</v>
      </c>
      <c r="C187" s="1518">
        <f>K158</f>
        <v>0</v>
      </c>
      <c r="D187" s="1518">
        <f>B187+C187</f>
        <v>0</v>
      </c>
      <c r="E187" s="1518">
        <f>F174</f>
        <v>0</v>
      </c>
      <c r="F187" s="1518">
        <f>K174</f>
        <v>0</v>
      </c>
      <c r="G187" s="1518">
        <f>E187+F187</f>
        <v>0</v>
      </c>
      <c r="H187" s="60"/>
      <c r="I187" s="1518">
        <f t="shared" ref="I187:J190" si="88">B187+E187</f>
        <v>0</v>
      </c>
      <c r="J187" s="1518">
        <f t="shared" si="88"/>
        <v>0</v>
      </c>
      <c r="K187" s="1518">
        <f>I187+J187</f>
        <v>0</v>
      </c>
      <c r="L187" s="3"/>
      <c r="M187" s="3"/>
      <c r="N187" s="3"/>
      <c r="O187" s="3"/>
      <c r="P187" s="3"/>
      <c r="Q187" s="3"/>
      <c r="R187" s="3"/>
      <c r="S187" s="68"/>
      <c r="T187" s="68"/>
      <c r="U187" s="68"/>
      <c r="V187" s="3"/>
      <c r="W187" s="3"/>
      <c r="X187" s="3"/>
      <c r="Y187" s="3"/>
      <c r="Z187" s="3"/>
      <c r="AA187" s="3"/>
      <c r="AB187" s="3"/>
    </row>
    <row r="188" spans="1:28" ht="17.149999999999999" customHeight="1" x14ac:dyDescent="0.35">
      <c r="A188" s="176" t="s">
        <v>1190</v>
      </c>
      <c r="B188" s="1518">
        <f>F159</f>
        <v>11410</v>
      </c>
      <c r="C188" s="1518">
        <f>K159</f>
        <v>21190</v>
      </c>
      <c r="D188" s="1518">
        <f>B188+C188</f>
        <v>32600</v>
      </c>
      <c r="E188" s="1518">
        <f>F175</f>
        <v>0</v>
      </c>
      <c r="F188" s="1518">
        <f>K175</f>
        <v>0</v>
      </c>
      <c r="G188" s="1518">
        <f>E188+F188</f>
        <v>0</v>
      </c>
      <c r="H188" s="60"/>
      <c r="I188" s="1518">
        <f t="shared" si="88"/>
        <v>11410</v>
      </c>
      <c r="J188" s="1518">
        <f t="shared" si="88"/>
        <v>21190</v>
      </c>
      <c r="K188" s="1518">
        <f>I188+J188</f>
        <v>32600</v>
      </c>
      <c r="L188" s="3"/>
      <c r="M188" s="3"/>
      <c r="N188" s="3"/>
      <c r="O188" s="3"/>
      <c r="P188" s="3"/>
      <c r="Q188" s="3"/>
      <c r="R188" s="3"/>
      <c r="S188" s="68"/>
      <c r="T188" s="68"/>
      <c r="U188" s="68"/>
      <c r="V188" s="3"/>
      <c r="W188" s="3"/>
      <c r="X188" s="3"/>
      <c r="Y188" s="3"/>
      <c r="Z188" s="3"/>
      <c r="AA188" s="3"/>
      <c r="AB188" s="3"/>
    </row>
    <row r="189" spans="1:28" ht="17.149999999999999" customHeight="1" x14ac:dyDescent="0.35">
      <c r="A189" s="176" t="s">
        <v>1191</v>
      </c>
      <c r="B189" s="1518">
        <f>F160</f>
        <v>0</v>
      </c>
      <c r="C189" s="1518">
        <f>K160</f>
        <v>0</v>
      </c>
      <c r="D189" s="1518">
        <f>B189+C189</f>
        <v>0</v>
      </c>
      <c r="E189" s="1518">
        <f>F176</f>
        <v>0</v>
      </c>
      <c r="F189" s="1518">
        <f>K176</f>
        <v>0</v>
      </c>
      <c r="G189" s="1518">
        <f>E189+F189</f>
        <v>0</v>
      </c>
      <c r="H189" s="60"/>
      <c r="I189" s="1518">
        <f t="shared" si="88"/>
        <v>0</v>
      </c>
      <c r="J189" s="1518">
        <f t="shared" si="88"/>
        <v>0</v>
      </c>
      <c r="K189" s="1518">
        <f>I189+J189</f>
        <v>0</v>
      </c>
      <c r="L189" s="3"/>
      <c r="M189" s="3"/>
      <c r="N189" s="3"/>
      <c r="O189" s="3"/>
      <c r="P189" s="3"/>
      <c r="Q189" s="3"/>
      <c r="R189" s="3"/>
      <c r="S189" s="68"/>
      <c r="T189" s="68"/>
      <c r="U189" s="68"/>
      <c r="V189" s="3"/>
      <c r="W189" s="3"/>
      <c r="X189" s="3"/>
      <c r="Y189" s="3"/>
      <c r="Z189" s="3"/>
      <c r="AA189" s="3"/>
      <c r="AB189" s="3"/>
    </row>
    <row r="190" spans="1:28" ht="17.149999999999999" customHeight="1" x14ac:dyDescent="0.35">
      <c r="A190" s="176" t="s">
        <v>1192</v>
      </c>
      <c r="B190" s="1518">
        <f>F161</f>
        <v>0</v>
      </c>
      <c r="C190" s="1518">
        <f>K161</f>
        <v>0</v>
      </c>
      <c r="D190" s="1518">
        <f>B190+C190</f>
        <v>0</v>
      </c>
      <c r="E190" s="1518">
        <f>F177</f>
        <v>0</v>
      </c>
      <c r="F190" s="1518">
        <f>K177</f>
        <v>0</v>
      </c>
      <c r="G190" s="1518">
        <f>E190+F190</f>
        <v>0</v>
      </c>
      <c r="H190" s="60"/>
      <c r="I190" s="1518">
        <f t="shared" si="88"/>
        <v>0</v>
      </c>
      <c r="J190" s="1518">
        <f t="shared" si="88"/>
        <v>0</v>
      </c>
      <c r="K190" s="1518">
        <f>I190+J190</f>
        <v>0</v>
      </c>
      <c r="L190" s="3"/>
      <c r="M190" s="3"/>
      <c r="N190" s="3"/>
      <c r="O190" s="3"/>
      <c r="P190" s="3"/>
      <c r="Q190" s="3"/>
      <c r="R190" s="3"/>
      <c r="S190" s="68"/>
      <c r="T190" s="68"/>
      <c r="U190" s="68"/>
      <c r="V190" s="3"/>
      <c r="W190" s="3"/>
      <c r="X190" s="3"/>
      <c r="Y190" s="3"/>
      <c r="Z190" s="3"/>
      <c r="AA190" s="3"/>
      <c r="AB190" s="3"/>
    </row>
    <row r="191" spans="1:28" ht="17.149999999999999" customHeight="1" x14ac:dyDescent="0.35">
      <c r="A191" s="950" t="s">
        <v>208</v>
      </c>
      <c r="B191" s="948">
        <f t="shared" ref="B191:G191" si="89">SUM(B187:B190)</f>
        <v>11410</v>
      </c>
      <c r="C191" s="948">
        <f t="shared" si="89"/>
        <v>21190</v>
      </c>
      <c r="D191" s="948">
        <f t="shared" si="89"/>
        <v>32600</v>
      </c>
      <c r="E191" s="948">
        <f t="shared" si="89"/>
        <v>0</v>
      </c>
      <c r="F191" s="948">
        <f t="shared" si="89"/>
        <v>0</v>
      </c>
      <c r="G191" s="948">
        <f t="shared" si="89"/>
        <v>0</v>
      </c>
      <c r="H191" s="3"/>
      <c r="I191" s="948">
        <f>SUM(I187:I190)</f>
        <v>11410</v>
      </c>
      <c r="J191" s="948">
        <f>SUM(J187:J190)</f>
        <v>21190</v>
      </c>
      <c r="K191" s="948">
        <f>SUM(K187:K190)</f>
        <v>32600</v>
      </c>
      <c r="L191" s="3"/>
      <c r="M191" s="3"/>
      <c r="N191" s="3"/>
      <c r="O191" s="3"/>
      <c r="P191" s="3"/>
      <c r="Q191" s="3"/>
      <c r="R191" s="3"/>
      <c r="S191" s="3"/>
      <c r="T191" s="3"/>
      <c r="U191" s="3"/>
      <c r="V191" s="3"/>
      <c r="W191" s="3"/>
      <c r="X191" s="3"/>
      <c r="Y191" s="3"/>
      <c r="Z191" s="3"/>
      <c r="AA191" s="3"/>
      <c r="AB191" s="3"/>
    </row>
    <row r="192" spans="1:28" s="107" customFormat="1" ht="17.149999999999999" customHeight="1" x14ac:dyDescent="0.35">
      <c r="A192" s="33"/>
      <c r="B192" s="1468">
        <f>IF($D$191=0,0,B191/$D$191)</f>
        <v>0.35</v>
      </c>
      <c r="C192" s="1468">
        <f>IF($D$191=0,0,C191/$D$191)</f>
        <v>0.65</v>
      </c>
      <c r="D192" s="1468">
        <f>IF($D$191=0,0,D191/$D$191)</f>
        <v>1</v>
      </c>
      <c r="E192" s="1468">
        <f>IF($G$191=0,0,E191/$G$191)</f>
        <v>0</v>
      </c>
      <c r="F192" s="1468">
        <f>IF($G$191=0,0,F191/$G$191)</f>
        <v>0</v>
      </c>
      <c r="G192" s="1468">
        <f>IF($G$191=0,0,G191/$G$191)</f>
        <v>0</v>
      </c>
      <c r="H192" s="43"/>
      <c r="I192" s="1468">
        <f>IF($K$191=0,0,I191/$K$191)</f>
        <v>0.35</v>
      </c>
      <c r="J192" s="1468">
        <f>IF($K$191=0,0,J191/$K$191)</f>
        <v>0.65</v>
      </c>
      <c r="K192" s="1468">
        <f>IF($K$191=0,0,K191/$K$191)</f>
        <v>1</v>
      </c>
      <c r="L192" s="43"/>
      <c r="M192" s="43"/>
      <c r="N192" s="43"/>
      <c r="O192" s="43"/>
      <c r="P192" s="43"/>
      <c r="Q192" s="43"/>
      <c r="R192" s="43"/>
      <c r="S192" s="43"/>
      <c r="T192" s="43"/>
      <c r="U192" s="43"/>
      <c r="V192" s="43"/>
      <c r="W192" s="43"/>
      <c r="X192" s="43"/>
      <c r="Y192" s="43"/>
      <c r="Z192" s="43"/>
      <c r="AA192" s="43"/>
      <c r="AB192" s="43"/>
    </row>
    <row r="193" spans="1:26" s="107" customFormat="1" ht="17.149999999999999" customHeight="1" x14ac:dyDescent="0.35">
      <c r="A193" s="78"/>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s="107" customFormat="1" ht="17.149999999999999" customHeight="1" x14ac:dyDescent="0.35">
      <c r="A194" s="78"/>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s="107" customFormat="1" ht="17.149999999999999" customHeight="1" x14ac:dyDescent="0.35">
      <c r="A195" s="78"/>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s="107" customFormat="1" ht="16.5" customHeight="1" x14ac:dyDescent="0.35">
      <c r="A196" s="949" t="s">
        <v>1134</v>
      </c>
      <c r="B196" s="1504" t="s">
        <v>9</v>
      </c>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s="285" customFormat="1" ht="10.5" x14ac:dyDescent="0.35">
      <c r="A197" s="237"/>
      <c r="B197" s="222"/>
    </row>
    <row r="198" spans="1:26" s="107" customFormat="1" ht="16.5" customHeight="1" x14ac:dyDescent="0.35">
      <c r="A198" s="80"/>
      <c r="B198" s="1513" t="s">
        <v>841</v>
      </c>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s="285" customFormat="1" ht="10.5" x14ac:dyDescent="0.35">
      <c r="A199" s="237"/>
      <c r="B199" s="222"/>
    </row>
    <row r="200" spans="1:26" s="107" customFormat="1" ht="17.149999999999999" customHeight="1" x14ac:dyDescent="0.35">
      <c r="A200" s="206" t="s">
        <v>1136</v>
      </c>
      <c r="B200" s="207">
        <f>B191</f>
        <v>11410</v>
      </c>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row>
    <row r="201" spans="1:26" s="107" customFormat="1" ht="17.149999999999999" customHeight="1" x14ac:dyDescent="0.35">
      <c r="A201" s="145"/>
      <c r="B201" s="156"/>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row>
    <row r="202" spans="1:26" s="107" customFormat="1" ht="17.149999999999999" customHeight="1" x14ac:dyDescent="0.35">
      <c r="A202" s="206" t="s">
        <v>1137</v>
      </c>
      <c r="B202" s="207">
        <f>E191</f>
        <v>0</v>
      </c>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row>
    <row r="203" spans="1:26" s="107" customFormat="1" ht="17.149999999999999" customHeight="1" x14ac:dyDescent="0.35">
      <c r="A203" s="145"/>
      <c r="B203" s="156"/>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row>
    <row r="204" spans="1:26" s="107" customFormat="1" ht="17.149999999999999" customHeight="1" x14ac:dyDescent="0.35">
      <c r="A204" s="208" t="s">
        <v>1139</v>
      </c>
      <c r="B204" s="209">
        <f>C191</f>
        <v>21190</v>
      </c>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row>
    <row r="205" spans="1:26" s="107" customFormat="1" ht="17.149999999999999" customHeight="1" x14ac:dyDescent="0.35">
      <c r="A205" s="336"/>
      <c r="B205" s="337"/>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row>
    <row r="206" spans="1:26" s="107" customFormat="1" ht="17.149999999999999" customHeight="1" x14ac:dyDescent="0.35">
      <c r="A206" s="208" t="s">
        <v>1140</v>
      </c>
      <c r="B206" s="209">
        <f>F191</f>
        <v>0</v>
      </c>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row>
    <row r="207" spans="1:26" s="107" customFormat="1" ht="17.149999999999999" customHeight="1" x14ac:dyDescent="0.35">
      <c r="B207" s="196"/>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row>
    <row r="208" spans="1:26" s="107" customFormat="1" ht="17.149999999999999" customHeight="1" x14ac:dyDescent="0.35">
      <c r="A208" s="212" t="s">
        <v>1166</v>
      </c>
      <c r="B208" s="28">
        <f>B200+B202+B204+B206</f>
        <v>32600</v>
      </c>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row>
    <row r="209" spans="1:26" s="107" customFormat="1" ht="17.149999999999999" customHeight="1" x14ac:dyDescent="0.35">
      <c r="A209" s="194"/>
      <c r="B209" s="205">
        <f>'FS_Treatment volumes'!B123</f>
        <v>32600</v>
      </c>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row>
    <row r="210" spans="1:26" s="107" customFormat="1" ht="17.149999999999999" customHeight="1" x14ac:dyDescent="0.35">
      <c r="A210" s="11"/>
      <c r="B210" s="1519" t="str">
        <f>IF(B208=B209,"OK","Not OK")</f>
        <v>OK</v>
      </c>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row>
    <row r="211" spans="1:26" s="107" customFormat="1" ht="17.149999999999999" customHeight="1" x14ac:dyDescent="0.35">
      <c r="A211" s="78"/>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row>
    <row r="212" spans="1:26" s="107" customFormat="1" ht="17.149999999999999" customHeight="1" x14ac:dyDescent="0.35">
      <c r="A212" s="78"/>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row>
    <row r="213" spans="1:26" s="107" customFormat="1" ht="17.149999999999999" customHeight="1" x14ac:dyDescent="0.35">
      <c r="A213" s="78"/>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row>
    <row r="214" spans="1:26" s="107" customFormat="1" ht="17.149999999999999" customHeight="1" x14ac:dyDescent="0.35">
      <c r="A214" s="17"/>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row>
    <row r="215" spans="1:26" s="107" customFormat="1" ht="17.149999999999999" customHeight="1" x14ac:dyDescent="0.35">
      <c r="A215" s="17"/>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row>
  </sheetData>
  <sheetProtection password="C8C1" sheet="1" objects="1" scenarios="1" selectLockedCells="1"/>
  <mergeCells count="111">
    <mergeCell ref="A26:A27"/>
    <mergeCell ref="B26:B27"/>
    <mergeCell ref="C26:C27"/>
    <mergeCell ref="D26:I26"/>
    <mergeCell ref="J26:N26"/>
    <mergeCell ref="B24:C24"/>
    <mergeCell ref="D25:N25"/>
    <mergeCell ref="P25:Z25"/>
    <mergeCell ref="AB25:AF25"/>
    <mergeCell ref="P26:U26"/>
    <mergeCell ref="V26:Z26"/>
    <mergeCell ref="AB26:AF26"/>
    <mergeCell ref="B39:C39"/>
    <mergeCell ref="D40:N40"/>
    <mergeCell ref="P40:Z40"/>
    <mergeCell ref="AB40:AF40"/>
    <mergeCell ref="B152:K152"/>
    <mergeCell ref="B154:K154"/>
    <mergeCell ref="A155:A156"/>
    <mergeCell ref="B155:F155"/>
    <mergeCell ref="G155:K155"/>
    <mergeCell ref="V91:Z91"/>
    <mergeCell ref="AB91:AF91"/>
    <mergeCell ref="A91:A92"/>
    <mergeCell ref="B91:B92"/>
    <mergeCell ref="C91:C92"/>
    <mergeCell ref="D91:I91"/>
    <mergeCell ref="J91:N91"/>
    <mergeCell ref="P91:U91"/>
    <mergeCell ref="V41:Z41"/>
    <mergeCell ref="AB41:AF41"/>
    <mergeCell ref="B58:C58"/>
    <mergeCell ref="D59:N59"/>
    <mergeCell ref="P59:Z59"/>
    <mergeCell ref="AB59:AF59"/>
    <mergeCell ref="A41:A42"/>
    <mergeCell ref="B181:K181"/>
    <mergeCell ref="B184:D184"/>
    <mergeCell ref="E184:G184"/>
    <mergeCell ref="I184:K184"/>
    <mergeCell ref="B165:K165"/>
    <mergeCell ref="B168:K168"/>
    <mergeCell ref="B170:K170"/>
    <mergeCell ref="A171:A172"/>
    <mergeCell ref="B171:F171"/>
    <mergeCell ref="G171:K171"/>
    <mergeCell ref="B41:B42"/>
    <mergeCell ref="C41:C42"/>
    <mergeCell ref="D41:I41"/>
    <mergeCell ref="J41:N41"/>
    <mergeCell ref="P41:U41"/>
    <mergeCell ref="P60:U60"/>
    <mergeCell ref="V60:Z60"/>
    <mergeCell ref="AB60:AF60"/>
    <mergeCell ref="B73:C73"/>
    <mergeCell ref="D74:N74"/>
    <mergeCell ref="P74:Z74"/>
    <mergeCell ref="AB74:AF74"/>
    <mergeCell ref="A60:A61"/>
    <mergeCell ref="B60:B61"/>
    <mergeCell ref="C60:C61"/>
    <mergeCell ref="D60:I60"/>
    <mergeCell ref="J60:N60"/>
    <mergeCell ref="P75:U75"/>
    <mergeCell ref="V75:Z75"/>
    <mergeCell ref="AB75:AF75"/>
    <mergeCell ref="B103:C103"/>
    <mergeCell ref="D104:N104"/>
    <mergeCell ref="P104:Z104"/>
    <mergeCell ref="AB104:AF104"/>
    <mergeCell ref="A75:A76"/>
    <mergeCell ref="B75:B76"/>
    <mergeCell ref="C75:C76"/>
    <mergeCell ref="D75:I75"/>
    <mergeCell ref="J75:N75"/>
    <mergeCell ref="B89:C89"/>
    <mergeCell ref="D90:N90"/>
    <mergeCell ref="P90:Z90"/>
    <mergeCell ref="AB90:AF90"/>
    <mergeCell ref="P105:U105"/>
    <mergeCell ref="V105:Z105"/>
    <mergeCell ref="AB105:AF105"/>
    <mergeCell ref="B122:C122"/>
    <mergeCell ref="D123:N123"/>
    <mergeCell ref="P123:Z123"/>
    <mergeCell ref="AB123:AF123"/>
    <mergeCell ref="A105:A106"/>
    <mergeCell ref="B105:B106"/>
    <mergeCell ref="C105:C106"/>
    <mergeCell ref="D105:I105"/>
    <mergeCell ref="J105:N105"/>
    <mergeCell ref="P139:U139"/>
    <mergeCell ref="V139:Z139"/>
    <mergeCell ref="AB139:AF139"/>
    <mergeCell ref="A139:A140"/>
    <mergeCell ref="B139:B140"/>
    <mergeCell ref="C139:C140"/>
    <mergeCell ref="D139:I139"/>
    <mergeCell ref="J139:N139"/>
    <mergeCell ref="P124:U124"/>
    <mergeCell ref="V124:Z124"/>
    <mergeCell ref="AB124:AF124"/>
    <mergeCell ref="B137:C137"/>
    <mergeCell ref="D138:N138"/>
    <mergeCell ref="P138:Z138"/>
    <mergeCell ref="AB138:AF138"/>
    <mergeCell ref="A124:A125"/>
    <mergeCell ref="B124:B125"/>
    <mergeCell ref="C124:C125"/>
    <mergeCell ref="D124:I124"/>
    <mergeCell ref="J124:N124"/>
  </mergeCells>
  <conditionalFormatting sqref="I29:I34">
    <cfRule type="expression" dxfId="37" priority="71">
      <formula>AND(B29&gt;0,H29=1)</formula>
    </cfRule>
    <cfRule type="expression" dxfId="36" priority="72">
      <formula>AND(B29=0,H29=0)</formula>
    </cfRule>
  </conditionalFormatting>
  <conditionalFormatting sqref="I44:I53">
    <cfRule type="expression" dxfId="35" priority="36">
      <formula>AND(B44&gt;0,H44=1)</formula>
    </cfRule>
    <cfRule type="expression" dxfId="34" priority="37">
      <formula>AND(B44=0,H44=0)</formula>
    </cfRule>
  </conditionalFormatting>
  <conditionalFormatting sqref="B210">
    <cfRule type="expression" dxfId="33" priority="40">
      <formula>B209&lt;B208</formula>
    </cfRule>
    <cfRule type="expression" dxfId="32" priority="41">
      <formula>B209&gt;B208</formula>
    </cfRule>
    <cfRule type="expression" dxfId="31" priority="42">
      <formula>B209=B208</formula>
    </cfRule>
  </conditionalFormatting>
  <conditionalFormatting sqref="U44:U53">
    <cfRule type="expression" dxfId="30" priority="34">
      <formula>AND(C44&gt;0,S44=1)</formula>
    </cfRule>
    <cfRule type="expression" dxfId="29" priority="35">
      <formula>AND(C44=0,S44=0)</formula>
    </cfRule>
  </conditionalFormatting>
  <conditionalFormatting sqref="I63:I68">
    <cfRule type="expression" dxfId="28" priority="32">
      <formula>AND(B63&gt;0,H63=1)</formula>
    </cfRule>
    <cfRule type="expression" dxfId="27" priority="33">
      <formula>AND(B63=0,H63=0)</formula>
    </cfRule>
  </conditionalFormatting>
  <conditionalFormatting sqref="U63:U68">
    <cfRule type="expression" dxfId="26" priority="30">
      <formula>AND(C63&gt;0,S63=1)</formula>
    </cfRule>
    <cfRule type="expression" dxfId="25" priority="31">
      <formula>AND(C63=0,S63=0)</formula>
    </cfRule>
  </conditionalFormatting>
  <conditionalFormatting sqref="I94:I99">
    <cfRule type="expression" dxfId="24" priority="20">
      <formula>AND(B94&gt;0,H94=1)</formula>
    </cfRule>
    <cfRule type="expression" dxfId="23" priority="21">
      <formula>AND(B94=0,H94=0)</formula>
    </cfRule>
  </conditionalFormatting>
  <conditionalFormatting sqref="U94:U99">
    <cfRule type="expression" dxfId="22" priority="18">
      <formula>AND(C94&gt;0,S94=1)</formula>
    </cfRule>
    <cfRule type="expression" dxfId="21" priority="19">
      <formula>AND(C94=0,S94=0)</formula>
    </cfRule>
  </conditionalFormatting>
  <conditionalFormatting sqref="I78:I83">
    <cfRule type="expression" dxfId="20" priority="24">
      <formula>AND(B78&gt;0,H78=1)</formula>
    </cfRule>
    <cfRule type="expression" dxfId="19" priority="25">
      <formula>AND(B78=0,H78=0)</formula>
    </cfRule>
  </conditionalFormatting>
  <conditionalFormatting sqref="U78:U83">
    <cfRule type="expression" dxfId="18" priority="22">
      <formula>AND(C78&gt;0,S78=1)</formula>
    </cfRule>
    <cfRule type="expression" dxfId="17" priority="23">
      <formula>AND(C78=0,S78=0)</formula>
    </cfRule>
  </conditionalFormatting>
  <conditionalFormatting sqref="I142:I147">
    <cfRule type="expression" dxfId="16" priority="8">
      <formula>AND(B142&gt;0,H142=1)</formula>
    </cfRule>
    <cfRule type="expression" dxfId="15" priority="9">
      <formula>AND(B142=0,H142=0)</formula>
    </cfRule>
  </conditionalFormatting>
  <conditionalFormatting sqref="U142:U147">
    <cfRule type="expression" dxfId="14" priority="6">
      <formula>AND(C142&gt;0,S142=1)</formula>
    </cfRule>
    <cfRule type="expression" dxfId="13" priority="7">
      <formula>AND(C142=0,S142=0)</formula>
    </cfRule>
  </conditionalFormatting>
  <conditionalFormatting sqref="I108:I117">
    <cfRule type="expression" dxfId="12" priority="16">
      <formula>AND(B108&gt;0,H108=1)</formula>
    </cfRule>
    <cfRule type="expression" dxfId="11" priority="17">
      <formula>AND(B108=0,H108=0)</formula>
    </cfRule>
  </conditionalFormatting>
  <conditionalFormatting sqref="U108:U117">
    <cfRule type="expression" dxfId="10" priority="14">
      <formula>AND(C108&gt;0,S108=1)</formula>
    </cfRule>
    <cfRule type="expression" dxfId="9" priority="15">
      <formula>AND(C108=0,S108=0)</formula>
    </cfRule>
  </conditionalFormatting>
  <conditionalFormatting sqref="I127:I132">
    <cfRule type="expression" dxfId="8" priority="12">
      <formula>AND(B127&gt;0,H127=1)</formula>
    </cfRule>
    <cfRule type="expression" dxfId="7" priority="13">
      <formula>AND(B127=0,H127=0)</formula>
    </cfRule>
  </conditionalFormatting>
  <conditionalFormatting sqref="U127:U132">
    <cfRule type="expression" dxfId="6" priority="10">
      <formula>AND(C127&gt;0,S127=1)</formula>
    </cfRule>
    <cfRule type="expression" dxfId="5" priority="11">
      <formula>AND(C127=0,S127=0)</formula>
    </cfRule>
  </conditionalFormatting>
  <conditionalFormatting sqref="H12">
    <cfRule type="expression" dxfId="4" priority="3">
      <formula>H11&lt;0</formula>
    </cfRule>
    <cfRule type="expression" dxfId="3" priority="4">
      <formula>H11&gt;0</formula>
    </cfRule>
    <cfRule type="expression" dxfId="2" priority="5">
      <formula>H11=0</formula>
    </cfRule>
  </conditionalFormatting>
  <conditionalFormatting sqref="U29:U34">
    <cfRule type="expression" dxfId="1" priority="1">
      <formula>AND(C29&gt;0,T29=1)</formula>
    </cfRule>
    <cfRule type="expression" dxfId="0" priority="2">
      <formula>AND(C29=0,T29=0)</formula>
    </cfRule>
  </conditionalFormatting>
  <dataValidations count="2">
    <dataValidation allowBlank="1" showInputMessage="1" showErrorMessage="1" sqref="B206 B17:B19"/>
    <dataValidation type="list" allowBlank="1" showInputMessage="1" showErrorMessage="1" sqref="B204">
      <formula1>Transportoptions</formula1>
    </dataValidation>
  </dataValidations>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48</vt:i4>
      </vt:variant>
      <vt:variant>
        <vt:lpstr>Named Ranges</vt:lpstr>
      </vt:variant>
      <vt:variant>
        <vt:i4>22</vt:i4>
      </vt:variant>
    </vt:vector>
  </HeadingPairs>
  <TitlesOfParts>
    <vt:vector size="70" baseType="lpstr">
      <vt:lpstr>Home</vt:lpstr>
      <vt:lpstr>Results menu</vt:lpstr>
      <vt:lpstr>Flow diagram ALL</vt:lpstr>
      <vt:lpstr>Flow diagram SLUDGE</vt:lpstr>
      <vt:lpstr>Arrow Templates</vt:lpstr>
      <vt:lpstr>FWF Diagram ALL</vt:lpstr>
      <vt:lpstr>FWF Diagram SLUDGE</vt:lpstr>
      <vt:lpstr>Overview_ALL</vt:lpstr>
      <vt:lpstr>FW Flows_ALL</vt:lpstr>
      <vt:lpstr>Overview_SLUDGE</vt:lpstr>
      <vt:lpstr>FW Flows_SLUDGE</vt:lpstr>
      <vt:lpstr>SUM for FWF Diagram_COMBINED</vt:lpstr>
      <vt:lpstr>SUM for FWF Diagram_ALL</vt:lpstr>
      <vt:lpstr>SUM for FWF Diagram_SLUDGE</vt:lpstr>
      <vt:lpstr>Scorecard Overview</vt:lpstr>
      <vt:lpstr>Population</vt:lpstr>
      <vt:lpstr>Facilities</vt:lpstr>
      <vt:lpstr>Faecal waste flow summary</vt:lpstr>
      <vt:lpstr>Water and Waste flows</vt:lpstr>
      <vt:lpstr>COMBINED WATER&amp;WASTE</vt:lpstr>
      <vt:lpstr>Input menu</vt:lpstr>
      <vt:lpstr>User interface_RES</vt:lpstr>
      <vt:lpstr>User interface_Non-RES</vt:lpstr>
      <vt:lpstr>Interface_Emptying &amp; Transport</vt:lpstr>
      <vt:lpstr>Interface_Treatment</vt:lpstr>
      <vt:lpstr>Treatment Sludge_NO INPUTS</vt:lpstr>
      <vt:lpstr>Interface_City issues</vt:lpstr>
      <vt:lpstr>Interface_Budgets</vt:lpstr>
      <vt:lpstr>Interface_Permits &amp; standards</vt:lpstr>
      <vt:lpstr>Interface_Environment</vt:lpstr>
      <vt:lpstr>Government &amp; city wide SC</vt:lpstr>
      <vt:lpstr>Capture Containment SC</vt:lpstr>
      <vt:lpstr>Emptying SC</vt:lpstr>
      <vt:lpstr>Transport SC</vt:lpstr>
      <vt:lpstr>Treatment SC</vt:lpstr>
      <vt:lpstr>Disposal SC</vt:lpstr>
      <vt:lpstr>Capture volumes</vt:lpstr>
      <vt:lpstr>Containment volumes</vt:lpstr>
      <vt:lpstr>Emptying volumes</vt:lpstr>
      <vt:lpstr>Transport volumes</vt:lpstr>
      <vt:lpstr>Treatment volumes</vt:lpstr>
      <vt:lpstr>Disposal volumes</vt:lpstr>
      <vt:lpstr>FS_Capture volumes</vt:lpstr>
      <vt:lpstr>FS_Containment volumes</vt:lpstr>
      <vt:lpstr>FS_Emptying volumes</vt:lpstr>
      <vt:lpstr>FS_Transport volumes</vt:lpstr>
      <vt:lpstr>FS_Treatment volumes</vt:lpstr>
      <vt:lpstr>FS_Disposal volumes</vt:lpstr>
      <vt:lpstr>Location_Name</vt:lpstr>
      <vt:lpstr>'SUM for FWF Diagram_ALL'!PercentageRange</vt:lpstr>
      <vt:lpstr>'SUM for FWF Diagram_COMBINED'!PercentageRange</vt:lpstr>
      <vt:lpstr>'SUM for FWF Diagram_SLUDGE'!PercentageRange</vt:lpstr>
      <vt:lpstr>'COMBINED WATER&amp;WASTE'!Print_Area</vt:lpstr>
      <vt:lpstr>Facilities!Print_Area</vt:lpstr>
      <vt:lpstr>'Faecal waste flow summary'!Print_Area</vt:lpstr>
      <vt:lpstr>'FW Flows_ALL'!Print_Area</vt:lpstr>
      <vt:lpstr>'FW Flows_SLUDGE'!Print_Area</vt:lpstr>
      <vt:lpstr>'FWF Diagram ALL'!Print_Area</vt:lpstr>
      <vt:lpstr>'FWF Diagram SLUDGE'!Print_Area</vt:lpstr>
      <vt:lpstr>Overview_ALL!Print_Area</vt:lpstr>
      <vt:lpstr>Overview_SLUDGE!Print_Area</vt:lpstr>
      <vt:lpstr>Population!Print_Area</vt:lpstr>
      <vt:lpstr>'Water and Waste flows'!Print_Area</vt:lpstr>
      <vt:lpstr>'SUM for FWF Diagram_COMBINED'!rngFWFDiagram_ALL</vt:lpstr>
      <vt:lpstr>rngFWFDiagram_ALL</vt:lpstr>
      <vt:lpstr>rngFWFDiagram_Sludge</vt:lpstr>
      <vt:lpstr>'SUM for FWF Diagram_ALL'!Summary_Percentages</vt:lpstr>
      <vt:lpstr>'SUM for FWF Diagram_COMBINED'!Summary_Percentages</vt:lpstr>
      <vt:lpstr>'FS_Transport volumes'!Transportoptions</vt:lpstr>
      <vt:lpstr>Transportoptions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Pavilion</dc:creator>
  <cp:keywords/>
  <dc:description/>
  <cp:lastModifiedBy>Erick Baetings</cp:lastModifiedBy>
  <cp:revision/>
  <dcterms:created xsi:type="dcterms:W3CDTF">2015-11-18T10:05:18Z</dcterms:created>
  <dcterms:modified xsi:type="dcterms:W3CDTF">2017-11-14T09:32:05Z</dcterms:modified>
  <cp:category/>
  <cp:contentStatus/>
</cp:coreProperties>
</file>